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1.xml" ContentType="application/vnd.ms-excel.threaded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6.xml" ContentType="application/vnd.openxmlformats-officedocument.drawing+xml"/>
  <Override PartName="/xl/charts/chart3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6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7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8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9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7.xml" ContentType="application/vnd.openxmlformats-officedocument.drawing+xml"/>
  <Override PartName="/xl/charts/chart50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1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3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4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5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6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7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8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9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60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61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62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3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4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5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6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7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8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9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0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1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7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12.xml" ContentType="application/vnd.openxmlformats-officedocument.drawing+xml"/>
  <Override PartName="/xl/charts/chart74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5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6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7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8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9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0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1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82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3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4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5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6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7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8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9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90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91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2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93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4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5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6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7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8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9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100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101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102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103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4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5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6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7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3.xml" ContentType="application/vnd.openxmlformats-officedocument.drawing+xml"/>
  <Override PartName="/xl/charts/chart108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9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4.xml" ContentType="application/vnd.openxmlformats-officedocument.drawingml.chartshapes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harts/chart110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11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12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13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4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15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6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7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8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9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20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21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22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23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4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5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6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7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8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9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30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31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32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33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7.xml" ContentType="application/vnd.openxmlformats-officedocument.drawing+xml"/>
  <Override PartName="/xl/charts/chart134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5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6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7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8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9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40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41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42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43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4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5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6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7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8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9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50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51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52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53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4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5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6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7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8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9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60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61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62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63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4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https://gallagher203-my.sharepoint.com/personal/afzal_baharudin_gallagher_com/Documents/ChatGPT/"/>
    </mc:Choice>
  </mc:AlternateContent>
  <xr:revisionPtr revIDLastSave="0" documentId="8_{D4F4BD19-D68F-4C63-8FED-AE9BB149C8A0}" xr6:coauthVersionLast="47" xr6:coauthVersionMax="47" xr10:uidLastSave="{00000000-0000-0000-0000-000000000000}"/>
  <bookViews>
    <workbookView xWindow="28680" yWindow="-120" windowWidth="29040" windowHeight="15840" tabRatio="822" firstSheet="6" activeTab="8" xr2:uid="{B920160C-2CDC-440B-A192-A9A5A6EAA9C4}"/>
  </bookViews>
  <sheets>
    <sheet name="Contents Page" sheetId="33" r:id="rId1"/>
    <sheet name="Planning Accuracy" sheetId="32" r:id="rId2"/>
    <sheet name="AM Benches Data" sheetId="4" r:id="rId3"/>
    <sheet name="SEC Benches Data" sheetId="1" r:id="rId4"/>
    <sheet name="PCB Data" sheetId="5" r:id="rId5"/>
    <sheet name="XFMR Data" sheetId="6" r:id="rId6"/>
    <sheet name="HW" sheetId="31" r:id="rId7"/>
    <sheet name="Summary Page" sheetId="2" state="hidden" r:id="rId8"/>
    <sheet name="Growth Predic 52 Wk on Stretch" sheetId="29" r:id="rId9"/>
    <sheet name="Growth Prediction Exec Summary" sheetId="30" r:id="rId10"/>
    <sheet name="Growth Plan (Visual)" sheetId="21" r:id="rId11"/>
    <sheet name="Growth Plan Expected CAPEX" sheetId="23" r:id="rId12"/>
    <sheet name="Team Utilisation" sheetId="36" r:id="rId13"/>
    <sheet name="Team Eff" sheetId="7" r:id="rId14"/>
    <sheet name="Team Eff Graphs" sheetId="8" r:id="rId15"/>
    <sheet name="Team Numbers" sheetId="9" r:id="rId16"/>
    <sheet name="OEE" sheetId="10" r:id="rId17"/>
    <sheet name="OEE SMT" sheetId="11" r:id="rId18"/>
    <sheet name="Unit Numbers " sheetId="12" r:id="rId19"/>
    <sheet name="Units made" sheetId="22" r:id="rId20"/>
    <sheet name="eShepherd Analysis" sheetId="27" r:id="rId21"/>
    <sheet name="Growth Analysis Summary" sheetId="26" r:id="rId22"/>
    <sheet name="Growth Analysis Data" sheetId="24" r:id="rId23"/>
    <sheet name="Financial Tracking of the Team" sheetId="34" r:id="rId24"/>
    <sheet name="Group Totals" sheetId="13" r:id="rId25"/>
    <sheet name="Dashboard 3" sheetId="35" r:id="rId26"/>
    <sheet name="Dashboard 2" sheetId="28" r:id="rId27"/>
    <sheet name="Dashboard" sheetId="15" r:id="rId28"/>
    <sheet name="Dashboard Graphs" sheetId="16" r:id="rId29"/>
    <sheet name="Group Total Graphs" sheetId="14" r:id="rId30"/>
  </sheets>
  <definedNames>
    <definedName name="_xlnm.Print_Area" localSheetId="27">Dashboard!$A$1:$U$47</definedName>
    <definedName name="_xlnm.Print_Area" localSheetId="28">'Dashboard Graphs'!$A$1:$U$47</definedName>
    <definedName name="_xlnm.Print_Area" localSheetId="7">'Summary Page'!$B$2:$BZ$131</definedName>
  </definedNames>
  <calcPr calcId="191028"/>
  <pivotCaches>
    <pivotCache cacheId="0" r:id="rId31"/>
    <pivotCache cacheId="1" r:id="rId32"/>
    <pivotCache cacheId="2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3" i="36" l="1"/>
  <c r="Q13" i="36"/>
  <c r="L13" i="36"/>
  <c r="P13" i="36"/>
  <c r="K13" i="36"/>
  <c r="S13" i="36"/>
  <c r="R13" i="36"/>
  <c r="O13" i="36"/>
  <c r="N13" i="36"/>
  <c r="M13" i="36"/>
  <c r="U13" i="36" s="1"/>
  <c r="BO105" i="13"/>
  <c r="L74" i="27"/>
  <c r="E59" i="27"/>
  <c r="F59" i="27" s="1"/>
  <c r="C56" i="27"/>
  <c r="I56" i="27"/>
  <c r="I54" i="27"/>
  <c r="J54" i="27" s="1"/>
  <c r="L72" i="27" s="1"/>
  <c r="I55" i="27"/>
  <c r="J55" i="27" s="1"/>
  <c r="L73" i="27" s="1"/>
  <c r="J56" i="27"/>
  <c r="F55" i="27"/>
  <c r="G73" i="27" s="1"/>
  <c r="D56" i="27"/>
  <c r="B59" i="27"/>
  <c r="I51" i="27"/>
  <c r="I59" i="27" s="1"/>
  <c r="J59" i="27" s="1"/>
  <c r="L76" i="27" s="1"/>
  <c r="G51" i="27"/>
  <c r="G55" i="27" s="1"/>
  <c r="H55" i="27" s="1"/>
  <c r="E51" i="27"/>
  <c r="E53" i="27" s="1"/>
  <c r="F53" i="27" s="1"/>
  <c r="G71" i="27" s="1"/>
  <c r="C51" i="27"/>
  <c r="C53" i="27" s="1"/>
  <c r="D53" i="27" s="1"/>
  <c r="C54" i="27"/>
  <c r="D54" i="27" s="1"/>
  <c r="C55" i="27"/>
  <c r="D55" i="27" s="1"/>
  <c r="E55" i="27"/>
  <c r="S56" i="27"/>
  <c r="T56" i="27"/>
  <c r="S57" i="27"/>
  <c r="T57" i="27"/>
  <c r="S58" i="27"/>
  <c r="T58" i="27"/>
  <c r="L12" i="36"/>
  <c r="K12" i="36"/>
  <c r="N12" i="36"/>
  <c r="O12" i="36"/>
  <c r="P12" i="36"/>
  <c r="Q12" i="36"/>
  <c r="R12" i="36"/>
  <c r="S12" i="36"/>
  <c r="V12" i="36"/>
  <c r="M12" i="36"/>
  <c r="T12" i="36" s="1"/>
  <c r="AB4" i="4"/>
  <c r="P53" i="29" s="1"/>
  <c r="T4" i="4"/>
  <c r="O53" i="29" s="1"/>
  <c r="Z53" i="29" s="1"/>
  <c r="Z54" i="29" s="1"/>
  <c r="J4" i="4"/>
  <c r="N53" i="29" s="1"/>
  <c r="K4" i="4"/>
  <c r="G56" i="27" l="1"/>
  <c r="H56" i="27" s="1"/>
  <c r="G59" i="27"/>
  <c r="H59" i="27" s="1"/>
  <c r="T13" i="36"/>
  <c r="G54" i="27"/>
  <c r="H54" i="27" s="1"/>
  <c r="C59" i="27"/>
  <c r="D59" i="27" s="1"/>
  <c r="U12" i="36"/>
  <c r="G53" i="27"/>
  <c r="H53" i="27" s="1"/>
  <c r="E54" i="27"/>
  <c r="F54" i="27" s="1"/>
  <c r="G72" i="27" s="1"/>
  <c r="I53" i="27"/>
  <c r="J53" i="27" s="1"/>
  <c r="L71" i="27" s="1"/>
  <c r="E56" i="27"/>
  <c r="F56" i="27" s="1"/>
  <c r="G74" i="27" s="1"/>
  <c r="R53" i="29"/>
  <c r="M53" i="29"/>
  <c r="W53" i="29" s="1"/>
  <c r="W54" i="29" s="1"/>
  <c r="AA53" i="29"/>
  <c r="AA54" i="29" s="1"/>
  <c r="AC53" i="29"/>
  <c r="AC54" i="29" s="1"/>
  <c r="X53" i="29" l="1"/>
  <c r="X54" i="29" s="1"/>
  <c r="AD53" i="29"/>
  <c r="AD54" i="29" s="1"/>
  <c r="AB53" i="29"/>
  <c r="AB54" i="29" s="1"/>
  <c r="Y53" i="29" l="1"/>
  <c r="Y54" i="29" s="1"/>
  <c r="AE53" i="29"/>
  <c r="AE54" i="29" s="1"/>
  <c r="AF53" i="29" l="1"/>
  <c r="AF54" i="29" s="1"/>
  <c r="AG53" i="29" l="1"/>
  <c r="AG54" i="29" s="1"/>
  <c r="AH53" i="29" l="1"/>
  <c r="AH54" i="29" s="1"/>
  <c r="CX141" i="13" l="1"/>
  <c r="CN170" i="35" s="1"/>
  <c r="CZ141" i="13"/>
  <c r="BQ141" i="13"/>
  <c r="BW141" i="13"/>
  <c r="BJ141" i="13"/>
  <c r="BT141" i="13" s="1"/>
  <c r="BK141" i="13"/>
  <c r="BL141" i="13"/>
  <c r="BM141" i="13"/>
  <c r="AB141" i="13"/>
  <c r="Z141" i="13"/>
  <c r="X141" i="13"/>
  <c r="V141" i="13"/>
  <c r="T141" i="13"/>
  <c r="AZ141" i="13" s="1"/>
  <c r="R141" i="13"/>
  <c r="AU141" i="13" s="1"/>
  <c r="J141" i="13"/>
  <c r="DI141" i="13"/>
  <c r="BS170" i="35" s="1"/>
  <c r="DM141" i="13"/>
  <c r="CE170" i="35" s="1"/>
  <c r="DH141" i="13"/>
  <c r="BP170" i="35" s="1"/>
  <c r="DL141" i="13"/>
  <c r="CB170" i="35" s="1"/>
  <c r="O141" i="13"/>
  <c r="BI141" i="13" s="1"/>
  <c r="DF141" i="13"/>
  <c r="K141" i="13"/>
  <c r="BC141" i="13" s="1"/>
  <c r="AO170" i="35" s="1"/>
  <c r="AY141" i="13"/>
  <c r="DJ141" i="13"/>
  <c r="M141" i="13"/>
  <c r="BH141" i="13" s="1"/>
  <c r="DG141" i="13"/>
  <c r="BM170" i="35" s="1"/>
  <c r="DK141" i="13"/>
  <c r="BY170" i="35" s="1"/>
  <c r="C170" i="35"/>
  <c r="D170" i="35"/>
  <c r="H170" i="35"/>
  <c r="Z170" i="35"/>
  <c r="AA170" i="35"/>
  <c r="AB170" i="35"/>
  <c r="AD170" i="35"/>
  <c r="AE170" i="35"/>
  <c r="AI170" i="35"/>
  <c r="AL170" i="35"/>
  <c r="AU170" i="35"/>
  <c r="AX170" i="35"/>
  <c r="AY170" i="35"/>
  <c r="AZ170" i="35"/>
  <c r="BA170" i="35"/>
  <c r="BB170" i="35"/>
  <c r="BC170" i="35"/>
  <c r="BJ170" i="35"/>
  <c r="BV170" i="35"/>
  <c r="CH170" i="35"/>
  <c r="CK170" i="35"/>
  <c r="BG141" i="13"/>
  <c r="BN141" i="13"/>
  <c r="AF170" i="35" s="1"/>
  <c r="BO141" i="13"/>
  <c r="CT141" i="13" s="1"/>
  <c r="CS141" i="13"/>
  <c r="N170" i="35" s="1"/>
  <c r="AK170" i="35" s="1"/>
  <c r="AO141" i="13"/>
  <c r="AP141" i="13"/>
  <c r="AQ141" i="13"/>
  <c r="AR141" i="13"/>
  <c r="AS141" i="13"/>
  <c r="AX141" i="13"/>
  <c r="CY141" i="13" s="1"/>
  <c r="E170" i="35" s="1"/>
  <c r="BA141" i="13"/>
  <c r="BB141" i="13"/>
  <c r="AV141" i="13"/>
  <c r="T170" i="35" s="1"/>
  <c r="AN170" i="35" s="1"/>
  <c r="AW141" i="13"/>
  <c r="W170" i="35" s="1"/>
  <c r="CC141" i="13"/>
  <c r="CW141" i="13"/>
  <c r="BF141" i="13"/>
  <c r="CH141" i="13"/>
  <c r="AT141" i="13" l="1"/>
  <c r="K170" i="35" s="1"/>
  <c r="CO170" i="35"/>
  <c r="DD141" i="13"/>
  <c r="BD170" i="35" s="1"/>
  <c r="DE141" i="13"/>
  <c r="BG170" i="35" s="1"/>
  <c r="DC141" i="13"/>
  <c r="Q170" i="35" s="1"/>
  <c r="BE141" i="13"/>
  <c r="BD141" i="13"/>
  <c r="AR170" i="35" s="1"/>
  <c r="S11" i="36" l="1"/>
  <c r="N11" i="36"/>
  <c r="O11" i="36"/>
  <c r="P11" i="36"/>
  <c r="Q11" i="36"/>
  <c r="R11" i="36"/>
  <c r="T11" i="36"/>
  <c r="V11" i="36"/>
  <c r="L11" i="36"/>
  <c r="U11" i="36" s="1"/>
  <c r="K11" i="36"/>
  <c r="M11" i="36" l="1"/>
  <c r="P10" i="36"/>
  <c r="Q10" i="36"/>
  <c r="R10" i="36"/>
  <c r="S10" i="36"/>
  <c r="T10" i="36"/>
  <c r="U10" i="36"/>
  <c r="V10" i="36"/>
  <c r="N10" i="36"/>
  <c r="O10" i="36"/>
  <c r="L10" i="36"/>
  <c r="K10" i="36"/>
  <c r="M10" i="36"/>
  <c r="Y66" i="6"/>
  <c r="X66" i="6"/>
  <c r="W66" i="6"/>
  <c r="U66" i="5"/>
  <c r="V66" i="5"/>
  <c r="Y66" i="5"/>
  <c r="W66" i="5"/>
  <c r="X66" i="5"/>
  <c r="Y65" i="5"/>
  <c r="T66" i="5"/>
  <c r="AV66" i="5"/>
  <c r="AP66" i="5"/>
  <c r="AT66" i="1"/>
  <c r="AS66" i="1"/>
  <c r="AR66" i="1"/>
  <c r="AG66" i="1"/>
  <c r="U66" i="1"/>
  <c r="I66" i="1"/>
  <c r="AL66" i="4"/>
  <c r="AK66" i="4"/>
  <c r="AJ66" i="4"/>
  <c r="Y66" i="4"/>
  <c r="O66" i="4"/>
  <c r="E66" i="4"/>
  <c r="T9" i="36" l="1"/>
  <c r="M9" i="36" l="1"/>
  <c r="Q9" i="36"/>
  <c r="P9" i="36"/>
  <c r="V9" i="36"/>
  <c r="L9" i="36"/>
  <c r="K9" i="36"/>
  <c r="S9" i="36"/>
  <c r="R9" i="36"/>
  <c r="O9" i="36"/>
  <c r="N9" i="36"/>
  <c r="CJ168" i="35"/>
  <c r="CJ169" i="35" s="1"/>
  <c r="CJ170" i="35" s="1"/>
  <c r="CG169" i="35"/>
  <c r="CG170" i="35" s="1"/>
  <c r="CG168" i="35"/>
  <c r="CD168" i="35"/>
  <c r="CD169" i="35" s="1"/>
  <c r="CD170" i="35" s="1"/>
  <c r="CA168" i="35"/>
  <c r="CA169" i="35" s="1"/>
  <c r="CA170" i="35" s="1"/>
  <c r="BX168" i="35"/>
  <c r="BX169" i="35" s="1"/>
  <c r="BX170" i="35" s="1"/>
  <c r="BU169" i="35"/>
  <c r="BU170" i="35" s="1"/>
  <c r="BU168" i="35"/>
  <c r="BR168" i="35"/>
  <c r="BR169" i="35" s="1"/>
  <c r="BR170" i="35" s="1"/>
  <c r="BO168" i="35"/>
  <c r="BO169" i="35" s="1"/>
  <c r="BO170" i="35" s="1"/>
  <c r="BL168" i="35"/>
  <c r="BL169" i="35" s="1"/>
  <c r="BL170" i="35" s="1"/>
  <c r="BI169" i="35"/>
  <c r="BI170" i="35" s="1"/>
  <c r="BI168" i="35"/>
  <c r="BF168" i="35"/>
  <c r="BF169" i="35" s="1"/>
  <c r="BF170" i="35" s="1"/>
  <c r="AV168" i="35"/>
  <c r="AV169" i="35" s="1"/>
  <c r="AV170" i="35" s="1"/>
  <c r="AH168" i="35"/>
  <c r="AH169" i="35" s="1"/>
  <c r="AH170" i="35" s="1"/>
  <c r="AD169" i="35"/>
  <c r="AD168" i="35"/>
  <c r="X168" i="35"/>
  <c r="X169" i="35" s="1"/>
  <c r="X170" i="35" s="1"/>
  <c r="U168" i="35"/>
  <c r="U169" i="35" s="1"/>
  <c r="U170" i="35" s="1"/>
  <c r="S168" i="35"/>
  <c r="S169" i="35" s="1"/>
  <c r="S170" i="35" s="1"/>
  <c r="CL169" i="35"/>
  <c r="CL170" i="35" s="1"/>
  <c r="CL168" i="35"/>
  <c r="CX140" i="13"/>
  <c r="CN169" i="35" s="1"/>
  <c r="CZ140" i="13"/>
  <c r="D169" i="35" s="1"/>
  <c r="C169" i="35"/>
  <c r="H169" i="35"/>
  <c r="N169" i="35"/>
  <c r="AK169" i="35" s="1"/>
  <c r="Z169" i="35"/>
  <c r="AA169" i="35"/>
  <c r="AB169" i="35"/>
  <c r="AE169" i="35"/>
  <c r="AF169" i="35"/>
  <c r="AX169" i="35"/>
  <c r="CO169" i="35" s="1"/>
  <c r="AZ169" i="35"/>
  <c r="BA169" i="35"/>
  <c r="BB169" i="35"/>
  <c r="BC169" i="35"/>
  <c r="BQ140" i="13"/>
  <c r="BW140" i="13"/>
  <c r="BJ140" i="13"/>
  <c r="BT140" i="13" s="1"/>
  <c r="BK140" i="13"/>
  <c r="BL140" i="13"/>
  <c r="BM140" i="13"/>
  <c r="BG140" i="13"/>
  <c r="BN140" i="13"/>
  <c r="BO140" i="13"/>
  <c r="CT140" i="13" s="1"/>
  <c r="CS140" i="13"/>
  <c r="AO140" i="13"/>
  <c r="AP140" i="13"/>
  <c r="AU169" i="35" s="1"/>
  <c r="AQ140" i="13"/>
  <c r="AR140" i="13"/>
  <c r="AS140" i="13"/>
  <c r="AI169" i="35" l="1"/>
  <c r="U9" i="36"/>
  <c r="AX140" i="13"/>
  <c r="CY140" i="13" s="1"/>
  <c r="E169" i="35" s="1"/>
  <c r="BA140" i="13"/>
  <c r="BB140" i="13"/>
  <c r="CV141" i="13" s="1"/>
  <c r="AV140" i="13"/>
  <c r="T169" i="35" s="1"/>
  <c r="AN169" i="35" s="1"/>
  <c r="AW140" i="13"/>
  <c r="W169" i="35" s="1"/>
  <c r="CC140" i="13"/>
  <c r="CW140" i="13"/>
  <c r="J140" i="13"/>
  <c r="BF140" i="13"/>
  <c r="CH140" i="13"/>
  <c r="V8" i="36"/>
  <c r="U8" i="36"/>
  <c r="T8" i="36"/>
  <c r="S8" i="36"/>
  <c r="R8" i="36"/>
  <c r="M8" i="36"/>
  <c r="N8" i="36"/>
  <c r="O8" i="36"/>
  <c r="Q8" i="36"/>
  <c r="P8" i="36"/>
  <c r="L8" i="36"/>
  <c r="K8" i="36"/>
  <c r="N7" i="36"/>
  <c r="O7" i="36"/>
  <c r="P7" i="36"/>
  <c r="Q7" i="36"/>
  <c r="R7" i="36"/>
  <c r="S7" i="36"/>
  <c r="T7" i="36"/>
  <c r="U7" i="36"/>
  <c r="V7" i="36"/>
  <c r="K7" i="36"/>
  <c r="L7" i="36"/>
  <c r="M7" i="36"/>
  <c r="CJ136" i="13"/>
  <c r="CJ137" i="13"/>
  <c r="CJ138" i="13"/>
  <c r="CJ139" i="13"/>
  <c r="CJ140" i="13"/>
  <c r="AB140" i="13"/>
  <c r="Z140" i="13"/>
  <c r="X140" i="13"/>
  <c r="V140" i="13"/>
  <c r="T140" i="13"/>
  <c r="R140" i="13"/>
  <c r="AU140" i="13" s="1"/>
  <c r="F140" i="13"/>
  <c r="D140" i="13"/>
  <c r="CK169" i="35" s="1"/>
  <c r="T98" i="29"/>
  <c r="T74" i="29"/>
  <c r="T60" i="29"/>
  <c r="AG65" i="1"/>
  <c r="AZ140" i="13" l="1"/>
  <c r="H140" i="13"/>
  <c r="CH169" i="35"/>
  <c r="CU141" i="13"/>
  <c r="AL169" i="35"/>
  <c r="T46" i="29"/>
  <c r="D6" i="36"/>
  <c r="K6" i="36"/>
  <c r="Q6" i="36" l="1"/>
  <c r="N6" i="36"/>
  <c r="O6" i="36"/>
  <c r="P6" i="36"/>
  <c r="L6" i="36"/>
  <c r="J6" i="36"/>
  <c r="M6" i="36" s="1"/>
  <c r="AW104" i="9"/>
  <c r="AE146" i="9"/>
  <c r="AB146" i="9"/>
  <c r="AI146" i="9"/>
  <c r="AS146" i="9"/>
  <c r="AW146" i="9"/>
  <c r="AC146" i="9"/>
  <c r="AF146" i="9" s="1"/>
  <c r="AD146" i="9"/>
  <c r="AJ146" i="9"/>
  <c r="AK146" i="9"/>
  <c r="AQ146" i="9"/>
  <c r="AL146" i="9"/>
  <c r="AR146" i="9"/>
  <c r="AV146" i="9"/>
  <c r="AH146" i="9"/>
  <c r="AP146" i="9"/>
  <c r="AU146" i="9"/>
  <c r="R6" i="36" l="1"/>
  <c r="S6" i="36"/>
  <c r="U6" i="36"/>
  <c r="T6" i="36"/>
  <c r="AM146" i="9"/>
  <c r="BD140" i="13" l="1"/>
  <c r="AR169" i="35" s="1"/>
  <c r="DI140" i="13"/>
  <c r="BS169" i="35" s="1"/>
  <c r="DM140" i="13"/>
  <c r="CE169" i="35" s="1"/>
  <c r="DH140" i="13"/>
  <c r="BP169" i="35" s="1"/>
  <c r="DL140" i="13"/>
  <c r="CB169" i="35" s="1"/>
  <c r="O140" i="13"/>
  <c r="DF140" i="13"/>
  <c r="BJ169" i="35" s="1"/>
  <c r="K140" i="13"/>
  <c r="DJ140" i="13"/>
  <c r="BV169" i="35" s="1"/>
  <c r="M140" i="13"/>
  <c r="BH140" i="13" s="1"/>
  <c r="DG140" i="13"/>
  <c r="BM169" i="35" s="1"/>
  <c r="DK140" i="13"/>
  <c r="BY169" i="35" s="1"/>
  <c r="Y65" i="4"/>
  <c r="Y65" i="6"/>
  <c r="X65" i="6"/>
  <c r="W65" i="6"/>
  <c r="W65" i="5"/>
  <c r="X65" i="5"/>
  <c r="V65" i="5"/>
  <c r="U65" i="5"/>
  <c r="T65" i="5"/>
  <c r="AV65" i="5"/>
  <c r="AP65" i="5"/>
  <c r="AS65" i="1"/>
  <c r="AT65" i="1"/>
  <c r="AR65" i="1"/>
  <c r="U65" i="1"/>
  <c r="I65" i="1"/>
  <c r="AL65" i="4"/>
  <c r="AK65" i="4"/>
  <c r="AJ65" i="4"/>
  <c r="O65" i="4"/>
  <c r="E65" i="4"/>
  <c r="V5" i="36"/>
  <c r="V6" i="36" s="1"/>
  <c r="M4" i="36"/>
  <c r="N5" i="36"/>
  <c r="O5" i="36"/>
  <c r="P5" i="36"/>
  <c r="Q5" i="36"/>
  <c r="R5" i="36"/>
  <c r="S5" i="36"/>
  <c r="K5" i="36"/>
  <c r="L5" i="36"/>
  <c r="M5" i="36"/>
  <c r="E64" i="4"/>
  <c r="DD140" i="13" l="1"/>
  <c r="BD169" i="35" s="1"/>
  <c r="BI140" i="13"/>
  <c r="DE140" i="13"/>
  <c r="BG169" i="35" s="1"/>
  <c r="AY169" i="35"/>
  <c r="DC140" i="13"/>
  <c r="Q169" i="35" s="1"/>
  <c r="AT140" i="13"/>
  <c r="K169" i="35" s="1"/>
  <c r="BE140" i="13"/>
  <c r="AY140" i="13"/>
  <c r="CK140" i="13"/>
  <c r="BC140" i="13"/>
  <c r="AO169" i="35" s="1"/>
  <c r="U4" i="36"/>
  <c r="U5" i="36"/>
  <c r="T5" i="36"/>
  <c r="AK145" i="9"/>
  <c r="S4" i="36"/>
  <c r="Q4" i="36"/>
  <c r="O4" i="36"/>
  <c r="F56" i="7"/>
  <c r="M130" i="7"/>
  <c r="R4" i="36"/>
  <c r="P4" i="36"/>
  <c r="N4" i="36"/>
  <c r="L4" i="36"/>
  <c r="K4" i="36"/>
  <c r="T4" i="36" s="1"/>
  <c r="M230" i="7"/>
  <c r="G230" i="7"/>
  <c r="N230" i="7"/>
  <c r="CN111" i="35"/>
  <c r="CN113" i="35"/>
  <c r="CN114" i="35"/>
  <c r="CN121" i="35"/>
  <c r="CN122" i="35"/>
  <c r="CN129" i="35"/>
  <c r="CN130" i="35"/>
  <c r="CN137" i="35"/>
  <c r="CN138" i="35"/>
  <c r="CN145" i="35"/>
  <c r="CN146" i="35"/>
  <c r="CN153" i="35"/>
  <c r="CN154" i="35"/>
  <c r="CN161" i="35"/>
  <c r="CN162" i="35"/>
  <c r="CN110" i="35"/>
  <c r="H109" i="35"/>
  <c r="CX84" i="13"/>
  <c r="CX85" i="13"/>
  <c r="CX86" i="13"/>
  <c r="CN115" i="35" s="1"/>
  <c r="CX87" i="13"/>
  <c r="CN116" i="35" s="1"/>
  <c r="CX88" i="13"/>
  <c r="CN117" i="35" s="1"/>
  <c r="CX89" i="13"/>
  <c r="CN118" i="35" s="1"/>
  <c r="CX90" i="13"/>
  <c r="CN119" i="35" s="1"/>
  <c r="CX91" i="13"/>
  <c r="CN120" i="35" s="1"/>
  <c r="CX92" i="13"/>
  <c r="CX93" i="13"/>
  <c r="CX94" i="13"/>
  <c r="CN123" i="35" s="1"/>
  <c r="CX95" i="13"/>
  <c r="CN124" i="35" s="1"/>
  <c r="CX96" i="13"/>
  <c r="CN125" i="35" s="1"/>
  <c r="CX97" i="13"/>
  <c r="CN126" i="35" s="1"/>
  <c r="CX98" i="13"/>
  <c r="CN127" i="35" s="1"/>
  <c r="CX99" i="13"/>
  <c r="CN128" i="35" s="1"/>
  <c r="CX100" i="13"/>
  <c r="CX101" i="13"/>
  <c r="CX102" i="13"/>
  <c r="CN131" i="35" s="1"/>
  <c r="CX103" i="13"/>
  <c r="CN132" i="35" s="1"/>
  <c r="CX104" i="13"/>
  <c r="CN133" i="35" s="1"/>
  <c r="CX105" i="13"/>
  <c r="CN134" i="35" s="1"/>
  <c r="CX106" i="13"/>
  <c r="CN135" i="35" s="1"/>
  <c r="CX107" i="13"/>
  <c r="CN136" i="35" s="1"/>
  <c r="CX108" i="13"/>
  <c r="CX109" i="13"/>
  <c r="CX110" i="13"/>
  <c r="CN139" i="35" s="1"/>
  <c r="CX111" i="13"/>
  <c r="CN140" i="35" s="1"/>
  <c r="CX112" i="13"/>
  <c r="CN141" i="35" s="1"/>
  <c r="CX113" i="13"/>
  <c r="CN142" i="35" s="1"/>
  <c r="CX114" i="13"/>
  <c r="CN143" i="35" s="1"/>
  <c r="CX115" i="13"/>
  <c r="CN144" i="35" s="1"/>
  <c r="CX116" i="13"/>
  <c r="CX117" i="13"/>
  <c r="CX118" i="13"/>
  <c r="CN147" i="35" s="1"/>
  <c r="CX119" i="13"/>
  <c r="CN148" i="35" s="1"/>
  <c r="CX120" i="13"/>
  <c r="CN149" i="35" s="1"/>
  <c r="CX121" i="13"/>
  <c r="CN150" i="35" s="1"/>
  <c r="CX122" i="13"/>
  <c r="CN151" i="35" s="1"/>
  <c r="CX123" i="13"/>
  <c r="CN152" i="35" s="1"/>
  <c r="CX124" i="13"/>
  <c r="CX125" i="13"/>
  <c r="CX126" i="13"/>
  <c r="CN155" i="35" s="1"/>
  <c r="CX127" i="13"/>
  <c r="CN156" i="35" s="1"/>
  <c r="CX128" i="13"/>
  <c r="CN157" i="35" s="1"/>
  <c r="CX129" i="13"/>
  <c r="CN158" i="35" s="1"/>
  <c r="CX130" i="13"/>
  <c r="CN159" i="35" s="1"/>
  <c r="CX131" i="13"/>
  <c r="CN160" i="35" s="1"/>
  <c r="CX132" i="13"/>
  <c r="CX133" i="13"/>
  <c r="CX134" i="13"/>
  <c r="CN163" i="35" s="1"/>
  <c r="CX135" i="13"/>
  <c r="CN164" i="35" s="1"/>
  <c r="CX136" i="13"/>
  <c r="CN165" i="35" s="1"/>
  <c r="CX137" i="13"/>
  <c r="CN166" i="35" s="1"/>
  <c r="CX138" i="13"/>
  <c r="CN167" i="35" s="1"/>
  <c r="CX139" i="13"/>
  <c r="CN168" i="35" s="1"/>
  <c r="CX83" i="13"/>
  <c r="CN112" i="35" s="1"/>
  <c r="CW81" i="13"/>
  <c r="D111" i="35"/>
  <c r="D120" i="35"/>
  <c r="D136" i="35"/>
  <c r="D152" i="35"/>
  <c r="D168" i="35"/>
  <c r="D110" i="35"/>
  <c r="CZ139" i="13"/>
  <c r="CZ89" i="13"/>
  <c r="D118" i="35" s="1"/>
  <c r="CZ90" i="13"/>
  <c r="D119" i="35" s="1"/>
  <c r="CZ91" i="13"/>
  <c r="CZ92" i="13"/>
  <c r="D121" i="35" s="1"/>
  <c r="CZ93" i="13"/>
  <c r="D122" i="35" s="1"/>
  <c r="CZ94" i="13"/>
  <c r="D123" i="35" s="1"/>
  <c r="CZ95" i="13"/>
  <c r="D124" i="35" s="1"/>
  <c r="CZ96" i="13"/>
  <c r="D125" i="35" s="1"/>
  <c r="CZ97" i="13"/>
  <c r="D126" i="35" s="1"/>
  <c r="CZ98" i="13"/>
  <c r="D127" i="35" s="1"/>
  <c r="CZ99" i="13"/>
  <c r="D128" i="35" s="1"/>
  <c r="CZ100" i="13"/>
  <c r="D129" i="35" s="1"/>
  <c r="CZ101" i="13"/>
  <c r="D130" i="35" s="1"/>
  <c r="CZ102" i="13"/>
  <c r="D131" i="35" s="1"/>
  <c r="CZ103" i="13"/>
  <c r="D132" i="35" s="1"/>
  <c r="CZ104" i="13"/>
  <c r="D133" i="35" s="1"/>
  <c r="CZ105" i="13"/>
  <c r="D134" i="35" s="1"/>
  <c r="CZ106" i="13"/>
  <c r="D135" i="35" s="1"/>
  <c r="CZ107" i="13"/>
  <c r="CZ108" i="13"/>
  <c r="D137" i="35" s="1"/>
  <c r="CZ109" i="13"/>
  <c r="D138" i="35" s="1"/>
  <c r="CZ110" i="13"/>
  <c r="D139" i="35" s="1"/>
  <c r="CZ111" i="13"/>
  <c r="D140" i="35" s="1"/>
  <c r="CZ112" i="13"/>
  <c r="D141" i="35" s="1"/>
  <c r="CZ113" i="13"/>
  <c r="D142" i="35" s="1"/>
  <c r="CZ114" i="13"/>
  <c r="D143" i="35" s="1"/>
  <c r="CZ115" i="13"/>
  <c r="D144" i="35" s="1"/>
  <c r="CZ116" i="13"/>
  <c r="D145" i="35" s="1"/>
  <c r="CZ117" i="13"/>
  <c r="D146" i="35" s="1"/>
  <c r="CZ118" i="13"/>
  <c r="D147" i="35" s="1"/>
  <c r="CZ119" i="13"/>
  <c r="D148" i="35" s="1"/>
  <c r="CZ120" i="13"/>
  <c r="D149" i="35" s="1"/>
  <c r="CZ121" i="13"/>
  <c r="D150" i="35" s="1"/>
  <c r="CZ122" i="13"/>
  <c r="D151" i="35" s="1"/>
  <c r="CZ123" i="13"/>
  <c r="CZ124" i="13"/>
  <c r="D153" i="35" s="1"/>
  <c r="CZ125" i="13"/>
  <c r="D154" i="35" s="1"/>
  <c r="CZ126" i="13"/>
  <c r="D155" i="35" s="1"/>
  <c r="CZ127" i="13"/>
  <c r="D156" i="35" s="1"/>
  <c r="CZ128" i="13"/>
  <c r="D157" i="35" s="1"/>
  <c r="CZ129" i="13"/>
  <c r="D158" i="35" s="1"/>
  <c r="CZ130" i="13"/>
  <c r="D159" i="35" s="1"/>
  <c r="CZ131" i="13"/>
  <c r="D160" i="35" s="1"/>
  <c r="CZ132" i="13"/>
  <c r="D161" i="35" s="1"/>
  <c r="CZ133" i="13"/>
  <c r="D162" i="35" s="1"/>
  <c r="CZ134" i="13"/>
  <c r="D163" i="35" s="1"/>
  <c r="CZ135" i="13"/>
  <c r="D164" i="35" s="1"/>
  <c r="CZ136" i="13"/>
  <c r="D165" i="35" s="1"/>
  <c r="CZ137" i="13"/>
  <c r="D166" i="35" s="1"/>
  <c r="CZ138" i="13"/>
  <c r="D167" i="35" s="1"/>
  <c r="CZ84" i="13"/>
  <c r="D113" i="35" s="1"/>
  <c r="CZ85" i="13"/>
  <c r="D114" i="35" s="1"/>
  <c r="CZ86" i="13"/>
  <c r="D115" i="35" s="1"/>
  <c r="CZ87" i="13"/>
  <c r="D116" i="35" s="1"/>
  <c r="CZ88" i="13"/>
  <c r="D117" i="35" s="1"/>
  <c r="CZ83" i="13"/>
  <c r="D112" i="35" s="1"/>
  <c r="AX81" i="13"/>
  <c r="CY81" i="13" s="1"/>
  <c r="M229" i="7" l="1"/>
  <c r="N229" i="7"/>
  <c r="G229" i="7"/>
  <c r="BF81" i="13" l="1"/>
  <c r="BB81" i="13"/>
  <c r="AB110" i="35"/>
  <c r="L111" i="35" l="1"/>
  <c r="J111" i="35"/>
  <c r="I111" i="35"/>
  <c r="G111" i="35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G164" i="35" s="1"/>
  <c r="G165" i="35" s="1"/>
  <c r="G166" i="35" s="1"/>
  <c r="G167" i="35" s="1"/>
  <c r="G168" i="35" s="1"/>
  <c r="G169" i="35" s="1"/>
  <c r="G170" i="35" s="1"/>
  <c r="F111" i="35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E109" i="35"/>
  <c r="B182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56" i="35"/>
  <c r="C156" i="35"/>
  <c r="H156" i="35"/>
  <c r="Z156" i="35"/>
  <c r="AA156" i="35"/>
  <c r="AB156" i="35"/>
  <c r="AE156" i="35"/>
  <c r="AX156" i="35"/>
  <c r="CO156" i="35" s="1"/>
  <c r="AZ156" i="35"/>
  <c r="BA156" i="35"/>
  <c r="BB156" i="35"/>
  <c r="BC156" i="35"/>
  <c r="B157" i="35"/>
  <c r="C157" i="35"/>
  <c r="H157" i="35"/>
  <c r="Z157" i="35"/>
  <c r="AA157" i="35"/>
  <c r="AB157" i="35"/>
  <c r="AE157" i="35"/>
  <c r="AX157" i="35"/>
  <c r="AZ157" i="35"/>
  <c r="BA157" i="35"/>
  <c r="BB157" i="35"/>
  <c r="BC157" i="35"/>
  <c r="B158" i="35"/>
  <c r="C158" i="35"/>
  <c r="H158" i="35"/>
  <c r="Z158" i="35"/>
  <c r="AA158" i="35"/>
  <c r="AB158" i="35"/>
  <c r="AE158" i="35"/>
  <c r="AX158" i="35"/>
  <c r="CO158" i="35" s="1"/>
  <c r="AZ158" i="35"/>
  <c r="BA158" i="35"/>
  <c r="BB158" i="35"/>
  <c r="BC158" i="35"/>
  <c r="B159" i="35"/>
  <c r="C159" i="35"/>
  <c r="H159" i="35"/>
  <c r="Z159" i="35"/>
  <c r="AA159" i="35"/>
  <c r="AB159" i="35"/>
  <c r="AE159" i="35"/>
  <c r="AX159" i="35"/>
  <c r="AZ159" i="35"/>
  <c r="BA159" i="35"/>
  <c r="BB159" i="35"/>
  <c r="BC159" i="35"/>
  <c r="CB159" i="35"/>
  <c r="B160" i="35"/>
  <c r="C160" i="35"/>
  <c r="H160" i="35"/>
  <c r="Z160" i="35"/>
  <c r="AA160" i="35"/>
  <c r="AB160" i="35"/>
  <c r="AE160" i="35"/>
  <c r="AX160" i="35"/>
  <c r="CO160" i="35" s="1"/>
  <c r="AZ160" i="35"/>
  <c r="BA160" i="35"/>
  <c r="BB160" i="35"/>
  <c r="BC160" i="35"/>
  <c r="B161" i="35"/>
  <c r="C161" i="35"/>
  <c r="H161" i="35"/>
  <c r="Z161" i="35"/>
  <c r="AA161" i="35"/>
  <c r="AB161" i="35"/>
  <c r="AE161" i="35"/>
  <c r="AX161" i="35"/>
  <c r="AZ161" i="35"/>
  <c r="BA161" i="35"/>
  <c r="BB161" i="35"/>
  <c r="BC161" i="35"/>
  <c r="B162" i="35"/>
  <c r="C162" i="35"/>
  <c r="H162" i="35"/>
  <c r="Z162" i="35"/>
  <c r="AA162" i="35"/>
  <c r="AB162" i="35"/>
  <c r="AE162" i="35"/>
  <c r="AX162" i="35"/>
  <c r="CO162" i="35" s="1"/>
  <c r="AZ162" i="35"/>
  <c r="BA162" i="35"/>
  <c r="BB162" i="35"/>
  <c r="BC162" i="35"/>
  <c r="B163" i="35"/>
  <c r="C163" i="35"/>
  <c r="H163" i="35"/>
  <c r="Z163" i="35"/>
  <c r="AA163" i="35"/>
  <c r="AB163" i="35"/>
  <c r="AE163" i="35"/>
  <c r="AX163" i="35"/>
  <c r="CO163" i="35" s="1"/>
  <c r="AZ163" i="35"/>
  <c r="BA163" i="35"/>
  <c r="BB163" i="35"/>
  <c r="BC163" i="35"/>
  <c r="B164" i="35"/>
  <c r="C164" i="35"/>
  <c r="H164" i="35"/>
  <c r="Z164" i="35"/>
  <c r="AA164" i="35"/>
  <c r="AB164" i="35"/>
  <c r="AE164" i="35"/>
  <c r="AX164" i="35"/>
  <c r="AZ164" i="35"/>
  <c r="BA164" i="35"/>
  <c r="BB164" i="35"/>
  <c r="BC164" i="35"/>
  <c r="B165" i="35"/>
  <c r="C165" i="35"/>
  <c r="H165" i="35"/>
  <c r="Z165" i="35"/>
  <c r="AA165" i="35"/>
  <c r="AB165" i="35"/>
  <c r="AE165" i="35"/>
  <c r="AX165" i="35"/>
  <c r="CO165" i="35" s="1"/>
  <c r="AZ165" i="35"/>
  <c r="BA165" i="35"/>
  <c r="BB165" i="35"/>
  <c r="BC165" i="35"/>
  <c r="B166" i="35"/>
  <c r="C166" i="35"/>
  <c r="H166" i="35"/>
  <c r="Z166" i="35"/>
  <c r="AA166" i="35"/>
  <c r="AB166" i="35"/>
  <c r="AE166" i="35"/>
  <c r="AX166" i="35"/>
  <c r="AZ166" i="35"/>
  <c r="BA166" i="35"/>
  <c r="BB166" i="35"/>
  <c r="BC166" i="35"/>
  <c r="B167" i="35"/>
  <c r="C167" i="35"/>
  <c r="H167" i="35"/>
  <c r="Z167" i="35"/>
  <c r="AA167" i="35"/>
  <c r="AB167" i="35"/>
  <c r="AE167" i="35"/>
  <c r="AX167" i="35"/>
  <c r="CO167" i="35" s="1"/>
  <c r="AZ167" i="35"/>
  <c r="BA167" i="35"/>
  <c r="BB167" i="35"/>
  <c r="BC167" i="35"/>
  <c r="B168" i="35"/>
  <c r="C168" i="35"/>
  <c r="H168" i="35"/>
  <c r="Z168" i="35"/>
  <c r="AA168" i="35"/>
  <c r="AB168" i="35"/>
  <c r="AE168" i="35"/>
  <c r="AX168" i="35"/>
  <c r="AZ168" i="35"/>
  <c r="BA168" i="35"/>
  <c r="BB168" i="35"/>
  <c r="BC168" i="35"/>
  <c r="B111" i="35"/>
  <c r="C111" i="35"/>
  <c r="H111" i="35"/>
  <c r="Z111" i="35"/>
  <c r="AA111" i="35"/>
  <c r="AB111" i="35"/>
  <c r="AE111" i="35"/>
  <c r="AX111" i="35"/>
  <c r="CO111" i="35" s="1"/>
  <c r="AZ111" i="35"/>
  <c r="BA111" i="35"/>
  <c r="BB111" i="35"/>
  <c r="BC111" i="35"/>
  <c r="BP111" i="35"/>
  <c r="BS111" i="35"/>
  <c r="CB111" i="35"/>
  <c r="CE111" i="35"/>
  <c r="B112" i="35"/>
  <c r="C112" i="35"/>
  <c r="H112" i="35"/>
  <c r="Z112" i="35"/>
  <c r="AA112" i="35"/>
  <c r="AB112" i="35"/>
  <c r="AE112" i="35"/>
  <c r="AX112" i="35"/>
  <c r="CO112" i="35" s="1"/>
  <c r="AZ112" i="35"/>
  <c r="BA112" i="35"/>
  <c r="BB112" i="35"/>
  <c r="BC112" i="35"/>
  <c r="BP112" i="35"/>
  <c r="BS112" i="35"/>
  <c r="CB112" i="35"/>
  <c r="CE112" i="35"/>
  <c r="B113" i="35"/>
  <c r="C113" i="35"/>
  <c r="H113" i="35"/>
  <c r="Z113" i="35"/>
  <c r="AA113" i="35"/>
  <c r="AB113" i="35"/>
  <c r="AE113" i="35"/>
  <c r="AX113" i="35"/>
  <c r="CO113" i="35" s="1"/>
  <c r="AZ113" i="35"/>
  <c r="BA113" i="35"/>
  <c r="BB113" i="35"/>
  <c r="BC113" i="35"/>
  <c r="BP113" i="35"/>
  <c r="BS113" i="35"/>
  <c r="CB113" i="35"/>
  <c r="CE113" i="35"/>
  <c r="B114" i="35"/>
  <c r="C114" i="35"/>
  <c r="H114" i="35"/>
  <c r="Z114" i="35"/>
  <c r="AA114" i="35"/>
  <c r="AB114" i="35"/>
  <c r="AE114" i="35"/>
  <c r="AX114" i="35"/>
  <c r="CO114" i="35" s="1"/>
  <c r="AZ114" i="35"/>
  <c r="BA114" i="35"/>
  <c r="BB114" i="35"/>
  <c r="BC114" i="35"/>
  <c r="BP114" i="35"/>
  <c r="BS114" i="35"/>
  <c r="CB114" i="35"/>
  <c r="CE114" i="35"/>
  <c r="B115" i="35"/>
  <c r="C115" i="35"/>
  <c r="H115" i="35"/>
  <c r="Z115" i="35"/>
  <c r="AA115" i="35"/>
  <c r="AB115" i="35"/>
  <c r="AE115" i="35"/>
  <c r="AX115" i="35"/>
  <c r="CO115" i="35" s="1"/>
  <c r="AZ115" i="35"/>
  <c r="BA115" i="35"/>
  <c r="BB115" i="35"/>
  <c r="BC115" i="35"/>
  <c r="BP115" i="35"/>
  <c r="BS115" i="35"/>
  <c r="CB115" i="35"/>
  <c r="CE115" i="35"/>
  <c r="B116" i="35"/>
  <c r="C116" i="35"/>
  <c r="H116" i="35"/>
  <c r="Z116" i="35"/>
  <c r="AA116" i="35"/>
  <c r="AB116" i="35"/>
  <c r="AE116" i="35"/>
  <c r="AX116" i="35"/>
  <c r="CO116" i="35" s="1"/>
  <c r="AZ116" i="35"/>
  <c r="BA116" i="35"/>
  <c r="BB116" i="35"/>
  <c r="BC116" i="35"/>
  <c r="BP116" i="35"/>
  <c r="BS116" i="35"/>
  <c r="CB116" i="35"/>
  <c r="CE116" i="35"/>
  <c r="CH116" i="35"/>
  <c r="B117" i="35"/>
  <c r="C117" i="35"/>
  <c r="H117" i="35"/>
  <c r="Z117" i="35"/>
  <c r="AA117" i="35"/>
  <c r="AB117" i="35"/>
  <c r="AE117" i="35"/>
  <c r="AX117" i="35"/>
  <c r="CO117" i="35" s="1"/>
  <c r="AZ117" i="35"/>
  <c r="BA117" i="35"/>
  <c r="BB117" i="35"/>
  <c r="BC117" i="35"/>
  <c r="BP117" i="35"/>
  <c r="BS117" i="35"/>
  <c r="CB117" i="35"/>
  <c r="CE117" i="35"/>
  <c r="B118" i="35"/>
  <c r="C118" i="35"/>
  <c r="H118" i="35"/>
  <c r="Z118" i="35"/>
  <c r="AA118" i="35"/>
  <c r="AB118" i="35"/>
  <c r="AE118" i="35"/>
  <c r="AX118" i="35"/>
  <c r="CO118" i="35" s="1"/>
  <c r="AZ118" i="35"/>
  <c r="BA118" i="35"/>
  <c r="BB118" i="35"/>
  <c r="BC118" i="35"/>
  <c r="BP118" i="35"/>
  <c r="BS118" i="35"/>
  <c r="CB118" i="35"/>
  <c r="CE118" i="35"/>
  <c r="B119" i="35"/>
  <c r="C119" i="35"/>
  <c r="H119" i="35"/>
  <c r="Z119" i="35"/>
  <c r="AA119" i="35"/>
  <c r="AB119" i="35"/>
  <c r="AE119" i="35"/>
  <c r="AX119" i="35"/>
  <c r="CO119" i="35" s="1"/>
  <c r="AZ119" i="35"/>
  <c r="BA119" i="35"/>
  <c r="BB119" i="35"/>
  <c r="BC119" i="35"/>
  <c r="BP119" i="35"/>
  <c r="BS119" i="35"/>
  <c r="CB119" i="35"/>
  <c r="CE119" i="35"/>
  <c r="B120" i="35"/>
  <c r="C120" i="35"/>
  <c r="H120" i="35"/>
  <c r="Z120" i="35"/>
  <c r="AA120" i="35"/>
  <c r="AB120" i="35"/>
  <c r="AE120" i="35"/>
  <c r="AX120" i="35"/>
  <c r="CO120" i="35" s="1"/>
  <c r="AZ120" i="35"/>
  <c r="BA120" i="35"/>
  <c r="BB120" i="35"/>
  <c r="BC120" i="35"/>
  <c r="BP120" i="35"/>
  <c r="BS120" i="35"/>
  <c r="CB120" i="35"/>
  <c r="CE120" i="35"/>
  <c r="CH120" i="35"/>
  <c r="B121" i="35"/>
  <c r="C121" i="35"/>
  <c r="H121" i="35"/>
  <c r="Z121" i="35"/>
  <c r="AA121" i="35"/>
  <c r="AB121" i="35"/>
  <c r="AE121" i="35"/>
  <c r="AX121" i="35"/>
  <c r="AZ121" i="35"/>
  <c r="BA121" i="35"/>
  <c r="BB121" i="35"/>
  <c r="BC121" i="35"/>
  <c r="BP121" i="35"/>
  <c r="BS121" i="35"/>
  <c r="CB121" i="35"/>
  <c r="CE121" i="35"/>
  <c r="B122" i="35"/>
  <c r="C122" i="35"/>
  <c r="H122" i="35"/>
  <c r="Z122" i="35"/>
  <c r="AA122" i="35"/>
  <c r="AB122" i="35"/>
  <c r="AE122" i="35"/>
  <c r="AX122" i="35"/>
  <c r="AZ122" i="35"/>
  <c r="BA122" i="35"/>
  <c r="BB122" i="35"/>
  <c r="BC122" i="35"/>
  <c r="BP122" i="35"/>
  <c r="BS122" i="35"/>
  <c r="CB122" i="35"/>
  <c r="CE122" i="35"/>
  <c r="B123" i="35"/>
  <c r="C123" i="35"/>
  <c r="H123" i="35"/>
  <c r="Z123" i="35"/>
  <c r="AA123" i="35"/>
  <c r="AB123" i="35"/>
  <c r="AE123" i="35"/>
  <c r="AX123" i="35"/>
  <c r="AZ123" i="35"/>
  <c r="BA123" i="35"/>
  <c r="BB123" i="35"/>
  <c r="BC123" i="35"/>
  <c r="BP123" i="35"/>
  <c r="BS123" i="35"/>
  <c r="CB123" i="35"/>
  <c r="CE123" i="35"/>
  <c r="B124" i="35"/>
  <c r="C124" i="35"/>
  <c r="H124" i="35"/>
  <c r="Z124" i="35"/>
  <c r="AA124" i="35"/>
  <c r="AB124" i="35"/>
  <c r="AE124" i="35"/>
  <c r="AX124" i="35"/>
  <c r="AZ124" i="35"/>
  <c r="BA124" i="35"/>
  <c r="BB124" i="35"/>
  <c r="BC124" i="35"/>
  <c r="BP124" i="35"/>
  <c r="BS124" i="35"/>
  <c r="CB124" i="35"/>
  <c r="CE124" i="35"/>
  <c r="B125" i="35"/>
  <c r="C125" i="35"/>
  <c r="H125" i="35"/>
  <c r="Z125" i="35"/>
  <c r="AA125" i="35"/>
  <c r="AB125" i="35"/>
  <c r="AE125" i="35"/>
  <c r="AX125" i="35"/>
  <c r="AZ125" i="35"/>
  <c r="BA125" i="35"/>
  <c r="BB125" i="35"/>
  <c r="BC125" i="35"/>
  <c r="BP125" i="35"/>
  <c r="BS125" i="35"/>
  <c r="CB125" i="35"/>
  <c r="CE125" i="35"/>
  <c r="B126" i="35"/>
  <c r="C126" i="35"/>
  <c r="H126" i="35"/>
  <c r="Z126" i="35"/>
  <c r="AA126" i="35"/>
  <c r="AB126" i="35"/>
  <c r="AE126" i="35"/>
  <c r="AX126" i="35"/>
  <c r="AZ126" i="35"/>
  <c r="BA126" i="35"/>
  <c r="BB126" i="35"/>
  <c r="BC126" i="35"/>
  <c r="BP126" i="35"/>
  <c r="BS126" i="35"/>
  <c r="CB126" i="35"/>
  <c r="CE126" i="35"/>
  <c r="B127" i="35"/>
  <c r="C127" i="35"/>
  <c r="H127" i="35"/>
  <c r="Z127" i="35"/>
  <c r="AA127" i="35"/>
  <c r="AB127" i="35"/>
  <c r="AE127" i="35"/>
  <c r="AX127" i="35"/>
  <c r="AZ127" i="35"/>
  <c r="BA127" i="35"/>
  <c r="BB127" i="35"/>
  <c r="BC127" i="35"/>
  <c r="BP127" i="35"/>
  <c r="BS127" i="35"/>
  <c r="CB127" i="35"/>
  <c r="CE127" i="35"/>
  <c r="B128" i="35"/>
  <c r="C128" i="35"/>
  <c r="H128" i="35"/>
  <c r="Z128" i="35"/>
  <c r="AA128" i="35"/>
  <c r="AB128" i="35"/>
  <c r="AE128" i="35"/>
  <c r="AX128" i="35"/>
  <c r="AZ128" i="35"/>
  <c r="BA128" i="35"/>
  <c r="BB128" i="35"/>
  <c r="BC128" i="35"/>
  <c r="BP128" i="35"/>
  <c r="BS128" i="35"/>
  <c r="CB128" i="35"/>
  <c r="CE128" i="35"/>
  <c r="B129" i="35"/>
  <c r="C129" i="35"/>
  <c r="H129" i="35"/>
  <c r="Z129" i="35"/>
  <c r="AA129" i="35"/>
  <c r="AB129" i="35"/>
  <c r="AE129" i="35"/>
  <c r="AX129" i="35"/>
  <c r="AZ129" i="35"/>
  <c r="BA129" i="35"/>
  <c r="BB129" i="35"/>
  <c r="BC129" i="35"/>
  <c r="BP129" i="35"/>
  <c r="BS129" i="35"/>
  <c r="CB129" i="35"/>
  <c r="CE129" i="35"/>
  <c r="B130" i="35"/>
  <c r="C130" i="35"/>
  <c r="H130" i="35"/>
  <c r="Z130" i="35"/>
  <c r="AA130" i="35"/>
  <c r="AB130" i="35"/>
  <c r="AE130" i="35"/>
  <c r="AX130" i="35"/>
  <c r="AZ130" i="35"/>
  <c r="BA130" i="35"/>
  <c r="BB130" i="35"/>
  <c r="BC130" i="35"/>
  <c r="BP130" i="35"/>
  <c r="BS130" i="35"/>
  <c r="CB130" i="35"/>
  <c r="CE130" i="35"/>
  <c r="B131" i="35"/>
  <c r="C131" i="35"/>
  <c r="H131" i="35"/>
  <c r="Z131" i="35"/>
  <c r="AA131" i="35"/>
  <c r="AB131" i="35"/>
  <c r="AE131" i="35"/>
  <c r="AX131" i="35"/>
  <c r="AZ131" i="35"/>
  <c r="BA131" i="35"/>
  <c r="BB131" i="35"/>
  <c r="BC131" i="35"/>
  <c r="BP131" i="35"/>
  <c r="BS131" i="35"/>
  <c r="CB131" i="35"/>
  <c r="CE131" i="35"/>
  <c r="B132" i="35"/>
  <c r="C132" i="35"/>
  <c r="H132" i="35"/>
  <c r="Z132" i="35"/>
  <c r="AA132" i="35"/>
  <c r="AB132" i="35"/>
  <c r="AE132" i="35"/>
  <c r="AX132" i="35"/>
  <c r="AZ132" i="35"/>
  <c r="BA132" i="35"/>
  <c r="BB132" i="35"/>
  <c r="BC132" i="35"/>
  <c r="BP132" i="35"/>
  <c r="BS132" i="35"/>
  <c r="CB132" i="35"/>
  <c r="CE132" i="35"/>
  <c r="B133" i="35"/>
  <c r="C133" i="35"/>
  <c r="H133" i="35"/>
  <c r="Z133" i="35"/>
  <c r="AA133" i="35"/>
  <c r="AB133" i="35"/>
  <c r="AE133" i="35"/>
  <c r="AX133" i="35"/>
  <c r="AZ133" i="35"/>
  <c r="BA133" i="35"/>
  <c r="BB133" i="35"/>
  <c r="BC133" i="35"/>
  <c r="BP133" i="35"/>
  <c r="BS133" i="35"/>
  <c r="BV133" i="35"/>
  <c r="CB133" i="35"/>
  <c r="CE133" i="35"/>
  <c r="B134" i="35"/>
  <c r="C134" i="35"/>
  <c r="H134" i="35"/>
  <c r="Z134" i="35"/>
  <c r="AA134" i="35"/>
  <c r="AB134" i="35"/>
  <c r="AE134" i="35"/>
  <c r="AX134" i="35"/>
  <c r="AZ134" i="35"/>
  <c r="BA134" i="35"/>
  <c r="BB134" i="35"/>
  <c r="BC134" i="35"/>
  <c r="BJ134" i="35"/>
  <c r="BM134" i="35"/>
  <c r="BP134" i="35"/>
  <c r="BS134" i="35"/>
  <c r="CB134" i="35"/>
  <c r="CE134" i="35"/>
  <c r="B135" i="35"/>
  <c r="C135" i="35"/>
  <c r="H135" i="35"/>
  <c r="Z135" i="35"/>
  <c r="AA135" i="35"/>
  <c r="AB135" i="35"/>
  <c r="AE135" i="35"/>
  <c r="AX135" i="35"/>
  <c r="AZ135" i="35"/>
  <c r="BA135" i="35"/>
  <c r="BB135" i="35"/>
  <c r="BC135" i="35"/>
  <c r="BP135" i="35"/>
  <c r="BS135" i="35"/>
  <c r="CB135" i="35"/>
  <c r="CE135" i="35"/>
  <c r="B136" i="35"/>
  <c r="C136" i="35"/>
  <c r="H136" i="35"/>
  <c r="Z136" i="35"/>
  <c r="AA136" i="35"/>
  <c r="AB136" i="35"/>
  <c r="AE136" i="35"/>
  <c r="AX136" i="35"/>
  <c r="AZ136" i="35"/>
  <c r="BA136" i="35"/>
  <c r="BB136" i="35"/>
  <c r="BC136" i="35"/>
  <c r="BP136" i="35"/>
  <c r="CB136" i="35"/>
  <c r="B137" i="35"/>
  <c r="C137" i="35"/>
  <c r="H137" i="35"/>
  <c r="Z137" i="35"/>
  <c r="AA137" i="35"/>
  <c r="AB137" i="35"/>
  <c r="AE137" i="35"/>
  <c r="AX137" i="35"/>
  <c r="CO137" i="35" s="1"/>
  <c r="AZ137" i="35"/>
  <c r="BA137" i="35"/>
  <c r="BB137" i="35"/>
  <c r="BC137" i="35"/>
  <c r="CH137" i="35"/>
  <c r="B138" i="35"/>
  <c r="C138" i="35"/>
  <c r="H138" i="35"/>
  <c r="Z138" i="35"/>
  <c r="AA138" i="35"/>
  <c r="AB138" i="35"/>
  <c r="AE138" i="35"/>
  <c r="AX138" i="35"/>
  <c r="CO138" i="35" s="1"/>
  <c r="AZ138" i="35"/>
  <c r="BA138" i="35"/>
  <c r="BB138" i="35"/>
  <c r="BC138" i="35"/>
  <c r="B139" i="35"/>
  <c r="C139" i="35"/>
  <c r="H139" i="35"/>
  <c r="Z139" i="35"/>
  <c r="AA139" i="35"/>
  <c r="AB139" i="35"/>
  <c r="AE139" i="35"/>
  <c r="AX139" i="35"/>
  <c r="AZ139" i="35"/>
  <c r="BA139" i="35"/>
  <c r="BB139" i="35"/>
  <c r="BC139" i="35"/>
  <c r="B140" i="35"/>
  <c r="C140" i="35"/>
  <c r="H140" i="35"/>
  <c r="Z140" i="35"/>
  <c r="AA140" i="35"/>
  <c r="AB140" i="35"/>
  <c r="AE140" i="35"/>
  <c r="AX140" i="35"/>
  <c r="CO140" i="35" s="1"/>
  <c r="AZ140" i="35"/>
  <c r="BA140" i="35"/>
  <c r="BB140" i="35"/>
  <c r="BC140" i="35"/>
  <c r="B141" i="35"/>
  <c r="C141" i="35"/>
  <c r="H141" i="35"/>
  <c r="Z141" i="35"/>
  <c r="AA141" i="35"/>
  <c r="AB141" i="35"/>
  <c r="AE141" i="35"/>
  <c r="AX141" i="35"/>
  <c r="BA141" i="35"/>
  <c r="BB141" i="35"/>
  <c r="BC141" i="35"/>
  <c r="B142" i="35"/>
  <c r="C142" i="35"/>
  <c r="H142" i="35"/>
  <c r="Z142" i="35"/>
  <c r="AA142" i="35"/>
  <c r="AB142" i="35"/>
  <c r="AE142" i="35"/>
  <c r="AX142" i="35"/>
  <c r="CO142" i="35" s="1"/>
  <c r="AZ142" i="35"/>
  <c r="BA142" i="35"/>
  <c r="BB142" i="35"/>
  <c r="BC142" i="35"/>
  <c r="B143" i="35"/>
  <c r="C143" i="35"/>
  <c r="H143" i="35"/>
  <c r="Z143" i="35"/>
  <c r="AA143" i="35"/>
  <c r="AB143" i="35"/>
  <c r="AE143" i="35"/>
  <c r="AX143" i="35"/>
  <c r="CO143" i="35" s="1"/>
  <c r="BA143" i="35"/>
  <c r="BB143" i="35"/>
  <c r="BC143" i="35"/>
  <c r="B144" i="35"/>
  <c r="C144" i="35"/>
  <c r="H144" i="35"/>
  <c r="Z144" i="35"/>
  <c r="AA144" i="35"/>
  <c r="AB144" i="35"/>
  <c r="AE144" i="35"/>
  <c r="AX144" i="35"/>
  <c r="CO144" i="35" s="1"/>
  <c r="BA144" i="35"/>
  <c r="BB144" i="35"/>
  <c r="BC144" i="35"/>
  <c r="B145" i="35"/>
  <c r="C145" i="35"/>
  <c r="H145" i="35"/>
  <c r="Z145" i="35"/>
  <c r="AA145" i="35"/>
  <c r="AB145" i="35"/>
  <c r="AE145" i="35"/>
  <c r="AX145" i="35"/>
  <c r="CO145" i="35" s="1"/>
  <c r="BA145" i="35"/>
  <c r="BB145" i="35"/>
  <c r="BC145" i="35"/>
  <c r="B146" i="35"/>
  <c r="C146" i="35"/>
  <c r="H146" i="35"/>
  <c r="Z146" i="35"/>
  <c r="AA146" i="35"/>
  <c r="AB146" i="35"/>
  <c r="AE146" i="35"/>
  <c r="AX146" i="35"/>
  <c r="BA146" i="35"/>
  <c r="BB146" i="35"/>
  <c r="BC146" i="35"/>
  <c r="CE146" i="35"/>
  <c r="B147" i="35"/>
  <c r="C147" i="35"/>
  <c r="H147" i="35"/>
  <c r="Z147" i="35"/>
  <c r="AA147" i="35"/>
  <c r="AB147" i="35"/>
  <c r="AE147" i="35"/>
  <c r="AX147" i="35"/>
  <c r="CO147" i="35" s="1"/>
  <c r="BA147" i="35"/>
  <c r="BB147" i="35"/>
  <c r="BC147" i="35"/>
  <c r="B148" i="35"/>
  <c r="C148" i="35"/>
  <c r="H148" i="35"/>
  <c r="Z148" i="35"/>
  <c r="AA148" i="35"/>
  <c r="AB148" i="35"/>
  <c r="AE148" i="35"/>
  <c r="AX148" i="35"/>
  <c r="CO148" i="35" s="1"/>
  <c r="BA148" i="35"/>
  <c r="BB148" i="35"/>
  <c r="BC148" i="35"/>
  <c r="B149" i="35"/>
  <c r="C149" i="35"/>
  <c r="H149" i="35"/>
  <c r="Z149" i="35"/>
  <c r="AA149" i="35"/>
  <c r="AB149" i="35"/>
  <c r="AE149" i="35"/>
  <c r="AX149" i="35"/>
  <c r="CO149" i="35" s="1"/>
  <c r="BA149" i="35"/>
  <c r="BB149" i="35"/>
  <c r="BC149" i="35"/>
  <c r="B150" i="35"/>
  <c r="C150" i="35"/>
  <c r="H150" i="35"/>
  <c r="Z150" i="35"/>
  <c r="AA150" i="35"/>
  <c r="AB150" i="35"/>
  <c r="AE150" i="35"/>
  <c r="AX150" i="35"/>
  <c r="BA150" i="35"/>
  <c r="BB150" i="35"/>
  <c r="BC150" i="35"/>
  <c r="B151" i="35"/>
  <c r="C151" i="35"/>
  <c r="H151" i="35"/>
  <c r="Z151" i="35"/>
  <c r="AA151" i="35"/>
  <c r="AB151" i="35"/>
  <c r="AE151" i="35"/>
  <c r="AX151" i="35"/>
  <c r="CO151" i="35" s="1"/>
  <c r="BA151" i="35"/>
  <c r="BB151" i="35"/>
  <c r="BC151" i="35"/>
  <c r="B152" i="35"/>
  <c r="C152" i="35"/>
  <c r="H152" i="35"/>
  <c r="Z152" i="35"/>
  <c r="AA152" i="35"/>
  <c r="AB152" i="35"/>
  <c r="AE152" i="35"/>
  <c r="AX152" i="35"/>
  <c r="CO152" i="35" s="1"/>
  <c r="BA152" i="35"/>
  <c r="BB152" i="35"/>
  <c r="BC152" i="35"/>
  <c r="B153" i="35"/>
  <c r="C153" i="35"/>
  <c r="H153" i="35"/>
  <c r="Z153" i="35"/>
  <c r="AA153" i="35"/>
  <c r="AB153" i="35"/>
  <c r="AE153" i="35"/>
  <c r="AX153" i="35"/>
  <c r="AZ153" i="35"/>
  <c r="BA153" i="35"/>
  <c r="BB153" i="35"/>
  <c r="BC153" i="35"/>
  <c r="B154" i="35"/>
  <c r="C154" i="35"/>
  <c r="H154" i="35"/>
  <c r="Z154" i="35"/>
  <c r="AA154" i="35"/>
  <c r="AB154" i="35"/>
  <c r="AE154" i="35"/>
  <c r="AX154" i="35"/>
  <c r="CO154" i="35" s="1"/>
  <c r="AZ154" i="35"/>
  <c r="BA154" i="35"/>
  <c r="BB154" i="35"/>
  <c r="BC154" i="35"/>
  <c r="BP154" i="35"/>
  <c r="BS154" i="35"/>
  <c r="B155" i="35"/>
  <c r="C155" i="35"/>
  <c r="H155" i="35"/>
  <c r="Z155" i="35"/>
  <c r="AA155" i="35"/>
  <c r="AB155" i="35"/>
  <c r="AE155" i="35"/>
  <c r="AX155" i="35"/>
  <c r="CO155" i="35" s="1"/>
  <c r="AZ155" i="35"/>
  <c r="BA155" i="35"/>
  <c r="BB155" i="35"/>
  <c r="BC155" i="35"/>
  <c r="CK109" i="35"/>
  <c r="CL108" i="35" s="1"/>
  <c r="CH109" i="35"/>
  <c r="CI108" i="35" s="1"/>
  <c r="CE110" i="35"/>
  <c r="CE109" i="35"/>
  <c r="CF108" i="35" s="1"/>
  <c r="CB110" i="35"/>
  <c r="CB109" i="35"/>
  <c r="CC108" i="35" s="1"/>
  <c r="BY109" i="35"/>
  <c r="BZ108" i="35" s="1"/>
  <c r="BV109" i="35"/>
  <c r="BW108" i="35" s="1"/>
  <c r="BS110" i="35"/>
  <c r="BS109" i="35"/>
  <c r="BT108" i="35" s="1"/>
  <c r="BP110" i="35"/>
  <c r="BP109" i="35"/>
  <c r="BQ108" i="35" s="1"/>
  <c r="BM109" i="35"/>
  <c r="BN108" i="35" s="1"/>
  <c r="BJ109" i="35"/>
  <c r="BK108" i="35" s="1"/>
  <c r="BG109" i="35"/>
  <c r="BH108" i="35" s="1"/>
  <c r="BD109" i="35"/>
  <c r="BE108" i="35" s="1"/>
  <c r="DF82" i="13"/>
  <c r="BJ111" i="35" s="1"/>
  <c r="DG82" i="13"/>
  <c r="BM111" i="35" s="1"/>
  <c r="DJ82" i="13"/>
  <c r="BV111" i="35" s="1"/>
  <c r="DK82" i="13"/>
  <c r="BY111" i="35" s="1"/>
  <c r="DF83" i="13"/>
  <c r="BJ112" i="35" s="1"/>
  <c r="DG83" i="13"/>
  <c r="BM112" i="35" s="1"/>
  <c r="DJ83" i="13"/>
  <c r="BV112" i="35" s="1"/>
  <c r="DK83" i="13"/>
  <c r="BY112" i="35" s="1"/>
  <c r="DF84" i="13"/>
  <c r="BJ113" i="35" s="1"/>
  <c r="DG84" i="13"/>
  <c r="BM113" i="35" s="1"/>
  <c r="DJ84" i="13"/>
  <c r="BV113" i="35" s="1"/>
  <c r="DK84" i="13"/>
  <c r="BY113" i="35" s="1"/>
  <c r="DF85" i="13"/>
  <c r="BJ114" i="35" s="1"/>
  <c r="DG85" i="13"/>
  <c r="BM114" i="35" s="1"/>
  <c r="DJ85" i="13"/>
  <c r="BV114" i="35" s="1"/>
  <c r="DK85" i="13"/>
  <c r="BY114" i="35" s="1"/>
  <c r="DF86" i="13"/>
  <c r="BJ115" i="35" s="1"/>
  <c r="DG86" i="13"/>
  <c r="BM115" i="35" s="1"/>
  <c r="DJ86" i="13"/>
  <c r="BV115" i="35" s="1"/>
  <c r="DK86" i="13"/>
  <c r="BY115" i="35" s="1"/>
  <c r="DF87" i="13"/>
  <c r="BJ116" i="35" s="1"/>
  <c r="DG87" i="13"/>
  <c r="BM116" i="35" s="1"/>
  <c r="DJ87" i="13"/>
  <c r="BV116" i="35" s="1"/>
  <c r="DK87" i="13"/>
  <c r="BY116" i="35" s="1"/>
  <c r="DF88" i="13"/>
  <c r="BJ117" i="35" s="1"/>
  <c r="DG88" i="13"/>
  <c r="BM117" i="35" s="1"/>
  <c r="DJ88" i="13"/>
  <c r="BV117" i="35" s="1"/>
  <c r="DK88" i="13"/>
  <c r="BY117" i="35" s="1"/>
  <c r="DF89" i="13"/>
  <c r="BJ118" i="35" s="1"/>
  <c r="DG89" i="13"/>
  <c r="BM118" i="35" s="1"/>
  <c r="DJ89" i="13"/>
  <c r="BV118" i="35" s="1"/>
  <c r="DK89" i="13"/>
  <c r="BY118" i="35" s="1"/>
  <c r="DF90" i="13"/>
  <c r="BJ119" i="35" s="1"/>
  <c r="DG90" i="13"/>
  <c r="BM119" i="35" s="1"/>
  <c r="DJ90" i="13"/>
  <c r="BV119" i="35" s="1"/>
  <c r="DK90" i="13"/>
  <c r="BY119" i="35" s="1"/>
  <c r="DF91" i="13"/>
  <c r="BJ120" i="35" s="1"/>
  <c r="DG91" i="13"/>
  <c r="BM120" i="35" s="1"/>
  <c r="DJ91" i="13"/>
  <c r="BV120" i="35" s="1"/>
  <c r="DK91" i="13"/>
  <c r="BY120" i="35" s="1"/>
  <c r="DF92" i="13"/>
  <c r="BJ121" i="35" s="1"/>
  <c r="DG92" i="13"/>
  <c r="BM121" i="35" s="1"/>
  <c r="DJ92" i="13"/>
  <c r="BV121" i="35" s="1"/>
  <c r="DK92" i="13"/>
  <c r="BY121" i="35" s="1"/>
  <c r="DF93" i="13"/>
  <c r="BJ122" i="35" s="1"/>
  <c r="DG93" i="13"/>
  <c r="BM122" i="35" s="1"/>
  <c r="DJ93" i="13"/>
  <c r="BV122" i="35" s="1"/>
  <c r="DK93" i="13"/>
  <c r="BY122" i="35" s="1"/>
  <c r="DF94" i="13"/>
  <c r="BJ123" i="35" s="1"/>
  <c r="DG94" i="13"/>
  <c r="BM123" i="35" s="1"/>
  <c r="DJ94" i="13"/>
  <c r="BV123" i="35" s="1"/>
  <c r="DK94" i="13"/>
  <c r="BY123" i="35" s="1"/>
  <c r="DF95" i="13"/>
  <c r="BJ124" i="35" s="1"/>
  <c r="DG95" i="13"/>
  <c r="BM124" i="35" s="1"/>
  <c r="DJ95" i="13"/>
  <c r="BV124" i="35" s="1"/>
  <c r="DK95" i="13"/>
  <c r="BY124" i="35" s="1"/>
  <c r="DF96" i="13"/>
  <c r="BJ125" i="35" s="1"/>
  <c r="DG96" i="13"/>
  <c r="BM125" i="35" s="1"/>
  <c r="DJ96" i="13"/>
  <c r="BV125" i="35" s="1"/>
  <c r="DK96" i="13"/>
  <c r="BY125" i="35" s="1"/>
  <c r="DF97" i="13"/>
  <c r="BJ126" i="35" s="1"/>
  <c r="DG97" i="13"/>
  <c r="BM126" i="35" s="1"/>
  <c r="DJ97" i="13"/>
  <c r="BV126" i="35" s="1"/>
  <c r="DK97" i="13"/>
  <c r="BY126" i="35" s="1"/>
  <c r="DF98" i="13"/>
  <c r="BJ127" i="35" s="1"/>
  <c r="DG98" i="13"/>
  <c r="BM127" i="35" s="1"/>
  <c r="DJ98" i="13"/>
  <c r="BV127" i="35" s="1"/>
  <c r="DK98" i="13"/>
  <c r="BY127" i="35" s="1"/>
  <c r="DF99" i="13"/>
  <c r="BJ128" i="35" s="1"/>
  <c r="DG99" i="13"/>
  <c r="BM128" i="35" s="1"/>
  <c r="DJ99" i="13"/>
  <c r="BV128" i="35" s="1"/>
  <c r="DK99" i="13"/>
  <c r="BY128" i="35" s="1"/>
  <c r="DF100" i="13"/>
  <c r="BJ129" i="35" s="1"/>
  <c r="DG100" i="13"/>
  <c r="BM129" i="35" s="1"/>
  <c r="DJ100" i="13"/>
  <c r="BV129" i="35" s="1"/>
  <c r="DK100" i="13"/>
  <c r="BY129" i="35" s="1"/>
  <c r="DF101" i="13"/>
  <c r="BJ130" i="35" s="1"/>
  <c r="DG101" i="13"/>
  <c r="BM130" i="35" s="1"/>
  <c r="DJ101" i="13"/>
  <c r="BV130" i="35" s="1"/>
  <c r="DK101" i="13"/>
  <c r="BY130" i="35" s="1"/>
  <c r="DF102" i="13"/>
  <c r="BJ131" i="35" s="1"/>
  <c r="DG102" i="13"/>
  <c r="BM131" i="35" s="1"/>
  <c r="DJ102" i="13"/>
  <c r="BV131" i="35" s="1"/>
  <c r="DK102" i="13"/>
  <c r="BY131" i="35" s="1"/>
  <c r="DF103" i="13"/>
  <c r="BJ132" i="35" s="1"/>
  <c r="DG103" i="13"/>
  <c r="BM132" i="35" s="1"/>
  <c r="DJ103" i="13"/>
  <c r="BV132" i="35" s="1"/>
  <c r="DK103" i="13"/>
  <c r="BY132" i="35" s="1"/>
  <c r="DF104" i="13"/>
  <c r="BJ133" i="35" s="1"/>
  <c r="DG104" i="13"/>
  <c r="BM133" i="35" s="1"/>
  <c r="DJ104" i="13"/>
  <c r="DK104" i="13"/>
  <c r="BY133" i="35" s="1"/>
  <c r="DF105" i="13"/>
  <c r="DG105" i="13"/>
  <c r="DJ105" i="13"/>
  <c r="BV134" i="35" s="1"/>
  <c r="DK105" i="13"/>
  <c r="BY134" i="35" s="1"/>
  <c r="DF106" i="13"/>
  <c r="BJ135" i="35" s="1"/>
  <c r="DG106" i="13"/>
  <c r="BM135" i="35" s="1"/>
  <c r="DJ106" i="13"/>
  <c r="BV135" i="35" s="1"/>
  <c r="DK106" i="13"/>
  <c r="BY135" i="35" s="1"/>
  <c r="DF107" i="13"/>
  <c r="BJ136" i="35" s="1"/>
  <c r="DG107" i="13"/>
  <c r="BM136" i="35" s="1"/>
  <c r="DI107" i="13"/>
  <c r="BS136" i="35" s="1"/>
  <c r="DJ107" i="13"/>
  <c r="BV136" i="35" s="1"/>
  <c r="DK107" i="13"/>
  <c r="BY136" i="35" s="1"/>
  <c r="DM107" i="13"/>
  <c r="CE136" i="35" s="1"/>
  <c r="DF108" i="13"/>
  <c r="BJ137" i="35" s="1"/>
  <c r="DG108" i="13"/>
  <c r="BM137" i="35" s="1"/>
  <c r="DH108" i="13"/>
  <c r="BP137" i="35" s="1"/>
  <c r="DI108" i="13"/>
  <c r="BS137" i="35" s="1"/>
  <c r="DJ108" i="13"/>
  <c r="BV137" i="35" s="1"/>
  <c r="DK108" i="13"/>
  <c r="BY137" i="35" s="1"/>
  <c r="DL108" i="13"/>
  <c r="CB137" i="35" s="1"/>
  <c r="DM108" i="13"/>
  <c r="CE137" i="35" s="1"/>
  <c r="DF109" i="13"/>
  <c r="BJ138" i="35" s="1"/>
  <c r="DG109" i="13"/>
  <c r="BM138" i="35" s="1"/>
  <c r="DH109" i="13"/>
  <c r="BP138" i="35" s="1"/>
  <c r="DI109" i="13"/>
  <c r="BS138" i="35" s="1"/>
  <c r="DJ109" i="13"/>
  <c r="BV138" i="35" s="1"/>
  <c r="DK109" i="13"/>
  <c r="BY138" i="35" s="1"/>
  <c r="DL109" i="13"/>
  <c r="CB138" i="35" s="1"/>
  <c r="DM109" i="13"/>
  <c r="CE138" i="35" s="1"/>
  <c r="DF110" i="13"/>
  <c r="BJ139" i="35" s="1"/>
  <c r="DG110" i="13"/>
  <c r="BM139" i="35" s="1"/>
  <c r="DH110" i="13"/>
  <c r="BP139" i="35" s="1"/>
  <c r="DI110" i="13"/>
  <c r="BS139" i="35" s="1"/>
  <c r="DJ110" i="13"/>
  <c r="BV139" i="35" s="1"/>
  <c r="DK110" i="13"/>
  <c r="BY139" i="35" s="1"/>
  <c r="DL110" i="13"/>
  <c r="CB139" i="35" s="1"/>
  <c r="DM110" i="13"/>
  <c r="CE139" i="35" s="1"/>
  <c r="DF111" i="13"/>
  <c r="BJ140" i="35" s="1"/>
  <c r="DG111" i="13"/>
  <c r="BM140" i="35" s="1"/>
  <c r="DH111" i="13"/>
  <c r="BP140" i="35" s="1"/>
  <c r="DI111" i="13"/>
  <c r="BS140" i="35" s="1"/>
  <c r="DJ111" i="13"/>
  <c r="BV140" i="35" s="1"/>
  <c r="DK111" i="13"/>
  <c r="BY140" i="35" s="1"/>
  <c r="DL111" i="13"/>
  <c r="CB140" i="35" s="1"/>
  <c r="DM111" i="13"/>
  <c r="CE140" i="35" s="1"/>
  <c r="DG112" i="13"/>
  <c r="BM141" i="35" s="1"/>
  <c r="DH112" i="13"/>
  <c r="BP141" i="35" s="1"/>
  <c r="DI112" i="13"/>
  <c r="BS141" i="35" s="1"/>
  <c r="DK112" i="13"/>
  <c r="BY141" i="35" s="1"/>
  <c r="DL112" i="13"/>
  <c r="CB141" i="35" s="1"/>
  <c r="DM112" i="13"/>
  <c r="CE141" i="35" s="1"/>
  <c r="DF113" i="13"/>
  <c r="BJ142" i="35" s="1"/>
  <c r="DG113" i="13"/>
  <c r="BM142" i="35" s="1"/>
  <c r="DH113" i="13"/>
  <c r="BP142" i="35" s="1"/>
  <c r="DI113" i="13"/>
  <c r="BS142" i="35" s="1"/>
  <c r="DJ113" i="13"/>
  <c r="BV142" i="35" s="1"/>
  <c r="DK113" i="13"/>
  <c r="BY142" i="35" s="1"/>
  <c r="DL113" i="13"/>
  <c r="CB142" i="35" s="1"/>
  <c r="DM113" i="13"/>
  <c r="CE142" i="35" s="1"/>
  <c r="DG114" i="13"/>
  <c r="BM143" i="35" s="1"/>
  <c r="DH114" i="13"/>
  <c r="BP143" i="35" s="1"/>
  <c r="DI114" i="13"/>
  <c r="BS143" i="35" s="1"/>
  <c r="DK114" i="13"/>
  <c r="BY143" i="35" s="1"/>
  <c r="DL114" i="13"/>
  <c r="CB143" i="35" s="1"/>
  <c r="DM114" i="13"/>
  <c r="CE143" i="35" s="1"/>
  <c r="DG115" i="13"/>
  <c r="BM144" i="35" s="1"/>
  <c r="DH115" i="13"/>
  <c r="BP144" i="35" s="1"/>
  <c r="DI115" i="13"/>
  <c r="BS144" i="35" s="1"/>
  <c r="DK115" i="13"/>
  <c r="BY144" i="35" s="1"/>
  <c r="DL115" i="13"/>
  <c r="CB144" i="35" s="1"/>
  <c r="DM115" i="13"/>
  <c r="CE144" i="35" s="1"/>
  <c r="DG116" i="13"/>
  <c r="BM145" i="35" s="1"/>
  <c r="DH116" i="13"/>
  <c r="BP145" i="35" s="1"/>
  <c r="DI116" i="13"/>
  <c r="BS145" i="35" s="1"/>
  <c r="DK116" i="13"/>
  <c r="BY145" i="35" s="1"/>
  <c r="DL116" i="13"/>
  <c r="CB145" i="35" s="1"/>
  <c r="DM116" i="13"/>
  <c r="CE145" i="35" s="1"/>
  <c r="DG117" i="13"/>
  <c r="BM146" i="35" s="1"/>
  <c r="DH117" i="13"/>
  <c r="BP146" i="35" s="1"/>
  <c r="DI117" i="13"/>
  <c r="BS146" i="35" s="1"/>
  <c r="DK117" i="13"/>
  <c r="BY146" i="35" s="1"/>
  <c r="DL117" i="13"/>
  <c r="CB146" i="35" s="1"/>
  <c r="DM117" i="13"/>
  <c r="DG118" i="13"/>
  <c r="BM147" i="35" s="1"/>
  <c r="DH118" i="13"/>
  <c r="BP147" i="35" s="1"/>
  <c r="DI118" i="13"/>
  <c r="BS147" i="35" s="1"/>
  <c r="DK118" i="13"/>
  <c r="BY147" i="35" s="1"/>
  <c r="DL118" i="13"/>
  <c r="CB147" i="35" s="1"/>
  <c r="DM118" i="13"/>
  <c r="CE147" i="35" s="1"/>
  <c r="DG119" i="13"/>
  <c r="BM148" i="35" s="1"/>
  <c r="DH119" i="13"/>
  <c r="BP148" i="35" s="1"/>
  <c r="DI119" i="13"/>
  <c r="BS148" i="35" s="1"/>
  <c r="DK119" i="13"/>
  <c r="BY148" i="35" s="1"/>
  <c r="DL119" i="13"/>
  <c r="CB148" i="35" s="1"/>
  <c r="DM119" i="13"/>
  <c r="CE148" i="35" s="1"/>
  <c r="DG120" i="13"/>
  <c r="BM149" i="35" s="1"/>
  <c r="DH120" i="13"/>
  <c r="BP149" i="35" s="1"/>
  <c r="DI120" i="13"/>
  <c r="BS149" i="35" s="1"/>
  <c r="DK120" i="13"/>
  <c r="BY149" i="35" s="1"/>
  <c r="DL120" i="13"/>
  <c r="CB149" i="35" s="1"/>
  <c r="DM120" i="13"/>
  <c r="CE149" i="35" s="1"/>
  <c r="DG121" i="13"/>
  <c r="BM150" i="35" s="1"/>
  <c r="DH121" i="13"/>
  <c r="BP150" i="35" s="1"/>
  <c r="DI121" i="13"/>
  <c r="BS150" i="35" s="1"/>
  <c r="DK121" i="13"/>
  <c r="BY150" i="35" s="1"/>
  <c r="DL121" i="13"/>
  <c r="CB150" i="35" s="1"/>
  <c r="DM121" i="13"/>
  <c r="CE150" i="35" s="1"/>
  <c r="DG122" i="13"/>
  <c r="BM151" i="35" s="1"/>
  <c r="DH122" i="13"/>
  <c r="BP151" i="35" s="1"/>
  <c r="DI122" i="13"/>
  <c r="BS151" i="35" s="1"/>
  <c r="DK122" i="13"/>
  <c r="BY151" i="35" s="1"/>
  <c r="DL122" i="13"/>
  <c r="CB151" i="35" s="1"/>
  <c r="DM122" i="13"/>
  <c r="CE151" i="35" s="1"/>
  <c r="DG123" i="13"/>
  <c r="BM152" i="35" s="1"/>
  <c r="DH123" i="13"/>
  <c r="BP152" i="35" s="1"/>
  <c r="DI123" i="13"/>
  <c r="BS152" i="35" s="1"/>
  <c r="DK123" i="13"/>
  <c r="BY152" i="35" s="1"/>
  <c r="DL123" i="13"/>
  <c r="CB152" i="35" s="1"/>
  <c r="DM123" i="13"/>
  <c r="CE152" i="35" s="1"/>
  <c r="DF124" i="13"/>
  <c r="BJ153" i="35" s="1"/>
  <c r="DG124" i="13"/>
  <c r="BM153" i="35" s="1"/>
  <c r="DH124" i="13"/>
  <c r="BP153" i="35" s="1"/>
  <c r="DI124" i="13"/>
  <c r="BS153" i="35" s="1"/>
  <c r="DJ124" i="13"/>
  <c r="BV153" i="35" s="1"/>
  <c r="DK124" i="13"/>
  <c r="BY153" i="35" s="1"/>
  <c r="DL124" i="13"/>
  <c r="CB153" i="35" s="1"/>
  <c r="DM124" i="13"/>
  <c r="CE153" i="35" s="1"/>
  <c r="DF125" i="13"/>
  <c r="BJ154" i="35" s="1"/>
  <c r="DG125" i="13"/>
  <c r="BM154" i="35" s="1"/>
  <c r="DH125" i="13"/>
  <c r="DI125" i="13"/>
  <c r="DJ125" i="13"/>
  <c r="BV154" i="35" s="1"/>
  <c r="DK125" i="13"/>
  <c r="BY154" i="35" s="1"/>
  <c r="DL125" i="13"/>
  <c r="CB154" i="35" s="1"/>
  <c r="DM125" i="13"/>
  <c r="CE154" i="35" s="1"/>
  <c r="DF126" i="13"/>
  <c r="BJ155" i="35" s="1"/>
  <c r="DG126" i="13"/>
  <c r="BM155" i="35" s="1"/>
  <c r="DH126" i="13"/>
  <c r="BP155" i="35" s="1"/>
  <c r="DI126" i="13"/>
  <c r="BS155" i="35" s="1"/>
  <c r="DJ126" i="13"/>
  <c r="BV155" i="35" s="1"/>
  <c r="DK126" i="13"/>
  <c r="BY155" i="35" s="1"/>
  <c r="DL126" i="13"/>
  <c r="CB155" i="35" s="1"/>
  <c r="DM126" i="13"/>
  <c r="CE155" i="35" s="1"/>
  <c r="DF127" i="13"/>
  <c r="BJ156" i="35" s="1"/>
  <c r="DG127" i="13"/>
  <c r="BM156" i="35" s="1"/>
  <c r="DH127" i="13"/>
  <c r="BP156" i="35" s="1"/>
  <c r="DI127" i="13"/>
  <c r="BS156" i="35" s="1"/>
  <c r="DJ127" i="13"/>
  <c r="BV156" i="35" s="1"/>
  <c r="DK127" i="13"/>
  <c r="BY156" i="35" s="1"/>
  <c r="DL127" i="13"/>
  <c r="CB156" i="35" s="1"/>
  <c r="DM127" i="13"/>
  <c r="CE156" i="35" s="1"/>
  <c r="DF128" i="13"/>
  <c r="BJ157" i="35" s="1"/>
  <c r="DG128" i="13"/>
  <c r="BM157" i="35" s="1"/>
  <c r="DH128" i="13"/>
  <c r="BP157" i="35" s="1"/>
  <c r="DI128" i="13"/>
  <c r="BS157" i="35" s="1"/>
  <c r="DJ128" i="13"/>
  <c r="BV157" i="35" s="1"/>
  <c r="DK128" i="13"/>
  <c r="BY157" i="35" s="1"/>
  <c r="DL128" i="13"/>
  <c r="CB157" i="35" s="1"/>
  <c r="DM128" i="13"/>
  <c r="CE157" i="35" s="1"/>
  <c r="DF129" i="13"/>
  <c r="BJ158" i="35" s="1"/>
  <c r="DG129" i="13"/>
  <c r="BM158" i="35" s="1"/>
  <c r="DH129" i="13"/>
  <c r="BP158" i="35" s="1"/>
  <c r="DI129" i="13"/>
  <c r="BS158" i="35" s="1"/>
  <c r="DJ129" i="13"/>
  <c r="BV158" i="35" s="1"/>
  <c r="DK129" i="13"/>
  <c r="BY158" i="35" s="1"/>
  <c r="DL129" i="13"/>
  <c r="CB158" i="35" s="1"/>
  <c r="DM129" i="13"/>
  <c r="CE158" i="35" s="1"/>
  <c r="DF130" i="13"/>
  <c r="BJ159" i="35" s="1"/>
  <c r="DG130" i="13"/>
  <c r="BM159" i="35" s="1"/>
  <c r="DH130" i="13"/>
  <c r="BP159" i="35" s="1"/>
  <c r="DI130" i="13"/>
  <c r="BS159" i="35" s="1"/>
  <c r="DJ130" i="13"/>
  <c r="BV159" i="35" s="1"/>
  <c r="DK130" i="13"/>
  <c r="BY159" i="35" s="1"/>
  <c r="DL130" i="13"/>
  <c r="DM130" i="13"/>
  <c r="CE159" i="35" s="1"/>
  <c r="DF131" i="13"/>
  <c r="BJ160" i="35" s="1"/>
  <c r="DG131" i="13"/>
  <c r="BM160" i="35" s="1"/>
  <c r="DH131" i="13"/>
  <c r="BP160" i="35" s="1"/>
  <c r="DI131" i="13"/>
  <c r="BS160" i="35" s="1"/>
  <c r="DJ131" i="13"/>
  <c r="BV160" i="35" s="1"/>
  <c r="DK131" i="13"/>
  <c r="BY160" i="35" s="1"/>
  <c r="DL131" i="13"/>
  <c r="CB160" i="35" s="1"/>
  <c r="DM131" i="13"/>
  <c r="CE160" i="35" s="1"/>
  <c r="DF132" i="13"/>
  <c r="BJ161" i="35" s="1"/>
  <c r="DG132" i="13"/>
  <c r="BM161" i="35" s="1"/>
  <c r="DH132" i="13"/>
  <c r="BP161" i="35" s="1"/>
  <c r="DI132" i="13"/>
  <c r="BS161" i="35" s="1"/>
  <c r="DJ132" i="13"/>
  <c r="BV161" i="35" s="1"/>
  <c r="DK132" i="13"/>
  <c r="BY161" i="35" s="1"/>
  <c r="DL132" i="13"/>
  <c r="CB161" i="35" s="1"/>
  <c r="DM132" i="13"/>
  <c r="CE161" i="35" s="1"/>
  <c r="DF133" i="13"/>
  <c r="BJ162" i="35" s="1"/>
  <c r="DG133" i="13"/>
  <c r="BM162" i="35" s="1"/>
  <c r="DH133" i="13"/>
  <c r="BP162" i="35" s="1"/>
  <c r="DI133" i="13"/>
  <c r="BS162" i="35" s="1"/>
  <c r="DJ133" i="13"/>
  <c r="BV162" i="35" s="1"/>
  <c r="DK133" i="13"/>
  <c r="BY162" i="35" s="1"/>
  <c r="DL133" i="13"/>
  <c r="CB162" i="35" s="1"/>
  <c r="DM133" i="13"/>
  <c r="CE162" i="35" s="1"/>
  <c r="DF134" i="13"/>
  <c r="BJ163" i="35" s="1"/>
  <c r="DG134" i="13"/>
  <c r="BM163" i="35" s="1"/>
  <c r="DH134" i="13"/>
  <c r="BP163" i="35" s="1"/>
  <c r="DI134" i="13"/>
  <c r="BS163" i="35" s="1"/>
  <c r="DJ134" i="13"/>
  <c r="BV163" i="35" s="1"/>
  <c r="DK134" i="13"/>
  <c r="BY163" i="35" s="1"/>
  <c r="DL134" i="13"/>
  <c r="CB163" i="35" s="1"/>
  <c r="DM134" i="13"/>
  <c r="CE163" i="35" s="1"/>
  <c r="DF135" i="13"/>
  <c r="BJ164" i="35" s="1"/>
  <c r="DG135" i="13"/>
  <c r="BM164" i="35" s="1"/>
  <c r="DH135" i="13"/>
  <c r="BP164" i="35" s="1"/>
  <c r="DI135" i="13"/>
  <c r="BS164" i="35" s="1"/>
  <c r="DJ135" i="13"/>
  <c r="BV164" i="35" s="1"/>
  <c r="DK135" i="13"/>
  <c r="BY164" i="35" s="1"/>
  <c r="DL135" i="13"/>
  <c r="CB164" i="35" s="1"/>
  <c r="DM135" i="13"/>
  <c r="CE164" i="35" s="1"/>
  <c r="DF136" i="13"/>
  <c r="BJ165" i="35" s="1"/>
  <c r="DG136" i="13"/>
  <c r="BM165" i="35" s="1"/>
  <c r="DH136" i="13"/>
  <c r="BP165" i="35" s="1"/>
  <c r="DI136" i="13"/>
  <c r="BS165" i="35" s="1"/>
  <c r="DJ136" i="13"/>
  <c r="BV165" i="35" s="1"/>
  <c r="DK136" i="13"/>
  <c r="BY165" i="35" s="1"/>
  <c r="DL136" i="13"/>
  <c r="CB165" i="35" s="1"/>
  <c r="DM136" i="13"/>
  <c r="CE165" i="35" s="1"/>
  <c r="DF137" i="13"/>
  <c r="BJ166" i="35" s="1"/>
  <c r="DG137" i="13"/>
  <c r="BM166" i="35" s="1"/>
  <c r="DH137" i="13"/>
  <c r="BP166" i="35" s="1"/>
  <c r="DI137" i="13"/>
  <c r="BS166" i="35" s="1"/>
  <c r="DJ137" i="13"/>
  <c r="BV166" i="35" s="1"/>
  <c r="DK137" i="13"/>
  <c r="BY166" i="35" s="1"/>
  <c r="DL137" i="13"/>
  <c r="CB166" i="35" s="1"/>
  <c r="DM137" i="13"/>
  <c r="CE166" i="35" s="1"/>
  <c r="DF138" i="13"/>
  <c r="BJ167" i="35" s="1"/>
  <c r="DG138" i="13"/>
  <c r="BM167" i="35" s="1"/>
  <c r="DH138" i="13"/>
  <c r="BP167" i="35" s="1"/>
  <c r="DI138" i="13"/>
  <c r="BS167" i="35" s="1"/>
  <c r="DJ138" i="13"/>
  <c r="BV167" i="35" s="1"/>
  <c r="DK138" i="13"/>
  <c r="BY167" i="35" s="1"/>
  <c r="DL138" i="13"/>
  <c r="CB167" i="35" s="1"/>
  <c r="DM138" i="13"/>
  <c r="CE167" i="35" s="1"/>
  <c r="DF139" i="13"/>
  <c r="BJ168" i="35" s="1"/>
  <c r="DG139" i="13"/>
  <c r="BM168" i="35" s="1"/>
  <c r="DH139" i="13"/>
  <c r="BP168" i="35" s="1"/>
  <c r="DI139" i="13"/>
  <c r="BS168" i="35" s="1"/>
  <c r="DJ139" i="13"/>
  <c r="BV168" i="35" s="1"/>
  <c r="DK139" i="13"/>
  <c r="BY168" i="35" s="1"/>
  <c r="DL139" i="13"/>
  <c r="CB168" i="35" s="1"/>
  <c r="DM139" i="13"/>
  <c r="CE168" i="35" s="1"/>
  <c r="DK81" i="13"/>
  <c r="BY110" i="35" s="1"/>
  <c r="DJ81" i="13"/>
  <c r="BV110" i="35" s="1"/>
  <c r="DG81" i="13"/>
  <c r="BM110" i="35" s="1"/>
  <c r="DF81" i="13"/>
  <c r="BJ110" i="35" s="1"/>
  <c r="BC110" i="35"/>
  <c r="BC109" i="35"/>
  <c r="BB110" i="35"/>
  <c r="BB109" i="35"/>
  <c r="BA110" i="35"/>
  <c r="BA109" i="35"/>
  <c r="AZ110" i="35"/>
  <c r="AZ109" i="35"/>
  <c r="AY109" i="35"/>
  <c r="AX110" i="35"/>
  <c r="AX109" i="35"/>
  <c r="AU109" i="35"/>
  <c r="AV108" i="35" s="1"/>
  <c r="AR109" i="35"/>
  <c r="AS108" i="35" s="1"/>
  <c r="AO109" i="35"/>
  <c r="AP108" i="35" s="1"/>
  <c r="CW82" i="13"/>
  <c r="CW83" i="13"/>
  <c r="CW84" i="13"/>
  <c r="CW85" i="13"/>
  <c r="CW86" i="13"/>
  <c r="CW87" i="13"/>
  <c r="CW88" i="13"/>
  <c r="CW89" i="13"/>
  <c r="CW90" i="13"/>
  <c r="CW91" i="13"/>
  <c r="CW92" i="13"/>
  <c r="CW93" i="13"/>
  <c r="CW94" i="13"/>
  <c r="CW95" i="13"/>
  <c r="CW96" i="13"/>
  <c r="CW97" i="13"/>
  <c r="CW98" i="13"/>
  <c r="CW99" i="13"/>
  <c r="CW100" i="13"/>
  <c r="CW101" i="13"/>
  <c r="CW102" i="13"/>
  <c r="CW103" i="13"/>
  <c r="CW104" i="13"/>
  <c r="CW105" i="13"/>
  <c r="CW106" i="13"/>
  <c r="CW107" i="13"/>
  <c r="CW108" i="13"/>
  <c r="CW109" i="13"/>
  <c r="CW110" i="13"/>
  <c r="CW111" i="13"/>
  <c r="CW112" i="13"/>
  <c r="CW113" i="13"/>
  <c r="CW114" i="13"/>
  <c r="CW115" i="13"/>
  <c r="CW116" i="13"/>
  <c r="CW117" i="13"/>
  <c r="CW118" i="13"/>
  <c r="CW119" i="13"/>
  <c r="CW120" i="13"/>
  <c r="CW121" i="13"/>
  <c r="CW122" i="13"/>
  <c r="CW123" i="13"/>
  <c r="CW124" i="13"/>
  <c r="CW125" i="13"/>
  <c r="CW126" i="13"/>
  <c r="CW127" i="13"/>
  <c r="CW128" i="13"/>
  <c r="CW129" i="13"/>
  <c r="CW130" i="13"/>
  <c r="CW132" i="13"/>
  <c r="CW133" i="13"/>
  <c r="CW134" i="13"/>
  <c r="CW135" i="13"/>
  <c r="CW136" i="13"/>
  <c r="CW137" i="13"/>
  <c r="CW138" i="13"/>
  <c r="CW139" i="13"/>
  <c r="CW131" i="13"/>
  <c r="CO153" i="35" l="1"/>
  <c r="CO136" i="35"/>
  <c r="CO135" i="35"/>
  <c r="CO150" i="35"/>
  <c r="CO146" i="35"/>
  <c r="CO141" i="35"/>
  <c r="CO139" i="35"/>
  <c r="CO161" i="35"/>
  <c r="CO134" i="35"/>
  <c r="CO168" i="35"/>
  <c r="CO133" i="35"/>
  <c r="CO132" i="35"/>
  <c r="CO131" i="35"/>
  <c r="CO130" i="35"/>
  <c r="CO129" i="35"/>
  <c r="CO128" i="35"/>
  <c r="CO127" i="35"/>
  <c r="CO126" i="35"/>
  <c r="CO125" i="35"/>
  <c r="CO124" i="35"/>
  <c r="CO123" i="35"/>
  <c r="CO122" i="35"/>
  <c r="CO121" i="35"/>
  <c r="CO166" i="35"/>
  <c r="CO164" i="35"/>
  <c r="CO159" i="35"/>
  <c r="CO157" i="35"/>
  <c r="M228" i="7"/>
  <c r="N228" i="7"/>
  <c r="G228" i="7"/>
  <c r="BA81" i="13"/>
  <c r="AL110" i="35" s="1"/>
  <c r="AL109" i="35"/>
  <c r="AM108" i="35" s="1"/>
  <c r="AI109" i="35"/>
  <c r="AJ108" i="35" s="1"/>
  <c r="BN81" i="13"/>
  <c r="AF110" i="35" s="1"/>
  <c r="AF109" i="35"/>
  <c r="AG108" i="35" s="1"/>
  <c r="AE110" i="35"/>
  <c r="AE109" i="35"/>
  <c r="AC108" i="35"/>
  <c r="AA110" i="35"/>
  <c r="Z110" i="35"/>
  <c r="CO110" i="35" s="1"/>
  <c r="Z109" i="35"/>
  <c r="W109" i="35"/>
  <c r="X108" i="35" s="1"/>
  <c r="AV81" i="13"/>
  <c r="T110" i="35" s="1"/>
  <c r="AN110" i="35" s="1"/>
  <c r="T109" i="35"/>
  <c r="U108" i="35" s="1"/>
  <c r="Q109" i="35"/>
  <c r="R108" i="35" s="1"/>
  <c r="N109" i="35"/>
  <c r="O108" i="35" s="1"/>
  <c r="I108" i="35"/>
  <c r="K109" i="35"/>
  <c r="L108" i="35" s="1"/>
  <c r="H110" i="35"/>
  <c r="CC81" i="13"/>
  <c r="F108" i="35"/>
  <c r="C110" i="35"/>
  <c r="C109" i="35"/>
  <c r="B110" i="35"/>
  <c r="T1" i="35" s="1"/>
  <c r="AE145" i="9"/>
  <c r="AB145" i="9" s="1"/>
  <c r="AI145" i="9"/>
  <c r="AS145" i="9"/>
  <c r="AW145" i="9"/>
  <c r="AD145" i="9"/>
  <c r="AF145" i="9" s="1"/>
  <c r="AJ145" i="9"/>
  <c r="AC145" i="9"/>
  <c r="AQ145" i="9"/>
  <c r="AR145" i="9"/>
  <c r="AV145" i="9"/>
  <c r="AL145" i="9"/>
  <c r="AH145" i="9"/>
  <c r="AP145" i="9"/>
  <c r="AU145" i="9"/>
  <c r="AO145" i="9"/>
  <c r="B86" i="35" l="1"/>
  <c r="K86" i="35"/>
  <c r="T86" i="35"/>
  <c r="AC86" i="35"/>
  <c r="AL86" i="35"/>
  <c r="K52" i="35"/>
  <c r="B52" i="35"/>
  <c r="T18" i="35"/>
  <c r="B1" i="35"/>
  <c r="AL69" i="35"/>
  <c r="T52" i="35"/>
  <c r="AC18" i="35"/>
  <c r="AC69" i="35"/>
  <c r="B35" i="35"/>
  <c r="T69" i="35"/>
  <c r="K69" i="35"/>
  <c r="T35" i="35"/>
  <c r="B69" i="35"/>
  <c r="B18" i="35"/>
  <c r="K35" i="35"/>
  <c r="AL35" i="35"/>
  <c r="K1" i="35"/>
  <c r="AM145" i="9"/>
  <c r="R67" i="34" l="1"/>
  <c r="R68" i="34"/>
  <c r="R69" i="34"/>
  <c r="R70" i="34"/>
  <c r="R71" i="34"/>
  <c r="R72" i="34"/>
  <c r="R73" i="34"/>
  <c r="R74" i="34"/>
  <c r="R75" i="34"/>
  <c r="R76" i="34"/>
  <c r="R77" i="34"/>
  <c r="R78" i="34"/>
  <c r="R79" i="34"/>
  <c r="R80" i="34"/>
  <c r="R81" i="34"/>
  <c r="R82" i="34"/>
  <c r="R83" i="34"/>
  <c r="R84" i="34"/>
  <c r="R66" i="34"/>
  <c r="Q67" i="34"/>
  <c r="Q68" i="34"/>
  <c r="Q69" i="34"/>
  <c r="Q70" i="34"/>
  <c r="Q71" i="34"/>
  <c r="Q72" i="34"/>
  <c r="Q73" i="34"/>
  <c r="Q74" i="34"/>
  <c r="Q75" i="34"/>
  <c r="Q76" i="34"/>
  <c r="Q77" i="34"/>
  <c r="Q78" i="34"/>
  <c r="Q79" i="34"/>
  <c r="Q80" i="34"/>
  <c r="Q81" i="34"/>
  <c r="Q82" i="34"/>
  <c r="Q83" i="34"/>
  <c r="Q84" i="34"/>
  <c r="Q66" i="34"/>
  <c r="N82" i="34"/>
  <c r="N83" i="34"/>
  <c r="N84" i="34"/>
  <c r="N81" i="34"/>
  <c r="N78" i="34"/>
  <c r="N79" i="34"/>
  <c r="N80" i="34"/>
  <c r="N77" i="34"/>
  <c r="N74" i="34"/>
  <c r="N75" i="34"/>
  <c r="N76" i="34"/>
  <c r="N73" i="34"/>
  <c r="N70" i="34"/>
  <c r="N71" i="34"/>
  <c r="N72" i="34"/>
  <c r="N69" i="34"/>
  <c r="N67" i="34"/>
  <c r="N68" i="34"/>
  <c r="N66" i="34"/>
  <c r="AX139" i="13"/>
  <c r="CY139" i="13" s="1"/>
  <c r="E168" i="35" s="1"/>
  <c r="K130" i="34" l="1"/>
  <c r="K131" i="34"/>
  <c r="K132" i="34"/>
  <c r="K134" i="34"/>
  <c r="K135" i="34"/>
  <c r="K136" i="34"/>
  <c r="K137" i="34"/>
  <c r="K139" i="34"/>
  <c r="K140" i="34"/>
  <c r="K141" i="34"/>
  <c r="K142" i="34"/>
  <c r="K144" i="34"/>
  <c r="K145" i="34"/>
  <c r="K146" i="34"/>
  <c r="K147" i="34"/>
  <c r="K149" i="34"/>
  <c r="K150" i="34"/>
  <c r="K151" i="34"/>
  <c r="K152" i="34"/>
  <c r="K154" i="34"/>
  <c r="K129" i="34"/>
  <c r="E127" i="34"/>
  <c r="E197" i="34"/>
  <c r="D197" i="34"/>
  <c r="E196" i="34"/>
  <c r="D196" i="34"/>
  <c r="E195" i="34"/>
  <c r="D195" i="34"/>
  <c r="D194" i="34"/>
  <c r="E194" i="34" s="1"/>
  <c r="E193" i="34"/>
  <c r="D193" i="34"/>
  <c r="E192" i="34"/>
  <c r="D192" i="34"/>
  <c r="E191" i="34"/>
  <c r="D191" i="34"/>
  <c r="D190" i="34"/>
  <c r="E190" i="34" s="1"/>
  <c r="E189" i="34"/>
  <c r="D189" i="34"/>
  <c r="E188" i="34"/>
  <c r="D188" i="34"/>
  <c r="E187" i="34"/>
  <c r="D187" i="34"/>
  <c r="D186" i="34"/>
  <c r="E186" i="34" s="1"/>
  <c r="E185" i="34"/>
  <c r="D185" i="34"/>
  <c r="E184" i="34"/>
  <c r="D184" i="34"/>
  <c r="E183" i="34"/>
  <c r="D183" i="34"/>
  <c r="D182" i="34"/>
  <c r="E182" i="34" s="1"/>
  <c r="E181" i="34"/>
  <c r="D181" i="34"/>
  <c r="E180" i="34"/>
  <c r="D180" i="34"/>
  <c r="E179" i="34"/>
  <c r="D179" i="34"/>
  <c r="D178" i="34"/>
  <c r="E178" i="34" s="1"/>
  <c r="E177" i="34"/>
  <c r="D177" i="34"/>
  <c r="E176" i="34"/>
  <c r="D176" i="34"/>
  <c r="E175" i="34"/>
  <c r="D175" i="34"/>
  <c r="D174" i="34"/>
  <c r="E174" i="34" s="1"/>
  <c r="E173" i="34"/>
  <c r="D173" i="34"/>
  <c r="E172" i="34"/>
  <c r="D172" i="34"/>
  <c r="E171" i="34"/>
  <c r="D171" i="34"/>
  <c r="D170" i="34"/>
  <c r="E170" i="34" s="1"/>
  <c r="E169" i="34"/>
  <c r="D169" i="34"/>
  <c r="E168" i="34"/>
  <c r="D168" i="34"/>
  <c r="E167" i="34"/>
  <c r="D167" i="34"/>
  <c r="D166" i="34"/>
  <c r="E166" i="34" s="1"/>
  <c r="E165" i="34"/>
  <c r="D165" i="34"/>
  <c r="E164" i="34"/>
  <c r="D164" i="34"/>
  <c r="E163" i="34"/>
  <c r="D163" i="34"/>
  <c r="D162" i="34"/>
  <c r="E162" i="34" s="1"/>
  <c r="E161" i="34"/>
  <c r="D161" i="34"/>
  <c r="E160" i="34"/>
  <c r="D160" i="34"/>
  <c r="E159" i="34"/>
  <c r="D159" i="34"/>
  <c r="D158" i="34"/>
  <c r="E158" i="34" s="1"/>
  <c r="E157" i="34"/>
  <c r="D157" i="34"/>
  <c r="E156" i="34"/>
  <c r="D156" i="34"/>
  <c r="E155" i="34"/>
  <c r="D155" i="34"/>
  <c r="D154" i="34"/>
  <c r="E154" i="34" s="1"/>
  <c r="E153" i="34"/>
  <c r="D153" i="34"/>
  <c r="E152" i="34"/>
  <c r="D152" i="34"/>
  <c r="E151" i="34"/>
  <c r="D151" i="34"/>
  <c r="D150" i="34"/>
  <c r="E150" i="34" s="1"/>
  <c r="E149" i="34"/>
  <c r="D149" i="34"/>
  <c r="E148" i="34"/>
  <c r="D148" i="34"/>
  <c r="E147" i="34"/>
  <c r="D147" i="34"/>
  <c r="D146" i="34"/>
  <c r="E146" i="34" s="1"/>
  <c r="E145" i="34"/>
  <c r="D145" i="34"/>
  <c r="E144" i="34"/>
  <c r="D144" i="34"/>
  <c r="E143" i="34"/>
  <c r="D143" i="34"/>
  <c r="D142" i="34"/>
  <c r="E142" i="34" s="1"/>
  <c r="E141" i="34"/>
  <c r="D141" i="34"/>
  <c r="E140" i="34"/>
  <c r="D140" i="34"/>
  <c r="E139" i="34"/>
  <c r="D139" i="34"/>
  <c r="D138" i="34"/>
  <c r="E138" i="34" s="1"/>
  <c r="E137" i="34"/>
  <c r="D137" i="34"/>
  <c r="E136" i="34"/>
  <c r="D136" i="34"/>
  <c r="E135" i="34"/>
  <c r="D135" i="34"/>
  <c r="D134" i="34"/>
  <c r="E134" i="34" s="1"/>
  <c r="E133" i="34"/>
  <c r="D133" i="34"/>
  <c r="E132" i="34"/>
  <c r="D132" i="34"/>
  <c r="E131" i="34"/>
  <c r="D131" i="34"/>
  <c r="D130" i="34"/>
  <c r="E130" i="34" s="1"/>
  <c r="E129" i="34"/>
  <c r="D129" i="34"/>
  <c r="E128" i="34"/>
  <c r="D128" i="34"/>
  <c r="D127" i="34"/>
  <c r="D139" i="13" l="1"/>
  <c r="F139" i="13"/>
  <c r="CH168" i="35" s="1"/>
  <c r="H139" i="13" l="1"/>
  <c r="CK168" i="35"/>
  <c r="BQ139" i="13"/>
  <c r="BW139" i="13"/>
  <c r="BJ139" i="13"/>
  <c r="BT139" i="13" s="1"/>
  <c r="BK139" i="13"/>
  <c r="BL139" i="13"/>
  <c r="BM139" i="13"/>
  <c r="AB139" i="13"/>
  <c r="Z139" i="13"/>
  <c r="X139" i="13"/>
  <c r="V139" i="13"/>
  <c r="T139" i="13"/>
  <c r="R139" i="13"/>
  <c r="K139" i="13"/>
  <c r="CK139" i="13" s="1"/>
  <c r="O139" i="13"/>
  <c r="BI139" i="13" s="1"/>
  <c r="M139" i="13"/>
  <c r="BH139" i="13" s="1"/>
  <c r="BG139" i="13"/>
  <c r="BN139" i="13"/>
  <c r="AF168" i="35" s="1"/>
  <c r="BO139" i="13"/>
  <c r="CS139" i="13"/>
  <c r="N168" i="35" s="1"/>
  <c r="AK168" i="35" s="1"/>
  <c r="AL1" i="35" s="1"/>
  <c r="AO139" i="13"/>
  <c r="AP139" i="13"/>
  <c r="AU168" i="35" s="1"/>
  <c r="AQ139" i="13"/>
  <c r="AR139" i="13"/>
  <c r="AS139" i="13"/>
  <c r="BA139" i="13"/>
  <c r="BB139" i="13"/>
  <c r="AV139" i="13"/>
  <c r="T168" i="35" s="1"/>
  <c r="AN168" i="35" s="1"/>
  <c r="AL18" i="35" s="1"/>
  <c r="AW139" i="13"/>
  <c r="W168" i="35" s="1"/>
  <c r="CC139" i="13"/>
  <c r="BF139" i="13"/>
  <c r="CH139" i="13"/>
  <c r="J139" i="13"/>
  <c r="CV140" i="13" l="1"/>
  <c r="AL168" i="35"/>
  <c r="CU140" i="13"/>
  <c r="AZ139" i="13"/>
  <c r="AY139" i="13"/>
  <c r="AY168" i="35"/>
  <c r="DE139" i="13"/>
  <c r="BG168" i="35" s="1"/>
  <c r="DD139" i="13"/>
  <c r="BD168" i="35" s="1"/>
  <c r="AT139" i="13"/>
  <c r="K168" i="35" s="1"/>
  <c r="K18" i="35" s="1"/>
  <c r="AU139" i="13"/>
  <c r="CT139" i="13"/>
  <c r="AI168" i="35"/>
  <c r="BE139" i="13"/>
  <c r="BC139" i="13"/>
  <c r="AO168" i="35" s="1"/>
  <c r="DC139" i="13"/>
  <c r="Q168" i="35" s="1"/>
  <c r="BD139" i="13"/>
  <c r="AR168" i="35" s="1"/>
  <c r="AS218" i="32" l="1"/>
  <c r="AX221" i="32"/>
  <c r="AZ211" i="32"/>
  <c r="BA211" i="32"/>
  <c r="AZ212" i="32"/>
  <c r="BA212" i="32"/>
  <c r="AZ213" i="32"/>
  <c r="BA213" i="32"/>
  <c r="AZ214" i="32"/>
  <c r="BA214" i="32"/>
  <c r="AZ215" i="32"/>
  <c r="BA215" i="32"/>
  <c r="AZ216" i="32"/>
  <c r="BA216" i="32"/>
  <c r="AZ217" i="32"/>
  <c r="BA217" i="32"/>
  <c r="AZ218" i="32"/>
  <c r="BA218" i="32"/>
  <c r="AZ219" i="32"/>
  <c r="BA219" i="32"/>
  <c r="AZ220" i="32"/>
  <c r="BA220" i="32"/>
  <c r="AZ221" i="32"/>
  <c r="BA221" i="32"/>
  <c r="AZ209" i="32"/>
  <c r="BA209" i="32"/>
  <c r="BA210" i="32"/>
  <c r="AZ210" i="32"/>
  <c r="AX219" i="32"/>
  <c r="AX220" i="32"/>
  <c r="AS209" i="32"/>
  <c r="AS211" i="32"/>
  <c r="AS212" i="32"/>
  <c r="AS213" i="32"/>
  <c r="AS214" i="32"/>
  <c r="AS215" i="32"/>
  <c r="AS216" i="32"/>
  <c r="AS217" i="32"/>
  <c r="AS219" i="32"/>
  <c r="AS220" i="32"/>
  <c r="AS221" i="32"/>
  <c r="AS210" i="32"/>
  <c r="AJ212" i="32"/>
  <c r="AJ213" i="32"/>
  <c r="AJ214" i="32"/>
  <c r="AJ215" i="32"/>
  <c r="AJ216" i="32"/>
  <c r="AJ217" i="32"/>
  <c r="AJ218" i="32"/>
  <c r="AJ219" i="32"/>
  <c r="AJ220" i="32"/>
  <c r="AJ221" i="32"/>
  <c r="AJ211" i="32"/>
  <c r="Z210" i="32"/>
  <c r="AD210" i="32"/>
  <c r="AE210" i="32"/>
  <c r="Z211" i="32"/>
  <c r="AD211" i="32"/>
  <c r="AE211" i="32"/>
  <c r="Z212" i="32"/>
  <c r="AD212" i="32"/>
  <c r="AE212" i="32"/>
  <c r="Z213" i="32"/>
  <c r="AD213" i="32"/>
  <c r="AE213" i="32"/>
  <c r="Z214" i="32"/>
  <c r="AD214" i="32"/>
  <c r="AE214" i="32"/>
  <c r="Z215" i="32"/>
  <c r="AD215" i="32"/>
  <c r="AE215" i="32"/>
  <c r="Z216" i="32"/>
  <c r="AD216" i="32"/>
  <c r="AE216" i="32"/>
  <c r="Z217" i="32"/>
  <c r="AD217" i="32"/>
  <c r="AE217" i="32"/>
  <c r="Z218" i="32"/>
  <c r="AD218" i="32"/>
  <c r="AE218" i="32"/>
  <c r="Z219" i="32"/>
  <c r="AD219" i="32"/>
  <c r="AE219" i="32"/>
  <c r="Z220" i="32"/>
  <c r="AD220" i="32"/>
  <c r="AE220" i="32"/>
  <c r="Z221" i="32"/>
  <c r="AD221" i="32"/>
  <c r="AE221" i="32"/>
  <c r="AE209" i="32"/>
  <c r="AD209" i="32"/>
  <c r="Z209" i="32"/>
  <c r="K221" i="32" l="1"/>
  <c r="K220" i="32"/>
  <c r="K219" i="32"/>
  <c r="B169" i="32" l="1"/>
  <c r="E169" i="32" s="1"/>
  <c r="C169" i="32"/>
  <c r="D169" i="32"/>
  <c r="G169" i="32"/>
  <c r="J169" i="32" s="1"/>
  <c r="H169" i="32"/>
  <c r="I169" i="32"/>
  <c r="B170" i="32"/>
  <c r="E170" i="32" s="1"/>
  <c r="C170" i="32"/>
  <c r="D170" i="32"/>
  <c r="G170" i="32"/>
  <c r="J170" i="32" s="1"/>
  <c r="H170" i="32"/>
  <c r="I170" i="32"/>
  <c r="B171" i="32"/>
  <c r="E171" i="32" s="1"/>
  <c r="C171" i="32"/>
  <c r="D171" i="32"/>
  <c r="G171" i="32"/>
  <c r="J171" i="32" s="1"/>
  <c r="H171" i="32"/>
  <c r="I171" i="32"/>
  <c r="B172" i="32"/>
  <c r="C172" i="32"/>
  <c r="D172" i="32"/>
  <c r="F178" i="32" s="1"/>
  <c r="E172" i="32"/>
  <c r="F172" i="32"/>
  <c r="G172" i="32"/>
  <c r="J172" i="32" s="1"/>
  <c r="H172" i="32"/>
  <c r="I172" i="32"/>
  <c r="B173" i="32"/>
  <c r="C173" i="32"/>
  <c r="D173" i="32"/>
  <c r="E173" i="32"/>
  <c r="F173" i="32"/>
  <c r="G173" i="32"/>
  <c r="H173" i="32"/>
  <c r="I173" i="32"/>
  <c r="B174" i="32"/>
  <c r="C174" i="32"/>
  <c r="D174" i="32"/>
  <c r="F180" i="32" s="1"/>
  <c r="G174" i="32"/>
  <c r="H174" i="32"/>
  <c r="I174" i="32"/>
  <c r="J174" i="32"/>
  <c r="B175" i="32"/>
  <c r="E175" i="32" s="1"/>
  <c r="C175" i="32"/>
  <c r="D175" i="32"/>
  <c r="G175" i="32"/>
  <c r="H175" i="32"/>
  <c r="I175" i="32"/>
  <c r="K181" i="32" s="1"/>
  <c r="J175" i="32"/>
  <c r="B176" i="32"/>
  <c r="E176" i="32" s="1"/>
  <c r="C176" i="32"/>
  <c r="D176" i="32"/>
  <c r="G176" i="32"/>
  <c r="H176" i="32"/>
  <c r="I176" i="32"/>
  <c r="J176" i="32"/>
  <c r="B177" i="32"/>
  <c r="E177" i="32" s="1"/>
  <c r="C177" i="32"/>
  <c r="D177" i="32"/>
  <c r="G177" i="32"/>
  <c r="J177" i="32" s="1"/>
  <c r="H177" i="32"/>
  <c r="I177" i="32"/>
  <c r="K183" i="32" s="1"/>
  <c r="B178" i="32"/>
  <c r="E178" i="32" s="1"/>
  <c r="C178" i="32"/>
  <c r="D178" i="32"/>
  <c r="G178" i="32"/>
  <c r="J178" i="32" s="1"/>
  <c r="H178" i="32"/>
  <c r="J181" i="32" s="1"/>
  <c r="I178" i="32"/>
  <c r="B179" i="32"/>
  <c r="C179" i="32"/>
  <c r="D179" i="32"/>
  <c r="E179" i="32"/>
  <c r="F179" i="32"/>
  <c r="G179" i="32"/>
  <c r="K179" i="32" s="1"/>
  <c r="H179" i="32"/>
  <c r="I179" i="32"/>
  <c r="B180" i="32"/>
  <c r="C180" i="32"/>
  <c r="D180" i="32"/>
  <c r="E180" i="32"/>
  <c r="G180" i="32"/>
  <c r="J180" i="32" s="1"/>
  <c r="H180" i="32"/>
  <c r="I180" i="32"/>
  <c r="B181" i="32"/>
  <c r="F181" i="32" s="1"/>
  <c r="C181" i="32"/>
  <c r="D181" i="32"/>
  <c r="E181" i="32"/>
  <c r="G181" i="32"/>
  <c r="H181" i="32"/>
  <c r="I181" i="32"/>
  <c r="B182" i="32"/>
  <c r="E182" i="32" s="1"/>
  <c r="C182" i="32"/>
  <c r="D182" i="32"/>
  <c r="G182" i="32"/>
  <c r="H182" i="32"/>
  <c r="I182" i="32"/>
  <c r="J182" i="32"/>
  <c r="B183" i="32"/>
  <c r="E183" i="32" s="1"/>
  <c r="C183" i="32"/>
  <c r="D183" i="32"/>
  <c r="G183" i="32"/>
  <c r="H183" i="32"/>
  <c r="I183" i="32"/>
  <c r="J183" i="32"/>
  <c r="B184" i="32"/>
  <c r="E184" i="32" s="1"/>
  <c r="C184" i="32"/>
  <c r="D184" i="32"/>
  <c r="G184" i="32"/>
  <c r="H184" i="32"/>
  <c r="I184" i="32"/>
  <c r="J184" i="32"/>
  <c r="B185" i="32"/>
  <c r="E185" i="32" s="1"/>
  <c r="C185" i="32"/>
  <c r="D185" i="32"/>
  <c r="G185" i="32"/>
  <c r="J185" i="32" s="1"/>
  <c r="H185" i="32"/>
  <c r="J188" i="32" s="1"/>
  <c r="I185" i="32"/>
  <c r="B186" i="32"/>
  <c r="E186" i="32" s="1"/>
  <c r="C186" i="32"/>
  <c r="D186" i="32"/>
  <c r="F186" i="32"/>
  <c r="G186" i="32"/>
  <c r="J186" i="32" s="1"/>
  <c r="H186" i="32"/>
  <c r="J189" i="32" s="1"/>
  <c r="I186" i="32"/>
  <c r="B187" i="32"/>
  <c r="C187" i="32"/>
  <c r="D187" i="32"/>
  <c r="E187" i="32"/>
  <c r="F187" i="32"/>
  <c r="G187" i="32"/>
  <c r="K187" i="32" s="1"/>
  <c r="H187" i="32"/>
  <c r="I187" i="32"/>
  <c r="B188" i="32"/>
  <c r="C188" i="32"/>
  <c r="D188" i="32"/>
  <c r="E188" i="32"/>
  <c r="F188" i="32"/>
  <c r="G188" i="32"/>
  <c r="H188" i="32"/>
  <c r="I188" i="32"/>
  <c r="B189" i="32"/>
  <c r="C189" i="32"/>
  <c r="D189" i="32"/>
  <c r="E189" i="32"/>
  <c r="F189" i="32"/>
  <c r="G189" i="32"/>
  <c r="H189" i="32"/>
  <c r="I189" i="32"/>
  <c r="B190" i="32"/>
  <c r="E190" i="32" s="1"/>
  <c r="C190" i="32"/>
  <c r="D190" i="32"/>
  <c r="G190" i="32"/>
  <c r="H190" i="32"/>
  <c r="I190" i="32"/>
  <c r="J190" i="32"/>
  <c r="B191" i="32"/>
  <c r="E191" i="32" s="1"/>
  <c r="C191" i="32"/>
  <c r="D191" i="32"/>
  <c r="G191" i="32"/>
  <c r="H191" i="32"/>
  <c r="I191" i="32"/>
  <c r="J191" i="32"/>
  <c r="B192" i="32"/>
  <c r="E192" i="32" s="1"/>
  <c r="C192" i="32"/>
  <c r="D192" i="32"/>
  <c r="G192" i="32"/>
  <c r="H192" i="32"/>
  <c r="I192" i="32"/>
  <c r="J192" i="32"/>
  <c r="B193" i="32"/>
  <c r="E193" i="32" s="1"/>
  <c r="C193" i="32"/>
  <c r="D193" i="32"/>
  <c r="G193" i="32"/>
  <c r="J193" i="32" s="1"/>
  <c r="H193" i="32"/>
  <c r="I193" i="32"/>
  <c r="B194" i="32"/>
  <c r="E194" i="32" s="1"/>
  <c r="C194" i="32"/>
  <c r="D194" i="32"/>
  <c r="F194" i="32"/>
  <c r="G194" i="32"/>
  <c r="J194" i="32" s="1"/>
  <c r="H194" i="32"/>
  <c r="I194" i="32"/>
  <c r="B195" i="32"/>
  <c r="C195" i="32"/>
  <c r="D195" i="32"/>
  <c r="E195" i="32"/>
  <c r="F195" i="32"/>
  <c r="G195" i="32"/>
  <c r="K195" i="32" s="1"/>
  <c r="H195" i="32"/>
  <c r="I195" i="32"/>
  <c r="B196" i="32"/>
  <c r="C196" i="32"/>
  <c r="D196" i="32"/>
  <c r="E196" i="32"/>
  <c r="F196" i="32"/>
  <c r="G196" i="32"/>
  <c r="J196" i="32" s="1"/>
  <c r="H196" i="32"/>
  <c r="I196" i="32"/>
  <c r="B197" i="32"/>
  <c r="C197" i="32"/>
  <c r="D197" i="32"/>
  <c r="E197" i="32"/>
  <c r="F197" i="32"/>
  <c r="G197" i="32"/>
  <c r="J197" i="32" s="1"/>
  <c r="H197" i="32"/>
  <c r="I197" i="32"/>
  <c r="B198" i="32"/>
  <c r="E198" i="32" s="1"/>
  <c r="C198" i="32"/>
  <c r="D198" i="32"/>
  <c r="G198" i="32"/>
  <c r="H198" i="32"/>
  <c r="I198" i="32"/>
  <c r="J198" i="32"/>
  <c r="B199" i="32"/>
  <c r="E199" i="32" s="1"/>
  <c r="C199" i="32"/>
  <c r="D199" i="32"/>
  <c r="G199" i="32"/>
  <c r="H199" i="32"/>
  <c r="I199" i="32"/>
  <c r="J199" i="32"/>
  <c r="B200" i="32"/>
  <c r="E200" i="32" s="1"/>
  <c r="C200" i="32"/>
  <c r="D200" i="32"/>
  <c r="G200" i="32"/>
  <c r="H200" i="32"/>
  <c r="I200" i="32"/>
  <c r="J200" i="32"/>
  <c r="B201" i="32"/>
  <c r="E201" i="32" s="1"/>
  <c r="C201" i="32"/>
  <c r="D201" i="32"/>
  <c r="G201" i="32"/>
  <c r="J201" i="32" s="1"/>
  <c r="H201" i="32"/>
  <c r="I201" i="32"/>
  <c r="B202" i="32"/>
  <c r="E202" i="32" s="1"/>
  <c r="C202" i="32"/>
  <c r="D202" i="32"/>
  <c r="F202" i="32"/>
  <c r="G202" i="32"/>
  <c r="J202" i="32" s="1"/>
  <c r="H202" i="32"/>
  <c r="I202" i="32"/>
  <c r="B203" i="32"/>
  <c r="C203" i="32"/>
  <c r="D203" i="32"/>
  <c r="E203" i="32"/>
  <c r="F203" i="32"/>
  <c r="G203" i="32"/>
  <c r="J203" i="32" s="1"/>
  <c r="H203" i="32"/>
  <c r="I203" i="32"/>
  <c r="B119" i="32"/>
  <c r="E119" i="32" s="1"/>
  <c r="C119" i="32"/>
  <c r="D119" i="32"/>
  <c r="G119" i="32"/>
  <c r="J119" i="32" s="1"/>
  <c r="H119" i="32"/>
  <c r="I119" i="32"/>
  <c r="B120" i="32"/>
  <c r="E120" i="32" s="1"/>
  <c r="C120" i="32"/>
  <c r="E123" i="32" s="1"/>
  <c r="D120" i="32"/>
  <c r="G120" i="32"/>
  <c r="J120" i="32" s="1"/>
  <c r="H120" i="32"/>
  <c r="J123" i="32" s="1"/>
  <c r="I120" i="32"/>
  <c r="B121" i="32"/>
  <c r="F121" i="32" s="1"/>
  <c r="C121" i="32"/>
  <c r="D121" i="32"/>
  <c r="G121" i="32"/>
  <c r="J121" i="32" s="1"/>
  <c r="H121" i="32"/>
  <c r="J124" i="32" s="1"/>
  <c r="I121" i="32"/>
  <c r="B122" i="32"/>
  <c r="E122" i="32" s="1"/>
  <c r="C122" i="32"/>
  <c r="E125" i="32" s="1"/>
  <c r="D122" i="32"/>
  <c r="F128" i="32" s="1"/>
  <c r="F122" i="32"/>
  <c r="G122" i="32"/>
  <c r="J122" i="32" s="1"/>
  <c r="H122" i="32"/>
  <c r="I122" i="32"/>
  <c r="B123" i="32"/>
  <c r="F123" i="32" s="1"/>
  <c r="C123" i="32"/>
  <c r="D123" i="32"/>
  <c r="G123" i="32"/>
  <c r="H123" i="32"/>
  <c r="I123" i="32"/>
  <c r="B124" i="32"/>
  <c r="C124" i="32"/>
  <c r="D124" i="32"/>
  <c r="G124" i="32"/>
  <c r="H124" i="32"/>
  <c r="I124" i="32"/>
  <c r="B125" i="32"/>
  <c r="C125" i="32"/>
  <c r="E128" i="32" s="1"/>
  <c r="D125" i="32"/>
  <c r="F125" i="32"/>
  <c r="G125" i="32"/>
  <c r="H125" i="32"/>
  <c r="J128" i="32" s="1"/>
  <c r="I125" i="32"/>
  <c r="K131" i="32" s="1"/>
  <c r="J125" i="32"/>
  <c r="B126" i="32"/>
  <c r="E126" i="32" s="1"/>
  <c r="C126" i="32"/>
  <c r="D126" i="32"/>
  <c r="G126" i="32"/>
  <c r="H126" i="32"/>
  <c r="I126" i="32"/>
  <c r="J126" i="32"/>
  <c r="B127" i="32"/>
  <c r="E127" i="32" s="1"/>
  <c r="C127" i="32"/>
  <c r="D127" i="32"/>
  <c r="G127" i="32"/>
  <c r="J127" i="32" s="1"/>
  <c r="H127" i="32"/>
  <c r="I127" i="32"/>
  <c r="K133" i="32" s="1"/>
  <c r="B128" i="32"/>
  <c r="C128" i="32"/>
  <c r="D128" i="32"/>
  <c r="G128" i="32"/>
  <c r="H128" i="32"/>
  <c r="J131" i="32" s="1"/>
  <c r="I128" i="32"/>
  <c r="B129" i="32"/>
  <c r="F129" i="32" s="1"/>
  <c r="C129" i="32"/>
  <c r="D129" i="32"/>
  <c r="E129" i="32"/>
  <c r="G129" i="32"/>
  <c r="J129" i="32" s="1"/>
  <c r="H129" i="32"/>
  <c r="I129" i="32"/>
  <c r="B130" i="32"/>
  <c r="C130" i="32"/>
  <c r="D130" i="32"/>
  <c r="E130" i="32"/>
  <c r="F130" i="32"/>
  <c r="G130" i="32"/>
  <c r="J130" i="32" s="1"/>
  <c r="H130" i="32"/>
  <c r="I130" i="32"/>
  <c r="B131" i="32"/>
  <c r="F131" i="32" s="1"/>
  <c r="C131" i="32"/>
  <c r="D131" i="32"/>
  <c r="E131" i="32"/>
  <c r="G131" i="32"/>
  <c r="H131" i="32"/>
  <c r="I131" i="32"/>
  <c r="B132" i="32"/>
  <c r="E132" i="32" s="1"/>
  <c r="C132" i="32"/>
  <c r="D132" i="32"/>
  <c r="G132" i="32"/>
  <c r="H132" i="32"/>
  <c r="I132" i="32"/>
  <c r="J132" i="32"/>
  <c r="B133" i="32"/>
  <c r="E133" i="32" s="1"/>
  <c r="C133" i="32"/>
  <c r="E136" i="32" s="1"/>
  <c r="D133" i="32"/>
  <c r="F133" i="32"/>
  <c r="G133" i="32"/>
  <c r="H133" i="32"/>
  <c r="I133" i="32"/>
  <c r="K139" i="32" s="1"/>
  <c r="J133" i="32"/>
  <c r="B134" i="32"/>
  <c r="E134" i="32" s="1"/>
  <c r="C134" i="32"/>
  <c r="D134" i="32"/>
  <c r="G134" i="32"/>
  <c r="H134" i="32"/>
  <c r="I134" i="32"/>
  <c r="J134" i="32"/>
  <c r="B135" i="32"/>
  <c r="E135" i="32" s="1"/>
  <c r="C135" i="32"/>
  <c r="D135" i="32"/>
  <c r="G135" i="32"/>
  <c r="J135" i="32" s="1"/>
  <c r="H135" i="32"/>
  <c r="I135" i="32"/>
  <c r="K141" i="32" s="1"/>
  <c r="B136" i="32"/>
  <c r="C136" i="32"/>
  <c r="D136" i="32"/>
  <c r="F136" i="32"/>
  <c r="G136" i="32"/>
  <c r="J136" i="32" s="1"/>
  <c r="H136" i="32"/>
  <c r="J139" i="32" s="1"/>
  <c r="I136" i="32"/>
  <c r="B137" i="32"/>
  <c r="F137" i="32" s="1"/>
  <c r="C137" i="32"/>
  <c r="D137" i="32"/>
  <c r="E137" i="32"/>
  <c r="G137" i="32"/>
  <c r="J137" i="32" s="1"/>
  <c r="H137" i="32"/>
  <c r="I137" i="32"/>
  <c r="B138" i="32"/>
  <c r="C138" i="32"/>
  <c r="D138" i="32"/>
  <c r="E138" i="32"/>
  <c r="F138" i="32"/>
  <c r="G138" i="32"/>
  <c r="J138" i="32" s="1"/>
  <c r="H138" i="32"/>
  <c r="I138" i="32"/>
  <c r="B139" i="32"/>
  <c r="F139" i="32" s="1"/>
  <c r="C139" i="32"/>
  <c r="D139" i="32"/>
  <c r="E139" i="32"/>
  <c r="G139" i="32"/>
  <c r="H139" i="32"/>
  <c r="I139" i="32"/>
  <c r="B140" i="32"/>
  <c r="E140" i="32" s="1"/>
  <c r="C140" i="32"/>
  <c r="D140" i="32"/>
  <c r="G140" i="32"/>
  <c r="H140" i="32"/>
  <c r="I140" i="32"/>
  <c r="J140" i="32"/>
  <c r="B141" i="32"/>
  <c r="E141" i="32" s="1"/>
  <c r="C141" i="32"/>
  <c r="E144" i="32" s="1"/>
  <c r="D141" i="32"/>
  <c r="F141" i="32"/>
  <c r="G141" i="32"/>
  <c r="H141" i="32"/>
  <c r="I141" i="32"/>
  <c r="K147" i="32" s="1"/>
  <c r="J141" i="32"/>
  <c r="B142" i="32"/>
  <c r="E142" i="32" s="1"/>
  <c r="C142" i="32"/>
  <c r="D142" i="32"/>
  <c r="G142" i="32"/>
  <c r="H142" i="32"/>
  <c r="I142" i="32"/>
  <c r="J142" i="32"/>
  <c r="B143" i="32"/>
  <c r="E143" i="32" s="1"/>
  <c r="C143" i="32"/>
  <c r="D143" i="32"/>
  <c r="G143" i="32"/>
  <c r="J143" i="32" s="1"/>
  <c r="H143" i="32"/>
  <c r="I143" i="32"/>
  <c r="K149" i="32" s="1"/>
  <c r="B144" i="32"/>
  <c r="C144" i="32"/>
  <c r="D144" i="32"/>
  <c r="F144" i="32"/>
  <c r="G144" i="32"/>
  <c r="J144" i="32" s="1"/>
  <c r="H144" i="32"/>
  <c r="J147" i="32" s="1"/>
  <c r="I144" i="32"/>
  <c r="B145" i="32"/>
  <c r="F145" i="32" s="1"/>
  <c r="C145" i="32"/>
  <c r="D145" i="32"/>
  <c r="E145" i="32"/>
  <c r="G145" i="32"/>
  <c r="J145" i="32" s="1"/>
  <c r="H145" i="32"/>
  <c r="I145" i="32"/>
  <c r="B146" i="32"/>
  <c r="C146" i="32"/>
  <c r="D146" i="32"/>
  <c r="E146" i="32"/>
  <c r="F146" i="32"/>
  <c r="G146" i="32"/>
  <c r="J146" i="32" s="1"/>
  <c r="H146" i="32"/>
  <c r="I146" i="32"/>
  <c r="B147" i="32"/>
  <c r="F147" i="32" s="1"/>
  <c r="C147" i="32"/>
  <c r="D147" i="32"/>
  <c r="E147" i="32"/>
  <c r="G147" i="32"/>
  <c r="H147" i="32"/>
  <c r="I147" i="32"/>
  <c r="B148" i="32"/>
  <c r="E148" i="32" s="1"/>
  <c r="C148" i="32"/>
  <c r="D148" i="32"/>
  <c r="G148" i="32"/>
  <c r="H148" i="32"/>
  <c r="I148" i="32"/>
  <c r="J148" i="32"/>
  <c r="B149" i="32"/>
  <c r="E149" i="32" s="1"/>
  <c r="C149" i="32"/>
  <c r="D149" i="32"/>
  <c r="G149" i="32"/>
  <c r="H149" i="32"/>
  <c r="I149" i="32"/>
  <c r="J149" i="32"/>
  <c r="B150" i="32"/>
  <c r="E150" i="32" s="1"/>
  <c r="C150" i="32"/>
  <c r="D150" i="32"/>
  <c r="G150" i="32"/>
  <c r="H150" i="32"/>
  <c r="I150" i="32"/>
  <c r="J150" i="32"/>
  <c r="B151" i="32"/>
  <c r="E151" i="32" s="1"/>
  <c r="C151" i="32"/>
  <c r="D151" i="32"/>
  <c r="G151" i="32"/>
  <c r="J151" i="32" s="1"/>
  <c r="H151" i="32"/>
  <c r="I151" i="32"/>
  <c r="B69" i="32"/>
  <c r="B221" i="32" s="1"/>
  <c r="C69" i="32"/>
  <c r="C221" i="32" s="1"/>
  <c r="D69" i="32"/>
  <c r="D221" i="32" s="1"/>
  <c r="G69" i="32"/>
  <c r="H69" i="32"/>
  <c r="I69" i="32"/>
  <c r="B70" i="32"/>
  <c r="C70" i="32"/>
  <c r="D70" i="32"/>
  <c r="D222" i="32" s="1"/>
  <c r="G70" i="32"/>
  <c r="H70" i="32"/>
  <c r="I70" i="32"/>
  <c r="B71" i="32"/>
  <c r="C71" i="32"/>
  <c r="D71" i="32"/>
  <c r="G71" i="32"/>
  <c r="H71" i="32"/>
  <c r="I71" i="32"/>
  <c r="B72" i="32"/>
  <c r="E72" i="32" s="1"/>
  <c r="C72" i="32"/>
  <c r="D72" i="32"/>
  <c r="G72" i="32"/>
  <c r="H72" i="32"/>
  <c r="I72" i="32"/>
  <c r="B73" i="32"/>
  <c r="C73" i="32"/>
  <c r="D73" i="32"/>
  <c r="G73" i="32"/>
  <c r="H73" i="32"/>
  <c r="I73" i="32"/>
  <c r="B74" i="32"/>
  <c r="C74" i="32"/>
  <c r="D74" i="32"/>
  <c r="G74" i="32"/>
  <c r="H74" i="32"/>
  <c r="I74" i="32"/>
  <c r="B75" i="32"/>
  <c r="C75" i="32"/>
  <c r="D75" i="32"/>
  <c r="G75" i="32"/>
  <c r="H75" i="32"/>
  <c r="I75" i="32"/>
  <c r="B76" i="32"/>
  <c r="C76" i="32"/>
  <c r="D76" i="32"/>
  <c r="G76" i="32"/>
  <c r="H76" i="32"/>
  <c r="I76" i="32"/>
  <c r="B77" i="32"/>
  <c r="E77" i="32" s="1"/>
  <c r="C77" i="32"/>
  <c r="D77" i="32"/>
  <c r="G77" i="32"/>
  <c r="K77" i="32" s="1"/>
  <c r="H77" i="32"/>
  <c r="I77" i="32"/>
  <c r="B78" i="32"/>
  <c r="C78" i="32"/>
  <c r="D78" i="32"/>
  <c r="G78" i="32"/>
  <c r="H78" i="32"/>
  <c r="I78" i="32"/>
  <c r="K84" i="32" s="1"/>
  <c r="B79" i="32"/>
  <c r="C79" i="32"/>
  <c r="D79" i="32"/>
  <c r="G79" i="32"/>
  <c r="H79" i="32"/>
  <c r="I79" i="32"/>
  <c r="B80" i="32"/>
  <c r="C80" i="32"/>
  <c r="D80" i="32"/>
  <c r="G80" i="32"/>
  <c r="J80" i="32" s="1"/>
  <c r="H80" i="32"/>
  <c r="I80" i="32"/>
  <c r="B81" i="32"/>
  <c r="C81" i="32"/>
  <c r="D81" i="32"/>
  <c r="F81" i="32"/>
  <c r="G81" i="32"/>
  <c r="H81" i="32"/>
  <c r="I81" i="32"/>
  <c r="B82" i="32"/>
  <c r="F82" i="32" s="1"/>
  <c r="C82" i="32"/>
  <c r="D82" i="32"/>
  <c r="G82" i="32"/>
  <c r="J82" i="32" s="1"/>
  <c r="H82" i="32"/>
  <c r="I82" i="32"/>
  <c r="B83" i="32"/>
  <c r="E83" i="32" s="1"/>
  <c r="C83" i="32"/>
  <c r="D83" i="32"/>
  <c r="G83" i="32"/>
  <c r="H83" i="32"/>
  <c r="I83" i="32"/>
  <c r="B84" i="32"/>
  <c r="E84" i="32" s="1"/>
  <c r="C84" i="32"/>
  <c r="D84" i="32"/>
  <c r="G84" i="32"/>
  <c r="J84" i="32" s="1"/>
  <c r="H84" i="32"/>
  <c r="I84" i="32"/>
  <c r="K90" i="32" s="1"/>
  <c r="B85" i="32"/>
  <c r="E85" i="32" s="1"/>
  <c r="C85" i="32"/>
  <c r="D85" i="32"/>
  <c r="G85" i="32"/>
  <c r="H85" i="32"/>
  <c r="I85" i="32"/>
  <c r="B86" i="32"/>
  <c r="C86" i="32"/>
  <c r="D86" i="32"/>
  <c r="G86" i="32"/>
  <c r="K86" i="32" s="1"/>
  <c r="H86" i="32"/>
  <c r="I86" i="32"/>
  <c r="B87" i="32"/>
  <c r="E87" i="32" s="1"/>
  <c r="C87" i="32"/>
  <c r="D87" i="32"/>
  <c r="G87" i="32"/>
  <c r="H87" i="32"/>
  <c r="I87" i="32"/>
  <c r="B88" i="32"/>
  <c r="C88" i="32"/>
  <c r="D88" i="32"/>
  <c r="F88" i="32"/>
  <c r="G88" i="32"/>
  <c r="H88" i="32"/>
  <c r="I88" i="32"/>
  <c r="B89" i="32"/>
  <c r="E89" i="32" s="1"/>
  <c r="C89" i="32"/>
  <c r="D89" i="32"/>
  <c r="G89" i="32"/>
  <c r="H89" i="32"/>
  <c r="I89" i="32"/>
  <c r="B90" i="32"/>
  <c r="F90" i="32" s="1"/>
  <c r="C90" i="32"/>
  <c r="D90" i="32"/>
  <c r="G90" i="32"/>
  <c r="H90" i="32"/>
  <c r="I90" i="32"/>
  <c r="B91" i="32"/>
  <c r="F91" i="32" s="1"/>
  <c r="C91" i="32"/>
  <c r="D91" i="32"/>
  <c r="E91" i="32"/>
  <c r="G91" i="32"/>
  <c r="H91" i="32"/>
  <c r="J94" i="32" s="1"/>
  <c r="I91" i="32"/>
  <c r="B92" i="32"/>
  <c r="E92" i="32" s="1"/>
  <c r="C92" i="32"/>
  <c r="D92" i="32"/>
  <c r="G92" i="32"/>
  <c r="J92" i="32" s="1"/>
  <c r="H92" i="32"/>
  <c r="I92" i="32"/>
  <c r="B93" i="32"/>
  <c r="E93" i="32" s="1"/>
  <c r="C93" i="32"/>
  <c r="D93" i="32"/>
  <c r="G93" i="32"/>
  <c r="H93" i="32"/>
  <c r="I93" i="32"/>
  <c r="B94" i="32"/>
  <c r="C94" i="32"/>
  <c r="D94" i="32"/>
  <c r="G94" i="32"/>
  <c r="H94" i="32"/>
  <c r="I94" i="32"/>
  <c r="B95" i="32"/>
  <c r="C95" i="32"/>
  <c r="D95" i="32"/>
  <c r="G95" i="32"/>
  <c r="H95" i="32"/>
  <c r="I95" i="32"/>
  <c r="B96" i="32"/>
  <c r="E96" i="32" s="1"/>
  <c r="C96" i="32"/>
  <c r="D96" i="32"/>
  <c r="G96" i="32"/>
  <c r="K96" i="32" s="1"/>
  <c r="H96" i="32"/>
  <c r="I96" i="32"/>
  <c r="B97" i="32"/>
  <c r="E97" i="32" s="1"/>
  <c r="C97" i="32"/>
  <c r="D97" i="32"/>
  <c r="G97" i="32"/>
  <c r="K97" i="32" s="1"/>
  <c r="H97" i="32"/>
  <c r="I97" i="32"/>
  <c r="B98" i="32"/>
  <c r="C98" i="32"/>
  <c r="D98" i="32"/>
  <c r="G98" i="32"/>
  <c r="H98" i="32"/>
  <c r="I98" i="32"/>
  <c r="B99" i="32"/>
  <c r="C99" i="32"/>
  <c r="D99" i="32"/>
  <c r="G99" i="32"/>
  <c r="H99" i="32"/>
  <c r="I99" i="32"/>
  <c r="B100" i="32"/>
  <c r="C100" i="32"/>
  <c r="D100" i="32"/>
  <c r="G100" i="32"/>
  <c r="J100" i="32" s="1"/>
  <c r="H100" i="32"/>
  <c r="I100" i="32"/>
  <c r="B101" i="32"/>
  <c r="C101" i="32"/>
  <c r="D101" i="32"/>
  <c r="G101" i="32"/>
  <c r="J101" i="32" s="1"/>
  <c r="H101" i="32"/>
  <c r="I101" i="32"/>
  <c r="B20" i="32"/>
  <c r="E20" i="32" s="1"/>
  <c r="C20" i="32"/>
  <c r="D20" i="32"/>
  <c r="B21" i="32"/>
  <c r="E21" i="32" s="1"/>
  <c r="C21" i="32"/>
  <c r="E24" i="32" s="1"/>
  <c r="D21" i="32"/>
  <c r="F27" i="32" s="1"/>
  <c r="B22" i="32"/>
  <c r="E22" i="32" s="1"/>
  <c r="C22" i="32"/>
  <c r="D22" i="32"/>
  <c r="B23" i="32"/>
  <c r="E23" i="32" s="1"/>
  <c r="C23" i="32"/>
  <c r="D23" i="32"/>
  <c r="B24" i="32"/>
  <c r="C24" i="32"/>
  <c r="D24" i="32"/>
  <c r="F24" i="32"/>
  <c r="B25" i="32"/>
  <c r="E25" i="32" s="1"/>
  <c r="C25" i="32"/>
  <c r="D25" i="32"/>
  <c r="B26" i="32"/>
  <c r="C26" i="32"/>
  <c r="E29" i="32" s="1"/>
  <c r="D26" i="32"/>
  <c r="E26" i="32"/>
  <c r="F26" i="32"/>
  <c r="B27" i="32"/>
  <c r="E27" i="32" s="1"/>
  <c r="C27" i="32"/>
  <c r="D27" i="32"/>
  <c r="B28" i="32"/>
  <c r="E28" i="32" s="1"/>
  <c r="C28" i="32"/>
  <c r="D28" i="32"/>
  <c r="B29" i="32"/>
  <c r="C29" i="32"/>
  <c r="D29" i="32"/>
  <c r="F29" i="32"/>
  <c r="B30" i="32"/>
  <c r="E30" i="32" s="1"/>
  <c r="C30" i="32"/>
  <c r="D30" i="32"/>
  <c r="B31" i="32"/>
  <c r="E31" i="32" s="1"/>
  <c r="C31" i="32"/>
  <c r="D31" i="32"/>
  <c r="B32" i="32"/>
  <c r="C32" i="32"/>
  <c r="D32" i="32"/>
  <c r="E32" i="32"/>
  <c r="F32" i="32"/>
  <c r="B33" i="32"/>
  <c r="E33" i="32" s="1"/>
  <c r="C33" i="32"/>
  <c r="D33" i="32"/>
  <c r="B34" i="32"/>
  <c r="C34" i="32"/>
  <c r="E37" i="32" s="1"/>
  <c r="D34" i="32"/>
  <c r="E34" i="32"/>
  <c r="F34" i="32"/>
  <c r="B35" i="32"/>
  <c r="E35" i="32" s="1"/>
  <c r="C35" i="32"/>
  <c r="D35" i="32"/>
  <c r="F35" i="32"/>
  <c r="B36" i="32"/>
  <c r="E36" i="32" s="1"/>
  <c r="C36" i="32"/>
  <c r="D36" i="32"/>
  <c r="B37" i="32"/>
  <c r="C37" i="32"/>
  <c r="D37" i="32"/>
  <c r="F37" i="32"/>
  <c r="B38" i="32"/>
  <c r="E38" i="32" s="1"/>
  <c r="C38" i="32"/>
  <c r="D38" i="32"/>
  <c r="B39" i="32"/>
  <c r="E39" i="32" s="1"/>
  <c r="C39" i="32"/>
  <c r="D39" i="32"/>
  <c r="B40" i="32"/>
  <c r="C40" i="32"/>
  <c r="D40" i="32"/>
  <c r="E40" i="32"/>
  <c r="F40" i="32"/>
  <c r="B41" i="32"/>
  <c r="E41" i="32" s="1"/>
  <c r="C41" i="32"/>
  <c r="D41" i="32"/>
  <c r="B42" i="32"/>
  <c r="C42" i="32"/>
  <c r="E45" i="32" s="1"/>
  <c r="D42" i="32"/>
  <c r="E42" i="32"/>
  <c r="F42" i="32"/>
  <c r="B43" i="32"/>
  <c r="E43" i="32" s="1"/>
  <c r="C43" i="32"/>
  <c r="D43" i="32"/>
  <c r="F43" i="32"/>
  <c r="B44" i="32"/>
  <c r="E44" i="32" s="1"/>
  <c r="C44" i="32"/>
  <c r="D44" i="32"/>
  <c r="B45" i="32"/>
  <c r="C45" i="32"/>
  <c r="D45" i="32"/>
  <c r="F51" i="32" s="1"/>
  <c r="F45" i="32"/>
  <c r="B46" i="32"/>
  <c r="E46" i="32" s="1"/>
  <c r="C46" i="32"/>
  <c r="D46" i="32"/>
  <c r="B47" i="32"/>
  <c r="E47" i="32" s="1"/>
  <c r="C47" i="32"/>
  <c r="D47" i="32"/>
  <c r="B48" i="32"/>
  <c r="C48" i="32"/>
  <c r="D48" i="32"/>
  <c r="E48" i="32"/>
  <c r="F48" i="32"/>
  <c r="B49" i="32"/>
  <c r="E49" i="32" s="1"/>
  <c r="C49" i="32"/>
  <c r="D49" i="32"/>
  <c r="B50" i="32"/>
  <c r="C50" i="32"/>
  <c r="D50" i="32"/>
  <c r="E50" i="32"/>
  <c r="F50" i="32"/>
  <c r="B51" i="32"/>
  <c r="E51" i="32" s="1"/>
  <c r="C51" i="32"/>
  <c r="D51" i="32"/>
  <c r="B52" i="32"/>
  <c r="E52" i="32" s="1"/>
  <c r="C52" i="32"/>
  <c r="D52" i="32"/>
  <c r="K169" i="32"/>
  <c r="L169" i="32"/>
  <c r="O169" i="32" s="1"/>
  <c r="M169" i="32"/>
  <c r="N169" i="32"/>
  <c r="P169" i="32"/>
  <c r="Q169" i="32"/>
  <c r="T169" i="32" s="1"/>
  <c r="R169" i="32"/>
  <c r="S169" i="32"/>
  <c r="V169" i="32"/>
  <c r="W169" i="32"/>
  <c r="X169" i="32"/>
  <c r="Y169" i="32"/>
  <c r="Z169" i="32"/>
  <c r="AA169" i="32"/>
  <c r="AD169" i="32" s="1"/>
  <c r="AB169" i="32"/>
  <c r="AC169" i="32"/>
  <c r="L170" i="32"/>
  <c r="O170" i="32" s="1"/>
  <c r="M170" i="32"/>
  <c r="N170" i="32"/>
  <c r="P176" i="32" s="1"/>
  <c r="Q170" i="32"/>
  <c r="R170" i="32"/>
  <c r="S170" i="32"/>
  <c r="U176" i="32" s="1"/>
  <c r="T170" i="32"/>
  <c r="U170" i="32"/>
  <c r="V170" i="32"/>
  <c r="Y170" i="32" s="1"/>
  <c r="W170" i="32"/>
  <c r="X170" i="32"/>
  <c r="AA170" i="32"/>
  <c r="AD170" i="32" s="1"/>
  <c r="AB170" i="32"/>
  <c r="AC170" i="32"/>
  <c r="L171" i="32"/>
  <c r="O171" i="32" s="1"/>
  <c r="M171" i="32"/>
  <c r="O174" i="32" s="1"/>
  <c r="N171" i="32"/>
  <c r="Q171" i="32"/>
  <c r="T171" i="32" s="1"/>
  <c r="R171" i="32"/>
  <c r="S171" i="32"/>
  <c r="V171" i="32"/>
  <c r="Y171" i="32" s="1"/>
  <c r="W171" i="32"/>
  <c r="Y174" i="32" s="1"/>
  <c r="X171" i="32"/>
  <c r="Z177" i="32" s="1"/>
  <c r="AA171" i="32"/>
  <c r="AB171" i="32"/>
  <c r="AC171" i="32"/>
  <c r="AD171" i="32"/>
  <c r="AE171" i="32"/>
  <c r="K172" i="32"/>
  <c r="L172" i="32"/>
  <c r="O172" i="32" s="1"/>
  <c r="M172" i="32"/>
  <c r="N172" i="32"/>
  <c r="Q172" i="32"/>
  <c r="T172" i="32" s="1"/>
  <c r="R172" i="32"/>
  <c r="S172" i="32"/>
  <c r="V172" i="32"/>
  <c r="W172" i="32"/>
  <c r="X172" i="32"/>
  <c r="Y172" i="32"/>
  <c r="Z172" i="32"/>
  <c r="AA172" i="32"/>
  <c r="AD172" i="32" s="1"/>
  <c r="AB172" i="32"/>
  <c r="AC172" i="32"/>
  <c r="K173" i="32"/>
  <c r="L173" i="32"/>
  <c r="O173" i="32" s="1"/>
  <c r="M173" i="32"/>
  <c r="N173" i="32"/>
  <c r="Q173" i="32"/>
  <c r="R173" i="32"/>
  <c r="S173" i="32"/>
  <c r="T173" i="32"/>
  <c r="U173" i="32"/>
  <c r="V173" i="32"/>
  <c r="Y173" i="32" s="1"/>
  <c r="W173" i="32"/>
  <c r="X173" i="32"/>
  <c r="AA173" i="32"/>
  <c r="AB173" i="32"/>
  <c r="AD176" i="32" s="1"/>
  <c r="AC173" i="32"/>
  <c r="AD173" i="32"/>
  <c r="AE173" i="32"/>
  <c r="K174" i="32"/>
  <c r="L174" i="32"/>
  <c r="M174" i="32"/>
  <c r="N174" i="32"/>
  <c r="P174" i="32"/>
  <c r="Q174" i="32"/>
  <c r="T174" i="32" s="1"/>
  <c r="R174" i="32"/>
  <c r="S174" i="32"/>
  <c r="V174" i="32"/>
  <c r="W174" i="32"/>
  <c r="Y177" i="32" s="1"/>
  <c r="X174" i="32"/>
  <c r="Z174" i="32"/>
  <c r="AA174" i="32"/>
  <c r="AD174" i="32" s="1"/>
  <c r="AB174" i="32"/>
  <c r="AC174" i="32"/>
  <c r="AE174" i="32"/>
  <c r="K175" i="32"/>
  <c r="L175" i="32"/>
  <c r="O175" i="32" s="1"/>
  <c r="M175" i="32"/>
  <c r="N175" i="32"/>
  <c r="Q175" i="32"/>
  <c r="R175" i="32"/>
  <c r="T178" i="32" s="1"/>
  <c r="S175" i="32"/>
  <c r="T175" i="32"/>
  <c r="U175" i="32"/>
  <c r="V175" i="32"/>
  <c r="Y175" i="32" s="1"/>
  <c r="W175" i="32"/>
  <c r="X175" i="32"/>
  <c r="Z175" i="32"/>
  <c r="AA175" i="32"/>
  <c r="AD175" i="32" s="1"/>
  <c r="AB175" i="32"/>
  <c r="AC175" i="32"/>
  <c r="K176" i="32"/>
  <c r="L176" i="32"/>
  <c r="M176" i="32"/>
  <c r="N176" i="32"/>
  <c r="O176" i="32"/>
  <c r="Q176" i="32"/>
  <c r="R176" i="32"/>
  <c r="S176" i="32"/>
  <c r="T176" i="32"/>
  <c r="V176" i="32"/>
  <c r="Y176" i="32" s="1"/>
  <c r="W176" i="32"/>
  <c r="X176" i="32"/>
  <c r="AA176" i="32"/>
  <c r="AB176" i="32"/>
  <c r="AC176" i="32"/>
  <c r="AE176" i="32"/>
  <c r="L177" i="32"/>
  <c r="M177" i="32"/>
  <c r="N177" i="32"/>
  <c r="O177" i="32"/>
  <c r="P177" i="32"/>
  <c r="Q177" i="32"/>
  <c r="T177" i="32" s="1"/>
  <c r="R177" i="32"/>
  <c r="S177" i="32"/>
  <c r="V177" i="32"/>
  <c r="W177" i="32"/>
  <c r="X177" i="32"/>
  <c r="AA177" i="32"/>
  <c r="AB177" i="32"/>
  <c r="AC177" i="32"/>
  <c r="AD177" i="32"/>
  <c r="L178" i="32"/>
  <c r="O178" i="32" s="1"/>
  <c r="M178" i="32"/>
  <c r="N178" i="32"/>
  <c r="Q178" i="32"/>
  <c r="R178" i="32"/>
  <c r="S178" i="32"/>
  <c r="U178" i="32"/>
  <c r="V178" i="32"/>
  <c r="Z178" i="32" s="1"/>
  <c r="W178" i="32"/>
  <c r="X178" i="32"/>
  <c r="Z184" i="32" s="1"/>
  <c r="Y178" i="32"/>
  <c r="AA178" i="32"/>
  <c r="AD178" i="32" s="1"/>
  <c r="AB178" i="32"/>
  <c r="AC178" i="32"/>
  <c r="L179" i="32"/>
  <c r="O179" i="32" s="1"/>
  <c r="M179" i="32"/>
  <c r="N179" i="32"/>
  <c r="P179" i="32"/>
  <c r="Q179" i="32"/>
  <c r="U179" i="32" s="1"/>
  <c r="R179" i="32"/>
  <c r="S179" i="32"/>
  <c r="T179" i="32"/>
  <c r="V179" i="32"/>
  <c r="Y179" i="32" s="1"/>
  <c r="W179" i="32"/>
  <c r="X179" i="32"/>
  <c r="AA179" i="32"/>
  <c r="AE179" i="32" s="1"/>
  <c r="AB179" i="32"/>
  <c r="AC179" i="32"/>
  <c r="AD179" i="32"/>
  <c r="K180" i="32"/>
  <c r="L180" i="32"/>
  <c r="P180" i="32" s="1"/>
  <c r="M180" i="32"/>
  <c r="N180" i="32"/>
  <c r="O180" i="32"/>
  <c r="Q180" i="32"/>
  <c r="T180" i="32" s="1"/>
  <c r="R180" i="32"/>
  <c r="S180" i="32"/>
  <c r="V180" i="32"/>
  <c r="Z180" i="32" s="1"/>
  <c r="W180" i="32"/>
  <c r="X180" i="32"/>
  <c r="Y180" i="32"/>
  <c r="AA180" i="32"/>
  <c r="AD180" i="32" s="1"/>
  <c r="AB180" i="32"/>
  <c r="AC180" i="32"/>
  <c r="L181" i="32"/>
  <c r="O181" i="32" s="1"/>
  <c r="M181" i="32"/>
  <c r="N181" i="32"/>
  <c r="Q181" i="32"/>
  <c r="U181" i="32" s="1"/>
  <c r="R181" i="32"/>
  <c r="S181" i="32"/>
  <c r="T181" i="32"/>
  <c r="V181" i="32"/>
  <c r="Y181" i="32" s="1"/>
  <c r="W181" i="32"/>
  <c r="X181" i="32"/>
  <c r="AA181" i="32"/>
  <c r="AE181" i="32" s="1"/>
  <c r="AB181" i="32"/>
  <c r="AD184" i="32" s="1"/>
  <c r="AC181" i="32"/>
  <c r="AD181" i="32"/>
  <c r="K182" i="32"/>
  <c r="L182" i="32"/>
  <c r="P182" i="32" s="1"/>
  <c r="M182" i="32"/>
  <c r="N182" i="32"/>
  <c r="O182" i="32"/>
  <c r="Q182" i="32"/>
  <c r="T182" i="32" s="1"/>
  <c r="R182" i="32"/>
  <c r="S182" i="32"/>
  <c r="V182" i="32"/>
  <c r="Z182" i="32" s="1"/>
  <c r="W182" i="32"/>
  <c r="Y185" i="32" s="1"/>
  <c r="X182" i="32"/>
  <c r="Y182" i="32"/>
  <c r="AA182" i="32"/>
  <c r="AB182" i="32"/>
  <c r="AC182" i="32"/>
  <c r="AD182" i="32"/>
  <c r="AE182" i="32"/>
  <c r="L183" i="32"/>
  <c r="O183" i="32" s="1"/>
  <c r="M183" i="32"/>
  <c r="N183" i="32"/>
  <c r="Q183" i="32"/>
  <c r="U183" i="32" s="1"/>
  <c r="R183" i="32"/>
  <c r="T186" i="32" s="1"/>
  <c r="S183" i="32"/>
  <c r="T183" i="32"/>
  <c r="V183" i="32"/>
  <c r="W183" i="32"/>
  <c r="X183" i="32"/>
  <c r="Y183" i="32"/>
  <c r="Z183" i="32"/>
  <c r="AA183" i="32"/>
  <c r="AB183" i="32"/>
  <c r="AC183" i="32"/>
  <c r="AD183" i="32"/>
  <c r="AE183" i="32"/>
  <c r="K184" i="32"/>
  <c r="L184" i="32"/>
  <c r="P184" i="32" s="1"/>
  <c r="M184" i="32"/>
  <c r="O187" i="32" s="1"/>
  <c r="N184" i="32"/>
  <c r="O184" i="32"/>
  <c r="Q184" i="32"/>
  <c r="R184" i="32"/>
  <c r="S184" i="32"/>
  <c r="T184" i="32"/>
  <c r="U184" i="32"/>
  <c r="V184" i="32"/>
  <c r="W184" i="32"/>
  <c r="X184" i="32"/>
  <c r="Y184" i="32"/>
  <c r="AA184" i="32"/>
  <c r="AB184" i="32"/>
  <c r="AC184" i="32"/>
  <c r="AE184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Z185" i="32"/>
  <c r="AA185" i="32"/>
  <c r="AD185" i="32" s="1"/>
  <c r="AB185" i="32"/>
  <c r="AC185" i="32"/>
  <c r="AE185" i="32"/>
  <c r="K186" i="32"/>
  <c r="L186" i="32"/>
  <c r="M186" i="32"/>
  <c r="N186" i="32"/>
  <c r="O186" i="32"/>
  <c r="P186" i="32"/>
  <c r="Q186" i="32"/>
  <c r="R186" i="32"/>
  <c r="S186" i="32"/>
  <c r="U186" i="32"/>
  <c r="V186" i="32"/>
  <c r="Y186" i="32" s="1"/>
  <c r="W186" i="32"/>
  <c r="X186" i="32"/>
  <c r="Z186" i="32"/>
  <c r="AA186" i="32"/>
  <c r="AD186" i="32" s="1"/>
  <c r="AB186" i="32"/>
  <c r="AC186" i="32"/>
  <c r="L187" i="32"/>
  <c r="M187" i="32"/>
  <c r="N187" i="32"/>
  <c r="P187" i="32"/>
  <c r="Q187" i="32"/>
  <c r="T187" i="32" s="1"/>
  <c r="R187" i="32"/>
  <c r="S187" i="32"/>
  <c r="U187" i="32"/>
  <c r="V187" i="32"/>
  <c r="Y187" i="32" s="1"/>
  <c r="W187" i="32"/>
  <c r="X187" i="32"/>
  <c r="AA187" i="32"/>
  <c r="AE187" i="32" s="1"/>
  <c r="AB187" i="32"/>
  <c r="AC187" i="32"/>
  <c r="AD187" i="32"/>
  <c r="K188" i="32"/>
  <c r="L188" i="32"/>
  <c r="O188" i="32" s="1"/>
  <c r="M188" i="32"/>
  <c r="N188" i="32"/>
  <c r="P188" i="32"/>
  <c r="Q188" i="32"/>
  <c r="T188" i="32" s="1"/>
  <c r="R188" i="32"/>
  <c r="S188" i="32"/>
  <c r="V188" i="32"/>
  <c r="Z188" i="32" s="1"/>
  <c r="W188" i="32"/>
  <c r="X188" i="32"/>
  <c r="Y188" i="32"/>
  <c r="AA188" i="32"/>
  <c r="AD188" i="32" s="1"/>
  <c r="AB188" i="32"/>
  <c r="AC188" i="32"/>
  <c r="K189" i="32"/>
  <c r="L189" i="32"/>
  <c r="O189" i="32" s="1"/>
  <c r="M189" i="32"/>
  <c r="N189" i="32"/>
  <c r="Q189" i="32"/>
  <c r="U189" i="32" s="1"/>
  <c r="R189" i="32"/>
  <c r="S189" i="32"/>
  <c r="T189" i="32"/>
  <c r="V189" i="32"/>
  <c r="Y189" i="32" s="1"/>
  <c r="W189" i="32"/>
  <c r="X189" i="32"/>
  <c r="AA189" i="32"/>
  <c r="AE189" i="32" s="1"/>
  <c r="AB189" i="32"/>
  <c r="AD192" i="32" s="1"/>
  <c r="AC189" i="32"/>
  <c r="AD189" i="32"/>
  <c r="K190" i="32"/>
  <c r="L190" i="32"/>
  <c r="P190" i="32" s="1"/>
  <c r="M190" i="32"/>
  <c r="N190" i="32"/>
  <c r="O190" i="32"/>
  <c r="Q190" i="32"/>
  <c r="T190" i="32" s="1"/>
  <c r="R190" i="32"/>
  <c r="S190" i="32"/>
  <c r="V190" i="32"/>
  <c r="Z190" i="32" s="1"/>
  <c r="W190" i="32"/>
  <c r="Y193" i="32" s="1"/>
  <c r="X190" i="32"/>
  <c r="Y190" i="32"/>
  <c r="AA190" i="32"/>
  <c r="AB190" i="32"/>
  <c r="AC190" i="32"/>
  <c r="AD190" i="32"/>
  <c r="AE190" i="32"/>
  <c r="K191" i="32"/>
  <c r="L191" i="32"/>
  <c r="O191" i="32" s="1"/>
  <c r="M191" i="32"/>
  <c r="N191" i="32"/>
  <c r="Q191" i="32"/>
  <c r="U191" i="32" s="1"/>
  <c r="R191" i="32"/>
  <c r="T194" i="32" s="1"/>
  <c r="S191" i="32"/>
  <c r="T191" i="32"/>
  <c r="V191" i="32"/>
  <c r="W191" i="32"/>
  <c r="X191" i="32"/>
  <c r="Y191" i="32"/>
  <c r="Z191" i="32"/>
  <c r="AA191" i="32"/>
  <c r="AB191" i="32"/>
  <c r="AC191" i="32"/>
  <c r="AD191" i="32"/>
  <c r="AE191" i="32"/>
  <c r="K192" i="32"/>
  <c r="L192" i="32"/>
  <c r="P192" i="32" s="1"/>
  <c r="M192" i="32"/>
  <c r="O195" i="32" s="1"/>
  <c r="N192" i="32"/>
  <c r="O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E192" i="32"/>
  <c r="L193" i="32"/>
  <c r="M193" i="32"/>
  <c r="O196" i="32" s="1"/>
  <c r="N193" i="32"/>
  <c r="O193" i="32"/>
  <c r="P193" i="32"/>
  <c r="Q193" i="32"/>
  <c r="R193" i="32"/>
  <c r="S193" i="32"/>
  <c r="T193" i="32"/>
  <c r="U193" i="32"/>
  <c r="V193" i="32"/>
  <c r="W193" i="32"/>
  <c r="X193" i="32"/>
  <c r="Z193" i="32"/>
  <c r="AA193" i="32"/>
  <c r="AD193" i="32" s="1"/>
  <c r="AB193" i="32"/>
  <c r="AC193" i="32"/>
  <c r="AE193" i="32"/>
  <c r="K194" i="32"/>
  <c r="L194" i="32"/>
  <c r="M194" i="32"/>
  <c r="N194" i="32"/>
  <c r="O194" i="32"/>
  <c r="P194" i="32"/>
  <c r="Q194" i="32"/>
  <c r="R194" i="32"/>
  <c r="S194" i="32"/>
  <c r="U194" i="32"/>
  <c r="V194" i="32"/>
  <c r="Y194" i="32" s="1"/>
  <c r="W194" i="32"/>
  <c r="X194" i="32"/>
  <c r="Z194" i="32"/>
  <c r="AA194" i="32"/>
  <c r="AD194" i="32" s="1"/>
  <c r="AB194" i="32"/>
  <c r="AC194" i="32"/>
  <c r="L195" i="32"/>
  <c r="M195" i="32"/>
  <c r="N195" i="32"/>
  <c r="P195" i="32"/>
  <c r="Q195" i="32"/>
  <c r="T195" i="32" s="1"/>
  <c r="R195" i="32"/>
  <c r="S195" i="32"/>
  <c r="U195" i="32"/>
  <c r="V195" i="32"/>
  <c r="Y195" i="32" s="1"/>
  <c r="W195" i="32"/>
  <c r="X195" i="32"/>
  <c r="AA195" i="32"/>
  <c r="AE195" i="32" s="1"/>
  <c r="AB195" i="32"/>
  <c r="AC195" i="32"/>
  <c r="AD195" i="32"/>
  <c r="K196" i="32"/>
  <c r="L196" i="32"/>
  <c r="M196" i="32"/>
  <c r="N196" i="32"/>
  <c r="P196" i="32"/>
  <c r="Q196" i="32"/>
  <c r="T196" i="32" s="1"/>
  <c r="R196" i="32"/>
  <c r="S196" i="32"/>
  <c r="V196" i="32"/>
  <c r="Z196" i="32" s="1"/>
  <c r="W196" i="32"/>
  <c r="X196" i="32"/>
  <c r="Y196" i="32"/>
  <c r="AA196" i="32"/>
  <c r="AD196" i="32" s="1"/>
  <c r="AB196" i="32"/>
  <c r="AC196" i="32"/>
  <c r="K197" i="32"/>
  <c r="L197" i="32"/>
  <c r="O197" i="32" s="1"/>
  <c r="M197" i="32"/>
  <c r="N197" i="32"/>
  <c r="Q197" i="32"/>
  <c r="U197" i="32" s="1"/>
  <c r="R197" i="32"/>
  <c r="S197" i="32"/>
  <c r="T197" i="32"/>
  <c r="V197" i="32"/>
  <c r="Y197" i="32" s="1"/>
  <c r="W197" i="32"/>
  <c r="X197" i="32"/>
  <c r="AA197" i="32"/>
  <c r="AE197" i="32" s="1"/>
  <c r="AB197" i="32"/>
  <c r="AC197" i="32"/>
  <c r="AD197" i="32"/>
  <c r="K198" i="32"/>
  <c r="L198" i="32"/>
  <c r="P198" i="32" s="1"/>
  <c r="M198" i="32"/>
  <c r="N198" i="32"/>
  <c r="O198" i="32"/>
  <c r="Q198" i="32"/>
  <c r="T198" i="32" s="1"/>
  <c r="R198" i="32"/>
  <c r="S198" i="32"/>
  <c r="V198" i="32"/>
  <c r="Z198" i="32" s="1"/>
  <c r="W198" i="32"/>
  <c r="Y201" i="32" s="1"/>
  <c r="X198" i="32"/>
  <c r="Y198" i="32"/>
  <c r="AA198" i="32"/>
  <c r="AB198" i="32"/>
  <c r="AC198" i="32"/>
  <c r="AD198" i="32"/>
  <c r="AE198" i="32"/>
  <c r="K199" i="32"/>
  <c r="L199" i="32"/>
  <c r="O199" i="32" s="1"/>
  <c r="M199" i="32"/>
  <c r="N199" i="32"/>
  <c r="Q199" i="32"/>
  <c r="U199" i="32" s="1"/>
  <c r="R199" i="32"/>
  <c r="T202" i="32" s="1"/>
  <c r="S199" i="32"/>
  <c r="T199" i="32"/>
  <c r="V199" i="32"/>
  <c r="W199" i="32"/>
  <c r="X199" i="32"/>
  <c r="Y199" i="32"/>
  <c r="Z199" i="32"/>
  <c r="AA199" i="32"/>
  <c r="AB199" i="32"/>
  <c r="AC199" i="32"/>
  <c r="AD199" i="32"/>
  <c r="AE199" i="32"/>
  <c r="K200" i="32"/>
  <c r="L200" i="32"/>
  <c r="P200" i="32" s="1"/>
  <c r="M200" i="32"/>
  <c r="O203" i="32" s="1"/>
  <c r="N200" i="32"/>
  <c r="O200" i="32"/>
  <c r="Q200" i="32"/>
  <c r="R200" i="32"/>
  <c r="T203" i="32" s="1"/>
  <c r="S200" i="32"/>
  <c r="T200" i="32"/>
  <c r="U200" i="32"/>
  <c r="V200" i="32"/>
  <c r="W200" i="32"/>
  <c r="X200" i="32"/>
  <c r="Y200" i="32"/>
  <c r="Z200" i="32"/>
  <c r="AA200" i="32"/>
  <c r="AD200" i="32" s="1"/>
  <c r="AB200" i="32"/>
  <c r="AC200" i="32"/>
  <c r="AE200" i="32"/>
  <c r="L201" i="32"/>
  <c r="M201" i="32"/>
  <c r="N201" i="32"/>
  <c r="O201" i="32"/>
  <c r="P201" i="32"/>
  <c r="Q201" i="32"/>
  <c r="T201" i="32" s="1"/>
  <c r="R201" i="32"/>
  <c r="S201" i="32"/>
  <c r="U201" i="32"/>
  <c r="V201" i="32"/>
  <c r="W201" i="32"/>
  <c r="X201" i="32"/>
  <c r="Z201" i="32"/>
  <c r="AA201" i="32"/>
  <c r="AD201" i="32" s="1"/>
  <c r="AB201" i="32"/>
  <c r="AC201" i="32"/>
  <c r="AE201" i="32"/>
  <c r="K202" i="32"/>
  <c r="L202" i="32"/>
  <c r="O202" i="32" s="1"/>
  <c r="M202" i="32"/>
  <c r="N202" i="32"/>
  <c r="P202" i="32"/>
  <c r="Q202" i="32"/>
  <c r="R202" i="32"/>
  <c r="S202" i="32"/>
  <c r="U202" i="32"/>
  <c r="V202" i="32"/>
  <c r="Y202" i="32" s="1"/>
  <c r="W202" i="32"/>
  <c r="X202" i="32"/>
  <c r="Z202" i="32"/>
  <c r="AA202" i="32"/>
  <c r="AD202" i="32" s="1"/>
  <c r="AB202" i="32"/>
  <c r="AC202" i="32"/>
  <c r="L203" i="32"/>
  <c r="M203" i="32"/>
  <c r="N203" i="32"/>
  <c r="P203" i="32"/>
  <c r="Q203" i="32"/>
  <c r="R203" i="32"/>
  <c r="S203" i="32"/>
  <c r="U203" i="32"/>
  <c r="V203" i="32"/>
  <c r="Y203" i="32" s="1"/>
  <c r="W203" i="32"/>
  <c r="X203" i="32"/>
  <c r="AA203" i="32"/>
  <c r="AE203" i="32" s="1"/>
  <c r="AB203" i="32"/>
  <c r="AC203" i="32"/>
  <c r="AD203" i="32"/>
  <c r="L119" i="32"/>
  <c r="O119" i="32" s="1"/>
  <c r="M119" i="32"/>
  <c r="N119" i="32"/>
  <c r="P119" i="32"/>
  <c r="Q119" i="32"/>
  <c r="R119" i="32"/>
  <c r="T122" i="32" s="1"/>
  <c r="S119" i="32"/>
  <c r="T119" i="32"/>
  <c r="U119" i="32"/>
  <c r="V119" i="32"/>
  <c r="W119" i="32"/>
  <c r="X119" i="32"/>
  <c r="Y119" i="32"/>
  <c r="Z119" i="32"/>
  <c r="K120" i="32"/>
  <c r="L120" i="32"/>
  <c r="O120" i="32" s="1"/>
  <c r="M120" i="32"/>
  <c r="N120" i="32"/>
  <c r="P126" i="32" s="1"/>
  <c r="Q120" i="32"/>
  <c r="T120" i="32" s="1"/>
  <c r="R120" i="32"/>
  <c r="T123" i="32" s="1"/>
  <c r="S120" i="32"/>
  <c r="V120" i="32"/>
  <c r="Y120" i="32" s="1"/>
  <c r="W120" i="32"/>
  <c r="X120" i="32"/>
  <c r="Z126" i="32" s="1"/>
  <c r="L121" i="32"/>
  <c r="O121" i="32" s="1"/>
  <c r="M121" i="32"/>
  <c r="O124" i="32" s="1"/>
  <c r="N121" i="32"/>
  <c r="P127" i="32" s="1"/>
  <c r="Q121" i="32"/>
  <c r="T121" i="32" s="1"/>
  <c r="R121" i="32"/>
  <c r="T124" i="32" s="1"/>
  <c r="S121" i="32"/>
  <c r="U121" i="32"/>
  <c r="V121" i="32"/>
  <c r="Y121" i="32" s="1"/>
  <c r="W121" i="32"/>
  <c r="Y124" i="32" s="1"/>
  <c r="X121" i="32"/>
  <c r="Z127" i="32" s="1"/>
  <c r="K122" i="32"/>
  <c r="L122" i="32"/>
  <c r="M122" i="32"/>
  <c r="N122" i="32"/>
  <c r="O122" i="32"/>
  <c r="P122" i="32"/>
  <c r="Q122" i="32"/>
  <c r="R122" i="32"/>
  <c r="S122" i="32"/>
  <c r="U122" i="32"/>
  <c r="V122" i="32"/>
  <c r="W122" i="32"/>
  <c r="X122" i="32"/>
  <c r="Y122" i="32"/>
  <c r="Z122" i="32"/>
  <c r="K123" i="32"/>
  <c r="L123" i="32"/>
  <c r="M123" i="32"/>
  <c r="N123" i="32"/>
  <c r="P123" i="32"/>
  <c r="Q123" i="32"/>
  <c r="R123" i="32"/>
  <c r="S123" i="32"/>
  <c r="U123" i="32"/>
  <c r="V123" i="32"/>
  <c r="W123" i="32"/>
  <c r="X123" i="32"/>
  <c r="Z123" i="32"/>
  <c r="K124" i="32"/>
  <c r="L124" i="32"/>
  <c r="M124" i="32"/>
  <c r="N124" i="32"/>
  <c r="P124" i="32"/>
  <c r="Q124" i="32"/>
  <c r="R124" i="32"/>
  <c r="S124" i="32"/>
  <c r="U124" i="32"/>
  <c r="V124" i="32"/>
  <c r="W124" i="32"/>
  <c r="X124" i="32"/>
  <c r="Z124" i="32"/>
  <c r="K125" i="32"/>
  <c r="L125" i="32"/>
  <c r="M125" i="32"/>
  <c r="N125" i="32"/>
  <c r="O125" i="32"/>
  <c r="P125" i="32"/>
  <c r="Q125" i="32"/>
  <c r="T125" i="32" s="1"/>
  <c r="R125" i="32"/>
  <c r="T128" i="32" s="1"/>
  <c r="S125" i="32"/>
  <c r="V125" i="32"/>
  <c r="W125" i="32"/>
  <c r="X125" i="32"/>
  <c r="Y125" i="32"/>
  <c r="Z125" i="32"/>
  <c r="K126" i="32"/>
  <c r="L126" i="32"/>
  <c r="M126" i="32"/>
  <c r="N126" i="32"/>
  <c r="O126" i="32"/>
  <c r="Q126" i="32"/>
  <c r="T126" i="32" s="1"/>
  <c r="R126" i="32"/>
  <c r="T129" i="32" s="1"/>
  <c r="S126" i="32"/>
  <c r="V126" i="32"/>
  <c r="W126" i="32"/>
  <c r="X126" i="32"/>
  <c r="Y126" i="32"/>
  <c r="L127" i="32"/>
  <c r="M127" i="32"/>
  <c r="N127" i="32"/>
  <c r="O127" i="32"/>
  <c r="Q127" i="32"/>
  <c r="T127" i="32" s="1"/>
  <c r="R127" i="32"/>
  <c r="S127" i="32"/>
  <c r="V127" i="32"/>
  <c r="W127" i="32"/>
  <c r="X127" i="32"/>
  <c r="Y127" i="32"/>
  <c r="K128" i="32"/>
  <c r="L128" i="32"/>
  <c r="M128" i="32"/>
  <c r="N128" i="32"/>
  <c r="O128" i="32"/>
  <c r="P128" i="32"/>
  <c r="Q128" i="32"/>
  <c r="R128" i="32"/>
  <c r="S128" i="32"/>
  <c r="U128" i="32"/>
  <c r="V128" i="32"/>
  <c r="W128" i="32"/>
  <c r="X128" i="32"/>
  <c r="Y128" i="32"/>
  <c r="Z128" i="32"/>
  <c r="L129" i="32"/>
  <c r="O129" i="32" s="1"/>
  <c r="M129" i="32"/>
  <c r="N129" i="32"/>
  <c r="P129" i="32"/>
  <c r="Q129" i="32"/>
  <c r="R129" i="32"/>
  <c r="S129" i="32"/>
  <c r="U129" i="32"/>
  <c r="V129" i="32"/>
  <c r="W129" i="32"/>
  <c r="X129" i="32"/>
  <c r="Y129" i="32"/>
  <c r="Z129" i="32"/>
  <c r="K130" i="32"/>
  <c r="L130" i="32"/>
  <c r="O130" i="32" s="1"/>
  <c r="M130" i="32"/>
  <c r="N130" i="32"/>
  <c r="P130" i="32"/>
  <c r="Q130" i="32"/>
  <c r="T130" i="32" s="1"/>
  <c r="R130" i="32"/>
  <c r="S130" i="32"/>
  <c r="U130" i="32"/>
  <c r="V130" i="32"/>
  <c r="W130" i="32"/>
  <c r="X130" i="32"/>
  <c r="Y130" i="32"/>
  <c r="Z130" i="32"/>
  <c r="L131" i="32"/>
  <c r="M131" i="32"/>
  <c r="N131" i="32"/>
  <c r="O131" i="32"/>
  <c r="P131" i="32"/>
  <c r="Q131" i="32"/>
  <c r="T131" i="32" s="1"/>
  <c r="R131" i="32"/>
  <c r="S131" i="32"/>
  <c r="U131" i="32"/>
  <c r="V131" i="32"/>
  <c r="Y131" i="32" s="1"/>
  <c r="W131" i="32"/>
  <c r="X131" i="32"/>
  <c r="Z131" i="32"/>
  <c r="K132" i="32"/>
  <c r="L132" i="32"/>
  <c r="M132" i="32"/>
  <c r="N132" i="32"/>
  <c r="O132" i="32"/>
  <c r="P132" i="32"/>
  <c r="Q132" i="32"/>
  <c r="T132" i="32" s="1"/>
  <c r="R132" i="32"/>
  <c r="S132" i="32"/>
  <c r="V132" i="32"/>
  <c r="W132" i="32"/>
  <c r="X132" i="32"/>
  <c r="Y132" i="32"/>
  <c r="Z132" i="32"/>
  <c r="L133" i="32"/>
  <c r="M133" i="32"/>
  <c r="N133" i="32"/>
  <c r="O133" i="32"/>
  <c r="P133" i="32"/>
  <c r="Q133" i="32"/>
  <c r="T133" i="32" s="1"/>
  <c r="R133" i="32"/>
  <c r="T136" i="32" s="1"/>
  <c r="S133" i="32"/>
  <c r="U133" i="32"/>
  <c r="V133" i="32"/>
  <c r="W133" i="32"/>
  <c r="X133" i="32"/>
  <c r="Y133" i="32"/>
  <c r="Z133" i="32"/>
  <c r="K134" i="32"/>
  <c r="L134" i="32"/>
  <c r="M134" i="32"/>
  <c r="N134" i="32"/>
  <c r="O134" i="32"/>
  <c r="P134" i="32"/>
  <c r="Q134" i="32"/>
  <c r="T134" i="32" s="1"/>
  <c r="R134" i="32"/>
  <c r="S134" i="32"/>
  <c r="V134" i="32"/>
  <c r="W134" i="32"/>
  <c r="X134" i="32"/>
  <c r="Y134" i="32"/>
  <c r="Z134" i="32"/>
  <c r="L135" i="32"/>
  <c r="M135" i="32"/>
  <c r="N135" i="32"/>
  <c r="O135" i="32"/>
  <c r="P135" i="32"/>
  <c r="Q135" i="32"/>
  <c r="T135" i="32" s="1"/>
  <c r="R135" i="32"/>
  <c r="T138" i="32" s="1"/>
  <c r="S135" i="32"/>
  <c r="V135" i="32"/>
  <c r="Y135" i="32" s="1"/>
  <c r="W135" i="32"/>
  <c r="X135" i="32"/>
  <c r="Z135" i="32"/>
  <c r="K136" i="32"/>
  <c r="L136" i="32"/>
  <c r="M136" i="32"/>
  <c r="N136" i="32"/>
  <c r="O136" i="32"/>
  <c r="P136" i="32"/>
  <c r="Q136" i="32"/>
  <c r="R136" i="32"/>
  <c r="T139" i="32" s="1"/>
  <c r="S136" i="32"/>
  <c r="U136" i="32"/>
  <c r="V136" i="32"/>
  <c r="Y136" i="32" s="1"/>
  <c r="W136" i="32"/>
  <c r="X136" i="32"/>
  <c r="Z136" i="32"/>
  <c r="L137" i="32"/>
  <c r="M137" i="32"/>
  <c r="N137" i="32"/>
  <c r="O137" i="32"/>
  <c r="P137" i="32"/>
  <c r="Q137" i="32"/>
  <c r="T137" i="32" s="1"/>
  <c r="R137" i="32"/>
  <c r="S137" i="32"/>
  <c r="U137" i="32"/>
  <c r="V137" i="32"/>
  <c r="W137" i="32"/>
  <c r="X137" i="32"/>
  <c r="Y137" i="32"/>
  <c r="Z137" i="32"/>
  <c r="K138" i="32"/>
  <c r="L138" i="32"/>
  <c r="M138" i="32"/>
  <c r="N138" i="32"/>
  <c r="O138" i="32"/>
  <c r="P138" i="32"/>
  <c r="Q138" i="32"/>
  <c r="R138" i="32"/>
  <c r="S138" i="32"/>
  <c r="U138" i="32"/>
  <c r="V138" i="32"/>
  <c r="Y138" i="32" s="1"/>
  <c r="W138" i="32"/>
  <c r="X138" i="32"/>
  <c r="Z138" i="32"/>
  <c r="L139" i="32"/>
  <c r="M139" i="32"/>
  <c r="N139" i="32"/>
  <c r="O139" i="32"/>
  <c r="P139" i="32"/>
  <c r="Q139" i="32"/>
  <c r="R139" i="32"/>
  <c r="S139" i="32"/>
  <c r="U139" i="32"/>
  <c r="V139" i="32"/>
  <c r="W139" i="32"/>
  <c r="X139" i="32"/>
  <c r="Y139" i="32"/>
  <c r="Z139" i="32"/>
  <c r="K140" i="32"/>
  <c r="L140" i="32"/>
  <c r="M140" i="32"/>
  <c r="N140" i="32"/>
  <c r="O140" i="32"/>
  <c r="P140" i="32"/>
  <c r="Q140" i="32"/>
  <c r="T140" i="32" s="1"/>
  <c r="R140" i="32"/>
  <c r="S140" i="32"/>
  <c r="V140" i="32"/>
  <c r="W140" i="32"/>
  <c r="X140" i="32"/>
  <c r="Y140" i="32"/>
  <c r="Z140" i="32"/>
  <c r="L141" i="32"/>
  <c r="M141" i="32"/>
  <c r="N141" i="32"/>
  <c r="O141" i="32"/>
  <c r="P141" i="32"/>
  <c r="Q141" i="32"/>
  <c r="T141" i="32" s="1"/>
  <c r="R141" i="32"/>
  <c r="T144" i="32" s="1"/>
  <c r="S141" i="32"/>
  <c r="V141" i="32"/>
  <c r="W141" i="32"/>
  <c r="X141" i="32"/>
  <c r="Y141" i="32"/>
  <c r="Z141" i="32"/>
  <c r="K142" i="32"/>
  <c r="L142" i="32"/>
  <c r="M142" i="32"/>
  <c r="N142" i="32"/>
  <c r="O142" i="32"/>
  <c r="P142" i="32"/>
  <c r="Q142" i="32"/>
  <c r="T142" i="32" s="1"/>
  <c r="R142" i="32"/>
  <c r="T145" i="32" s="1"/>
  <c r="S142" i="32"/>
  <c r="V142" i="32"/>
  <c r="W142" i="32"/>
  <c r="X142" i="32"/>
  <c r="Y142" i="32"/>
  <c r="Z142" i="32"/>
  <c r="L143" i="32"/>
  <c r="M143" i="32"/>
  <c r="N143" i="32"/>
  <c r="O143" i="32"/>
  <c r="P143" i="32"/>
  <c r="Q143" i="32"/>
  <c r="T143" i="32" s="1"/>
  <c r="R143" i="32"/>
  <c r="S143" i="32"/>
  <c r="V143" i="32"/>
  <c r="W143" i="32"/>
  <c r="X143" i="32"/>
  <c r="Y143" i="32"/>
  <c r="Z143" i="32"/>
  <c r="K144" i="32"/>
  <c r="L144" i="32"/>
  <c r="O144" i="32" s="1"/>
  <c r="M144" i="32"/>
  <c r="N144" i="32"/>
  <c r="P144" i="32"/>
  <c r="Q144" i="32"/>
  <c r="R144" i="32"/>
  <c r="S144" i="32"/>
  <c r="U144" i="32"/>
  <c r="V144" i="32"/>
  <c r="Y144" i="32" s="1"/>
  <c r="W144" i="32"/>
  <c r="X144" i="32"/>
  <c r="Z144" i="32"/>
  <c r="K145" i="32"/>
  <c r="L145" i="32"/>
  <c r="O145" i="32" s="1"/>
  <c r="M145" i="32"/>
  <c r="N145" i="32"/>
  <c r="P145" i="32"/>
  <c r="Q145" i="32"/>
  <c r="R145" i="32"/>
  <c r="S145" i="32"/>
  <c r="U145" i="32"/>
  <c r="V145" i="32"/>
  <c r="W145" i="32"/>
  <c r="X145" i="32"/>
  <c r="Y145" i="32"/>
  <c r="Z145" i="32"/>
  <c r="K146" i="32"/>
  <c r="L146" i="32"/>
  <c r="M146" i="32"/>
  <c r="N146" i="32"/>
  <c r="O146" i="32"/>
  <c r="P146" i="32"/>
  <c r="Q146" i="32"/>
  <c r="T146" i="32" s="1"/>
  <c r="R146" i="32"/>
  <c r="T149" i="32" s="1"/>
  <c r="S146" i="32"/>
  <c r="V146" i="32"/>
  <c r="W146" i="32"/>
  <c r="X146" i="32"/>
  <c r="Y146" i="32"/>
  <c r="Z146" i="32"/>
  <c r="L147" i="32"/>
  <c r="M147" i="32"/>
  <c r="N147" i="32"/>
  <c r="O147" i="32"/>
  <c r="P147" i="32"/>
  <c r="Q147" i="32"/>
  <c r="T147" i="32" s="1"/>
  <c r="R147" i="32"/>
  <c r="T150" i="32" s="1"/>
  <c r="S147" i="32"/>
  <c r="V147" i="32"/>
  <c r="W147" i="32"/>
  <c r="X147" i="32"/>
  <c r="Y147" i="32"/>
  <c r="Z147" i="32"/>
  <c r="K148" i="32"/>
  <c r="L148" i="32"/>
  <c r="M148" i="32"/>
  <c r="N148" i="32"/>
  <c r="O148" i="32"/>
  <c r="P148" i="32"/>
  <c r="Q148" i="32"/>
  <c r="T148" i="32" s="1"/>
  <c r="R148" i="32"/>
  <c r="T151" i="32" s="1"/>
  <c r="S148" i="32"/>
  <c r="V148" i="32"/>
  <c r="Y148" i="32" s="1"/>
  <c r="W148" i="32"/>
  <c r="X148" i="32"/>
  <c r="Z148" i="32"/>
  <c r="L149" i="32"/>
  <c r="M149" i="32"/>
  <c r="N149" i="32"/>
  <c r="O149" i="32"/>
  <c r="P149" i="32"/>
  <c r="Q149" i="32"/>
  <c r="R149" i="32"/>
  <c r="S149" i="32"/>
  <c r="U149" i="32"/>
  <c r="V149" i="32"/>
  <c r="W149" i="32"/>
  <c r="X149" i="32"/>
  <c r="Y149" i="32"/>
  <c r="Z149" i="32"/>
  <c r="K150" i="32"/>
  <c r="L150" i="32"/>
  <c r="M150" i="32"/>
  <c r="N150" i="32"/>
  <c r="O150" i="32"/>
  <c r="P150" i="32"/>
  <c r="Q150" i="32"/>
  <c r="R150" i="32"/>
  <c r="S150" i="32"/>
  <c r="U150" i="32"/>
  <c r="V150" i="32"/>
  <c r="W150" i="32"/>
  <c r="X150" i="32"/>
  <c r="Y150" i="32"/>
  <c r="Z150" i="32"/>
  <c r="L151" i="32"/>
  <c r="M151" i="32"/>
  <c r="N151" i="32"/>
  <c r="O151" i="32"/>
  <c r="P151" i="32"/>
  <c r="Q151" i="32"/>
  <c r="R151" i="32"/>
  <c r="S151" i="32"/>
  <c r="U151" i="32"/>
  <c r="V151" i="32"/>
  <c r="W151" i="32"/>
  <c r="X151" i="32"/>
  <c r="Y151" i="32"/>
  <c r="Z151" i="32"/>
  <c r="L69" i="32"/>
  <c r="M69" i="32"/>
  <c r="N69" i="32"/>
  <c r="Q69" i="32"/>
  <c r="R69" i="32"/>
  <c r="S69" i="32"/>
  <c r="V69" i="32"/>
  <c r="W69" i="32"/>
  <c r="X69" i="32"/>
  <c r="AA69" i="32"/>
  <c r="AB69" i="32"/>
  <c r="AC69" i="32"/>
  <c r="AF69" i="32"/>
  <c r="AG69" i="32"/>
  <c r="AH69" i="32"/>
  <c r="L70" i="32"/>
  <c r="M70" i="32"/>
  <c r="N70" i="32"/>
  <c r="Q70" i="32"/>
  <c r="R70" i="32"/>
  <c r="S70" i="32"/>
  <c r="V70" i="32"/>
  <c r="W70" i="32"/>
  <c r="X70" i="32"/>
  <c r="AA70" i="32"/>
  <c r="AB70" i="32"/>
  <c r="AC70" i="32"/>
  <c r="AF70" i="32"/>
  <c r="AG70" i="32"/>
  <c r="AH70" i="32"/>
  <c r="L71" i="32"/>
  <c r="M71" i="32"/>
  <c r="N71" i="32"/>
  <c r="Q71" i="32"/>
  <c r="R71" i="32"/>
  <c r="S71" i="32"/>
  <c r="V71" i="32"/>
  <c r="W71" i="32"/>
  <c r="X71" i="32"/>
  <c r="AA71" i="32"/>
  <c r="AB71" i="32"/>
  <c r="AC71" i="32"/>
  <c r="AF71" i="32"/>
  <c r="AG71" i="32"/>
  <c r="AH71" i="32"/>
  <c r="L72" i="32"/>
  <c r="O72" i="32" s="1"/>
  <c r="M72" i="32"/>
  <c r="N72" i="32"/>
  <c r="Q72" i="32"/>
  <c r="R72" i="32"/>
  <c r="S72" i="32"/>
  <c r="V72" i="32"/>
  <c r="Y72" i="32" s="1"/>
  <c r="W72" i="32"/>
  <c r="X72" i="32"/>
  <c r="AA72" i="32"/>
  <c r="AB72" i="32"/>
  <c r="AC72" i="32"/>
  <c r="AF72" i="32"/>
  <c r="AI72" i="32" s="1"/>
  <c r="AG72" i="32"/>
  <c r="AH72" i="32"/>
  <c r="L73" i="32"/>
  <c r="M73" i="32"/>
  <c r="N73" i="32"/>
  <c r="Q73" i="32"/>
  <c r="R73" i="32"/>
  <c r="S73" i="32"/>
  <c r="V73" i="32"/>
  <c r="Y73" i="32" s="1"/>
  <c r="W73" i="32"/>
  <c r="X73" i="32"/>
  <c r="AA73" i="32"/>
  <c r="AB73" i="32"/>
  <c r="AC73" i="32"/>
  <c r="AF73" i="32"/>
  <c r="AG73" i="32"/>
  <c r="AH73" i="32"/>
  <c r="L74" i="32"/>
  <c r="M74" i="32"/>
  <c r="N74" i="32"/>
  <c r="Q74" i="32"/>
  <c r="R74" i="32"/>
  <c r="S74" i="32"/>
  <c r="V74" i="32"/>
  <c r="W74" i="32"/>
  <c r="X74" i="32"/>
  <c r="AA74" i="32"/>
  <c r="AB74" i="32"/>
  <c r="AC74" i="32"/>
  <c r="AF74" i="32"/>
  <c r="AG74" i="32"/>
  <c r="AH74" i="32"/>
  <c r="L75" i="32"/>
  <c r="O75" i="32" s="1"/>
  <c r="M75" i="32"/>
  <c r="N75" i="32"/>
  <c r="Q75" i="32"/>
  <c r="T75" i="32" s="1"/>
  <c r="R75" i="32"/>
  <c r="S75" i="32"/>
  <c r="V75" i="32"/>
  <c r="Y75" i="32" s="1"/>
  <c r="W75" i="32"/>
  <c r="X75" i="32"/>
  <c r="AA75" i="32"/>
  <c r="AD75" i="32" s="1"/>
  <c r="AB75" i="32"/>
  <c r="AC75" i="32"/>
  <c r="AF75" i="32"/>
  <c r="AG75" i="32"/>
  <c r="AH75" i="32"/>
  <c r="L76" i="32"/>
  <c r="M76" i="32"/>
  <c r="N76" i="32"/>
  <c r="Q76" i="32"/>
  <c r="R76" i="32"/>
  <c r="S76" i="32"/>
  <c r="V76" i="32"/>
  <c r="W76" i="32"/>
  <c r="X76" i="32"/>
  <c r="AA76" i="32"/>
  <c r="AD76" i="32" s="1"/>
  <c r="AB76" i="32"/>
  <c r="AC76" i="32"/>
  <c r="AF76" i="32"/>
  <c r="AI76" i="32" s="1"/>
  <c r="AG76" i="32"/>
  <c r="AH76" i="32"/>
  <c r="L77" i="32"/>
  <c r="O77" i="32" s="1"/>
  <c r="M77" i="32"/>
  <c r="N77" i="32"/>
  <c r="Q77" i="32"/>
  <c r="R77" i="32"/>
  <c r="S77" i="32"/>
  <c r="T77" i="32"/>
  <c r="V77" i="32"/>
  <c r="Z77" i="32" s="1"/>
  <c r="W77" i="32"/>
  <c r="X77" i="32"/>
  <c r="AA77" i="32"/>
  <c r="AD77" i="32" s="1"/>
  <c r="AB77" i="32"/>
  <c r="AC77" i="32"/>
  <c r="AF77" i="32"/>
  <c r="AG77" i="32"/>
  <c r="AH77" i="32"/>
  <c r="AI77" i="32"/>
  <c r="K78" i="32"/>
  <c r="L78" i="32"/>
  <c r="M78" i="32"/>
  <c r="N78" i="32"/>
  <c r="Q78" i="32"/>
  <c r="T78" i="32" s="1"/>
  <c r="R78" i="32"/>
  <c r="S78" i="32"/>
  <c r="V78" i="32"/>
  <c r="Z78" i="32" s="1"/>
  <c r="W78" i="32"/>
  <c r="X78" i="32"/>
  <c r="AA78" i="32"/>
  <c r="AD78" i="32" s="1"/>
  <c r="AB78" i="32"/>
  <c r="AC78" i="32"/>
  <c r="AF78" i="32"/>
  <c r="AI78" i="32" s="1"/>
  <c r="AG78" i="32"/>
  <c r="AH78" i="32"/>
  <c r="L79" i="32"/>
  <c r="M79" i="32"/>
  <c r="N79" i="32"/>
  <c r="Q79" i="32"/>
  <c r="R79" i="32"/>
  <c r="S79" i="32"/>
  <c r="V79" i="32"/>
  <c r="W79" i="32"/>
  <c r="Y82" i="32" s="1"/>
  <c r="X79" i="32"/>
  <c r="AA79" i="32"/>
  <c r="AB79" i="32"/>
  <c r="AC79" i="32"/>
  <c r="AF79" i="32"/>
  <c r="AI79" i="32" s="1"/>
  <c r="AG79" i="32"/>
  <c r="AH79" i="32"/>
  <c r="L80" i="32"/>
  <c r="M80" i="32"/>
  <c r="N80" i="32"/>
  <c r="Q80" i="32"/>
  <c r="T80" i="32" s="1"/>
  <c r="R80" i="32"/>
  <c r="S80" i="32"/>
  <c r="V80" i="32"/>
  <c r="W80" i="32"/>
  <c r="X80" i="32"/>
  <c r="AA80" i="32"/>
  <c r="AD80" i="32" s="1"/>
  <c r="AB80" i="32"/>
  <c r="AC80" i="32"/>
  <c r="AF80" i="32"/>
  <c r="AJ80" i="32" s="1"/>
  <c r="AG80" i="32"/>
  <c r="AH80" i="32"/>
  <c r="K81" i="32"/>
  <c r="L81" i="32"/>
  <c r="O81" i="32" s="1"/>
  <c r="M81" i="32"/>
  <c r="N81" i="32"/>
  <c r="Q81" i="32"/>
  <c r="T81" i="32" s="1"/>
  <c r="R81" i="32"/>
  <c r="S81" i="32"/>
  <c r="V81" i="32"/>
  <c r="Y81" i="32" s="1"/>
  <c r="W81" i="32"/>
  <c r="X81" i="32"/>
  <c r="AA81" i="32"/>
  <c r="AB81" i="32"/>
  <c r="AC81" i="32"/>
  <c r="AF81" i="32"/>
  <c r="AG81" i="32"/>
  <c r="AH81" i="32"/>
  <c r="L82" i="32"/>
  <c r="P82" i="32" s="1"/>
  <c r="M82" i="32"/>
  <c r="N82" i="32"/>
  <c r="P88" i="32" s="1"/>
  <c r="Q82" i="32"/>
  <c r="R82" i="32"/>
  <c r="S82" i="32"/>
  <c r="V82" i="32"/>
  <c r="W82" i="32"/>
  <c r="X82" i="32"/>
  <c r="Z82" i="32"/>
  <c r="AA82" i="32"/>
  <c r="AB82" i="32"/>
  <c r="AC82" i="32"/>
  <c r="AF82" i="32"/>
  <c r="AG82" i="32"/>
  <c r="AH82" i="32"/>
  <c r="AI82" i="32"/>
  <c r="L83" i="32"/>
  <c r="O83" i="32" s="1"/>
  <c r="M83" i="32"/>
  <c r="N83" i="32"/>
  <c r="Q83" i="32"/>
  <c r="T83" i="32" s="1"/>
  <c r="R83" i="32"/>
  <c r="S83" i="32"/>
  <c r="V83" i="32"/>
  <c r="Y83" i="32" s="1"/>
  <c r="W83" i="32"/>
  <c r="X83" i="32"/>
  <c r="AA83" i="32"/>
  <c r="AE83" i="32" s="1"/>
  <c r="AB83" i="32"/>
  <c r="AC83" i="32"/>
  <c r="AF83" i="32"/>
  <c r="AG83" i="32"/>
  <c r="AH83" i="32"/>
  <c r="L84" i="32"/>
  <c r="O84" i="32" s="1"/>
  <c r="M84" i="32"/>
  <c r="N84" i="32"/>
  <c r="Q84" i="32"/>
  <c r="R84" i="32"/>
  <c r="S84" i="32"/>
  <c r="V84" i="32"/>
  <c r="Y84" i="32" s="1"/>
  <c r="W84" i="32"/>
  <c r="X84" i="32"/>
  <c r="AA84" i="32"/>
  <c r="AD84" i="32" s="1"/>
  <c r="AB84" i="32"/>
  <c r="AC84" i="32"/>
  <c r="AF84" i="32"/>
  <c r="AG84" i="32"/>
  <c r="AH84" i="32"/>
  <c r="K85" i="32"/>
  <c r="L85" i="32"/>
  <c r="M85" i="32"/>
  <c r="N85" i="32"/>
  <c r="Q85" i="32"/>
  <c r="U85" i="32" s="1"/>
  <c r="R85" i="32"/>
  <c r="S85" i="32"/>
  <c r="V85" i="32"/>
  <c r="Y85" i="32" s="1"/>
  <c r="W85" i="32"/>
  <c r="X85" i="32"/>
  <c r="AA85" i="32"/>
  <c r="AD85" i="32" s="1"/>
  <c r="AB85" i="32"/>
  <c r="AC85" i="32"/>
  <c r="AF85" i="32"/>
  <c r="AG85" i="32"/>
  <c r="AH85" i="32"/>
  <c r="AI85" i="32"/>
  <c r="AJ85" i="32"/>
  <c r="L86" i="32"/>
  <c r="M86" i="32"/>
  <c r="N86" i="32"/>
  <c r="O86" i="32"/>
  <c r="Q86" i="32"/>
  <c r="R86" i="32"/>
  <c r="S86" i="32"/>
  <c r="V86" i="32"/>
  <c r="W86" i="32"/>
  <c r="X86" i="32"/>
  <c r="AA86" i="32"/>
  <c r="AB86" i="32"/>
  <c r="AC86" i="32"/>
  <c r="AF86" i="32"/>
  <c r="AJ86" i="32" s="1"/>
  <c r="AG86" i="32"/>
  <c r="AH86" i="32"/>
  <c r="K87" i="32"/>
  <c r="L87" i="32"/>
  <c r="O87" i="32" s="1"/>
  <c r="M87" i="32"/>
  <c r="N87" i="32"/>
  <c r="Q87" i="32"/>
  <c r="T87" i="32" s="1"/>
  <c r="R87" i="32"/>
  <c r="S87" i="32"/>
  <c r="V87" i="32"/>
  <c r="W87" i="32"/>
  <c r="X87" i="32"/>
  <c r="AA87" i="32"/>
  <c r="AD87" i="32" s="1"/>
  <c r="AB87" i="32"/>
  <c r="AC87" i="32"/>
  <c r="AF87" i="32"/>
  <c r="AG87" i="32"/>
  <c r="AH87" i="32"/>
  <c r="K88" i="32"/>
  <c r="L88" i="32"/>
  <c r="O88" i="32" s="1"/>
  <c r="M88" i="32"/>
  <c r="N88" i="32"/>
  <c r="Q88" i="32"/>
  <c r="T88" i="32" s="1"/>
  <c r="R88" i="32"/>
  <c r="S88" i="32"/>
  <c r="V88" i="32"/>
  <c r="W88" i="32"/>
  <c r="X88" i="32"/>
  <c r="AA88" i="32"/>
  <c r="AE88" i="32" s="1"/>
  <c r="AB88" i="32"/>
  <c r="AC88" i="32"/>
  <c r="AF88" i="32"/>
  <c r="AG88" i="32"/>
  <c r="AH88" i="32"/>
  <c r="L89" i="32"/>
  <c r="O89" i="32" s="1"/>
  <c r="M89" i="32"/>
  <c r="N89" i="32"/>
  <c r="Q89" i="32"/>
  <c r="T89" i="32" s="1"/>
  <c r="R89" i="32"/>
  <c r="S89" i="32"/>
  <c r="U89" i="32"/>
  <c r="V89" i="32"/>
  <c r="Y89" i="32" s="1"/>
  <c r="W89" i="32"/>
  <c r="X89" i="32"/>
  <c r="AA89" i="32"/>
  <c r="AB89" i="32"/>
  <c r="AC89" i="32"/>
  <c r="AF89" i="32"/>
  <c r="AI89" i="32" s="1"/>
  <c r="AG89" i="32"/>
  <c r="AH89" i="32"/>
  <c r="L90" i="32"/>
  <c r="M90" i="32"/>
  <c r="N90" i="32"/>
  <c r="Q90" i="32"/>
  <c r="T90" i="32" s="1"/>
  <c r="R90" i="32"/>
  <c r="S90" i="32"/>
  <c r="V90" i="32"/>
  <c r="W90" i="32"/>
  <c r="X90" i="32"/>
  <c r="AA90" i="32"/>
  <c r="AD90" i="32" s="1"/>
  <c r="AB90" i="32"/>
  <c r="AC90" i="32"/>
  <c r="AF90" i="32"/>
  <c r="AI90" i="32" s="1"/>
  <c r="AG90" i="32"/>
  <c r="AH90" i="32"/>
  <c r="L91" i="32"/>
  <c r="O91" i="32" s="1"/>
  <c r="M91" i="32"/>
  <c r="N91" i="32"/>
  <c r="Q91" i="32"/>
  <c r="T91" i="32" s="1"/>
  <c r="R91" i="32"/>
  <c r="S91" i="32"/>
  <c r="V91" i="32"/>
  <c r="Z91" i="32" s="1"/>
  <c r="W91" i="32"/>
  <c r="X91" i="32"/>
  <c r="AA91" i="32"/>
  <c r="AD91" i="32" s="1"/>
  <c r="AB91" i="32"/>
  <c r="AC91" i="32"/>
  <c r="AF91" i="32"/>
  <c r="AG91" i="32"/>
  <c r="AH91" i="32"/>
  <c r="L92" i="32"/>
  <c r="O92" i="32" s="1"/>
  <c r="M92" i="32"/>
  <c r="N92" i="32"/>
  <c r="Q92" i="32"/>
  <c r="R92" i="32"/>
  <c r="S92" i="32"/>
  <c r="V92" i="32"/>
  <c r="W92" i="32"/>
  <c r="X92" i="32"/>
  <c r="AA92" i="32"/>
  <c r="AE92" i="32" s="1"/>
  <c r="AB92" i="32"/>
  <c r="AC92" i="32"/>
  <c r="AF92" i="32"/>
  <c r="AG92" i="32"/>
  <c r="AH92" i="32"/>
  <c r="L93" i="32"/>
  <c r="M93" i="32"/>
  <c r="N93" i="32"/>
  <c r="Q93" i="32"/>
  <c r="R93" i="32"/>
  <c r="S93" i="32"/>
  <c r="T93" i="32"/>
  <c r="V93" i="32"/>
  <c r="W93" i="32"/>
  <c r="X93" i="32"/>
  <c r="AA93" i="32"/>
  <c r="AB93" i="32"/>
  <c r="AC93" i="32"/>
  <c r="AF93" i="32"/>
  <c r="AJ93" i="32" s="1"/>
  <c r="AG93" i="32"/>
  <c r="AH93" i="32"/>
  <c r="K94" i="32"/>
  <c r="L94" i="32"/>
  <c r="M94" i="32"/>
  <c r="N94" i="32"/>
  <c r="Q94" i="32"/>
  <c r="R94" i="32"/>
  <c r="S94" i="32"/>
  <c r="V94" i="32"/>
  <c r="Z94" i="32" s="1"/>
  <c r="W94" i="32"/>
  <c r="X94" i="32"/>
  <c r="Y94" i="32"/>
  <c r="AA94" i="32"/>
  <c r="AB94" i="32"/>
  <c r="AC94" i="32"/>
  <c r="AF94" i="32"/>
  <c r="AI94" i="32" s="1"/>
  <c r="AG94" i="32"/>
  <c r="AH94" i="32"/>
  <c r="AJ94" i="32"/>
  <c r="L95" i="32"/>
  <c r="M95" i="32"/>
  <c r="N95" i="32"/>
  <c r="P95" i="32"/>
  <c r="Q95" i="32"/>
  <c r="T95" i="32" s="1"/>
  <c r="R95" i="32"/>
  <c r="S95" i="32"/>
  <c r="V95" i="32"/>
  <c r="Z95" i="32" s="1"/>
  <c r="W95" i="32"/>
  <c r="X95" i="32"/>
  <c r="AA95" i="32"/>
  <c r="AD95" i="32" s="1"/>
  <c r="AB95" i="32"/>
  <c r="AC95" i="32"/>
  <c r="AF95" i="32"/>
  <c r="AG95" i="32"/>
  <c r="AH95" i="32"/>
  <c r="L96" i="32"/>
  <c r="O96" i="32" s="1"/>
  <c r="M96" i="32"/>
  <c r="N96" i="32"/>
  <c r="Q96" i="32"/>
  <c r="U96" i="32" s="1"/>
  <c r="R96" i="32"/>
  <c r="S96" i="32"/>
  <c r="V96" i="32"/>
  <c r="W96" i="32"/>
  <c r="X96" i="32"/>
  <c r="AA96" i="32"/>
  <c r="AE96" i="32" s="1"/>
  <c r="AB96" i="32"/>
  <c r="AC96" i="32"/>
  <c r="AF96" i="32"/>
  <c r="AI96" i="32" s="1"/>
  <c r="AG96" i="32"/>
  <c r="AH96" i="32"/>
  <c r="L97" i="32"/>
  <c r="M97" i="32"/>
  <c r="N97" i="32"/>
  <c r="Q97" i="32"/>
  <c r="T97" i="32" s="1"/>
  <c r="R97" i="32"/>
  <c r="S97" i="32"/>
  <c r="V97" i="32"/>
  <c r="W97" i="32"/>
  <c r="X97" i="32"/>
  <c r="AA97" i="32"/>
  <c r="AD97" i="32" s="1"/>
  <c r="AB97" i="32"/>
  <c r="AC97" i="32"/>
  <c r="AF97" i="32"/>
  <c r="AI97" i="32" s="1"/>
  <c r="AG97" i="32"/>
  <c r="AH97" i="32"/>
  <c r="K98" i="32"/>
  <c r="L98" i="32"/>
  <c r="O98" i="32" s="1"/>
  <c r="M98" i="32"/>
  <c r="N98" i="32"/>
  <c r="Q98" i="32"/>
  <c r="R98" i="32"/>
  <c r="S98" i="32"/>
  <c r="V98" i="32"/>
  <c r="Y98" i="32" s="1"/>
  <c r="W98" i="32"/>
  <c r="X98" i="32"/>
  <c r="AA98" i="32"/>
  <c r="AB98" i="32"/>
  <c r="AC98" i="32"/>
  <c r="AF98" i="32"/>
  <c r="AG98" i="32"/>
  <c r="AH98" i="32"/>
  <c r="L99" i="32"/>
  <c r="M99" i="32"/>
  <c r="N99" i="32"/>
  <c r="Q99" i="32"/>
  <c r="T99" i="32" s="1"/>
  <c r="R99" i="32"/>
  <c r="S99" i="32"/>
  <c r="V99" i="32"/>
  <c r="W99" i="32"/>
  <c r="X99" i="32"/>
  <c r="AA99" i="32"/>
  <c r="AB99" i="32"/>
  <c r="AC99" i="32"/>
  <c r="AF99" i="32"/>
  <c r="AG99" i="32"/>
  <c r="AH99" i="32"/>
  <c r="L100" i="32"/>
  <c r="O100" i="32" s="1"/>
  <c r="M100" i="32"/>
  <c r="N100" i="32"/>
  <c r="Q100" i="32"/>
  <c r="U100" i="32" s="1"/>
  <c r="R100" i="32"/>
  <c r="S100" i="32"/>
  <c r="V100" i="32"/>
  <c r="W100" i="32"/>
  <c r="X100" i="32"/>
  <c r="AA100" i="32"/>
  <c r="AB100" i="32"/>
  <c r="AC100" i="32"/>
  <c r="AE100" i="32"/>
  <c r="AF100" i="32"/>
  <c r="AI100" i="32" s="1"/>
  <c r="AG100" i="32"/>
  <c r="AH100" i="32"/>
  <c r="L101" i="32"/>
  <c r="M101" i="32"/>
  <c r="N101" i="32"/>
  <c r="Q101" i="32"/>
  <c r="T101" i="32" s="1"/>
  <c r="R101" i="32"/>
  <c r="S101" i="32"/>
  <c r="V101" i="32"/>
  <c r="Y101" i="32" s="1"/>
  <c r="W101" i="32"/>
  <c r="X101" i="32"/>
  <c r="AA101" i="32"/>
  <c r="AD101" i="32" s="1"/>
  <c r="AB101" i="32"/>
  <c r="AC101" i="32"/>
  <c r="AF101" i="32"/>
  <c r="AG101" i="32"/>
  <c r="AH101" i="32"/>
  <c r="K20" i="32"/>
  <c r="AL64" i="4"/>
  <c r="AK64" i="4"/>
  <c r="AJ64" i="4"/>
  <c r="AT64" i="1"/>
  <c r="AS64" i="1"/>
  <c r="AR64" i="1"/>
  <c r="Y64" i="5"/>
  <c r="X64" i="5"/>
  <c r="W64" i="5"/>
  <c r="V64" i="5"/>
  <c r="U64" i="5"/>
  <c r="T64" i="5"/>
  <c r="Y64" i="6"/>
  <c r="X64" i="6"/>
  <c r="W64" i="6"/>
  <c r="AV64" i="5"/>
  <c r="AP64" i="5"/>
  <c r="AA64" i="5"/>
  <c r="AG64" i="1"/>
  <c r="U64" i="1"/>
  <c r="I64" i="1"/>
  <c r="Y64" i="4"/>
  <c r="O64" i="4"/>
  <c r="M227" i="7"/>
  <c r="AD99" i="32" l="1"/>
  <c r="Z98" i="32"/>
  <c r="O95" i="32"/>
  <c r="Y86" i="32"/>
  <c r="E99" i="32"/>
  <c r="E95" i="32"/>
  <c r="E88" i="32"/>
  <c r="J81" i="32"/>
  <c r="F75" i="32"/>
  <c r="J76" i="32"/>
  <c r="Y92" i="32"/>
  <c r="U88" i="32"/>
  <c r="AJ84" i="32"/>
  <c r="Y79" i="32"/>
  <c r="AJ97" i="32"/>
  <c r="O99" i="32"/>
  <c r="AI88" i="32"/>
  <c r="Z81" i="32"/>
  <c r="AI75" i="32"/>
  <c r="T74" i="32"/>
  <c r="AD72" i="32"/>
  <c r="J98" i="32"/>
  <c r="Z90" i="32"/>
  <c r="AI98" i="32"/>
  <c r="AD92" i="32"/>
  <c r="AI86" i="32"/>
  <c r="P86" i="32"/>
  <c r="AJ81" i="32"/>
  <c r="K89" i="32"/>
  <c r="E86" i="32"/>
  <c r="AI87" i="32"/>
  <c r="Z86" i="32"/>
  <c r="T76" i="32"/>
  <c r="J90" i="32"/>
  <c r="F89" i="32"/>
  <c r="E81" i="32"/>
  <c r="AE87" i="32"/>
  <c r="O78" i="32"/>
  <c r="E98" i="32"/>
  <c r="E94" i="32"/>
  <c r="E78" i="32"/>
  <c r="Y97" i="32"/>
  <c r="Y99" i="32"/>
  <c r="AJ98" i="32"/>
  <c r="Y95" i="32"/>
  <c r="Y90" i="32"/>
  <c r="P92" i="32"/>
  <c r="U84" i="32"/>
  <c r="J99" i="32"/>
  <c r="E90" i="32"/>
  <c r="K91" i="32"/>
  <c r="F83" i="32"/>
  <c r="E80" i="32"/>
  <c r="Y96" i="32"/>
  <c r="AJ90" i="32"/>
  <c r="Y87" i="32"/>
  <c r="AE84" i="32"/>
  <c r="Y78" i="32"/>
  <c r="P76" i="32"/>
  <c r="J77" i="32"/>
  <c r="AJ101" i="32"/>
  <c r="U93" i="32"/>
  <c r="AI83" i="32"/>
  <c r="AJ82" i="32"/>
  <c r="K99" i="32"/>
  <c r="J78" i="32"/>
  <c r="T84" i="32"/>
  <c r="O79" i="32"/>
  <c r="AE79" i="32"/>
  <c r="T73" i="32"/>
  <c r="AD100" i="32"/>
  <c r="AD96" i="32"/>
  <c r="T92" i="32"/>
  <c r="AE91" i="32"/>
  <c r="P83" i="32"/>
  <c r="U81" i="32"/>
  <c r="AJ78" i="32"/>
  <c r="AE75" i="32"/>
  <c r="K100" i="32"/>
  <c r="J93" i="32"/>
  <c r="J83" i="32"/>
  <c r="E75" i="32"/>
  <c r="Y100" i="32"/>
  <c r="AD93" i="32"/>
  <c r="P99" i="32"/>
  <c r="AI80" i="32"/>
  <c r="P80" i="32"/>
  <c r="O76" i="32"/>
  <c r="E82" i="32"/>
  <c r="AI101" i="32"/>
  <c r="O94" i="32"/>
  <c r="Z99" i="32"/>
  <c r="Z83" i="32"/>
  <c r="O80" i="32"/>
  <c r="AJ77" i="32"/>
  <c r="AI73" i="32"/>
  <c r="J86" i="32"/>
  <c r="J85" i="32"/>
  <c r="E79" i="32"/>
  <c r="J72" i="32"/>
  <c r="E74" i="32"/>
  <c r="AN221" i="32"/>
  <c r="AY221" i="32"/>
  <c r="AI221" i="32"/>
  <c r="U221" i="32"/>
  <c r="E73" i="32"/>
  <c r="C222" i="32"/>
  <c r="AI92" i="32"/>
  <c r="AD86" i="32"/>
  <c r="E100" i="32"/>
  <c r="B222" i="32"/>
  <c r="T86" i="32"/>
  <c r="U92" i="32"/>
  <c r="O90" i="32"/>
  <c r="Y88" i="32"/>
  <c r="Z85" i="32"/>
  <c r="O85" i="32"/>
  <c r="K82" i="32"/>
  <c r="AD81" i="32"/>
  <c r="Y74" i="32"/>
  <c r="E101" i="32"/>
  <c r="K83" i="32"/>
  <c r="K75" i="32"/>
  <c r="O101" i="32"/>
  <c r="K92" i="32"/>
  <c r="P91" i="32"/>
  <c r="F80" i="32"/>
  <c r="K76" i="32"/>
  <c r="U101" i="32"/>
  <c r="K101" i="32"/>
  <c r="P100" i="32"/>
  <c r="AI99" i="32"/>
  <c r="O97" i="32"/>
  <c r="T96" i="32"/>
  <c r="AI93" i="32"/>
  <c r="Y91" i="32"/>
  <c r="AJ89" i="32"/>
  <c r="AD88" i="32"/>
  <c r="Z87" i="32"/>
  <c r="P87" i="32"/>
  <c r="T85" i="32"/>
  <c r="AI84" i="32"/>
  <c r="P84" i="32"/>
  <c r="AI81" i="32"/>
  <c r="AE80" i="32"/>
  <c r="U80" i="32"/>
  <c r="AD79" i="32"/>
  <c r="T79" i="32"/>
  <c r="Y76" i="32"/>
  <c r="Z75" i="32"/>
  <c r="P75" i="32"/>
  <c r="O73" i="32"/>
  <c r="T72" i="32"/>
  <c r="AI74" i="32"/>
  <c r="U77" i="32"/>
  <c r="J97" i="32"/>
  <c r="J96" i="32"/>
  <c r="Y80" i="32"/>
  <c r="AE99" i="32"/>
  <c r="AD98" i="32"/>
  <c r="T98" i="32"/>
  <c r="U97" i="32"/>
  <c r="P96" i="32"/>
  <c r="AI95" i="32"/>
  <c r="Y93" i="32"/>
  <c r="O93" i="32"/>
  <c r="AD82" i="32"/>
  <c r="T82" i="32"/>
  <c r="K80" i="32"/>
  <c r="Z79" i="32"/>
  <c r="P79" i="32"/>
  <c r="P78" i="32"/>
  <c r="U76" i="32"/>
  <c r="AE76" i="32"/>
  <c r="F99" i="32"/>
  <c r="F98" i="32"/>
  <c r="F97" i="32"/>
  <c r="F96" i="32"/>
  <c r="J91" i="32"/>
  <c r="J87" i="32"/>
  <c r="AD83" i="32"/>
  <c r="T100" i="32"/>
  <c r="AD89" i="32"/>
  <c r="J95" i="32"/>
  <c r="AE95" i="32"/>
  <c r="AD94" i="32"/>
  <c r="T94" i="32"/>
  <c r="K93" i="32"/>
  <c r="AI91" i="32"/>
  <c r="O82" i="32"/>
  <c r="Y77" i="32"/>
  <c r="J89" i="32"/>
  <c r="J88" i="32"/>
  <c r="J79" i="32"/>
  <c r="E76" i="32"/>
  <c r="J75" i="32"/>
  <c r="E174" i="32"/>
  <c r="F171" i="32"/>
  <c r="AE177" i="32"/>
  <c r="P171" i="32"/>
  <c r="E124" i="32"/>
  <c r="E121" i="32"/>
  <c r="Z121" i="32"/>
  <c r="P121" i="32"/>
  <c r="AD74" i="32"/>
  <c r="O74" i="32"/>
  <c r="J74" i="32"/>
  <c r="F170" i="32"/>
  <c r="J173" i="32"/>
  <c r="K170" i="32"/>
  <c r="U120" i="32"/>
  <c r="F120" i="32"/>
  <c r="Y123" i="32"/>
  <c r="O123" i="32"/>
  <c r="Z120" i="32"/>
  <c r="P120" i="32"/>
  <c r="F21" i="32"/>
  <c r="AJ76" i="32"/>
  <c r="AD73" i="32"/>
  <c r="J73" i="32"/>
  <c r="K203" i="32"/>
  <c r="K201" i="32"/>
  <c r="K193" i="32"/>
  <c r="K185" i="32"/>
  <c r="K171" i="32"/>
  <c r="F201" i="32"/>
  <c r="F193" i="32"/>
  <c r="F185" i="32"/>
  <c r="F177" i="32"/>
  <c r="F169" i="32"/>
  <c r="F200" i="32"/>
  <c r="F192" i="32"/>
  <c r="F184" i="32"/>
  <c r="F176" i="32"/>
  <c r="K178" i="32"/>
  <c r="F199" i="32"/>
  <c r="J195" i="32"/>
  <c r="F191" i="32"/>
  <c r="J187" i="32"/>
  <c r="F183" i="32"/>
  <c r="J179" i="32"/>
  <c r="F175" i="32"/>
  <c r="K177" i="32"/>
  <c r="F198" i="32"/>
  <c r="F190" i="32"/>
  <c r="F182" i="32"/>
  <c r="F174" i="32"/>
  <c r="K137" i="32"/>
  <c r="K129" i="32"/>
  <c r="K151" i="32"/>
  <c r="F151" i="32"/>
  <c r="F143" i="32"/>
  <c r="F135" i="32"/>
  <c r="F127" i="32"/>
  <c r="F119" i="32"/>
  <c r="K143" i="32"/>
  <c r="K135" i="32"/>
  <c r="K119" i="32"/>
  <c r="F150" i="32"/>
  <c r="F142" i="32"/>
  <c r="F134" i="32"/>
  <c r="F126" i="32"/>
  <c r="K121" i="32"/>
  <c r="F149" i="32"/>
  <c r="K127" i="32"/>
  <c r="F148" i="32"/>
  <c r="F140" i="32"/>
  <c r="F132" i="32"/>
  <c r="F124" i="32"/>
  <c r="F95" i="32"/>
  <c r="F87" i="32"/>
  <c r="F79" i="32"/>
  <c r="K79" i="32"/>
  <c r="F94" i="32"/>
  <c r="F86" i="32"/>
  <c r="F78" i="32"/>
  <c r="F101" i="32"/>
  <c r="F93" i="32"/>
  <c r="F85" i="32"/>
  <c r="F77" i="32"/>
  <c r="K95" i="32"/>
  <c r="F100" i="32"/>
  <c r="F92" i="32"/>
  <c r="F84" i="32"/>
  <c r="F76" i="32"/>
  <c r="F46" i="32"/>
  <c r="F38" i="32"/>
  <c r="F30" i="32"/>
  <c r="F22" i="32"/>
  <c r="F49" i="32"/>
  <c r="F41" i="32"/>
  <c r="F33" i="32"/>
  <c r="F25" i="32"/>
  <c r="F52" i="32"/>
  <c r="F44" i="32"/>
  <c r="F36" i="32"/>
  <c r="F28" i="32"/>
  <c r="F20" i="32"/>
  <c r="F47" i="32"/>
  <c r="F39" i="32"/>
  <c r="F31" i="32"/>
  <c r="F23" i="32"/>
  <c r="P172" i="32"/>
  <c r="U171" i="32"/>
  <c r="Z170" i="32"/>
  <c r="AE169" i="32"/>
  <c r="P199" i="32"/>
  <c r="U198" i="32"/>
  <c r="Z197" i="32"/>
  <c r="AE196" i="32"/>
  <c r="P191" i="32"/>
  <c r="U190" i="32"/>
  <c r="Z189" i="32"/>
  <c r="AE188" i="32"/>
  <c r="P183" i="32"/>
  <c r="U182" i="32"/>
  <c r="Z181" i="32"/>
  <c r="AE180" i="32"/>
  <c r="P175" i="32"/>
  <c r="U174" i="32"/>
  <c r="Z173" i="32"/>
  <c r="AE172" i="32"/>
  <c r="P178" i="32"/>
  <c r="U177" i="32"/>
  <c r="Z176" i="32"/>
  <c r="AE175" i="32"/>
  <c r="P170" i="32"/>
  <c r="U169" i="32"/>
  <c r="Z203" i="32"/>
  <c r="AE202" i="32"/>
  <c r="P197" i="32"/>
  <c r="U196" i="32"/>
  <c r="Z195" i="32"/>
  <c r="AE194" i="32"/>
  <c r="P189" i="32"/>
  <c r="U188" i="32"/>
  <c r="Z187" i="32"/>
  <c r="AE186" i="32"/>
  <c r="P181" i="32"/>
  <c r="U180" i="32"/>
  <c r="Z179" i="32"/>
  <c r="AE178" i="32"/>
  <c r="P173" i="32"/>
  <c r="U172" i="32"/>
  <c r="Z171" i="32"/>
  <c r="AE170" i="32"/>
  <c r="U148" i="32"/>
  <c r="U147" i="32"/>
  <c r="U146" i="32"/>
  <c r="U143" i="32"/>
  <c r="U142" i="32"/>
  <c r="U141" i="32"/>
  <c r="U140" i="32"/>
  <c r="U135" i="32"/>
  <c r="U134" i="32"/>
  <c r="U132" i="32"/>
  <c r="U127" i="32"/>
  <c r="U126" i="32"/>
  <c r="U125" i="32"/>
  <c r="Z101" i="32"/>
  <c r="AJ100" i="32"/>
  <c r="P98" i="32"/>
  <c r="Z97" i="32"/>
  <c r="AJ96" i="32"/>
  <c r="P94" i="32"/>
  <c r="Z93" i="32"/>
  <c r="AJ92" i="32"/>
  <c r="P90" i="32"/>
  <c r="Z89" i="32"/>
  <c r="AJ88" i="32"/>
  <c r="U99" i="32"/>
  <c r="AE98" i="32"/>
  <c r="U95" i="32"/>
  <c r="AE94" i="32"/>
  <c r="U91" i="32"/>
  <c r="AE90" i="32"/>
  <c r="U87" i="32"/>
  <c r="AE86" i="32"/>
  <c r="U83" i="32"/>
  <c r="AE82" i="32"/>
  <c r="U79" i="32"/>
  <c r="AE78" i="32"/>
  <c r="U75" i="32"/>
  <c r="P101" i="32"/>
  <c r="Z100" i="32"/>
  <c r="AJ99" i="32"/>
  <c r="P97" i="32"/>
  <c r="Z96" i="32"/>
  <c r="AJ95" i="32"/>
  <c r="P93" i="32"/>
  <c r="Z92" i="32"/>
  <c r="AJ91" i="32"/>
  <c r="P89" i="32"/>
  <c r="Z88" i="32"/>
  <c r="AJ87" i="32"/>
  <c r="P85" i="32"/>
  <c r="Z84" i="32"/>
  <c r="AJ83" i="32"/>
  <c r="P81" i="32"/>
  <c r="Z80" i="32"/>
  <c r="AJ79" i="32"/>
  <c r="P77" i="32"/>
  <c r="Z76" i="32"/>
  <c r="AJ75" i="32"/>
  <c r="AE101" i="32"/>
  <c r="U98" i="32"/>
  <c r="AE97" i="32"/>
  <c r="U94" i="32"/>
  <c r="AE93" i="32"/>
  <c r="U90" i="32"/>
  <c r="AE89" i="32"/>
  <c r="U86" i="32"/>
  <c r="AE85" i="32"/>
  <c r="U82" i="32"/>
  <c r="AE81" i="32"/>
  <c r="U78" i="32"/>
  <c r="AE77" i="32"/>
  <c r="N227" i="7"/>
  <c r="G227" i="7"/>
  <c r="B11" i="7" l="1"/>
  <c r="M226" i="7" l="1"/>
  <c r="N226" i="7"/>
  <c r="G226" i="7"/>
  <c r="B65" i="29"/>
  <c r="C66" i="34"/>
  <c r="D66" i="34"/>
  <c r="E66" i="34"/>
  <c r="F66" i="34"/>
  <c r="C67" i="34"/>
  <c r="D67" i="34"/>
  <c r="E67" i="34"/>
  <c r="K67" i="34" s="1"/>
  <c r="F67" i="34"/>
  <c r="C68" i="34"/>
  <c r="D68" i="34"/>
  <c r="E68" i="34"/>
  <c r="F68" i="34"/>
  <c r="C69" i="34"/>
  <c r="D69" i="34"/>
  <c r="E69" i="34"/>
  <c r="F69" i="34"/>
  <c r="C70" i="34"/>
  <c r="D70" i="34"/>
  <c r="E70" i="34"/>
  <c r="F70" i="34"/>
  <c r="C71" i="34"/>
  <c r="D71" i="34"/>
  <c r="E71" i="34"/>
  <c r="F71" i="34"/>
  <c r="C72" i="34"/>
  <c r="D72" i="34"/>
  <c r="E72" i="34"/>
  <c r="F72" i="34"/>
  <c r="C73" i="34"/>
  <c r="D73" i="34"/>
  <c r="E73" i="34"/>
  <c r="F73" i="34"/>
  <c r="C74" i="34"/>
  <c r="D74" i="34"/>
  <c r="E74" i="34"/>
  <c r="F74" i="34"/>
  <c r="C75" i="34"/>
  <c r="D75" i="34"/>
  <c r="E75" i="34"/>
  <c r="F75" i="34"/>
  <c r="C76" i="34"/>
  <c r="D76" i="34"/>
  <c r="E76" i="34"/>
  <c r="F76" i="34"/>
  <c r="C77" i="34"/>
  <c r="D77" i="34"/>
  <c r="E77" i="34"/>
  <c r="F77" i="34"/>
  <c r="C78" i="34"/>
  <c r="D78" i="34"/>
  <c r="E78" i="34"/>
  <c r="F78" i="34"/>
  <c r="C79" i="34"/>
  <c r="D79" i="34"/>
  <c r="E79" i="34"/>
  <c r="F79" i="34"/>
  <c r="C80" i="34"/>
  <c r="D80" i="34"/>
  <c r="E80" i="34"/>
  <c r="F80" i="34"/>
  <c r="C81" i="34"/>
  <c r="D81" i="34"/>
  <c r="E81" i="34"/>
  <c r="F81" i="34"/>
  <c r="C82" i="34"/>
  <c r="D82" i="34"/>
  <c r="E82" i="34"/>
  <c r="F82" i="34"/>
  <c r="C83" i="34"/>
  <c r="D83" i="34"/>
  <c r="E83" i="34"/>
  <c r="K83" i="34" s="1"/>
  <c r="F83" i="34"/>
  <c r="C84" i="34"/>
  <c r="D84" i="34"/>
  <c r="E84" i="34"/>
  <c r="F84" i="34"/>
  <c r="B82" i="34"/>
  <c r="B83" i="34"/>
  <c r="B84" i="34"/>
  <c r="B81" i="34"/>
  <c r="B78" i="34"/>
  <c r="G78" i="34" s="1"/>
  <c r="B79" i="34"/>
  <c r="B80" i="34"/>
  <c r="B77" i="34"/>
  <c r="B74" i="34"/>
  <c r="B75" i="34"/>
  <c r="B76" i="34"/>
  <c r="G76" i="34" s="1"/>
  <c r="B73" i="34"/>
  <c r="B70" i="34"/>
  <c r="G70" i="34" s="1"/>
  <c r="B71" i="34"/>
  <c r="B72" i="34"/>
  <c r="B69" i="34"/>
  <c r="B66" i="34"/>
  <c r="H66" i="34" s="1"/>
  <c r="B67" i="34"/>
  <c r="B68" i="34"/>
  <c r="G68" i="34" s="1"/>
  <c r="M225" i="7"/>
  <c r="N225" i="7"/>
  <c r="G225" i="7"/>
  <c r="Y52" i="5"/>
  <c r="Y53" i="5"/>
  <c r="Y54" i="5"/>
  <c r="Y55" i="5"/>
  <c r="Y56" i="5"/>
  <c r="Y57" i="5"/>
  <c r="Y58" i="5"/>
  <c r="Y59" i="5"/>
  <c r="Y60" i="5"/>
  <c r="Y61" i="5"/>
  <c r="Y62" i="5"/>
  <c r="X52" i="5"/>
  <c r="X53" i="5"/>
  <c r="X54" i="5"/>
  <c r="X55" i="5"/>
  <c r="X56" i="5"/>
  <c r="X57" i="5"/>
  <c r="X58" i="5"/>
  <c r="X59" i="5"/>
  <c r="X60" i="5"/>
  <c r="X61" i="5"/>
  <c r="X62" i="5"/>
  <c r="Y63" i="5"/>
  <c r="X63" i="5"/>
  <c r="J75" i="34" l="1"/>
  <c r="L83" i="34"/>
  <c r="J69" i="34"/>
  <c r="H71" i="34"/>
  <c r="J77" i="34"/>
  <c r="H72" i="34"/>
  <c r="H80" i="34"/>
  <c r="K82" i="34"/>
  <c r="K76" i="34"/>
  <c r="L78" i="34"/>
  <c r="H74" i="34"/>
  <c r="H82" i="34"/>
  <c r="J67" i="34"/>
  <c r="L82" i="34"/>
  <c r="J84" i="34"/>
  <c r="J82" i="34"/>
  <c r="J80" i="34"/>
  <c r="I78" i="34"/>
  <c r="J76" i="34"/>
  <c r="J74" i="34"/>
  <c r="J70" i="34"/>
  <c r="I68" i="34"/>
  <c r="I66" i="34"/>
  <c r="L84" i="34"/>
  <c r="L76" i="34"/>
  <c r="L70" i="34"/>
  <c r="L80" i="34"/>
  <c r="G84" i="34"/>
  <c r="I70" i="34"/>
  <c r="L81" i="34"/>
  <c r="K79" i="34"/>
  <c r="K77" i="34"/>
  <c r="L75" i="34"/>
  <c r="L73" i="34"/>
  <c r="K71" i="34"/>
  <c r="K69" i="34"/>
  <c r="L67" i="34"/>
  <c r="I83" i="34"/>
  <c r="I73" i="34"/>
  <c r="J66" i="34"/>
  <c r="I81" i="34"/>
  <c r="I79" i="34"/>
  <c r="I71" i="34"/>
  <c r="L74" i="34"/>
  <c r="L72" i="34"/>
  <c r="K68" i="34"/>
  <c r="G72" i="34"/>
  <c r="I69" i="34"/>
  <c r="K80" i="34"/>
  <c r="K78" i="34"/>
  <c r="K70" i="34"/>
  <c r="K66" i="34"/>
  <c r="I84" i="34"/>
  <c r="K74" i="34"/>
  <c r="L68" i="34"/>
  <c r="I80" i="34"/>
  <c r="I72" i="34"/>
  <c r="J68" i="34"/>
  <c r="I82" i="34"/>
  <c r="J78" i="34"/>
  <c r="K72" i="34"/>
  <c r="G73" i="34"/>
  <c r="G81" i="34"/>
  <c r="J81" i="34"/>
  <c r="L79" i="34"/>
  <c r="J73" i="34"/>
  <c r="L71" i="34"/>
  <c r="G82" i="34"/>
  <c r="J72" i="34"/>
  <c r="I77" i="34"/>
  <c r="K75" i="34"/>
  <c r="G80" i="34"/>
  <c r="I76" i="34"/>
  <c r="L66" i="34"/>
  <c r="G67" i="34"/>
  <c r="G75" i="34"/>
  <c r="G83" i="34"/>
  <c r="G74" i="34"/>
  <c r="I74" i="34"/>
  <c r="K84" i="34"/>
  <c r="L69" i="34"/>
  <c r="I67" i="34"/>
  <c r="K81" i="34"/>
  <c r="G69" i="34"/>
  <c r="G66" i="34"/>
  <c r="H81" i="34"/>
  <c r="J79" i="34"/>
  <c r="I75" i="34"/>
  <c r="K73" i="34"/>
  <c r="G77" i="34"/>
  <c r="G71" i="34"/>
  <c r="G79" i="34"/>
  <c r="H79" i="34"/>
  <c r="J83" i="34"/>
  <c r="J71" i="34"/>
  <c r="L77" i="34"/>
  <c r="H73" i="34"/>
  <c r="H78" i="34"/>
  <c r="H70" i="34"/>
  <c r="H77" i="34"/>
  <c r="H69" i="34"/>
  <c r="H84" i="34"/>
  <c r="H76" i="34"/>
  <c r="H68" i="34"/>
  <c r="H83" i="34"/>
  <c r="H75" i="34"/>
  <c r="H67" i="34"/>
  <c r="D138" i="13"/>
  <c r="F138" i="13"/>
  <c r="CH167" i="35" s="1"/>
  <c r="H138" i="13" l="1"/>
  <c r="CK167" i="35"/>
  <c r="BQ138" i="13"/>
  <c r="BW138" i="13"/>
  <c r="BJ138" i="13"/>
  <c r="BT138" i="13" s="1"/>
  <c r="BK138" i="13"/>
  <c r="BL138" i="13"/>
  <c r="BM138" i="13"/>
  <c r="AB138" i="13"/>
  <c r="Z138" i="13"/>
  <c r="X138" i="13"/>
  <c r="V138" i="13"/>
  <c r="T138" i="13"/>
  <c r="R138" i="13"/>
  <c r="K138" i="13"/>
  <c r="CK138" i="13" s="1"/>
  <c r="O138" i="13"/>
  <c r="BI138" i="13" s="1"/>
  <c r="M138" i="13"/>
  <c r="BH138" i="13" s="1"/>
  <c r="BG138" i="13"/>
  <c r="BN138" i="13"/>
  <c r="AF167" i="35" s="1"/>
  <c r="BO138" i="13"/>
  <c r="AI167" i="35" s="1"/>
  <c r="CS138" i="13"/>
  <c r="N167" i="35" s="1"/>
  <c r="AK167" i="35" s="1"/>
  <c r="CT138" i="13"/>
  <c r="AO138" i="13"/>
  <c r="AP138" i="13"/>
  <c r="AU167" i="35" s="1"/>
  <c r="AQ138" i="13"/>
  <c r="AR138" i="13"/>
  <c r="AS138" i="13"/>
  <c r="AX138" i="13"/>
  <c r="CY138" i="13" s="1"/>
  <c r="E167" i="35" s="1"/>
  <c r="BA138" i="13"/>
  <c r="AL167" i="35" s="1"/>
  <c r="BB138" i="13"/>
  <c r="AV138" i="13"/>
  <c r="T167" i="35" s="1"/>
  <c r="AN167" i="35" s="1"/>
  <c r="AW138" i="13"/>
  <c r="W167" i="35" s="1"/>
  <c r="CC138" i="13"/>
  <c r="J138" i="13"/>
  <c r="BF138" i="13"/>
  <c r="CH138" i="13"/>
  <c r="CV139" i="13" l="1"/>
  <c r="AZ138" i="13"/>
  <c r="AY167" i="35"/>
  <c r="DD138" i="13"/>
  <c r="BD167" i="35" s="1"/>
  <c r="DE138" i="13"/>
  <c r="BG167" i="35" s="1"/>
  <c r="BD138" i="13"/>
  <c r="AR167" i="35" s="1"/>
  <c r="DC138" i="13"/>
  <c r="Q167" i="35" s="1"/>
  <c r="CU139" i="13"/>
  <c r="AU138" i="13"/>
  <c r="AY138" i="13"/>
  <c r="BE138" i="13"/>
  <c r="BC138" i="13"/>
  <c r="AO167" i="35" s="1"/>
  <c r="AT138" i="13"/>
  <c r="K167" i="35" s="1"/>
  <c r="M224" i="7"/>
  <c r="N224" i="7"/>
  <c r="G224" i="7"/>
  <c r="C220" i="32" l="1"/>
  <c r="B168" i="32"/>
  <c r="F168" i="32" s="1"/>
  <c r="C168" i="32"/>
  <c r="D168" i="32"/>
  <c r="G168" i="32"/>
  <c r="J168" i="32" s="1"/>
  <c r="H168" i="32"/>
  <c r="I168" i="32"/>
  <c r="L168" i="32"/>
  <c r="M168" i="32"/>
  <c r="N168" i="32"/>
  <c r="O168" i="32"/>
  <c r="P168" i="32"/>
  <c r="Q168" i="32"/>
  <c r="U168" i="32" s="1"/>
  <c r="R168" i="32"/>
  <c r="S168" i="32"/>
  <c r="V168" i="32"/>
  <c r="W168" i="32"/>
  <c r="X168" i="32"/>
  <c r="Y168" i="32"/>
  <c r="Z168" i="32"/>
  <c r="AA168" i="32"/>
  <c r="AD168" i="32" s="1"/>
  <c r="AB168" i="32"/>
  <c r="AC168" i="32"/>
  <c r="AE168" i="32"/>
  <c r="B118" i="32"/>
  <c r="E118" i="32" s="1"/>
  <c r="C118" i="32"/>
  <c r="D118" i="32"/>
  <c r="G118" i="32"/>
  <c r="J118" i="32" s="1"/>
  <c r="H118" i="32"/>
  <c r="I118" i="32"/>
  <c r="L118" i="32"/>
  <c r="O118" i="32" s="1"/>
  <c r="M118" i="32"/>
  <c r="N118" i="32"/>
  <c r="Q118" i="32"/>
  <c r="U118" i="32" s="1"/>
  <c r="R118" i="32"/>
  <c r="S118" i="32"/>
  <c r="T118" i="32"/>
  <c r="V118" i="32"/>
  <c r="W118" i="32"/>
  <c r="X118" i="32"/>
  <c r="Y118" i="32"/>
  <c r="Z118" i="32"/>
  <c r="B68" i="32"/>
  <c r="C68" i="32"/>
  <c r="E71" i="32" s="1"/>
  <c r="D68" i="32"/>
  <c r="F74" i="32" s="1"/>
  <c r="G68" i="32"/>
  <c r="H68" i="32"/>
  <c r="J71" i="32" s="1"/>
  <c r="I68" i="32"/>
  <c r="K74" i="32" s="1"/>
  <c r="B19" i="32"/>
  <c r="E19" i="32" s="1"/>
  <c r="C19" i="32"/>
  <c r="D19" i="32"/>
  <c r="L68" i="32"/>
  <c r="M68" i="32"/>
  <c r="O71" i="32" s="1"/>
  <c r="N68" i="32"/>
  <c r="P74" i="32" s="1"/>
  <c r="Q68" i="32"/>
  <c r="R68" i="32"/>
  <c r="T71" i="32" s="1"/>
  <c r="S68" i="32"/>
  <c r="U74" i="32" s="1"/>
  <c r="V68" i="32"/>
  <c r="W68" i="32"/>
  <c r="Y71" i="32" s="1"/>
  <c r="X68" i="32"/>
  <c r="Z74" i="32" s="1"/>
  <c r="AA68" i="32"/>
  <c r="AB68" i="32"/>
  <c r="AD71" i="32" s="1"/>
  <c r="AC68" i="32"/>
  <c r="AE74" i="32" s="1"/>
  <c r="AF68" i="32"/>
  <c r="AG68" i="32"/>
  <c r="AI71" i="32" s="1"/>
  <c r="AH68" i="32"/>
  <c r="AJ74" i="32" s="1"/>
  <c r="P96" i="29"/>
  <c r="O96" i="29"/>
  <c r="Y63" i="6"/>
  <c r="X63" i="6"/>
  <c r="W63" i="6"/>
  <c r="P221" i="32" l="1"/>
  <c r="K118" i="32"/>
  <c r="D220" i="32"/>
  <c r="E168" i="32"/>
  <c r="B220" i="32"/>
  <c r="T168" i="32"/>
  <c r="K168" i="32"/>
  <c r="P118" i="32"/>
  <c r="F118" i="32"/>
  <c r="F19" i="32"/>
  <c r="V63" i="5"/>
  <c r="U63" i="5"/>
  <c r="T63" i="5"/>
  <c r="AV63" i="5"/>
  <c r="AP63" i="5"/>
  <c r="AA63" i="5"/>
  <c r="W63" i="5"/>
  <c r="AT63" i="1"/>
  <c r="AS63" i="1"/>
  <c r="AR63" i="1"/>
  <c r="AG63" i="1"/>
  <c r="U63" i="1"/>
  <c r="I63" i="1"/>
  <c r="AL63" i="4"/>
  <c r="AK63" i="4"/>
  <c r="AJ63" i="4"/>
  <c r="Y63" i="4"/>
  <c r="Y62" i="4"/>
  <c r="O63" i="4"/>
  <c r="E63" i="4"/>
  <c r="G223" i="7"/>
  <c r="M223" i="7"/>
  <c r="N223" i="7"/>
  <c r="D137" i="13"/>
  <c r="CK166" i="35" s="1"/>
  <c r="F137" i="13"/>
  <c r="CH166" i="35" s="1"/>
  <c r="T221" i="32" l="1"/>
  <c r="AN220" i="32"/>
  <c r="AI220" i="32"/>
  <c r="AY220" i="32"/>
  <c r="U220" i="32"/>
  <c r="O221" i="32"/>
  <c r="H137" i="13"/>
  <c r="AE144" i="9"/>
  <c r="AB144" i="9" s="1"/>
  <c r="AI144" i="9"/>
  <c r="AS144" i="9"/>
  <c r="AW144" i="9"/>
  <c r="AD144" i="9"/>
  <c r="AF144" i="9" s="1"/>
  <c r="AJ144" i="9"/>
  <c r="AC144" i="9"/>
  <c r="AQ144" i="9"/>
  <c r="AK144" i="9"/>
  <c r="AR144" i="9"/>
  <c r="AV144" i="9"/>
  <c r="AL144" i="9"/>
  <c r="AH144" i="9"/>
  <c r="AP144" i="9"/>
  <c r="AU144" i="9"/>
  <c r="AO144" i="9"/>
  <c r="M222" i="7"/>
  <c r="N222" i="7"/>
  <c r="G222" i="7"/>
  <c r="BQ137" i="13"/>
  <c r="BW137" i="13"/>
  <c r="BJ137" i="13"/>
  <c r="BT137" i="13" s="1"/>
  <c r="BK137" i="13"/>
  <c r="BL137" i="13"/>
  <c r="BM137" i="13"/>
  <c r="J137" i="13"/>
  <c r="AO137" i="13"/>
  <c r="AP137" i="13"/>
  <c r="AU166" i="35" s="1"/>
  <c r="BF137" i="13"/>
  <c r="BG137" i="13"/>
  <c r="CC137" i="13"/>
  <c r="CH137" i="13"/>
  <c r="BN137" i="13"/>
  <c r="AF166" i="35" s="1"/>
  <c r="BO137" i="13"/>
  <c r="AI166" i="35" s="1"/>
  <c r="CS137" i="13"/>
  <c r="N166" i="35" s="1"/>
  <c r="AK166" i="35" s="1"/>
  <c r="AQ137" i="13"/>
  <c r="AR137" i="13"/>
  <c r="AS137" i="13"/>
  <c r="AX125" i="13"/>
  <c r="CY125" i="13" s="1"/>
  <c r="E154" i="35" s="1"/>
  <c r="AX137" i="13"/>
  <c r="CY137" i="13" s="1"/>
  <c r="E166" i="35" s="1"/>
  <c r="BA137" i="13"/>
  <c r="AL166" i="35" s="1"/>
  <c r="BB137" i="13"/>
  <c r="AV137" i="13"/>
  <c r="T166" i="35" s="1"/>
  <c r="AN166" i="35" s="1"/>
  <c r="AW137" i="13"/>
  <c r="W166" i="35" s="1"/>
  <c r="CT137" i="13" l="1"/>
  <c r="CV138" i="13"/>
  <c r="CU138" i="13"/>
  <c r="AM144" i="9"/>
  <c r="M221" i="7"/>
  <c r="N221" i="7"/>
  <c r="R137" i="13" l="1"/>
  <c r="T137" i="13"/>
  <c r="V137" i="13"/>
  <c r="X137" i="13"/>
  <c r="Z137" i="13"/>
  <c r="AB137" i="13"/>
  <c r="K137" i="13"/>
  <c r="CK137" i="13" s="1"/>
  <c r="O137" i="13"/>
  <c r="BI137" i="13" s="1"/>
  <c r="M137" i="13"/>
  <c r="BH137" i="13" s="1"/>
  <c r="AE143" i="9"/>
  <c r="AB143" i="9" s="1"/>
  <c r="AI143" i="9"/>
  <c r="AS143" i="9"/>
  <c r="AW143" i="9"/>
  <c r="AD143" i="9"/>
  <c r="AF143" i="9" s="1"/>
  <c r="AJ143" i="9"/>
  <c r="AC143" i="9"/>
  <c r="AQ143" i="9"/>
  <c r="AK143" i="9"/>
  <c r="AR143" i="9"/>
  <c r="AV143" i="9"/>
  <c r="AL143" i="9"/>
  <c r="AH143" i="9"/>
  <c r="AP143" i="9"/>
  <c r="AU143" i="9"/>
  <c r="AO143" i="9"/>
  <c r="B167" i="32"/>
  <c r="E167" i="32" s="1"/>
  <c r="C167" i="32"/>
  <c r="D167" i="32"/>
  <c r="G167" i="32"/>
  <c r="H167" i="32"/>
  <c r="I167" i="32"/>
  <c r="J167" i="32"/>
  <c r="K167" i="32"/>
  <c r="L167" i="32"/>
  <c r="O167" i="32" s="1"/>
  <c r="M167" i="32"/>
  <c r="N167" i="32"/>
  <c r="Q167" i="32"/>
  <c r="T167" i="32" s="1"/>
  <c r="R167" i="32"/>
  <c r="S167" i="32"/>
  <c r="V167" i="32"/>
  <c r="W167" i="32"/>
  <c r="X167" i="32"/>
  <c r="Y167" i="32"/>
  <c r="Z167" i="32"/>
  <c r="AA167" i="32"/>
  <c r="AB167" i="32"/>
  <c r="AC167" i="32"/>
  <c r="AD167" i="32"/>
  <c r="AE167" i="32"/>
  <c r="B117" i="32"/>
  <c r="E117" i="32" s="1"/>
  <c r="C117" i="32"/>
  <c r="D117" i="32"/>
  <c r="G117" i="32"/>
  <c r="H117" i="32"/>
  <c r="I117" i="32"/>
  <c r="J117" i="32"/>
  <c r="K117" i="32"/>
  <c r="L117" i="32"/>
  <c r="O117" i="32" s="1"/>
  <c r="M117" i="32"/>
  <c r="N117" i="32"/>
  <c r="P117" i="32"/>
  <c r="Q117" i="32"/>
  <c r="U117" i="32" s="1"/>
  <c r="R117" i="32"/>
  <c r="S117" i="32"/>
  <c r="T117" i="32"/>
  <c r="V117" i="32"/>
  <c r="W117" i="32"/>
  <c r="X117" i="32"/>
  <c r="Y117" i="32"/>
  <c r="Z117" i="32"/>
  <c r="G67" i="32"/>
  <c r="H67" i="32"/>
  <c r="J70" i="32" s="1"/>
  <c r="I67" i="32"/>
  <c r="K73" i="32" s="1"/>
  <c r="L67" i="32"/>
  <c r="M67" i="32"/>
  <c r="O70" i="32" s="1"/>
  <c r="N67" i="32"/>
  <c r="P73" i="32" s="1"/>
  <c r="Q67" i="32"/>
  <c r="R67" i="32"/>
  <c r="T70" i="32" s="1"/>
  <c r="S67" i="32"/>
  <c r="U73" i="32" s="1"/>
  <c r="V67" i="32"/>
  <c r="W67" i="32"/>
  <c r="Y70" i="32" s="1"/>
  <c r="X67" i="32"/>
  <c r="Z73" i="32" s="1"/>
  <c r="AA67" i="32"/>
  <c r="AB67" i="32"/>
  <c r="AD70" i="32" s="1"/>
  <c r="AC67" i="32"/>
  <c r="AE73" i="32" s="1"/>
  <c r="AF67" i="32"/>
  <c r="AG67" i="32"/>
  <c r="AI70" i="32" s="1"/>
  <c r="AH67" i="32"/>
  <c r="AJ73" i="32" s="1"/>
  <c r="B67" i="32"/>
  <c r="C67" i="32"/>
  <c r="E70" i="32" s="1"/>
  <c r="D67" i="32"/>
  <c r="F73" i="32" s="1"/>
  <c r="B18" i="32"/>
  <c r="E18" i="32" s="1"/>
  <c r="C18" i="32"/>
  <c r="D18" i="32"/>
  <c r="N37" i="29"/>
  <c r="AW4" i="4"/>
  <c r="AV4" i="4"/>
  <c r="AU4" i="4"/>
  <c r="AT4" i="4"/>
  <c r="AS4" i="4"/>
  <c r="AR4" i="4"/>
  <c r="AQ4" i="4"/>
  <c r="AP4" i="4"/>
  <c r="AO4" i="4"/>
  <c r="AN4" i="4"/>
  <c r="AM4" i="4"/>
  <c r="AL4" i="4"/>
  <c r="P57" i="29" s="1"/>
  <c r="P60" i="29" s="1"/>
  <c r="AK4" i="4"/>
  <c r="O57" i="29" s="1"/>
  <c r="O60" i="29" s="1"/>
  <c r="AJ4" i="4"/>
  <c r="N57" i="29" s="1"/>
  <c r="N60" i="29" s="1"/>
  <c r="AI4" i="4"/>
  <c r="P58" i="29" s="1"/>
  <c r="AH4" i="4"/>
  <c r="O58" i="29" s="1"/>
  <c r="AG4" i="4"/>
  <c r="AF4" i="4"/>
  <c r="AE4" i="4"/>
  <c r="AD4" i="4"/>
  <c r="AC4" i="4"/>
  <c r="P49" i="29" s="1"/>
  <c r="AA4" i="4"/>
  <c r="P55" i="29" s="1"/>
  <c r="Z4" i="4"/>
  <c r="Y4" i="4"/>
  <c r="P51" i="29" s="1"/>
  <c r="X4" i="4"/>
  <c r="W4" i="4"/>
  <c r="V4" i="4"/>
  <c r="U4" i="4"/>
  <c r="O49" i="29" s="1"/>
  <c r="S4" i="4"/>
  <c r="O55" i="29" s="1"/>
  <c r="R4" i="4"/>
  <c r="Q4" i="4"/>
  <c r="P4" i="4"/>
  <c r="O4" i="4"/>
  <c r="O51" i="29" s="1"/>
  <c r="N4" i="4"/>
  <c r="M4" i="4"/>
  <c r="L4" i="4"/>
  <c r="N49" i="29"/>
  <c r="I4" i="4"/>
  <c r="N55" i="29" s="1"/>
  <c r="H4" i="4"/>
  <c r="G4" i="4"/>
  <c r="F4" i="4"/>
  <c r="E4" i="4"/>
  <c r="N51" i="29" s="1"/>
  <c r="D4" i="4"/>
  <c r="C4" i="4"/>
  <c r="B4" i="4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P93" i="29" s="1"/>
  <c r="O4" i="6"/>
  <c r="P87" i="29" s="1"/>
  <c r="N4" i="6"/>
  <c r="P85" i="29" s="1"/>
  <c r="M4" i="6"/>
  <c r="P81" i="29" s="1"/>
  <c r="L4" i="6"/>
  <c r="P77" i="29" s="1"/>
  <c r="K4" i="6"/>
  <c r="O93" i="29" s="1"/>
  <c r="J4" i="6"/>
  <c r="O87" i="29" s="1"/>
  <c r="I4" i="6"/>
  <c r="O85" i="29" s="1"/>
  <c r="H4" i="6"/>
  <c r="O81" i="29" s="1"/>
  <c r="G4" i="6"/>
  <c r="O77" i="29" s="1"/>
  <c r="F4" i="6"/>
  <c r="N93" i="29" s="1"/>
  <c r="E4" i="6"/>
  <c r="N87" i="29" s="1"/>
  <c r="D4" i="6"/>
  <c r="N85" i="29" s="1"/>
  <c r="C4" i="6"/>
  <c r="N81" i="29" s="1"/>
  <c r="B4" i="6"/>
  <c r="N77" i="29" s="1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P72" i="29" s="1"/>
  <c r="R4" i="5"/>
  <c r="O72" i="29" s="1"/>
  <c r="Q4" i="5"/>
  <c r="P4" i="5"/>
  <c r="O4" i="5"/>
  <c r="N4" i="5"/>
  <c r="M4" i="5"/>
  <c r="P69" i="29" s="1"/>
  <c r="L4" i="5"/>
  <c r="P65" i="29" s="1"/>
  <c r="K4" i="5"/>
  <c r="P67" i="29" s="1"/>
  <c r="J4" i="5"/>
  <c r="P63" i="29" s="1"/>
  <c r="I4" i="5"/>
  <c r="O69" i="29" s="1"/>
  <c r="H4" i="5"/>
  <c r="O65" i="29" s="1"/>
  <c r="G4" i="5"/>
  <c r="O67" i="29" s="1"/>
  <c r="F4" i="5"/>
  <c r="O63" i="29" s="1"/>
  <c r="E4" i="5"/>
  <c r="N69" i="29" s="1"/>
  <c r="D4" i="5"/>
  <c r="N65" i="29" s="1"/>
  <c r="C4" i="5"/>
  <c r="N67" i="29" s="1"/>
  <c r="B4" i="5"/>
  <c r="N63" i="29" s="1"/>
  <c r="AO4" i="1"/>
  <c r="AP4" i="1"/>
  <c r="O44" i="29" s="1"/>
  <c r="AQ4" i="1"/>
  <c r="P44" i="29" s="1"/>
  <c r="AR4" i="1"/>
  <c r="N43" i="29" s="1"/>
  <c r="N46" i="29" s="1"/>
  <c r="AS4" i="1"/>
  <c r="O43" i="29" s="1"/>
  <c r="AT4" i="1"/>
  <c r="P43" i="29" s="1"/>
  <c r="P46" i="29" s="1"/>
  <c r="Z4" i="1"/>
  <c r="P35" i="29" s="1"/>
  <c r="AA4" i="1"/>
  <c r="P41" i="29" s="1"/>
  <c r="AB4" i="1"/>
  <c r="AC4" i="1"/>
  <c r="AD4" i="1"/>
  <c r="AE4" i="1"/>
  <c r="AF4" i="1"/>
  <c r="AG4" i="1"/>
  <c r="P39" i="29" s="1"/>
  <c r="AH4" i="1"/>
  <c r="AI4" i="1"/>
  <c r="AJ4" i="1"/>
  <c r="AK4" i="1"/>
  <c r="P37" i="29" s="1"/>
  <c r="AL4" i="1"/>
  <c r="AM4" i="1"/>
  <c r="AN4" i="1"/>
  <c r="C4" i="1"/>
  <c r="N41" i="29" s="1"/>
  <c r="D4" i="1"/>
  <c r="E4" i="1"/>
  <c r="F4" i="1"/>
  <c r="G4" i="1"/>
  <c r="H4" i="1"/>
  <c r="I4" i="1"/>
  <c r="N39" i="29" s="1"/>
  <c r="J4" i="1"/>
  <c r="K4" i="1"/>
  <c r="L4" i="1"/>
  <c r="M4" i="1"/>
  <c r="N4" i="1"/>
  <c r="O35" i="29" s="1"/>
  <c r="O4" i="1"/>
  <c r="O41" i="29" s="1"/>
  <c r="P4" i="1"/>
  <c r="Q4" i="1"/>
  <c r="R4" i="1"/>
  <c r="S4" i="1"/>
  <c r="T4" i="1"/>
  <c r="U4" i="1"/>
  <c r="O39" i="29" s="1"/>
  <c r="V4" i="1"/>
  <c r="W4" i="1"/>
  <c r="X4" i="1"/>
  <c r="Y4" i="1"/>
  <c r="O37" i="29" s="1"/>
  <c r="B4" i="1"/>
  <c r="N35" i="29" s="1"/>
  <c r="Y62" i="6"/>
  <c r="X62" i="6"/>
  <c r="W62" i="6"/>
  <c r="W52" i="5"/>
  <c r="W53" i="5"/>
  <c r="W54" i="5"/>
  <c r="W55" i="5"/>
  <c r="W56" i="5"/>
  <c r="W57" i="5"/>
  <c r="W58" i="5"/>
  <c r="W59" i="5"/>
  <c r="W60" i="5"/>
  <c r="W61" i="5"/>
  <c r="W62" i="5"/>
  <c r="V62" i="5"/>
  <c r="U62" i="5"/>
  <c r="T62" i="5"/>
  <c r="AA62" i="5"/>
  <c r="AV62" i="5"/>
  <c r="AP62" i="5"/>
  <c r="AG62" i="1"/>
  <c r="U62" i="1"/>
  <c r="I62" i="1"/>
  <c r="AT62" i="1"/>
  <c r="AS62" i="1"/>
  <c r="AR62" i="1"/>
  <c r="AL62" i="4"/>
  <c r="AK62" i="4"/>
  <c r="AJ62" i="4"/>
  <c r="Y61" i="4"/>
  <c r="O62" i="4"/>
  <c r="E62" i="4"/>
  <c r="D219" i="32" l="1"/>
  <c r="C219" i="32"/>
  <c r="B219" i="32"/>
  <c r="Z57" i="29"/>
  <c r="Z58" i="29" s="1"/>
  <c r="AC57" i="29"/>
  <c r="AC58" i="29" s="1"/>
  <c r="Z43" i="29"/>
  <c r="Z44" i="29" s="1"/>
  <c r="O46" i="29"/>
  <c r="BD137" i="13"/>
  <c r="AR166" i="35" s="1"/>
  <c r="DD137" i="13"/>
  <c r="BD166" i="35" s="1"/>
  <c r="AY166" i="35"/>
  <c r="DE137" i="13"/>
  <c r="BG166" i="35" s="1"/>
  <c r="AZ137" i="13"/>
  <c r="AU137" i="13"/>
  <c r="BC137" i="13"/>
  <c r="AO166" i="35" s="1"/>
  <c r="DC137" i="13"/>
  <c r="Q166" i="35" s="1"/>
  <c r="BE137" i="13"/>
  <c r="AY137" i="13"/>
  <c r="AT137" i="13"/>
  <c r="K166" i="35" s="1"/>
  <c r="M57" i="29"/>
  <c r="W57" i="29" s="1"/>
  <c r="W58" i="29" s="1"/>
  <c r="V58" i="29"/>
  <c r="N96" i="29"/>
  <c r="N97" i="29"/>
  <c r="N73" i="29"/>
  <c r="N72" i="29"/>
  <c r="N59" i="29"/>
  <c r="N58" i="29"/>
  <c r="N44" i="29"/>
  <c r="N45" i="29"/>
  <c r="R77" i="29"/>
  <c r="N95" i="29"/>
  <c r="N123" i="29"/>
  <c r="V124" i="29" s="1"/>
  <c r="P123" i="29"/>
  <c r="AC123" i="29" s="1"/>
  <c r="P95" i="29"/>
  <c r="O123" i="29"/>
  <c r="Z123" i="29" s="1"/>
  <c r="Z124" i="29" s="1"/>
  <c r="O95" i="29"/>
  <c r="N71" i="29"/>
  <c r="P71" i="29"/>
  <c r="P74" i="29" s="1"/>
  <c r="O71" i="29"/>
  <c r="M43" i="29"/>
  <c r="W43" i="29" s="1"/>
  <c r="W44" i="29" s="1"/>
  <c r="V44" i="29"/>
  <c r="AM143" i="9"/>
  <c r="P167" i="32"/>
  <c r="F167" i="32"/>
  <c r="U167" i="32"/>
  <c r="F117" i="32"/>
  <c r="R43" i="29"/>
  <c r="R57" i="29"/>
  <c r="AC43" i="29"/>
  <c r="D136" i="13"/>
  <c r="CK165" i="35" s="1"/>
  <c r="F136" i="13"/>
  <c r="E222" i="32" l="1"/>
  <c r="P220" i="32"/>
  <c r="T220" i="32"/>
  <c r="AN219" i="32"/>
  <c r="AI219" i="32"/>
  <c r="AY219" i="32"/>
  <c r="U219" i="32"/>
  <c r="O220" i="32"/>
  <c r="AC95" i="29"/>
  <c r="AC96" i="29" s="1"/>
  <c r="P98" i="29"/>
  <c r="Z95" i="29"/>
  <c r="Z96" i="29" s="1"/>
  <c r="O98" i="29"/>
  <c r="M95" i="29"/>
  <c r="W95" i="29" s="1"/>
  <c r="W96" i="29" s="1"/>
  <c r="N98" i="29"/>
  <c r="AA43" i="29"/>
  <c r="AB43" i="29" s="1"/>
  <c r="AB44" i="29" s="1"/>
  <c r="AA57" i="29"/>
  <c r="AA58" i="29" s="1"/>
  <c r="Z71" i="29"/>
  <c r="Z72" i="29" s="1"/>
  <c r="O74" i="29"/>
  <c r="V72" i="29"/>
  <c r="N74" i="29"/>
  <c r="AD57" i="29"/>
  <c r="AD58" i="29" s="1"/>
  <c r="H136" i="13"/>
  <c r="CH165" i="35"/>
  <c r="X57" i="29"/>
  <c r="X58" i="29" s="1"/>
  <c r="M123" i="29"/>
  <c r="W123" i="29" s="1"/>
  <c r="X123" i="29" s="1"/>
  <c r="V96" i="29"/>
  <c r="R123" i="29"/>
  <c r="AA123" i="29"/>
  <c r="AB123" i="29" s="1"/>
  <c r="AB124" i="29" s="1"/>
  <c r="R71" i="29"/>
  <c r="M71" i="29"/>
  <c r="W71" i="29" s="1"/>
  <c r="W72" i="29" s="1"/>
  <c r="AC71" i="29"/>
  <c r="AC72" i="29" s="1"/>
  <c r="X43" i="29"/>
  <c r="Y43" i="29" s="1"/>
  <c r="Y44" i="29" s="1"/>
  <c r="AC44" i="29"/>
  <c r="AD43" i="29"/>
  <c r="AC124" i="29"/>
  <c r="AD123" i="29"/>
  <c r="M220" i="7"/>
  <c r="N220" i="7"/>
  <c r="AA71" i="29" l="1"/>
  <c r="AA72" i="29" s="1"/>
  <c r="V7" i="29"/>
  <c r="AA44" i="29"/>
  <c r="AE57" i="29"/>
  <c r="AF57" i="29" s="1"/>
  <c r="AB57" i="29"/>
  <c r="AB58" i="29" s="1"/>
  <c r="W124" i="29"/>
  <c r="Y57" i="29"/>
  <c r="Y58" i="29" s="1"/>
  <c r="AA124" i="29"/>
  <c r="AD71" i="29"/>
  <c r="AD72" i="29" s="1"/>
  <c r="X71" i="29"/>
  <c r="Y71" i="29" s="1"/>
  <c r="Y72" i="29" s="1"/>
  <c r="X44" i="29"/>
  <c r="AE43" i="29"/>
  <c r="AD44" i="29"/>
  <c r="X124" i="29"/>
  <c r="Y123" i="29"/>
  <c r="Y124" i="29" s="1"/>
  <c r="AD124" i="29"/>
  <c r="AE123" i="29"/>
  <c r="BQ136" i="13"/>
  <c r="BW136" i="13"/>
  <c r="BJ136" i="13"/>
  <c r="BT136" i="13" s="1"/>
  <c r="BK136" i="13"/>
  <c r="BL136" i="13"/>
  <c r="BM136" i="13"/>
  <c r="AB136" i="13"/>
  <c r="Z136" i="13"/>
  <c r="X136" i="13"/>
  <c r="V136" i="13"/>
  <c r="T136" i="13"/>
  <c r="R136" i="13"/>
  <c r="J136" i="13"/>
  <c r="AB71" i="29" l="1"/>
  <c r="AB72" i="29" s="1"/>
  <c r="AE58" i="29"/>
  <c r="AZ136" i="13"/>
  <c r="AU136" i="13"/>
  <c r="AE71" i="29"/>
  <c r="AE72" i="29" s="1"/>
  <c r="X72" i="29"/>
  <c r="AE44" i="29"/>
  <c r="AF43" i="29"/>
  <c r="AF58" i="29"/>
  <c r="AG57" i="29"/>
  <c r="AF123" i="29"/>
  <c r="AE124" i="29"/>
  <c r="AE142" i="9"/>
  <c r="AB142" i="9"/>
  <c r="AI142" i="9"/>
  <c r="AS142" i="9"/>
  <c r="AW142" i="9"/>
  <c r="AD142" i="9"/>
  <c r="AF142" i="9" s="1"/>
  <c r="AM142" i="9"/>
  <c r="AJ142" i="9"/>
  <c r="AC142" i="9"/>
  <c r="AQ142" i="9"/>
  <c r="AK142" i="9"/>
  <c r="AR142" i="9"/>
  <c r="AV142" i="9"/>
  <c r="AL142" i="9"/>
  <c r="AH142" i="9"/>
  <c r="AP142" i="9"/>
  <c r="AU142" i="9"/>
  <c r="AO142" i="9"/>
  <c r="AQ136" i="13"/>
  <c r="AV136" i="13"/>
  <c r="T165" i="35" s="1"/>
  <c r="AN165" i="35" s="1"/>
  <c r="BA136" i="13"/>
  <c r="BF136" i="13"/>
  <c r="BN136" i="13"/>
  <c r="AF165" i="35" s="1"/>
  <c r="AR136" i="13"/>
  <c r="AW136" i="13"/>
  <c r="W165" i="35" s="1"/>
  <c r="BB136" i="13"/>
  <c r="CH136" i="13"/>
  <c r="CU137" i="13" l="1"/>
  <c r="AL165" i="35"/>
  <c r="CV137" i="13"/>
  <c r="AF71" i="29"/>
  <c r="AG71" i="29" s="1"/>
  <c r="AF44" i="29"/>
  <c r="AG43" i="29"/>
  <c r="AH57" i="29"/>
  <c r="AG58" i="29"/>
  <c r="AF124" i="29"/>
  <c r="AG123" i="29"/>
  <c r="O136" i="13"/>
  <c r="BI136" i="13" s="1"/>
  <c r="K136" i="13"/>
  <c r="CK136" i="13" s="1"/>
  <c r="M136" i="13"/>
  <c r="BH136" i="13" s="1"/>
  <c r="AY165" i="35" l="1"/>
  <c r="DD136" i="13"/>
  <c r="BD165" i="35" s="1"/>
  <c r="DE136" i="13"/>
  <c r="BG165" i="35" s="1"/>
  <c r="BE136" i="13"/>
  <c r="DC136" i="13"/>
  <c r="Q165" i="35" s="1"/>
  <c r="BD136" i="13"/>
  <c r="AR165" i="35" s="1"/>
  <c r="BC136" i="13"/>
  <c r="AO165" i="35" s="1"/>
  <c r="AF72" i="29"/>
  <c r="AG44" i="29"/>
  <c r="AH43" i="29"/>
  <c r="AH58" i="29"/>
  <c r="AG72" i="29"/>
  <c r="AH71" i="29"/>
  <c r="AG124" i="29"/>
  <c r="AH123" i="29"/>
  <c r="AT136" i="13"/>
  <c r="K165" i="35" s="1"/>
  <c r="AY136" i="13"/>
  <c r="AH44" i="29" l="1"/>
  <c r="AH72" i="29"/>
  <c r="AH124" i="29"/>
  <c r="AO136" i="13"/>
  <c r="AP136" i="13"/>
  <c r="AU165" i="35" s="1"/>
  <c r="BG136" i="13"/>
  <c r="CC136" i="13"/>
  <c r="BO136" i="13"/>
  <c r="CS136" i="13"/>
  <c r="N165" i="35" s="1"/>
  <c r="AK165" i="35" s="1"/>
  <c r="AS136" i="13"/>
  <c r="AX136" i="13"/>
  <c r="CY136" i="13" s="1"/>
  <c r="E165" i="35" s="1"/>
  <c r="CT136" i="13" l="1"/>
  <c r="AI165" i="35"/>
  <c r="M219" i="7"/>
  <c r="N219" i="7"/>
  <c r="AX211" i="32" l="1"/>
  <c r="AX212" i="32"/>
  <c r="AX213" i="32"/>
  <c r="AX214" i="32"/>
  <c r="AX215" i="32"/>
  <c r="AX216" i="32"/>
  <c r="AX217" i="32"/>
  <c r="AX218" i="32"/>
  <c r="AX210" i="32"/>
  <c r="M218" i="7"/>
  <c r="N218" i="7"/>
  <c r="K218" i="32" l="1"/>
  <c r="K217" i="32"/>
  <c r="M217" i="7"/>
  <c r="N217" i="7"/>
  <c r="D135" i="13"/>
  <c r="CK164" i="35" s="1"/>
  <c r="F135" i="13"/>
  <c r="H135" i="13" l="1"/>
  <c r="CH164" i="35"/>
  <c r="CJ135" i="13"/>
  <c r="AP91" i="13"/>
  <c r="AU120" i="35" s="1"/>
  <c r="M216" i="7"/>
  <c r="N216" i="7"/>
  <c r="AO82" i="13" l="1"/>
  <c r="BQ135" i="13"/>
  <c r="BW135" i="13"/>
  <c r="BJ135" i="13"/>
  <c r="BT135" i="13" s="1"/>
  <c r="BK135" i="13"/>
  <c r="BL135" i="13"/>
  <c r="BM135" i="13"/>
  <c r="AB135" i="13"/>
  <c r="Z135" i="13"/>
  <c r="X135" i="13"/>
  <c r="V135" i="13"/>
  <c r="T135" i="13"/>
  <c r="R135" i="13"/>
  <c r="J135" i="13"/>
  <c r="AO135" i="13"/>
  <c r="AP135" i="13"/>
  <c r="AU164" i="35" s="1"/>
  <c r="BF135" i="13"/>
  <c r="BG135" i="13"/>
  <c r="CC135" i="13"/>
  <c r="CH135" i="13"/>
  <c r="BN135" i="13"/>
  <c r="AF164" i="35" s="1"/>
  <c r="BO135" i="13"/>
  <c r="CS135" i="13"/>
  <c r="N164" i="35" s="1"/>
  <c r="AK164" i="35" s="1"/>
  <c r="AQ135" i="13"/>
  <c r="AR135" i="13"/>
  <c r="AS135" i="13"/>
  <c r="AX135" i="13"/>
  <c r="CY135" i="13" s="1"/>
  <c r="E164" i="35" s="1"/>
  <c r="BA135" i="13"/>
  <c r="AL164" i="35" s="1"/>
  <c r="BB135" i="13"/>
  <c r="AV135" i="13"/>
  <c r="T164" i="35" s="1"/>
  <c r="AN164" i="35" s="1"/>
  <c r="AW135" i="13"/>
  <c r="W164" i="35" s="1"/>
  <c r="CV136" i="13" l="1"/>
  <c r="AZ135" i="13"/>
  <c r="CT135" i="13"/>
  <c r="AI164" i="35"/>
  <c r="AU135" i="13"/>
  <c r="CU136" i="13"/>
  <c r="K135" i="13"/>
  <c r="DC135" i="13" s="1"/>
  <c r="O135" i="13"/>
  <c r="BI135" i="13" s="1"/>
  <c r="M135" i="13"/>
  <c r="BH135" i="13" s="1"/>
  <c r="AO141" i="9"/>
  <c r="AH141" i="9"/>
  <c r="AI141" i="9"/>
  <c r="AJ141" i="9"/>
  <c r="AP141" i="9"/>
  <c r="AQ141" i="9"/>
  <c r="AR141" i="9"/>
  <c r="AS141" i="9"/>
  <c r="AU141" i="9"/>
  <c r="AE141" i="9"/>
  <c r="AW141" i="9"/>
  <c r="AD141" i="9"/>
  <c r="AC141" i="9"/>
  <c r="AK141" i="9"/>
  <c r="AV141" i="9"/>
  <c r="AL141" i="9"/>
  <c r="M215" i="7"/>
  <c r="N215" i="7"/>
  <c r="AY164" i="35" l="1"/>
  <c r="DE135" i="13"/>
  <c r="BG164" i="35" s="1"/>
  <c r="DD135" i="13"/>
  <c r="BD164" i="35" s="1"/>
  <c r="BD135" i="13"/>
  <c r="AR164" i="35" s="1"/>
  <c r="Q164" i="35"/>
  <c r="CK135" i="13"/>
  <c r="AY135" i="13"/>
  <c r="BE135" i="13"/>
  <c r="AT135" i="13"/>
  <c r="K164" i="35" s="1"/>
  <c r="AM141" i="9"/>
  <c r="AB141" i="9"/>
  <c r="BC135" i="13"/>
  <c r="AO164" i="35" s="1"/>
  <c r="AF141" i="9"/>
  <c r="AJ61" i="4"/>
  <c r="B166" i="32"/>
  <c r="C166" i="32"/>
  <c r="D166" i="32"/>
  <c r="D218" i="32" s="1"/>
  <c r="T219" i="32" s="1"/>
  <c r="G166" i="32"/>
  <c r="H166" i="32"/>
  <c r="I166" i="32"/>
  <c r="L166" i="32"/>
  <c r="M166" i="32"/>
  <c r="N166" i="32"/>
  <c r="Q166" i="32"/>
  <c r="R166" i="32"/>
  <c r="S166" i="32"/>
  <c r="V166" i="32"/>
  <c r="W166" i="32"/>
  <c r="X166" i="32"/>
  <c r="AA166" i="32"/>
  <c r="AB166" i="32"/>
  <c r="AC166" i="32"/>
  <c r="B116" i="32"/>
  <c r="C116" i="32"/>
  <c r="D116" i="32"/>
  <c r="G116" i="32"/>
  <c r="H116" i="32"/>
  <c r="I116" i="32"/>
  <c r="L116" i="32"/>
  <c r="M116" i="32"/>
  <c r="N116" i="32"/>
  <c r="Q116" i="32"/>
  <c r="R116" i="32"/>
  <c r="S116" i="32"/>
  <c r="V116" i="32"/>
  <c r="W116" i="32"/>
  <c r="X116" i="32"/>
  <c r="B66" i="32"/>
  <c r="C66" i="32"/>
  <c r="E69" i="32" s="1"/>
  <c r="D66" i="32"/>
  <c r="F72" i="32" s="1"/>
  <c r="G66" i="32"/>
  <c r="H66" i="32"/>
  <c r="J69" i="32" s="1"/>
  <c r="I66" i="32"/>
  <c r="K72" i="32" s="1"/>
  <c r="L66" i="32"/>
  <c r="M66" i="32"/>
  <c r="O69" i="32" s="1"/>
  <c r="N66" i="32"/>
  <c r="P72" i="32" s="1"/>
  <c r="Q66" i="32"/>
  <c r="R66" i="32"/>
  <c r="T69" i="32" s="1"/>
  <c r="S66" i="32"/>
  <c r="U72" i="32" s="1"/>
  <c r="V66" i="32"/>
  <c r="W66" i="32"/>
  <c r="Y69" i="32" s="1"/>
  <c r="X66" i="32"/>
  <c r="Z72" i="32" s="1"/>
  <c r="AA66" i="32"/>
  <c r="AB66" i="32"/>
  <c r="AD69" i="32" s="1"/>
  <c r="AC66" i="32"/>
  <c r="AE72" i="32" s="1"/>
  <c r="AF66" i="32"/>
  <c r="AG66" i="32"/>
  <c r="AI69" i="32" s="1"/>
  <c r="AH66" i="32"/>
  <c r="AJ72" i="32" s="1"/>
  <c r="B17" i="32"/>
  <c r="C17" i="32"/>
  <c r="D17" i="32"/>
  <c r="AQ12" i="31"/>
  <c r="AP12" i="31"/>
  <c r="AO12" i="31"/>
  <c r="AQ11" i="31"/>
  <c r="AP11" i="31"/>
  <c r="AO11" i="31"/>
  <c r="AQ10" i="31"/>
  <c r="AP10" i="31"/>
  <c r="AO10" i="31"/>
  <c r="AQ9" i="31"/>
  <c r="AP9" i="31"/>
  <c r="AO9" i="31"/>
  <c r="AQ8" i="31"/>
  <c r="AP8" i="31"/>
  <c r="AO8" i="31"/>
  <c r="AQ7" i="31"/>
  <c r="AP7" i="31"/>
  <c r="AO7" i="31"/>
  <c r="AQ6" i="31"/>
  <c r="AP6" i="31"/>
  <c r="AO6" i="31"/>
  <c r="AQ5" i="31"/>
  <c r="AP5" i="31"/>
  <c r="AO5" i="31"/>
  <c r="AQ4" i="31"/>
  <c r="AP4" i="31"/>
  <c r="AO4" i="31"/>
  <c r="AQ3" i="31"/>
  <c r="AP3" i="31"/>
  <c r="AO3" i="31"/>
  <c r="Y61" i="6"/>
  <c r="X61" i="6"/>
  <c r="W61" i="6"/>
  <c r="Y60" i="6"/>
  <c r="X60" i="6"/>
  <c r="W60" i="6"/>
  <c r="Y59" i="6"/>
  <c r="X59" i="6"/>
  <c r="W59" i="6"/>
  <c r="Y58" i="6"/>
  <c r="X58" i="6"/>
  <c r="W58" i="6"/>
  <c r="Y57" i="6"/>
  <c r="X57" i="6"/>
  <c r="W57" i="6"/>
  <c r="Y56" i="6"/>
  <c r="X56" i="6"/>
  <c r="W56" i="6"/>
  <c r="Y55" i="6"/>
  <c r="X55" i="6"/>
  <c r="W55" i="6"/>
  <c r="Y54" i="6"/>
  <c r="X54" i="6"/>
  <c r="W54" i="6"/>
  <c r="Y53" i="6"/>
  <c r="X53" i="6"/>
  <c r="W53" i="6"/>
  <c r="Y52" i="6"/>
  <c r="X52" i="6"/>
  <c r="W52" i="6"/>
  <c r="AL61" i="4"/>
  <c r="AK61" i="4"/>
  <c r="AL60" i="4"/>
  <c r="AK60" i="4"/>
  <c r="AJ60" i="4"/>
  <c r="AL59" i="4"/>
  <c r="AK59" i="4"/>
  <c r="AJ59" i="4"/>
  <c r="AL58" i="4"/>
  <c r="AK58" i="4"/>
  <c r="AJ58" i="4"/>
  <c r="AL57" i="4"/>
  <c r="AK57" i="4"/>
  <c r="AJ57" i="4"/>
  <c r="AL56" i="4"/>
  <c r="AK56" i="4"/>
  <c r="AJ56" i="4"/>
  <c r="AL55" i="4"/>
  <c r="AK55" i="4"/>
  <c r="AJ55" i="4"/>
  <c r="AL54" i="4"/>
  <c r="AK54" i="4"/>
  <c r="AJ54" i="4"/>
  <c r="AL53" i="4"/>
  <c r="AK53" i="4"/>
  <c r="AJ53" i="4"/>
  <c r="AL52" i="4"/>
  <c r="AK52" i="4"/>
  <c r="AJ52" i="4"/>
  <c r="V61" i="5"/>
  <c r="U61" i="5"/>
  <c r="T61" i="5"/>
  <c r="V60" i="5"/>
  <c r="U60" i="5"/>
  <c r="T60" i="5"/>
  <c r="V59" i="5"/>
  <c r="U59" i="5"/>
  <c r="T59" i="5"/>
  <c r="V58" i="5"/>
  <c r="U58" i="5"/>
  <c r="T58" i="5"/>
  <c r="V57" i="5"/>
  <c r="U57" i="5"/>
  <c r="T57" i="5"/>
  <c r="V56" i="5"/>
  <c r="U56" i="5"/>
  <c r="T56" i="5"/>
  <c r="V55" i="5"/>
  <c r="U55" i="5"/>
  <c r="T55" i="5"/>
  <c r="V54" i="5"/>
  <c r="U54" i="5"/>
  <c r="T54" i="5"/>
  <c r="V53" i="5"/>
  <c r="U53" i="5"/>
  <c r="T53" i="5"/>
  <c r="V52" i="5"/>
  <c r="U52" i="5"/>
  <c r="T52" i="5"/>
  <c r="AT61" i="1"/>
  <c r="AS61" i="1"/>
  <c r="AR61" i="1"/>
  <c r="AT60" i="1"/>
  <c r="AS60" i="1"/>
  <c r="AR60" i="1"/>
  <c r="AT59" i="1"/>
  <c r="AS59" i="1"/>
  <c r="AR59" i="1"/>
  <c r="AT58" i="1"/>
  <c r="AS58" i="1"/>
  <c r="AR58" i="1"/>
  <c r="AT57" i="1"/>
  <c r="AS57" i="1"/>
  <c r="AR57" i="1"/>
  <c r="AT56" i="1"/>
  <c r="AS56" i="1"/>
  <c r="AR56" i="1"/>
  <c r="AT55" i="1"/>
  <c r="AS55" i="1"/>
  <c r="AR55" i="1"/>
  <c r="AT54" i="1"/>
  <c r="AS54" i="1"/>
  <c r="AR54" i="1"/>
  <c r="AT53" i="1"/>
  <c r="AS53" i="1"/>
  <c r="AR53" i="1"/>
  <c r="AT52" i="1"/>
  <c r="AS52" i="1"/>
  <c r="AR52" i="1"/>
  <c r="AV61" i="5"/>
  <c r="AP61" i="5"/>
  <c r="AA61" i="5"/>
  <c r="AG61" i="1"/>
  <c r="U61" i="1"/>
  <c r="I61" i="1"/>
  <c r="O61" i="4"/>
  <c r="E61" i="4"/>
  <c r="M214" i="7"/>
  <c r="N214" i="7"/>
  <c r="C218" i="32" l="1"/>
  <c r="B218" i="32"/>
  <c r="M213" i="7"/>
  <c r="N213" i="7"/>
  <c r="AY218" i="32" l="1"/>
  <c r="AN218" i="32"/>
  <c r="AI218" i="32"/>
  <c r="O219" i="32"/>
  <c r="E221" i="32"/>
  <c r="P219" i="32"/>
  <c r="U218" i="32"/>
  <c r="K211" i="32"/>
  <c r="K212" i="32"/>
  <c r="K213" i="32"/>
  <c r="K214" i="32"/>
  <c r="K215" i="32"/>
  <c r="K216" i="32"/>
  <c r="K210" i="32"/>
  <c r="A215" i="32"/>
  <c r="A216" i="32"/>
  <c r="A217" i="32"/>
  <c r="B158" i="32"/>
  <c r="C158" i="32"/>
  <c r="D158" i="32"/>
  <c r="B159" i="32"/>
  <c r="C159" i="32"/>
  <c r="D159" i="32"/>
  <c r="B160" i="32"/>
  <c r="C160" i="32"/>
  <c r="D160" i="32"/>
  <c r="F166" i="32" s="1"/>
  <c r="B161" i="32"/>
  <c r="C161" i="32"/>
  <c r="D161" i="32"/>
  <c r="B162" i="32"/>
  <c r="E162" i="32" s="1"/>
  <c r="C162" i="32"/>
  <c r="D162" i="32"/>
  <c r="B163" i="32"/>
  <c r="C163" i="32"/>
  <c r="E166" i="32" s="1"/>
  <c r="D163" i="32"/>
  <c r="B164" i="32"/>
  <c r="F164" i="32" s="1"/>
  <c r="C164" i="32"/>
  <c r="D164" i="32"/>
  <c r="B165" i="32"/>
  <c r="F165" i="32" s="1"/>
  <c r="C165" i="32"/>
  <c r="D165" i="32"/>
  <c r="C157" i="32"/>
  <c r="D157" i="32"/>
  <c r="B157" i="32"/>
  <c r="B108" i="32"/>
  <c r="C108" i="32"/>
  <c r="D108" i="32"/>
  <c r="B109" i="32"/>
  <c r="C109" i="32"/>
  <c r="D109" i="32"/>
  <c r="B110" i="32"/>
  <c r="C110" i="32"/>
  <c r="D110" i="32"/>
  <c r="B111" i="32"/>
  <c r="C111" i="32"/>
  <c r="D111" i="32"/>
  <c r="B112" i="32"/>
  <c r="E112" i="32" s="1"/>
  <c r="C112" i="32"/>
  <c r="D112" i="32"/>
  <c r="B113" i="32"/>
  <c r="C113" i="32"/>
  <c r="D113" i="32"/>
  <c r="B114" i="32"/>
  <c r="F114" i="32" s="1"/>
  <c r="C114" i="32"/>
  <c r="D114" i="32"/>
  <c r="B115" i="32"/>
  <c r="C115" i="32"/>
  <c r="D115" i="32"/>
  <c r="C107" i="32"/>
  <c r="D107" i="32"/>
  <c r="B107" i="32"/>
  <c r="B58" i="32"/>
  <c r="C58" i="32"/>
  <c r="D58" i="32"/>
  <c r="B59" i="32"/>
  <c r="C59" i="32"/>
  <c r="D59" i="32"/>
  <c r="B60" i="32"/>
  <c r="C60" i="32"/>
  <c r="D60" i="32"/>
  <c r="F66" i="32" s="1"/>
  <c r="B61" i="32"/>
  <c r="C61" i="32"/>
  <c r="D61" i="32"/>
  <c r="F67" i="32" s="1"/>
  <c r="B62" i="32"/>
  <c r="E62" i="32" s="1"/>
  <c r="C62" i="32"/>
  <c r="D62" i="32"/>
  <c r="F68" i="32" s="1"/>
  <c r="B63" i="32"/>
  <c r="C63" i="32"/>
  <c r="E66" i="32" s="1"/>
  <c r="D63" i="32"/>
  <c r="F69" i="32" s="1"/>
  <c r="B64" i="32"/>
  <c r="C64" i="32"/>
  <c r="E67" i="32" s="1"/>
  <c r="D64" i="32"/>
  <c r="F70" i="32" s="1"/>
  <c r="B65" i="32"/>
  <c r="E65" i="32" s="1"/>
  <c r="C65" i="32"/>
  <c r="E68" i="32" s="1"/>
  <c r="D65" i="32"/>
  <c r="F71" i="32" s="1"/>
  <c r="C57" i="32"/>
  <c r="D57" i="32"/>
  <c r="B57" i="32"/>
  <c r="B9" i="32"/>
  <c r="C9" i="32"/>
  <c r="D9" i="32"/>
  <c r="B10" i="32"/>
  <c r="C10" i="32"/>
  <c r="D10" i="32"/>
  <c r="B11" i="32"/>
  <c r="C11" i="32"/>
  <c r="D11" i="32"/>
  <c r="F17" i="32" s="1"/>
  <c r="B12" i="32"/>
  <c r="E12" i="32" s="1"/>
  <c r="C12" i="32"/>
  <c r="D12" i="32"/>
  <c r="F18" i="32" s="1"/>
  <c r="B13" i="32"/>
  <c r="E13" i="32" s="1"/>
  <c r="C13" i="32"/>
  <c r="D13" i="32"/>
  <c r="B14" i="32"/>
  <c r="F14" i="32" s="1"/>
  <c r="C14" i="32"/>
  <c r="E17" i="32" s="1"/>
  <c r="D14" i="32"/>
  <c r="B15" i="32"/>
  <c r="F15" i="32" s="1"/>
  <c r="C15" i="32"/>
  <c r="D15" i="32"/>
  <c r="B16" i="32"/>
  <c r="E16" i="32" s="1"/>
  <c r="C16" i="32"/>
  <c r="D16" i="32"/>
  <c r="C8" i="32"/>
  <c r="D8" i="32"/>
  <c r="B8" i="32"/>
  <c r="M212" i="7"/>
  <c r="N212" i="7"/>
  <c r="E60" i="32" l="1"/>
  <c r="E61" i="32"/>
  <c r="F63" i="32"/>
  <c r="F65" i="32"/>
  <c r="F163" i="32"/>
  <c r="E11" i="32"/>
  <c r="E14" i="32"/>
  <c r="C209" i="32"/>
  <c r="B210" i="32"/>
  <c r="E15" i="32"/>
  <c r="F16" i="32"/>
  <c r="E160" i="32"/>
  <c r="E165" i="32"/>
  <c r="F113" i="32"/>
  <c r="E111" i="32"/>
  <c r="E110" i="32"/>
  <c r="D215" i="32"/>
  <c r="F221" i="32" s="1"/>
  <c r="C215" i="32"/>
  <c r="E218" i="32" s="1"/>
  <c r="E116" i="32"/>
  <c r="D212" i="32"/>
  <c r="F218" i="32" s="1"/>
  <c r="F116" i="32"/>
  <c r="E113" i="32"/>
  <c r="B213" i="32"/>
  <c r="C213" i="32"/>
  <c r="D210" i="32"/>
  <c r="B216" i="32"/>
  <c r="B209" i="32"/>
  <c r="AN209" i="32" s="1"/>
  <c r="E161" i="32"/>
  <c r="E163" i="32"/>
  <c r="C210" i="32"/>
  <c r="D209" i="32"/>
  <c r="E164" i="32"/>
  <c r="D217" i="32"/>
  <c r="T218" i="32" s="1"/>
  <c r="B215" i="32"/>
  <c r="C212" i="32"/>
  <c r="E63" i="32"/>
  <c r="C217" i="32"/>
  <c r="D214" i="32"/>
  <c r="F220" i="32" s="1"/>
  <c r="B217" i="32"/>
  <c r="C214" i="32"/>
  <c r="D211" i="32"/>
  <c r="E64" i="32"/>
  <c r="D216" i="32"/>
  <c r="F222" i="32" s="1"/>
  <c r="C211" i="32"/>
  <c r="F64" i="32"/>
  <c r="C216" i="32"/>
  <c r="E219" i="32" s="1"/>
  <c r="D213" i="32"/>
  <c r="F219" i="32" s="1"/>
  <c r="B211" i="32"/>
  <c r="E114" i="32"/>
  <c r="E115" i="32"/>
  <c r="B212" i="32"/>
  <c r="F115" i="32"/>
  <c r="B214" i="32"/>
  <c r="CJ134" i="13"/>
  <c r="F134" i="13"/>
  <c r="CH163" i="35" s="1"/>
  <c r="AY213" i="32" l="1"/>
  <c r="AN213" i="32"/>
  <c r="AI213" i="32"/>
  <c r="AY214" i="32"/>
  <c r="AN214" i="32"/>
  <c r="AI214" i="32"/>
  <c r="P218" i="32"/>
  <c r="E220" i="32"/>
  <c r="AN211" i="32"/>
  <c r="AI211" i="32"/>
  <c r="AY212" i="32"/>
  <c r="AN212" i="32"/>
  <c r="AI212" i="32"/>
  <c r="AN217" i="32"/>
  <c r="AI217" i="32"/>
  <c r="AN215" i="32"/>
  <c r="AI215" i="32"/>
  <c r="AN216" i="32"/>
  <c r="AI216" i="32"/>
  <c r="AY210" i="32"/>
  <c r="AN210" i="32"/>
  <c r="U210" i="32"/>
  <c r="T216" i="32"/>
  <c r="O210" i="32"/>
  <c r="P216" i="32"/>
  <c r="P210" i="32"/>
  <c r="U216" i="32"/>
  <c r="P214" i="32"/>
  <c r="P211" i="32"/>
  <c r="P213" i="32"/>
  <c r="T213" i="32"/>
  <c r="E213" i="32"/>
  <c r="U213" i="32"/>
  <c r="F216" i="32"/>
  <c r="E216" i="32"/>
  <c r="AY211" i="32"/>
  <c r="O217" i="32"/>
  <c r="AY217" i="32"/>
  <c r="O218" i="32"/>
  <c r="T210" i="32"/>
  <c r="T211" i="32"/>
  <c r="AY209" i="32"/>
  <c r="U209" i="32"/>
  <c r="E217" i="32"/>
  <c r="F215" i="32"/>
  <c r="AY215" i="32"/>
  <c r="AY216" i="32"/>
  <c r="F217" i="32"/>
  <c r="P217" i="32"/>
  <c r="O216" i="32"/>
  <c r="U217" i="32"/>
  <c r="U215" i="32"/>
  <c r="O211" i="32"/>
  <c r="T212" i="32"/>
  <c r="E215" i="32"/>
  <c r="U211" i="32"/>
  <c r="T214" i="32"/>
  <c r="O215" i="32"/>
  <c r="P212" i="32"/>
  <c r="T215" i="32"/>
  <c r="T217" i="32"/>
  <c r="P215" i="32"/>
  <c r="O214" i="32"/>
  <c r="U214" i="32"/>
  <c r="E214" i="32"/>
  <c r="U212" i="32"/>
  <c r="O212" i="32"/>
  <c r="E212" i="32"/>
  <c r="O213" i="32"/>
  <c r="BB82" i="13" l="1"/>
  <c r="BA82" i="13"/>
  <c r="AL111" i="35" s="1"/>
  <c r="AV83" i="13"/>
  <c r="T112" i="35" s="1"/>
  <c r="AN112" i="35" s="1"/>
  <c r="AW83" i="13"/>
  <c r="W112" i="35" s="1"/>
  <c r="AW80" i="13"/>
  <c r="CU82" i="13"/>
  <c r="CV81" i="13"/>
  <c r="CU81" i="13"/>
  <c r="CS82" i="13"/>
  <c r="N111" i="35" s="1"/>
  <c r="AK111" i="35" s="1"/>
  <c r="CS83" i="13"/>
  <c r="N112" i="35" s="1"/>
  <c r="AK112" i="35" s="1"/>
  <c r="CS84" i="13"/>
  <c r="N113" i="35" s="1"/>
  <c r="AK113" i="35" s="1"/>
  <c r="CS85" i="13"/>
  <c r="N114" i="35" s="1"/>
  <c r="AK114" i="35" s="1"/>
  <c r="CS86" i="13"/>
  <c r="N115" i="35" s="1"/>
  <c r="AK115" i="35" s="1"/>
  <c r="CS87" i="13"/>
  <c r="N116" i="35" s="1"/>
  <c r="AK116" i="35" s="1"/>
  <c r="CS88" i="13"/>
  <c r="N117" i="35" s="1"/>
  <c r="AK117" i="35" s="1"/>
  <c r="CS89" i="13"/>
  <c r="N118" i="35" s="1"/>
  <c r="AK118" i="35" s="1"/>
  <c r="CS90" i="13"/>
  <c r="N119" i="35" s="1"/>
  <c r="AK119" i="35" s="1"/>
  <c r="CS91" i="13"/>
  <c r="N120" i="35" s="1"/>
  <c r="AK120" i="35" s="1"/>
  <c r="CS92" i="13"/>
  <c r="N121" i="35" s="1"/>
  <c r="AK121" i="35" s="1"/>
  <c r="CS93" i="13"/>
  <c r="N122" i="35" s="1"/>
  <c r="AK122" i="35" s="1"/>
  <c r="CS94" i="13"/>
  <c r="N123" i="35" s="1"/>
  <c r="AK123" i="35" s="1"/>
  <c r="CS95" i="13"/>
  <c r="N124" i="35" s="1"/>
  <c r="AK124" i="35" s="1"/>
  <c r="CS96" i="13"/>
  <c r="N125" i="35" s="1"/>
  <c r="AK125" i="35" s="1"/>
  <c r="CS97" i="13"/>
  <c r="N126" i="35" s="1"/>
  <c r="AK126" i="35" s="1"/>
  <c r="CS98" i="13"/>
  <c r="N127" i="35" s="1"/>
  <c r="AK127" i="35" s="1"/>
  <c r="CS99" i="13"/>
  <c r="N128" i="35" s="1"/>
  <c r="AK128" i="35" s="1"/>
  <c r="CS100" i="13"/>
  <c r="N129" i="35" s="1"/>
  <c r="AK129" i="35" s="1"/>
  <c r="CS101" i="13"/>
  <c r="N130" i="35" s="1"/>
  <c r="AK130" i="35" s="1"/>
  <c r="CS102" i="13"/>
  <c r="N131" i="35" s="1"/>
  <c r="AK131" i="35" s="1"/>
  <c r="CS103" i="13"/>
  <c r="N132" i="35" s="1"/>
  <c r="AK132" i="35" s="1"/>
  <c r="CS104" i="13"/>
  <c r="N133" i="35" s="1"/>
  <c r="AK133" i="35" s="1"/>
  <c r="CS105" i="13"/>
  <c r="N134" i="35" s="1"/>
  <c r="AK134" i="35" s="1"/>
  <c r="CS106" i="13"/>
  <c r="N135" i="35" s="1"/>
  <c r="AK135" i="35" s="1"/>
  <c r="CS107" i="13"/>
  <c r="N136" i="35" s="1"/>
  <c r="AK136" i="35" s="1"/>
  <c r="CS108" i="13"/>
  <c r="N137" i="35" s="1"/>
  <c r="AK137" i="35" s="1"/>
  <c r="CS109" i="13"/>
  <c r="N138" i="35" s="1"/>
  <c r="AK138" i="35" s="1"/>
  <c r="CS110" i="13"/>
  <c r="N139" i="35" s="1"/>
  <c r="AK139" i="35" s="1"/>
  <c r="CS111" i="13"/>
  <c r="N140" i="35" s="1"/>
  <c r="AK140" i="35" s="1"/>
  <c r="CS112" i="13"/>
  <c r="N141" i="35" s="1"/>
  <c r="AK141" i="35" s="1"/>
  <c r="CS113" i="13"/>
  <c r="N142" i="35" s="1"/>
  <c r="AK142" i="35" s="1"/>
  <c r="CS114" i="13"/>
  <c r="N143" i="35" s="1"/>
  <c r="AK143" i="35" s="1"/>
  <c r="CS115" i="13"/>
  <c r="N144" i="35" s="1"/>
  <c r="AK144" i="35" s="1"/>
  <c r="CS116" i="13"/>
  <c r="N145" i="35" s="1"/>
  <c r="AK145" i="35" s="1"/>
  <c r="CS117" i="13"/>
  <c r="N146" i="35" s="1"/>
  <c r="AK146" i="35" s="1"/>
  <c r="CS118" i="13"/>
  <c r="N147" i="35" s="1"/>
  <c r="AK147" i="35" s="1"/>
  <c r="CS119" i="13"/>
  <c r="N148" i="35" s="1"/>
  <c r="AK148" i="35" s="1"/>
  <c r="CS120" i="13"/>
  <c r="N149" i="35" s="1"/>
  <c r="AK149" i="35" s="1"/>
  <c r="CS121" i="13"/>
  <c r="N150" i="35" s="1"/>
  <c r="AK150" i="35" s="1"/>
  <c r="CS122" i="13"/>
  <c r="N151" i="35" s="1"/>
  <c r="AK151" i="35" s="1"/>
  <c r="CS123" i="13"/>
  <c r="N152" i="35" s="1"/>
  <c r="AK152" i="35" s="1"/>
  <c r="CS124" i="13"/>
  <c r="N153" i="35" s="1"/>
  <c r="AK153" i="35" s="1"/>
  <c r="CS125" i="13"/>
  <c r="N154" i="35" s="1"/>
  <c r="AK154" i="35" s="1"/>
  <c r="CS126" i="13"/>
  <c r="N155" i="35" s="1"/>
  <c r="AK155" i="35" s="1"/>
  <c r="CS127" i="13"/>
  <c r="N156" i="35" s="1"/>
  <c r="AK156" i="35" s="1"/>
  <c r="CS128" i="13"/>
  <c r="N157" i="35" s="1"/>
  <c r="AK157" i="35" s="1"/>
  <c r="CS129" i="13"/>
  <c r="N158" i="35" s="1"/>
  <c r="AK158" i="35" s="1"/>
  <c r="CS130" i="13"/>
  <c r="N159" i="35" s="1"/>
  <c r="AK159" i="35" s="1"/>
  <c r="CS131" i="13"/>
  <c r="N160" i="35" s="1"/>
  <c r="AK160" i="35" s="1"/>
  <c r="CS132" i="13"/>
  <c r="N161" i="35" s="1"/>
  <c r="AK161" i="35" s="1"/>
  <c r="CS133" i="13"/>
  <c r="N162" i="35" s="1"/>
  <c r="AK162" i="35" s="1"/>
  <c r="CS134" i="13"/>
  <c r="N163" i="35" s="1"/>
  <c r="AK163" i="35" s="1"/>
  <c r="CS81" i="13"/>
  <c r="N110" i="35" s="1"/>
  <c r="AK110" i="35" s="1"/>
  <c r="BQ134" i="13"/>
  <c r="BW134" i="13"/>
  <c r="BJ134" i="13"/>
  <c r="BT134" i="13" s="1"/>
  <c r="BK134" i="13"/>
  <c r="BL134" i="13"/>
  <c r="BM134" i="13"/>
  <c r="AB134" i="13"/>
  <c r="Z134" i="13"/>
  <c r="V134" i="13"/>
  <c r="T134" i="13"/>
  <c r="R134" i="13"/>
  <c r="J134" i="13"/>
  <c r="D134" i="13"/>
  <c r="H134" i="13" l="1"/>
  <c r="CK163" i="35"/>
  <c r="AO134" i="13"/>
  <c r="AP134" i="13"/>
  <c r="AU163" i="35" s="1"/>
  <c r="BF134" i="13"/>
  <c r="BG134" i="13"/>
  <c r="CC134" i="13"/>
  <c r="BN134" i="13"/>
  <c r="AF163" i="35" s="1"/>
  <c r="BO134" i="13"/>
  <c r="AQ134" i="13"/>
  <c r="AR134" i="13"/>
  <c r="AS134" i="13"/>
  <c r="AX134" i="13"/>
  <c r="CY134" i="13" s="1"/>
  <c r="E163" i="35" s="1"/>
  <c r="BA134" i="13"/>
  <c r="AL163" i="35" s="1"/>
  <c r="BB134" i="13"/>
  <c r="AV134" i="13"/>
  <c r="T163" i="35" s="1"/>
  <c r="AN163" i="35" s="1"/>
  <c r="AW134" i="13"/>
  <c r="W163" i="35" s="1"/>
  <c r="CT134" i="13" l="1"/>
  <c r="AI163" i="35"/>
  <c r="CV135" i="13"/>
  <c r="CU135" i="13"/>
  <c r="M211" i="7"/>
  <c r="N211" i="7"/>
  <c r="K134" i="13" l="1"/>
  <c r="O134" i="13"/>
  <c r="BI134" i="13" s="1"/>
  <c r="M134" i="13"/>
  <c r="BH134" i="13" s="1"/>
  <c r="CH134" i="13"/>
  <c r="DC134" i="13" l="1"/>
  <c r="Q163" i="35" s="1"/>
  <c r="AY163" i="35"/>
  <c r="DD134" i="13"/>
  <c r="BD163" i="35" s="1"/>
  <c r="DE134" i="13"/>
  <c r="BG163" i="35" s="1"/>
  <c r="BC134" i="13"/>
  <c r="AO163" i="35" s="1"/>
  <c r="CK134" i="13"/>
  <c r="AY134" i="13"/>
  <c r="AT134" i="13"/>
  <c r="K163" i="35" s="1"/>
  <c r="BE134" i="13"/>
  <c r="BD134" i="13"/>
  <c r="AR163" i="35" s="1"/>
  <c r="G16" i="32" l="1"/>
  <c r="H16" i="32"/>
  <c r="I16" i="32"/>
  <c r="L16" i="32"/>
  <c r="M16" i="32"/>
  <c r="N16" i="32"/>
  <c r="Q16" i="32"/>
  <c r="R16" i="32"/>
  <c r="S16" i="32"/>
  <c r="V16" i="32"/>
  <c r="W16" i="32"/>
  <c r="X16" i="32"/>
  <c r="AA16" i="32"/>
  <c r="AB16" i="32"/>
  <c r="AC16" i="32"/>
  <c r="AF16" i="32"/>
  <c r="AG16" i="32"/>
  <c r="AH16" i="32"/>
  <c r="AK16" i="32"/>
  <c r="AL16" i="32"/>
  <c r="AM16" i="32"/>
  <c r="AP16" i="32"/>
  <c r="AQ16" i="32"/>
  <c r="AR16" i="32"/>
  <c r="AU16" i="32"/>
  <c r="AV16" i="32"/>
  <c r="AW16" i="32"/>
  <c r="G17" i="32"/>
  <c r="H17" i="32"/>
  <c r="I17" i="32"/>
  <c r="L17" i="32"/>
  <c r="M17" i="32"/>
  <c r="N17" i="32"/>
  <c r="Q17" i="32"/>
  <c r="R17" i="32"/>
  <c r="S17" i="32"/>
  <c r="V17" i="32"/>
  <c r="W17" i="32"/>
  <c r="X17" i="32"/>
  <c r="AA17" i="32"/>
  <c r="AB17" i="32"/>
  <c r="AC17" i="32"/>
  <c r="AF17" i="32"/>
  <c r="AG17" i="32"/>
  <c r="AH17" i="32"/>
  <c r="AK17" i="32"/>
  <c r="AL17" i="32"/>
  <c r="AM17" i="32"/>
  <c r="AP17" i="32"/>
  <c r="AQ17" i="32"/>
  <c r="AR17" i="32"/>
  <c r="AU17" i="32"/>
  <c r="AV17" i="32"/>
  <c r="AW17" i="32"/>
  <c r="G18" i="32"/>
  <c r="H18" i="32"/>
  <c r="I18" i="32"/>
  <c r="L18" i="32"/>
  <c r="M18" i="32"/>
  <c r="N18" i="32"/>
  <c r="Q18" i="32"/>
  <c r="R18" i="32"/>
  <c r="S18" i="32"/>
  <c r="V18" i="32"/>
  <c r="W18" i="32"/>
  <c r="X18" i="32"/>
  <c r="AA18" i="32"/>
  <c r="AB18" i="32"/>
  <c r="AC18" i="32"/>
  <c r="AF18" i="32"/>
  <c r="AG18" i="32"/>
  <c r="AH18" i="32"/>
  <c r="AJ24" i="32" s="1"/>
  <c r="AK18" i="32"/>
  <c r="AL18" i="32"/>
  <c r="AM18" i="32"/>
  <c r="AP18" i="32"/>
  <c r="AQ18" i="32"/>
  <c r="AR18" i="32"/>
  <c r="AT24" i="32" s="1"/>
  <c r="AU18" i="32"/>
  <c r="AV18" i="32"/>
  <c r="AW18" i="32"/>
  <c r="G19" i="32"/>
  <c r="H19" i="32"/>
  <c r="I19" i="32"/>
  <c r="L19" i="32"/>
  <c r="M19" i="32"/>
  <c r="N19" i="32"/>
  <c r="Q19" i="32"/>
  <c r="T19" i="32" s="1"/>
  <c r="R19" i="32"/>
  <c r="S19" i="32"/>
  <c r="V19" i="32"/>
  <c r="Y19" i="32" s="1"/>
  <c r="W19" i="32"/>
  <c r="X19" i="32"/>
  <c r="AA19" i="32"/>
  <c r="AB19" i="32"/>
  <c r="AC19" i="32"/>
  <c r="AF19" i="32"/>
  <c r="AG19" i="32"/>
  <c r="AH19" i="32"/>
  <c r="AK19" i="32"/>
  <c r="AL19" i="32"/>
  <c r="AM19" i="32"/>
  <c r="AP19" i="32"/>
  <c r="AS19" i="32" s="1"/>
  <c r="AQ19" i="32"/>
  <c r="AR19" i="32"/>
  <c r="AU19" i="32"/>
  <c r="AX19" i="32" s="1"/>
  <c r="AV19" i="32"/>
  <c r="AW19" i="32"/>
  <c r="G20" i="32"/>
  <c r="H20" i="32"/>
  <c r="I20" i="32"/>
  <c r="L20" i="32"/>
  <c r="M20" i="32"/>
  <c r="N20" i="32"/>
  <c r="Q20" i="32"/>
  <c r="R20" i="32"/>
  <c r="S20" i="32"/>
  <c r="V20" i="32"/>
  <c r="W20" i="32"/>
  <c r="X20" i="32"/>
  <c r="AA20" i="32"/>
  <c r="AB20" i="32"/>
  <c r="AC20" i="32"/>
  <c r="AF20" i="32"/>
  <c r="AG20" i="32"/>
  <c r="AH20" i="32"/>
  <c r="AK20" i="32"/>
  <c r="AL20" i="32"/>
  <c r="AM20" i="32"/>
  <c r="AP20" i="32"/>
  <c r="AQ20" i="32"/>
  <c r="AR20" i="32"/>
  <c r="AU20" i="32"/>
  <c r="AV20" i="32"/>
  <c r="AW20" i="32"/>
  <c r="G21" i="32"/>
  <c r="H21" i="32"/>
  <c r="I21" i="32"/>
  <c r="L21" i="32"/>
  <c r="M21" i="32"/>
  <c r="N21" i="32"/>
  <c r="Q21" i="32"/>
  <c r="T21" i="32" s="1"/>
  <c r="R21" i="32"/>
  <c r="S21" i="32"/>
  <c r="V21" i="32"/>
  <c r="W21" i="32"/>
  <c r="X21" i="32"/>
  <c r="AA21" i="32"/>
  <c r="AB21" i="32"/>
  <c r="AC21" i="32"/>
  <c r="AF21" i="32"/>
  <c r="AI21" i="32" s="1"/>
  <c r="AG21" i="32"/>
  <c r="AH21" i="32"/>
  <c r="AK21" i="32"/>
  <c r="AL21" i="32"/>
  <c r="AM21" i="32"/>
  <c r="AP21" i="32"/>
  <c r="AQ21" i="32"/>
  <c r="AS24" i="32" s="1"/>
  <c r="AR21" i="32"/>
  <c r="AU21" i="32"/>
  <c r="AV21" i="32"/>
  <c r="AW21" i="32"/>
  <c r="G22" i="32"/>
  <c r="H22" i="32"/>
  <c r="I22" i="32"/>
  <c r="L22" i="32"/>
  <c r="M22" i="32"/>
  <c r="N22" i="32"/>
  <c r="Q22" i="32"/>
  <c r="T22" i="32" s="1"/>
  <c r="R22" i="32"/>
  <c r="S22" i="32"/>
  <c r="V22" i="32"/>
  <c r="Y22" i="32" s="1"/>
  <c r="W22" i="32"/>
  <c r="X22" i="32"/>
  <c r="Z28" i="32" s="1"/>
  <c r="AA22" i="32"/>
  <c r="AB22" i="32"/>
  <c r="AC22" i="32"/>
  <c r="AF22" i="32"/>
  <c r="AG22" i="32"/>
  <c r="AH22" i="32"/>
  <c r="AK22" i="32"/>
  <c r="AO22" i="32" s="1"/>
  <c r="AL22" i="32"/>
  <c r="AM22" i="32"/>
  <c r="AP22" i="32"/>
  <c r="AT22" i="32" s="1"/>
  <c r="AQ22" i="32"/>
  <c r="AR22" i="32"/>
  <c r="AU22" i="32"/>
  <c r="AX22" i="32" s="1"/>
  <c r="AV22" i="32"/>
  <c r="AW22" i="32"/>
  <c r="G23" i="32"/>
  <c r="H23" i="32"/>
  <c r="I23" i="32"/>
  <c r="L23" i="32"/>
  <c r="M23" i="32"/>
  <c r="N23" i="32"/>
  <c r="Q23" i="32"/>
  <c r="T23" i="32" s="1"/>
  <c r="R23" i="32"/>
  <c r="S23" i="32"/>
  <c r="V23" i="32"/>
  <c r="W23" i="32"/>
  <c r="X23" i="32"/>
  <c r="AA23" i="32"/>
  <c r="AD23" i="32" s="1"/>
  <c r="AB23" i="32"/>
  <c r="AC23" i="32"/>
  <c r="AF23" i="32"/>
  <c r="AJ23" i="32" s="1"/>
  <c r="AG23" i="32"/>
  <c r="AH23" i="32"/>
  <c r="AK23" i="32"/>
  <c r="AL23" i="32"/>
  <c r="AM23" i="32"/>
  <c r="AP23" i="32"/>
  <c r="AQ23" i="32"/>
  <c r="AR23" i="32"/>
  <c r="AU23" i="32"/>
  <c r="AV23" i="32"/>
  <c r="AW23" i="32"/>
  <c r="G24" i="32"/>
  <c r="J24" i="32" s="1"/>
  <c r="H24" i="32"/>
  <c r="I24" i="32"/>
  <c r="L24" i="32"/>
  <c r="O24" i="32" s="1"/>
  <c r="M24" i="32"/>
  <c r="N24" i="32"/>
  <c r="Q24" i="32"/>
  <c r="R24" i="32"/>
  <c r="S24" i="32"/>
  <c r="V24" i="32"/>
  <c r="Y24" i="32" s="1"/>
  <c r="W24" i="32"/>
  <c r="X24" i="32"/>
  <c r="AA24" i="32"/>
  <c r="AE24" i="32" s="1"/>
  <c r="AB24" i="32"/>
  <c r="AC24" i="32"/>
  <c r="AF24" i="32"/>
  <c r="AG24" i="32"/>
  <c r="AH24" i="32"/>
  <c r="AK24" i="32"/>
  <c r="AL24" i="32"/>
  <c r="AM24" i="32"/>
  <c r="AP24" i="32"/>
  <c r="AQ24" i="32"/>
  <c r="AR24" i="32"/>
  <c r="AU24" i="32"/>
  <c r="AX24" i="32" s="1"/>
  <c r="AV24" i="32"/>
  <c r="AW24" i="32"/>
  <c r="G25" i="32"/>
  <c r="H25" i="32"/>
  <c r="I25" i="32"/>
  <c r="L25" i="32"/>
  <c r="O25" i="32" s="1"/>
  <c r="M25" i="32"/>
  <c r="N25" i="32"/>
  <c r="Q25" i="32"/>
  <c r="R25" i="32"/>
  <c r="S25" i="32"/>
  <c r="V25" i="32"/>
  <c r="W25" i="32"/>
  <c r="Y28" i="32" s="1"/>
  <c r="X25" i="32"/>
  <c r="AA25" i="32"/>
  <c r="AB25" i="32"/>
  <c r="AC25" i="32"/>
  <c r="AF25" i="32"/>
  <c r="AJ25" i="32" s="1"/>
  <c r="AG25" i="32"/>
  <c r="AH25" i="32"/>
  <c r="AK25" i="32"/>
  <c r="AL25" i="32"/>
  <c r="AM25" i="32"/>
  <c r="AP25" i="32"/>
  <c r="AQ25" i="32"/>
  <c r="AR25" i="32"/>
  <c r="AU25" i="32"/>
  <c r="AX25" i="32" s="1"/>
  <c r="AV25" i="32"/>
  <c r="AW25" i="32"/>
  <c r="G26" i="32"/>
  <c r="H26" i="32"/>
  <c r="I26" i="32"/>
  <c r="L26" i="32"/>
  <c r="M26" i="32"/>
  <c r="N26" i="32"/>
  <c r="Q26" i="32"/>
  <c r="R26" i="32"/>
  <c r="T29" i="32" s="1"/>
  <c r="S26" i="32"/>
  <c r="V26" i="32"/>
  <c r="W26" i="32"/>
  <c r="X26" i="32"/>
  <c r="Y26" i="32"/>
  <c r="AA26" i="32"/>
  <c r="AB26" i="32"/>
  <c r="AC26" i="32"/>
  <c r="AF26" i="32"/>
  <c r="AG26" i="32"/>
  <c r="AH26" i="32"/>
  <c r="AK26" i="32"/>
  <c r="AO26" i="32" s="1"/>
  <c r="AL26" i="32"/>
  <c r="AM26" i="32"/>
  <c r="AP26" i="32"/>
  <c r="AQ26" i="32"/>
  <c r="AR26" i="32"/>
  <c r="AU26" i="32"/>
  <c r="AV26" i="32"/>
  <c r="AW26" i="32"/>
  <c r="G27" i="32"/>
  <c r="H27" i="32"/>
  <c r="I27" i="32"/>
  <c r="L27" i="32"/>
  <c r="P27" i="32" s="1"/>
  <c r="M27" i="32"/>
  <c r="N27" i="32"/>
  <c r="Q27" i="32"/>
  <c r="R27" i="32"/>
  <c r="S27" i="32"/>
  <c r="V27" i="32"/>
  <c r="W27" i="32"/>
  <c r="X27" i="32"/>
  <c r="AA27" i="32"/>
  <c r="AB27" i="32"/>
  <c r="AC27" i="32"/>
  <c r="AF27" i="32"/>
  <c r="AG27" i="32"/>
  <c r="AH27" i="32"/>
  <c r="AK27" i="32"/>
  <c r="AL27" i="32"/>
  <c r="AM27" i="32"/>
  <c r="AP27" i="32"/>
  <c r="AQ27" i="32"/>
  <c r="AR27" i="32"/>
  <c r="AU27" i="32"/>
  <c r="AX27" i="32" s="1"/>
  <c r="AV27" i="32"/>
  <c r="AW27" i="32"/>
  <c r="G28" i="32"/>
  <c r="H28" i="32"/>
  <c r="I28" i="32"/>
  <c r="L28" i="32"/>
  <c r="O28" i="32" s="1"/>
  <c r="M28" i="32"/>
  <c r="N28" i="32"/>
  <c r="Q28" i="32"/>
  <c r="R28" i="32"/>
  <c r="S28" i="32"/>
  <c r="V28" i="32"/>
  <c r="W28" i="32"/>
  <c r="X28" i="32"/>
  <c r="AA28" i="32"/>
  <c r="AE28" i="32" s="1"/>
  <c r="AB28" i="32"/>
  <c r="AC28" i="32"/>
  <c r="AF28" i="32"/>
  <c r="AG28" i="32"/>
  <c r="AH28" i="32"/>
  <c r="AK28" i="32"/>
  <c r="AO28" i="32" s="1"/>
  <c r="AL28" i="32"/>
  <c r="AM28" i="32"/>
  <c r="AP28" i="32"/>
  <c r="AQ28" i="32"/>
  <c r="AR28" i="32"/>
  <c r="AU28" i="32"/>
  <c r="AV28" i="32"/>
  <c r="AW28" i="32"/>
  <c r="G29" i="32"/>
  <c r="J29" i="32" s="1"/>
  <c r="H29" i="32"/>
  <c r="I29" i="32"/>
  <c r="L29" i="32"/>
  <c r="M29" i="32"/>
  <c r="N29" i="32"/>
  <c r="Q29" i="32"/>
  <c r="U29" i="32" s="1"/>
  <c r="R29" i="32"/>
  <c r="S29" i="32"/>
  <c r="V29" i="32"/>
  <c r="Y29" i="32" s="1"/>
  <c r="W29" i="32"/>
  <c r="X29" i="32"/>
  <c r="AA29" i="32"/>
  <c r="AB29" i="32"/>
  <c r="AC29" i="32"/>
  <c r="AF29" i="32"/>
  <c r="AI29" i="32" s="1"/>
  <c r="AG29" i="32"/>
  <c r="AH29" i="32"/>
  <c r="AK29" i="32"/>
  <c r="AL29" i="32"/>
  <c r="AM29" i="32"/>
  <c r="AP29" i="32"/>
  <c r="AQ29" i="32"/>
  <c r="AR29" i="32"/>
  <c r="AU29" i="32"/>
  <c r="AV29" i="32"/>
  <c r="AW29" i="32"/>
  <c r="AX29" i="32"/>
  <c r="G30" i="32"/>
  <c r="K30" i="32" s="1"/>
  <c r="H30" i="32"/>
  <c r="I30" i="32"/>
  <c r="L30" i="32"/>
  <c r="M30" i="32"/>
  <c r="N30" i="32"/>
  <c r="P30" i="32"/>
  <c r="Q30" i="32"/>
  <c r="R30" i="32"/>
  <c r="S30" i="32"/>
  <c r="V30" i="32"/>
  <c r="W30" i="32"/>
  <c r="X30" i="32"/>
  <c r="AA30" i="32"/>
  <c r="AB30" i="32"/>
  <c r="AC30" i="32"/>
  <c r="AF30" i="32"/>
  <c r="AG30" i="32"/>
  <c r="AH30" i="32"/>
  <c r="AK30" i="32"/>
  <c r="AL30" i="32"/>
  <c r="AM30" i="32"/>
  <c r="AP30" i="32"/>
  <c r="AQ30" i="32"/>
  <c r="AR30" i="32"/>
  <c r="AU30" i="32"/>
  <c r="AV30" i="32"/>
  <c r="AW30" i="32"/>
  <c r="G31" i="32"/>
  <c r="H31" i="32"/>
  <c r="I31" i="32"/>
  <c r="L31" i="32"/>
  <c r="O31" i="32" s="1"/>
  <c r="M31" i="32"/>
  <c r="N31" i="32"/>
  <c r="Q31" i="32"/>
  <c r="R31" i="32"/>
  <c r="S31" i="32"/>
  <c r="V31" i="32"/>
  <c r="W31" i="32"/>
  <c r="X31" i="32"/>
  <c r="Z37" i="32" s="1"/>
  <c r="AA31" i="32"/>
  <c r="AD31" i="32" s="1"/>
  <c r="AB31" i="32"/>
  <c r="AC31" i="32"/>
  <c r="AF31" i="32"/>
  <c r="AG31" i="32"/>
  <c r="AH31" i="32"/>
  <c r="AK31" i="32"/>
  <c r="AN31" i="32" s="1"/>
  <c r="AL31" i="32"/>
  <c r="AM31" i="32"/>
  <c r="AP31" i="32"/>
  <c r="AQ31" i="32"/>
  <c r="AR31" i="32"/>
  <c r="AU31" i="32"/>
  <c r="AY31" i="32" s="1"/>
  <c r="AV31" i="32"/>
  <c r="AW31" i="32"/>
  <c r="G32" i="32"/>
  <c r="K32" i="32" s="1"/>
  <c r="H32" i="32"/>
  <c r="I32" i="32"/>
  <c r="L32" i="32"/>
  <c r="M32" i="32"/>
  <c r="N32" i="32"/>
  <c r="Q32" i="32"/>
  <c r="U32" i="32" s="1"/>
  <c r="R32" i="32"/>
  <c r="S32" i="32"/>
  <c r="V32" i="32"/>
  <c r="W32" i="32"/>
  <c r="X32" i="32"/>
  <c r="AA32" i="32"/>
  <c r="AB32" i="32"/>
  <c r="AC32" i="32"/>
  <c r="AF32" i="32"/>
  <c r="AI32" i="32" s="1"/>
  <c r="AG32" i="32"/>
  <c r="AH32" i="32"/>
  <c r="AK32" i="32"/>
  <c r="AL32" i="32"/>
  <c r="AM32" i="32"/>
  <c r="AP32" i="32"/>
  <c r="AT32" i="32" s="1"/>
  <c r="AQ32" i="32"/>
  <c r="AR32" i="32"/>
  <c r="AU32" i="32"/>
  <c r="AX32" i="32" s="1"/>
  <c r="AV32" i="32"/>
  <c r="AW32" i="32"/>
  <c r="G33" i="32"/>
  <c r="H33" i="32"/>
  <c r="I33" i="32"/>
  <c r="L33" i="32"/>
  <c r="O33" i="32" s="1"/>
  <c r="M33" i="32"/>
  <c r="N33" i="32"/>
  <c r="P39" i="32" s="1"/>
  <c r="Q33" i="32"/>
  <c r="R33" i="32"/>
  <c r="S33" i="32"/>
  <c r="V33" i="32"/>
  <c r="Z33" i="32" s="1"/>
  <c r="W33" i="32"/>
  <c r="X33" i="32"/>
  <c r="AA33" i="32"/>
  <c r="AB33" i="32"/>
  <c r="AC33" i="32"/>
  <c r="AD33" i="32"/>
  <c r="AF33" i="32"/>
  <c r="AG33" i="32"/>
  <c r="AH33" i="32"/>
  <c r="AK33" i="32"/>
  <c r="AL33" i="32"/>
  <c r="AM33" i="32"/>
  <c r="AO33" i="32"/>
  <c r="AP33" i="32"/>
  <c r="AQ33" i="32"/>
  <c r="AR33" i="32"/>
  <c r="AU33" i="32"/>
  <c r="AV33" i="32"/>
  <c r="AW33" i="32"/>
  <c r="G34" i="32"/>
  <c r="H34" i="32"/>
  <c r="I34" i="32"/>
  <c r="L34" i="32"/>
  <c r="M34" i="32"/>
  <c r="N34" i="32"/>
  <c r="Q34" i="32"/>
  <c r="R34" i="32"/>
  <c r="S34" i="32"/>
  <c r="V34" i="32"/>
  <c r="W34" i="32"/>
  <c r="X34" i="32"/>
  <c r="AA34" i="32"/>
  <c r="AE34" i="32" s="1"/>
  <c r="AB34" i="32"/>
  <c r="AC34" i="32"/>
  <c r="AF34" i="32"/>
  <c r="AG34" i="32"/>
  <c r="AH34" i="32"/>
  <c r="AK34" i="32"/>
  <c r="AL34" i="32"/>
  <c r="AM34" i="32"/>
  <c r="AP34" i="32"/>
  <c r="AS34" i="32" s="1"/>
  <c r="AQ34" i="32"/>
  <c r="AR34" i="32"/>
  <c r="AT40" i="32" s="1"/>
  <c r="AU34" i="32"/>
  <c r="AV34" i="32"/>
  <c r="AW34" i="32"/>
  <c r="G35" i="32"/>
  <c r="J35" i="32" s="1"/>
  <c r="H35" i="32"/>
  <c r="I35" i="32"/>
  <c r="L35" i="32"/>
  <c r="M35" i="32"/>
  <c r="N35" i="32"/>
  <c r="Q35" i="32"/>
  <c r="T35" i="32" s="1"/>
  <c r="R35" i="32"/>
  <c r="S35" i="32"/>
  <c r="V35" i="32"/>
  <c r="W35" i="32"/>
  <c r="X35" i="32"/>
  <c r="AA35" i="32"/>
  <c r="AE35" i="32" s="1"/>
  <c r="AB35" i="32"/>
  <c r="AC35" i="32"/>
  <c r="AF35" i="32"/>
  <c r="AJ35" i="32" s="1"/>
  <c r="AG35" i="32"/>
  <c r="AH35" i="32"/>
  <c r="AK35" i="32"/>
  <c r="AL35" i="32"/>
  <c r="AM35" i="32"/>
  <c r="AP35" i="32"/>
  <c r="AQ35" i="32"/>
  <c r="AR35" i="32"/>
  <c r="AU35" i="32"/>
  <c r="AV35" i="32"/>
  <c r="AW35" i="32"/>
  <c r="G36" i="32"/>
  <c r="H36" i="32"/>
  <c r="I36" i="32"/>
  <c r="L36" i="32"/>
  <c r="O36" i="32" s="1"/>
  <c r="M36" i="32"/>
  <c r="N36" i="32"/>
  <c r="Q36" i="32"/>
  <c r="R36" i="32"/>
  <c r="S36" i="32"/>
  <c r="V36" i="32"/>
  <c r="W36" i="32"/>
  <c r="X36" i="32"/>
  <c r="AA36" i="32"/>
  <c r="AD36" i="32" s="1"/>
  <c r="AB36" i="32"/>
  <c r="AC36" i="32"/>
  <c r="AF36" i="32"/>
  <c r="AG36" i="32"/>
  <c r="AH36" i="32"/>
  <c r="AK36" i="32"/>
  <c r="AN36" i="32" s="1"/>
  <c r="AL36" i="32"/>
  <c r="AM36" i="32"/>
  <c r="AP36" i="32"/>
  <c r="AQ36" i="32"/>
  <c r="AR36" i="32"/>
  <c r="AU36" i="32"/>
  <c r="AV36" i="32"/>
  <c r="AW36" i="32"/>
  <c r="G37" i="32"/>
  <c r="K37" i="32" s="1"/>
  <c r="H37" i="32"/>
  <c r="I37" i="32"/>
  <c r="L37" i="32"/>
  <c r="P37" i="32" s="1"/>
  <c r="M37" i="32"/>
  <c r="N37" i="32"/>
  <c r="Q37" i="32"/>
  <c r="T37" i="32" s="1"/>
  <c r="R37" i="32"/>
  <c r="S37" i="32"/>
  <c r="V37" i="32"/>
  <c r="W37" i="32"/>
  <c r="X37" i="32"/>
  <c r="AA37" i="32"/>
  <c r="AD37" i="32" s="1"/>
  <c r="AB37" i="32"/>
  <c r="AC37" i="32"/>
  <c r="AF37" i="32"/>
  <c r="AJ37" i="32" s="1"/>
  <c r="AG37" i="32"/>
  <c r="AH37" i="32"/>
  <c r="AK37" i="32"/>
  <c r="AL37" i="32"/>
  <c r="AM37" i="32"/>
  <c r="AP37" i="32"/>
  <c r="AT37" i="32" s="1"/>
  <c r="AQ37" i="32"/>
  <c r="AR37" i="32"/>
  <c r="AU37" i="32"/>
  <c r="AV37" i="32"/>
  <c r="AW37" i="32"/>
  <c r="G38" i="32"/>
  <c r="K38" i="32" s="1"/>
  <c r="H38" i="32"/>
  <c r="I38" i="32"/>
  <c r="L38" i="32"/>
  <c r="O38" i="32" s="1"/>
  <c r="M38" i="32"/>
  <c r="N38" i="32"/>
  <c r="Q38" i="32"/>
  <c r="R38" i="32"/>
  <c r="S38" i="32"/>
  <c r="V38" i="32"/>
  <c r="Y38" i="32" s="1"/>
  <c r="W38" i="32"/>
  <c r="X38" i="32"/>
  <c r="AA38" i="32"/>
  <c r="AD38" i="32" s="1"/>
  <c r="AB38" i="32"/>
  <c r="AC38" i="32"/>
  <c r="AF38" i="32"/>
  <c r="AG38" i="32"/>
  <c r="AH38" i="32"/>
  <c r="AK38" i="32"/>
  <c r="AO38" i="32" s="1"/>
  <c r="AL38" i="32"/>
  <c r="AM38" i="32"/>
  <c r="AP38" i="32"/>
  <c r="AQ38" i="32"/>
  <c r="AR38" i="32"/>
  <c r="AU38" i="32"/>
  <c r="AV38" i="32"/>
  <c r="AW38" i="32"/>
  <c r="G39" i="32"/>
  <c r="H39" i="32"/>
  <c r="I39" i="32"/>
  <c r="L39" i="32"/>
  <c r="M39" i="32"/>
  <c r="N39" i="32"/>
  <c r="Q39" i="32"/>
  <c r="R39" i="32"/>
  <c r="S39" i="32"/>
  <c r="V39" i="32"/>
  <c r="Z39" i="32" s="1"/>
  <c r="W39" i="32"/>
  <c r="X39" i="32"/>
  <c r="AA39" i="32"/>
  <c r="AB39" i="32"/>
  <c r="AC39" i="32"/>
  <c r="AF39" i="32"/>
  <c r="AJ39" i="32" s="1"/>
  <c r="AG39" i="32"/>
  <c r="AH39" i="32"/>
  <c r="AK39" i="32"/>
  <c r="AL39" i="32"/>
  <c r="AM39" i="32"/>
  <c r="AO39" i="32"/>
  <c r="AP39" i="32"/>
  <c r="AQ39" i="32"/>
  <c r="AR39" i="32"/>
  <c r="AU39" i="32"/>
  <c r="AV39" i="32"/>
  <c r="AX42" i="32" s="1"/>
  <c r="AW39" i="32"/>
  <c r="G40" i="32"/>
  <c r="H40" i="32"/>
  <c r="I40" i="32"/>
  <c r="L40" i="32"/>
  <c r="M40" i="32"/>
  <c r="N40" i="32"/>
  <c r="Q40" i="32"/>
  <c r="R40" i="32"/>
  <c r="S40" i="32"/>
  <c r="V40" i="32"/>
  <c r="W40" i="32"/>
  <c r="Y43" i="32" s="1"/>
  <c r="X40" i="32"/>
  <c r="AA40" i="32"/>
  <c r="AE40" i="32" s="1"/>
  <c r="AB40" i="32"/>
  <c r="AC40" i="32"/>
  <c r="AF40" i="32"/>
  <c r="AJ40" i="32" s="1"/>
  <c r="AG40" i="32"/>
  <c r="AH40" i="32"/>
  <c r="AK40" i="32"/>
  <c r="AL40" i="32"/>
  <c r="AM40" i="32"/>
  <c r="AP40" i="32"/>
  <c r="AQ40" i="32"/>
  <c r="AR40" i="32"/>
  <c r="AU40" i="32"/>
  <c r="AV40" i="32"/>
  <c r="AW40" i="32"/>
  <c r="G41" i="32"/>
  <c r="J41" i="32" s="1"/>
  <c r="H41" i="32"/>
  <c r="I41" i="32"/>
  <c r="L41" i="32"/>
  <c r="M41" i="32"/>
  <c r="N41" i="32"/>
  <c r="Q41" i="32"/>
  <c r="R41" i="32"/>
  <c r="S41" i="32"/>
  <c r="V41" i="32"/>
  <c r="W41" i="32"/>
  <c r="X41" i="32"/>
  <c r="AA41" i="32"/>
  <c r="AB41" i="32"/>
  <c r="AC41" i="32"/>
  <c r="AF41" i="32"/>
  <c r="AJ41" i="32" s="1"/>
  <c r="AG41" i="32"/>
  <c r="AH41" i="32"/>
  <c r="AK41" i="32"/>
  <c r="AL41" i="32"/>
  <c r="AM41" i="32"/>
  <c r="AP41" i="32"/>
  <c r="AS41" i="32" s="1"/>
  <c r="AQ41" i="32"/>
  <c r="AR41" i="32"/>
  <c r="AU41" i="32"/>
  <c r="AV41" i="32"/>
  <c r="AW41" i="32"/>
  <c r="G42" i="32"/>
  <c r="H42" i="32"/>
  <c r="I42" i="32"/>
  <c r="K48" i="32" s="1"/>
  <c r="L42" i="32"/>
  <c r="M42" i="32"/>
  <c r="N42" i="32"/>
  <c r="Q42" i="32"/>
  <c r="U42" i="32" s="1"/>
  <c r="R42" i="32"/>
  <c r="S42" i="32"/>
  <c r="V42" i="32"/>
  <c r="Y42" i="32" s="1"/>
  <c r="W42" i="32"/>
  <c r="X42" i="32"/>
  <c r="AA42" i="32"/>
  <c r="AE42" i="32" s="1"/>
  <c r="AB42" i="32"/>
  <c r="AC42" i="32"/>
  <c r="AF42" i="32"/>
  <c r="AJ42" i="32" s="1"/>
  <c r="AG42" i="32"/>
  <c r="AH42" i="32"/>
  <c r="AK42" i="32"/>
  <c r="AO42" i="32" s="1"/>
  <c r="AL42" i="32"/>
  <c r="AM42" i="32"/>
  <c r="AP42" i="32"/>
  <c r="AQ42" i="32"/>
  <c r="AR42" i="32"/>
  <c r="AU42" i="32"/>
  <c r="AV42" i="32"/>
  <c r="AW42" i="32"/>
  <c r="AY42" i="32"/>
  <c r="G43" i="32"/>
  <c r="H43" i="32"/>
  <c r="I43" i="32"/>
  <c r="L43" i="32"/>
  <c r="P43" i="32" s="1"/>
  <c r="M43" i="32"/>
  <c r="N43" i="32"/>
  <c r="Q43" i="32"/>
  <c r="T43" i="32" s="1"/>
  <c r="R43" i="32"/>
  <c r="S43" i="32"/>
  <c r="V43" i="32"/>
  <c r="W43" i="32"/>
  <c r="X43" i="32"/>
  <c r="AA43" i="32"/>
  <c r="AB43" i="32"/>
  <c r="AD46" i="32" s="1"/>
  <c r="AC43" i="32"/>
  <c r="AF43" i="32"/>
  <c r="AG43" i="32"/>
  <c r="AH43" i="32"/>
  <c r="AK43" i="32"/>
  <c r="AL43" i="32"/>
  <c r="AM43" i="32"/>
  <c r="AP43" i="32"/>
  <c r="AS43" i="32" s="1"/>
  <c r="AQ43" i="32"/>
  <c r="AR43" i="32"/>
  <c r="AU43" i="32"/>
  <c r="AV43" i="32"/>
  <c r="AW43" i="32"/>
  <c r="G44" i="32"/>
  <c r="H44" i="32"/>
  <c r="I44" i="32"/>
  <c r="L44" i="32"/>
  <c r="P44" i="32" s="1"/>
  <c r="M44" i="32"/>
  <c r="N44" i="32"/>
  <c r="Q44" i="32"/>
  <c r="U44" i="32" s="1"/>
  <c r="R44" i="32"/>
  <c r="S44" i="32"/>
  <c r="V44" i="32"/>
  <c r="W44" i="32"/>
  <c r="X44" i="32"/>
  <c r="AA44" i="32"/>
  <c r="AB44" i="32"/>
  <c r="AC44" i="32"/>
  <c r="AF44" i="32"/>
  <c r="AI44" i="32" s="1"/>
  <c r="AG44" i="32"/>
  <c r="AH44" i="32"/>
  <c r="AK44" i="32"/>
  <c r="AL44" i="32"/>
  <c r="AM44" i="32"/>
  <c r="AP44" i="32"/>
  <c r="AQ44" i="32"/>
  <c r="AR44" i="32"/>
  <c r="AU44" i="32"/>
  <c r="AV44" i="32"/>
  <c r="AW44" i="32"/>
  <c r="G45" i="32"/>
  <c r="J45" i="32" s="1"/>
  <c r="H45" i="32"/>
  <c r="I45" i="32"/>
  <c r="L45" i="32"/>
  <c r="M45" i="32"/>
  <c r="N45" i="32"/>
  <c r="Q45" i="32"/>
  <c r="R45" i="32"/>
  <c r="S45" i="32"/>
  <c r="V45" i="32"/>
  <c r="Y45" i="32" s="1"/>
  <c r="W45" i="32"/>
  <c r="X45" i="32"/>
  <c r="AA45" i="32"/>
  <c r="AB45" i="32"/>
  <c r="AC45" i="32"/>
  <c r="AF45" i="32"/>
  <c r="AI45" i="32" s="1"/>
  <c r="AG45" i="32"/>
  <c r="AH45" i="32"/>
  <c r="AK45" i="32"/>
  <c r="AL45" i="32"/>
  <c r="AM45" i="32"/>
  <c r="AP45" i="32"/>
  <c r="AT45" i="32" s="1"/>
  <c r="AQ45" i="32"/>
  <c r="AR45" i="32"/>
  <c r="AU45" i="32"/>
  <c r="AX45" i="32" s="1"/>
  <c r="AV45" i="32"/>
  <c r="AW45" i="32"/>
  <c r="G46" i="32"/>
  <c r="H46" i="32"/>
  <c r="I46" i="32"/>
  <c r="L46" i="32"/>
  <c r="P46" i="32" s="1"/>
  <c r="M46" i="32"/>
  <c r="N46" i="32"/>
  <c r="Q46" i="32"/>
  <c r="U46" i="32" s="1"/>
  <c r="R46" i="32"/>
  <c r="S46" i="32"/>
  <c r="V46" i="32"/>
  <c r="W46" i="32"/>
  <c r="X46" i="32"/>
  <c r="AA46" i="32"/>
  <c r="AE46" i="32" s="1"/>
  <c r="AB46" i="32"/>
  <c r="AC46" i="32"/>
  <c r="AF46" i="32"/>
  <c r="AG46" i="32"/>
  <c r="AH46" i="32"/>
  <c r="AK46" i="32"/>
  <c r="AO46" i="32" s="1"/>
  <c r="AL46" i="32"/>
  <c r="AM46" i="32"/>
  <c r="AP46" i="32"/>
  <c r="AQ46" i="32"/>
  <c r="AR46" i="32"/>
  <c r="AU46" i="32"/>
  <c r="AV46" i="32"/>
  <c r="AW46" i="32"/>
  <c r="G47" i="32"/>
  <c r="H47" i="32"/>
  <c r="I47" i="32"/>
  <c r="L47" i="32"/>
  <c r="M47" i="32"/>
  <c r="N47" i="32"/>
  <c r="Q47" i="32"/>
  <c r="R47" i="32"/>
  <c r="S47" i="32"/>
  <c r="V47" i="32"/>
  <c r="W47" i="32"/>
  <c r="X47" i="32"/>
  <c r="AA47" i="32"/>
  <c r="AD47" i="32" s="1"/>
  <c r="AB47" i="32"/>
  <c r="AC47" i="32"/>
  <c r="AF47" i="32"/>
  <c r="AJ47" i="32" s="1"/>
  <c r="AG47" i="32"/>
  <c r="AH47" i="32"/>
  <c r="AK47" i="32"/>
  <c r="AO47" i="32" s="1"/>
  <c r="AL47" i="32"/>
  <c r="AM47" i="32"/>
  <c r="AP47" i="32"/>
  <c r="AQ47" i="32"/>
  <c r="AR47" i="32"/>
  <c r="AU47" i="32"/>
  <c r="AX47" i="32" s="1"/>
  <c r="AV47" i="32"/>
  <c r="AW47" i="32"/>
  <c r="G48" i="32"/>
  <c r="H48" i="32"/>
  <c r="I48" i="32"/>
  <c r="L48" i="32"/>
  <c r="O48" i="32" s="1"/>
  <c r="M48" i="32"/>
  <c r="N48" i="32"/>
  <c r="Q48" i="32"/>
  <c r="R48" i="32"/>
  <c r="S48" i="32"/>
  <c r="V48" i="32"/>
  <c r="W48" i="32"/>
  <c r="X48" i="32"/>
  <c r="AA48" i="32"/>
  <c r="AE48" i="32" s="1"/>
  <c r="AB48" i="32"/>
  <c r="AC48" i="32"/>
  <c r="AF48" i="32"/>
  <c r="AG48" i="32"/>
  <c r="AH48" i="32"/>
  <c r="AK48" i="32"/>
  <c r="AL48" i="32"/>
  <c r="AM48" i="32"/>
  <c r="AP48" i="32"/>
  <c r="AS48" i="32" s="1"/>
  <c r="AQ48" i="32"/>
  <c r="AR48" i="32"/>
  <c r="AU48" i="32"/>
  <c r="AV48" i="32"/>
  <c r="AW48" i="32"/>
  <c r="G49" i="32"/>
  <c r="J49" i="32" s="1"/>
  <c r="H49" i="32"/>
  <c r="I49" i="32"/>
  <c r="L49" i="32"/>
  <c r="M49" i="32"/>
  <c r="N49" i="32"/>
  <c r="Q49" i="32"/>
  <c r="R49" i="32"/>
  <c r="S49" i="32"/>
  <c r="V49" i="32"/>
  <c r="Z49" i="32" s="1"/>
  <c r="W49" i="32"/>
  <c r="X49" i="32"/>
  <c r="AA49" i="32"/>
  <c r="AB49" i="32"/>
  <c r="AC49" i="32"/>
  <c r="AD49" i="32"/>
  <c r="AE49" i="32"/>
  <c r="AF49" i="32"/>
  <c r="AJ49" i="32" s="1"/>
  <c r="AG49" i="32"/>
  <c r="AH49" i="32"/>
  <c r="AK49" i="32"/>
  <c r="AL49" i="32"/>
  <c r="AM49" i="32"/>
  <c r="AO49" i="32"/>
  <c r="AP49" i="32"/>
  <c r="AQ49" i="32"/>
  <c r="AR49" i="32"/>
  <c r="AU49" i="32"/>
  <c r="AV49" i="32"/>
  <c r="AW49" i="32"/>
  <c r="G50" i="32"/>
  <c r="H50" i="32"/>
  <c r="I50" i="32"/>
  <c r="L50" i="32"/>
  <c r="M50" i="32"/>
  <c r="N50" i="32"/>
  <c r="Q50" i="32"/>
  <c r="U50" i="32" s="1"/>
  <c r="R50" i="32"/>
  <c r="S50" i="32"/>
  <c r="V50" i="32"/>
  <c r="Y50" i="32" s="1"/>
  <c r="W50" i="32"/>
  <c r="X50" i="32"/>
  <c r="AA50" i="32"/>
  <c r="AB50" i="32"/>
  <c r="AC50" i="32"/>
  <c r="AF50" i="32"/>
  <c r="AG50" i="32"/>
  <c r="AH50" i="32"/>
  <c r="AK50" i="32"/>
  <c r="AL50" i="32"/>
  <c r="AM50" i="32"/>
  <c r="AP50" i="32"/>
  <c r="AQ50" i="32"/>
  <c r="AR50" i="32"/>
  <c r="AU50" i="32"/>
  <c r="AX50" i="32" s="1"/>
  <c r="AV50" i="32"/>
  <c r="AW50" i="32"/>
  <c r="G51" i="32"/>
  <c r="J51" i="32" s="1"/>
  <c r="H51" i="32"/>
  <c r="I51" i="32"/>
  <c r="L51" i="32"/>
  <c r="P51" i="32" s="1"/>
  <c r="M51" i="32"/>
  <c r="N51" i="32"/>
  <c r="Q51" i="32"/>
  <c r="U51" i="32" s="1"/>
  <c r="R51" i="32"/>
  <c r="S51" i="32"/>
  <c r="V51" i="32"/>
  <c r="Z51" i="32" s="1"/>
  <c r="W51" i="32"/>
  <c r="X51" i="32"/>
  <c r="AA51" i="32"/>
  <c r="AD51" i="32" s="1"/>
  <c r="AB51" i="32"/>
  <c r="AC51" i="32"/>
  <c r="AF51" i="32"/>
  <c r="AG51" i="32"/>
  <c r="AH51" i="32"/>
  <c r="AK51" i="32"/>
  <c r="AL51" i="32"/>
  <c r="AM51" i="32"/>
  <c r="AP51" i="32"/>
  <c r="AQ51" i="32"/>
  <c r="AR51" i="32"/>
  <c r="AU51" i="32"/>
  <c r="AV51" i="32"/>
  <c r="AW51" i="32"/>
  <c r="G52" i="32"/>
  <c r="H52" i="32"/>
  <c r="I52" i="32"/>
  <c r="L52" i="32"/>
  <c r="O52" i="32" s="1"/>
  <c r="M52" i="32"/>
  <c r="N52" i="32"/>
  <c r="Q52" i="32"/>
  <c r="U52" i="32" s="1"/>
  <c r="R52" i="32"/>
  <c r="S52" i="32"/>
  <c r="V52" i="32"/>
  <c r="Y52" i="32" s="1"/>
  <c r="W52" i="32"/>
  <c r="X52" i="32"/>
  <c r="AA52" i="32"/>
  <c r="AD52" i="32" s="1"/>
  <c r="AB52" i="32"/>
  <c r="AC52" i="32"/>
  <c r="AF52" i="32"/>
  <c r="AI52" i="32" s="1"/>
  <c r="AG52" i="32"/>
  <c r="AH52" i="32"/>
  <c r="AK52" i="32"/>
  <c r="AN52" i="32" s="1"/>
  <c r="AL52" i="32"/>
  <c r="AM52" i="32"/>
  <c r="AP52" i="32"/>
  <c r="AS52" i="32" s="1"/>
  <c r="AQ52" i="32"/>
  <c r="AR52" i="32"/>
  <c r="AU52" i="32"/>
  <c r="AV52" i="32"/>
  <c r="AW52" i="32"/>
  <c r="AE140" i="9"/>
  <c r="AI140" i="9"/>
  <c r="AS140" i="9"/>
  <c r="AW140" i="9"/>
  <c r="AD140" i="9"/>
  <c r="AM140" i="9" s="1"/>
  <c r="AF140" i="9"/>
  <c r="AJ140" i="9"/>
  <c r="AC140" i="9"/>
  <c r="AB140" i="9" s="1"/>
  <c r="AQ140" i="9"/>
  <c r="AK140" i="9"/>
  <c r="AR140" i="9"/>
  <c r="AV140" i="9"/>
  <c r="AL140" i="9"/>
  <c r="AH140" i="9"/>
  <c r="AP140" i="9"/>
  <c r="AU140" i="9"/>
  <c r="AO140" i="9"/>
  <c r="G165" i="32"/>
  <c r="H165" i="32"/>
  <c r="I165" i="32"/>
  <c r="L165" i="32"/>
  <c r="M165" i="32"/>
  <c r="N165" i="32"/>
  <c r="Q165" i="32"/>
  <c r="R165" i="32"/>
  <c r="S165" i="32"/>
  <c r="V165" i="32"/>
  <c r="W165" i="32"/>
  <c r="X165" i="32"/>
  <c r="AA165" i="32"/>
  <c r="AB165" i="32"/>
  <c r="AC165" i="32"/>
  <c r="G115" i="32"/>
  <c r="H115" i="32"/>
  <c r="I115" i="32"/>
  <c r="L115" i="32"/>
  <c r="M115" i="32"/>
  <c r="N115" i="32"/>
  <c r="Q115" i="32"/>
  <c r="R115" i="32"/>
  <c r="S115" i="32"/>
  <c r="V115" i="32"/>
  <c r="W115" i="32"/>
  <c r="X115" i="32"/>
  <c r="G65" i="32"/>
  <c r="H65" i="32"/>
  <c r="J68" i="32" s="1"/>
  <c r="I65" i="32"/>
  <c r="K71" i="32" s="1"/>
  <c r="L65" i="32"/>
  <c r="M65" i="32"/>
  <c r="O68" i="32" s="1"/>
  <c r="N65" i="32"/>
  <c r="P71" i="32" s="1"/>
  <c r="Q65" i="32"/>
  <c r="R65" i="32"/>
  <c r="T68" i="32" s="1"/>
  <c r="S65" i="32"/>
  <c r="U71" i="32" s="1"/>
  <c r="V65" i="32"/>
  <c r="W65" i="32"/>
  <c r="Y68" i="32" s="1"/>
  <c r="X65" i="32"/>
  <c r="Z71" i="32" s="1"/>
  <c r="AA65" i="32"/>
  <c r="AB65" i="32"/>
  <c r="AD68" i="32" s="1"/>
  <c r="AC65" i="32"/>
  <c r="AE71" i="32" s="1"/>
  <c r="AF65" i="32"/>
  <c r="AG65" i="32"/>
  <c r="AI68" i="32" s="1"/>
  <c r="AH65" i="32"/>
  <c r="AJ71" i="32" s="1"/>
  <c r="G64" i="32"/>
  <c r="AV60" i="5"/>
  <c r="AP60" i="5"/>
  <c r="AA60" i="5"/>
  <c r="Y60" i="4"/>
  <c r="O60" i="4"/>
  <c r="E60" i="4"/>
  <c r="AG60" i="1"/>
  <c r="U60" i="1"/>
  <c r="I60" i="1"/>
  <c r="M210" i="7"/>
  <c r="N210" i="7"/>
  <c r="U28" i="32" l="1"/>
  <c r="AS22" i="32"/>
  <c r="Z27" i="32"/>
  <c r="AE26" i="32"/>
  <c r="AJ26" i="32"/>
  <c r="AO25" i="32"/>
  <c r="AD22" i="32"/>
  <c r="O20" i="32"/>
  <c r="AX21" i="32"/>
  <c r="AT49" i="32"/>
  <c r="K39" i="32"/>
  <c r="U26" i="32"/>
  <c r="Z25" i="32"/>
  <c r="K50" i="32"/>
  <c r="T45" i="32"/>
  <c r="Y44" i="32"/>
  <c r="AY36" i="32"/>
  <c r="AT35" i="32"/>
  <c r="Y34" i="32"/>
  <c r="J37" i="32"/>
  <c r="T33" i="32"/>
  <c r="AE30" i="32"/>
  <c r="O29" i="32"/>
  <c r="O22" i="32"/>
  <c r="AX48" i="32"/>
  <c r="O47" i="32"/>
  <c r="K46" i="32"/>
  <c r="AY44" i="32"/>
  <c r="K44" i="32"/>
  <c r="J42" i="32"/>
  <c r="AY34" i="32"/>
  <c r="J34" i="32"/>
  <c r="P33" i="32"/>
  <c r="AJ32" i="32"/>
  <c r="T27" i="32"/>
  <c r="AY45" i="32"/>
  <c r="AN41" i="32"/>
  <c r="T40" i="32"/>
  <c r="AN39" i="32"/>
  <c r="AI38" i="32"/>
  <c r="AO30" i="32"/>
  <c r="T32" i="32"/>
  <c r="AS25" i="32"/>
  <c r="O21" i="32"/>
  <c r="AT47" i="32"/>
  <c r="AX49" i="32"/>
  <c r="O49" i="32"/>
  <c r="T48" i="32"/>
  <c r="Y47" i="32"/>
  <c r="AO52" i="32"/>
  <c r="AS40" i="32"/>
  <c r="AE44" i="32"/>
  <c r="AS36" i="32"/>
  <c r="U34" i="32"/>
  <c r="AO31" i="32"/>
  <c r="T31" i="32"/>
  <c r="Y30" i="32"/>
  <c r="AX31" i="32"/>
  <c r="AD25" i="32"/>
  <c r="AE32" i="32"/>
  <c r="AY52" i="32"/>
  <c r="AS46" i="32"/>
  <c r="AX43" i="32"/>
  <c r="AS38" i="32"/>
  <c r="U37" i="32"/>
  <c r="AO36" i="32"/>
  <c r="P36" i="32"/>
  <c r="AT29" i="32"/>
  <c r="J26" i="32"/>
  <c r="AD45" i="32"/>
  <c r="Z42" i="32"/>
  <c r="AY38" i="32"/>
  <c r="AS30" i="32"/>
  <c r="AN29" i="32"/>
  <c r="AT27" i="32"/>
  <c r="AY26" i="32"/>
  <c r="O26" i="32"/>
  <c r="AN23" i="32"/>
  <c r="AI25" i="32"/>
  <c r="AN20" i="32"/>
  <c r="U30" i="32"/>
  <c r="T49" i="32"/>
  <c r="T51" i="32"/>
  <c r="P49" i="32"/>
  <c r="AN45" i="32"/>
  <c r="P45" i="32"/>
  <c r="AX41" i="32"/>
  <c r="AT38" i="32"/>
  <c r="AJ34" i="32"/>
  <c r="AE33" i="32"/>
  <c r="Z31" i="32"/>
  <c r="AJ29" i="32"/>
  <c r="K29" i="32"/>
  <c r="AE27" i="32"/>
  <c r="K26" i="32"/>
  <c r="AE25" i="32"/>
  <c r="Z23" i="32"/>
  <c r="AI22" i="32"/>
  <c r="K23" i="32"/>
  <c r="AE51" i="32"/>
  <c r="Z50" i="32"/>
  <c r="AN49" i="32"/>
  <c r="AN47" i="32"/>
  <c r="AD50" i="32"/>
  <c r="AJ45" i="32"/>
  <c r="O42" i="32"/>
  <c r="Y39" i="32"/>
  <c r="Z35" i="32"/>
  <c r="P35" i="32"/>
  <c r="K31" i="32"/>
  <c r="AY29" i="32"/>
  <c r="K28" i="32"/>
  <c r="Z26" i="32"/>
  <c r="J23" i="32"/>
  <c r="AE22" i="32"/>
  <c r="K22" i="32"/>
  <c r="AN24" i="32"/>
  <c r="AN32" i="32"/>
  <c r="AO48" i="32"/>
  <c r="AT51" i="32"/>
  <c r="AN50" i="32"/>
  <c r="AI48" i="32"/>
  <c r="AY47" i="32"/>
  <c r="AT46" i="32"/>
  <c r="AJ51" i="32"/>
  <c r="O44" i="32"/>
  <c r="AX46" i="32"/>
  <c r="K42" i="32"/>
  <c r="AO40" i="32"/>
  <c r="U35" i="32"/>
  <c r="AX33" i="32"/>
  <c r="AS35" i="32"/>
  <c r="AT31" i="32"/>
  <c r="AJ31" i="32"/>
  <c r="AN27" i="32"/>
  <c r="AS26" i="32"/>
  <c r="P25" i="32"/>
  <c r="AY24" i="32"/>
  <c r="Z44" i="32"/>
  <c r="U43" i="32"/>
  <c r="AE38" i="32"/>
  <c r="AS32" i="32"/>
  <c r="AN28" i="32"/>
  <c r="AI40" i="32"/>
  <c r="K52" i="32"/>
  <c r="AO44" i="32"/>
  <c r="AI43" i="32"/>
  <c r="AD41" i="32"/>
  <c r="Y40" i="32"/>
  <c r="T38" i="32"/>
  <c r="AS39" i="32"/>
  <c r="K36" i="32"/>
  <c r="AJ33" i="32"/>
  <c r="AD35" i="32"/>
  <c r="AY30" i="32"/>
  <c r="AT23" i="32"/>
  <c r="P28" i="32"/>
  <c r="AI24" i="32"/>
  <c r="AD20" i="32"/>
  <c r="AI19" i="32"/>
  <c r="AN51" i="32"/>
  <c r="J50" i="32"/>
  <c r="O41" i="32"/>
  <c r="J40" i="32"/>
  <c r="AX37" i="32"/>
  <c r="AY40" i="32"/>
  <c r="AN34" i="32"/>
  <c r="T36" i="32"/>
  <c r="AT33" i="32"/>
  <c r="AI27" i="32"/>
  <c r="P23" i="32"/>
  <c r="J21" i="32"/>
  <c r="AO24" i="32"/>
  <c r="U24" i="32"/>
  <c r="AD21" i="32"/>
  <c r="AN21" i="32"/>
  <c r="Y21" i="32"/>
  <c r="AY23" i="32"/>
  <c r="AS20" i="32"/>
  <c r="AI20" i="32"/>
  <c r="Y20" i="32"/>
  <c r="T20" i="32"/>
  <c r="AS51" i="32"/>
  <c r="AN44" i="32"/>
  <c r="AI37" i="32"/>
  <c r="AD30" i="32"/>
  <c r="AX26" i="32"/>
  <c r="Y23" i="32"/>
  <c r="AE52" i="32"/>
  <c r="AI51" i="32"/>
  <c r="O50" i="32"/>
  <c r="J48" i="32"/>
  <c r="AI46" i="32"/>
  <c r="Y46" i="32"/>
  <c r="O46" i="32"/>
  <c r="AD44" i="32"/>
  <c r="J43" i="32"/>
  <c r="AS42" i="32"/>
  <c r="AI42" i="32"/>
  <c r="AX40" i="32"/>
  <c r="AD39" i="32"/>
  <c r="T39" i="32"/>
  <c r="J39" i="32"/>
  <c r="Y37" i="32"/>
  <c r="AX35" i="32"/>
  <c r="AN35" i="32"/>
  <c r="AX34" i="32"/>
  <c r="AS33" i="32"/>
  <c r="Y32" i="32"/>
  <c r="O32" i="32"/>
  <c r="Y31" i="32"/>
  <c r="AN33" i="32"/>
  <c r="T30" i="32"/>
  <c r="AS28" i="32"/>
  <c r="AI28" i="32"/>
  <c r="AS27" i="32"/>
  <c r="O30" i="32"/>
  <c r="AN26" i="32"/>
  <c r="T25" i="32"/>
  <c r="J25" i="32"/>
  <c r="T24" i="32"/>
  <c r="AI26" i="32"/>
  <c r="O23" i="32"/>
  <c r="AY22" i="32"/>
  <c r="P22" i="32"/>
  <c r="AS23" i="32"/>
  <c r="AN19" i="32"/>
  <c r="AD19" i="32"/>
  <c r="AI50" i="32"/>
  <c r="AN43" i="32"/>
  <c r="AD43" i="32"/>
  <c r="AE41" i="32"/>
  <c r="O40" i="32"/>
  <c r="AX39" i="32"/>
  <c r="AY37" i="32"/>
  <c r="AI36" i="32"/>
  <c r="Y36" i="32"/>
  <c r="Z34" i="32"/>
  <c r="J33" i="32"/>
  <c r="AI34" i="32"/>
  <c r="AT30" i="32"/>
  <c r="AD29" i="32"/>
  <c r="J31" i="32"/>
  <c r="U27" i="32"/>
  <c r="AD27" i="32"/>
  <c r="AO23" i="32"/>
  <c r="P52" i="32"/>
  <c r="AJ48" i="32"/>
  <c r="T47" i="32"/>
  <c r="K45" i="32"/>
  <c r="Z52" i="32"/>
  <c r="AY50" i="32"/>
  <c r="AO50" i="32"/>
  <c r="AT48" i="32"/>
  <c r="Y51" i="32"/>
  <c r="Z47" i="32"/>
  <c r="P47" i="32"/>
  <c r="U45" i="32"/>
  <c r="AS47" i="32"/>
  <c r="AT43" i="32"/>
  <c r="AJ43" i="32"/>
  <c r="AO41" i="32"/>
  <c r="T44" i="32"/>
  <c r="U40" i="32"/>
  <c r="K40" i="32"/>
  <c r="P38" i="32"/>
  <c r="AN40" i="32"/>
  <c r="AE36" i="32"/>
  <c r="O37" i="32"/>
  <c r="AY32" i="32"/>
  <c r="AI33" i="32"/>
  <c r="Z29" i="32"/>
  <c r="J30" i="32"/>
  <c r="AT25" i="32"/>
  <c r="AD26" i="32"/>
  <c r="J47" i="32"/>
  <c r="AX51" i="32"/>
  <c r="AS49" i="32"/>
  <c r="Y48" i="32"/>
  <c r="T46" i="32"/>
  <c r="AS44" i="32"/>
  <c r="AN42" i="32"/>
  <c r="T41" i="32"/>
  <c r="O39" i="32"/>
  <c r="AN37" i="32"/>
  <c r="AI35" i="32"/>
  <c r="O34" i="32"/>
  <c r="J32" i="32"/>
  <c r="AI30" i="32"/>
  <c r="AD28" i="32"/>
  <c r="J27" i="32"/>
  <c r="U22" i="32"/>
  <c r="J22" i="32"/>
  <c r="Z41" i="32"/>
  <c r="AS50" i="32"/>
  <c r="AE50" i="32"/>
  <c r="T52" i="32"/>
  <c r="U48" i="32"/>
  <c r="AY46" i="32"/>
  <c r="AN48" i="32"/>
  <c r="Z43" i="32"/>
  <c r="O45" i="32"/>
  <c r="P41" i="32"/>
  <c r="AT39" i="32"/>
  <c r="AI41" i="32"/>
  <c r="U36" i="32"/>
  <c r="J38" i="32"/>
  <c r="K34" i="32"/>
  <c r="AO32" i="32"/>
  <c r="AD34" i="32"/>
  <c r="P29" i="32"/>
  <c r="AY28" i="32"/>
  <c r="AX30" i="32"/>
  <c r="Y27" i="32"/>
  <c r="AX23" i="32"/>
  <c r="J19" i="32"/>
  <c r="AJ50" i="32"/>
  <c r="AY48" i="32"/>
  <c r="K47" i="32"/>
  <c r="AI49" i="32"/>
  <c r="Z45" i="32"/>
  <c r="AE43" i="32"/>
  <c r="J46" i="32"/>
  <c r="AT41" i="32"/>
  <c r="AY39" i="32"/>
  <c r="AD42" i="32"/>
  <c r="U38" i="32"/>
  <c r="Z36" i="32"/>
  <c r="AX38" i="32"/>
  <c r="AO34" i="32"/>
  <c r="Y35" i="32"/>
  <c r="P31" i="32"/>
  <c r="AS31" i="32"/>
  <c r="AJ27" i="32"/>
  <c r="T28" i="32"/>
  <c r="K24" i="32"/>
  <c r="AN25" i="32"/>
  <c r="AX52" i="32"/>
  <c r="J52" i="32"/>
  <c r="T50" i="32"/>
  <c r="Y49" i="32"/>
  <c r="AI47" i="32"/>
  <c r="AS45" i="32"/>
  <c r="AX44" i="32"/>
  <c r="O43" i="32"/>
  <c r="T42" i="32"/>
  <c r="Y41" i="32"/>
  <c r="AD40" i="32"/>
  <c r="AI39" i="32"/>
  <c r="AN38" i="32"/>
  <c r="AS37" i="32"/>
  <c r="AX36" i="32"/>
  <c r="J36" i="32"/>
  <c r="O35" i="32"/>
  <c r="T34" i="32"/>
  <c r="Y33" i="32"/>
  <c r="AD32" i="32"/>
  <c r="AI31" i="32"/>
  <c r="AN30" i="32"/>
  <c r="AS29" i="32"/>
  <c r="AX28" i="32"/>
  <c r="J28" i="32"/>
  <c r="O27" i="32"/>
  <c r="T26" i="32"/>
  <c r="Y25" i="32"/>
  <c r="AD24" i="32"/>
  <c r="AI23" i="32"/>
  <c r="AN22" i="32"/>
  <c r="AS21" i="32"/>
  <c r="AX20" i="32"/>
  <c r="J20" i="32"/>
  <c r="O19" i="32"/>
  <c r="O51" i="32"/>
  <c r="AD48" i="32"/>
  <c r="AN46" i="32"/>
  <c r="J44" i="32"/>
  <c r="AT52" i="32"/>
  <c r="P50" i="32"/>
  <c r="U49" i="32"/>
  <c r="Z48" i="32"/>
  <c r="AE47" i="32"/>
  <c r="AJ46" i="32"/>
  <c r="AO45" i="32"/>
  <c r="AT44" i="32"/>
  <c r="AY43" i="32"/>
  <c r="K43" i="32"/>
  <c r="P42" i="32"/>
  <c r="U41" i="32"/>
  <c r="Z40" i="32"/>
  <c r="AE39" i="32"/>
  <c r="AJ38" i="32"/>
  <c r="AO37" i="32"/>
  <c r="AT36" i="32"/>
  <c r="AY35" i="32"/>
  <c r="K35" i="32"/>
  <c r="P34" i="32"/>
  <c r="U33" i="32"/>
  <c r="Z32" i="32"/>
  <c r="AE31" i="32"/>
  <c r="AJ30" i="32"/>
  <c r="AO29" i="32"/>
  <c r="AT28" i="32"/>
  <c r="AY27" i="32"/>
  <c r="K27" i="32"/>
  <c r="P26" i="32"/>
  <c r="U25" i="32"/>
  <c r="Z24" i="32"/>
  <c r="AE23" i="32"/>
  <c r="AJ22" i="32"/>
  <c r="AY51" i="32"/>
  <c r="K51" i="32"/>
  <c r="AJ52" i="32"/>
  <c r="AO51" i="32"/>
  <c r="AT50" i="32"/>
  <c r="AY49" i="32"/>
  <c r="K49" i="32"/>
  <c r="P48" i="32"/>
  <c r="U47" i="32"/>
  <c r="Z46" i="32"/>
  <c r="AE45" i="32"/>
  <c r="AJ44" i="32"/>
  <c r="AO43" i="32"/>
  <c r="AT42" i="32"/>
  <c r="AY41" i="32"/>
  <c r="K41" i="32"/>
  <c r="P40" i="32"/>
  <c r="U39" i="32"/>
  <c r="Z38" i="32"/>
  <c r="AE37" i="32"/>
  <c r="AJ36" i="32"/>
  <c r="AO35" i="32"/>
  <c r="AT34" i="32"/>
  <c r="AY33" i="32"/>
  <c r="K33" i="32"/>
  <c r="P32" i="32"/>
  <c r="U31" i="32"/>
  <c r="Z30" i="32"/>
  <c r="AE29" i="32"/>
  <c r="AJ28" i="32"/>
  <c r="AO27" i="32"/>
  <c r="AT26" i="32"/>
  <c r="AY25" i="32"/>
  <c r="K25" i="32"/>
  <c r="P24" i="32"/>
  <c r="U23" i="32"/>
  <c r="Z22" i="32"/>
  <c r="M209" i="7"/>
  <c r="N209" i="7"/>
  <c r="M208" i="7" l="1"/>
  <c r="N208" i="7"/>
  <c r="BJ133" i="13" l="1"/>
  <c r="BT133" i="13" s="1"/>
  <c r="BK133" i="13"/>
  <c r="BL133" i="13"/>
  <c r="BM133" i="13"/>
  <c r="BN133" i="13"/>
  <c r="AF162" i="35" s="1"/>
  <c r="BO133" i="13"/>
  <c r="BQ133" i="13"/>
  <c r="BW133" i="13"/>
  <c r="BG133" i="13"/>
  <c r="AO133" i="13"/>
  <c r="AP133" i="13"/>
  <c r="AU162" i="35" s="1"/>
  <c r="AQ133" i="13"/>
  <c r="AR133" i="13"/>
  <c r="AS133" i="13"/>
  <c r="AX133" i="13"/>
  <c r="CY133" i="13" s="1"/>
  <c r="E162" i="35" s="1"/>
  <c r="BA133" i="13"/>
  <c r="AL162" i="35" s="1"/>
  <c r="BB133" i="13"/>
  <c r="AV133" i="13"/>
  <c r="T162" i="35" s="1"/>
  <c r="AN162" i="35" s="1"/>
  <c r="AW133" i="13"/>
  <c r="W162" i="35" s="1"/>
  <c r="CC133" i="13"/>
  <c r="CT133" i="13" l="1"/>
  <c r="AI162" i="35"/>
  <c r="CV134" i="13"/>
  <c r="CU134" i="13"/>
  <c r="AB133" i="13"/>
  <c r="Z133" i="13"/>
  <c r="V133" i="13"/>
  <c r="T133" i="13"/>
  <c r="R133" i="13"/>
  <c r="J133" i="13"/>
  <c r="BF133" i="13"/>
  <c r="CH133" i="13"/>
  <c r="AE139" i="9" l="1"/>
  <c r="AB139" i="9" s="1"/>
  <c r="AI139" i="9"/>
  <c r="AS139" i="9"/>
  <c r="AW139" i="9"/>
  <c r="AD139" i="9"/>
  <c r="AJ139" i="9"/>
  <c r="AC139" i="9"/>
  <c r="AQ139" i="9"/>
  <c r="AK139" i="9"/>
  <c r="AR139" i="9"/>
  <c r="AV139" i="9"/>
  <c r="AL139" i="9"/>
  <c r="AH139" i="9"/>
  <c r="AP139" i="9"/>
  <c r="AU139" i="9"/>
  <c r="AO139" i="9"/>
  <c r="M207" i="7"/>
  <c r="AM139" i="9" l="1"/>
  <c r="AF139" i="9"/>
  <c r="CJ133" i="13"/>
  <c r="O133" i="13"/>
  <c r="BI133" i="13" s="1"/>
  <c r="K133" i="13"/>
  <c r="M133" i="13"/>
  <c r="BH133" i="13" s="1"/>
  <c r="D133" i="13"/>
  <c r="D132" i="13"/>
  <c r="F133" i="13"/>
  <c r="CH162" i="35" s="1"/>
  <c r="F132" i="13"/>
  <c r="CH161" i="35" s="1"/>
  <c r="H133" i="13" l="1"/>
  <c r="CK162" i="35"/>
  <c r="AY162" i="35"/>
  <c r="DD133" i="13"/>
  <c r="BD162" i="35" s="1"/>
  <c r="DE133" i="13"/>
  <c r="BG162" i="35" s="1"/>
  <c r="CK133" i="13"/>
  <c r="H132" i="13"/>
  <c r="CK161" i="35"/>
  <c r="DC133" i="13"/>
  <c r="Q162" i="35" s="1"/>
  <c r="AT133" i="13"/>
  <c r="K162" i="35" s="1"/>
  <c r="AY133" i="13"/>
  <c r="BE133" i="13"/>
  <c r="BC133" i="13"/>
  <c r="AO162" i="35" s="1"/>
  <c r="BD133" i="13"/>
  <c r="AR162" i="35" s="1"/>
  <c r="M206" i="7"/>
  <c r="G164" i="32" l="1"/>
  <c r="H164" i="32"/>
  <c r="I164" i="32"/>
  <c r="L164" i="32"/>
  <c r="M164" i="32"/>
  <c r="N164" i="32"/>
  <c r="Q164" i="32"/>
  <c r="R164" i="32"/>
  <c r="S164" i="32"/>
  <c r="V164" i="32"/>
  <c r="W164" i="32"/>
  <c r="X164" i="32"/>
  <c r="AA164" i="32"/>
  <c r="AB164" i="32"/>
  <c r="AC164" i="32"/>
  <c r="G114" i="32"/>
  <c r="H114" i="32"/>
  <c r="I114" i="32"/>
  <c r="L114" i="32"/>
  <c r="M114" i="32"/>
  <c r="N114" i="32"/>
  <c r="Q114" i="32"/>
  <c r="R114" i="32"/>
  <c r="S114" i="32"/>
  <c r="V114" i="32"/>
  <c r="W114" i="32"/>
  <c r="X114" i="32"/>
  <c r="H64" i="32"/>
  <c r="J67" i="32" s="1"/>
  <c r="I64" i="32"/>
  <c r="K70" i="32" s="1"/>
  <c r="L64" i="32"/>
  <c r="M64" i="32"/>
  <c r="O67" i="32" s="1"/>
  <c r="N64" i="32"/>
  <c r="P70" i="32" s="1"/>
  <c r="Q64" i="32"/>
  <c r="R64" i="32"/>
  <c r="T67" i="32" s="1"/>
  <c r="S64" i="32"/>
  <c r="U70" i="32" s="1"/>
  <c r="V64" i="32"/>
  <c r="W64" i="32"/>
  <c r="Y67" i="32" s="1"/>
  <c r="X64" i="32"/>
  <c r="Z70" i="32" s="1"/>
  <c r="AA64" i="32"/>
  <c r="AB64" i="32"/>
  <c r="AD67" i="32" s="1"/>
  <c r="AC64" i="32"/>
  <c r="AE70" i="32" s="1"/>
  <c r="AF64" i="32"/>
  <c r="AG64" i="32"/>
  <c r="AI67" i="32" s="1"/>
  <c r="AH64" i="32"/>
  <c r="AJ70" i="32" s="1"/>
  <c r="L15" i="32"/>
  <c r="M15" i="32"/>
  <c r="O18" i="32" s="1"/>
  <c r="N15" i="32"/>
  <c r="P21" i="32" s="1"/>
  <c r="Q15" i="32"/>
  <c r="R15" i="32"/>
  <c r="T18" i="32" s="1"/>
  <c r="S15" i="32"/>
  <c r="U21" i="32" s="1"/>
  <c r="V15" i="32"/>
  <c r="W15" i="32"/>
  <c r="Y18" i="32" s="1"/>
  <c r="X15" i="32"/>
  <c r="Z21" i="32" s="1"/>
  <c r="AA15" i="32"/>
  <c r="AB15" i="32"/>
  <c r="AD18" i="32" s="1"/>
  <c r="AC15" i="32"/>
  <c r="AE21" i="32" s="1"/>
  <c r="AF15" i="32"/>
  <c r="AG15" i="32"/>
  <c r="AI18" i="32" s="1"/>
  <c r="AH15" i="32"/>
  <c r="AJ21" i="32" s="1"/>
  <c r="AK15" i="32"/>
  <c r="AL15" i="32"/>
  <c r="AN18" i="32" s="1"/>
  <c r="AM15" i="32"/>
  <c r="AO21" i="32" s="1"/>
  <c r="AP15" i="32"/>
  <c r="AQ15" i="32"/>
  <c r="AS18" i="32" s="1"/>
  <c r="AR15" i="32"/>
  <c r="AT21" i="32" s="1"/>
  <c r="AU15" i="32"/>
  <c r="AV15" i="32"/>
  <c r="AX18" i="32" s="1"/>
  <c r="AW15" i="32"/>
  <c r="AY21" i="32" s="1"/>
  <c r="G15" i="32"/>
  <c r="H15" i="32"/>
  <c r="J18" i="32" s="1"/>
  <c r="I15" i="32"/>
  <c r="K21" i="32" s="1"/>
  <c r="AV59" i="5"/>
  <c r="AP59" i="5"/>
  <c r="AA59" i="5"/>
  <c r="Y59" i="4"/>
  <c r="O59" i="4"/>
  <c r="E59" i="4"/>
  <c r="AG59" i="1"/>
  <c r="U59" i="1"/>
  <c r="I59" i="1"/>
  <c r="M205" i="7"/>
  <c r="M204" i="7"/>
  <c r="S41" i="28" l="1"/>
  <c r="S45" i="28"/>
  <c r="S44" i="28"/>
  <c r="S43" i="28"/>
  <c r="S42" i="28"/>
  <c r="S37" i="28"/>
  <c r="S38" i="28"/>
  <c r="S39" i="28"/>
  <c r="S40" i="28"/>
  <c r="R45" i="28"/>
  <c r="R37" i="28"/>
  <c r="R38" i="28"/>
  <c r="R39" i="28"/>
  <c r="R40" i="28"/>
  <c r="R42" i="28"/>
  <c r="R41" i="28"/>
  <c r="R43" i="28"/>
  <c r="T43" i="28" s="1"/>
  <c r="R44" i="28"/>
  <c r="T44" i="28" s="1"/>
  <c r="CJ130" i="13"/>
  <c r="CJ131" i="13"/>
  <c r="CJ132" i="13"/>
  <c r="T42" i="28" l="1"/>
  <c r="T41" i="28"/>
  <c r="T45" i="28"/>
  <c r="BQ132" i="13"/>
  <c r="BW132" i="13"/>
  <c r="BJ132" i="13"/>
  <c r="BT132" i="13" s="1"/>
  <c r="BK132" i="13"/>
  <c r="BL132" i="13"/>
  <c r="BM132" i="13"/>
  <c r="AE138" i="9"/>
  <c r="AI138" i="9"/>
  <c r="AS138" i="9"/>
  <c r="AW138" i="9"/>
  <c r="AD138" i="9"/>
  <c r="AM138" i="9" s="1"/>
  <c r="AF138" i="9"/>
  <c r="AJ138" i="9"/>
  <c r="AC138" i="9"/>
  <c r="AQ138" i="9"/>
  <c r="AK138" i="9"/>
  <c r="AR138" i="9"/>
  <c r="AV138" i="9"/>
  <c r="AL138" i="9"/>
  <c r="AH138" i="9"/>
  <c r="AP138" i="9"/>
  <c r="AU138" i="9"/>
  <c r="AO138" i="9"/>
  <c r="AR132" i="13"/>
  <c r="AW132" i="13"/>
  <c r="W161" i="35" s="1"/>
  <c r="BB132" i="13"/>
  <c r="CH132" i="13"/>
  <c r="AQ132" i="13"/>
  <c r="AV132" i="13"/>
  <c r="T161" i="35" s="1"/>
  <c r="AN161" i="35" s="1"/>
  <c r="BA132" i="13"/>
  <c r="BF132" i="13"/>
  <c r="BN132" i="13"/>
  <c r="AF161" i="35" s="1"/>
  <c r="CU133" i="13" l="1"/>
  <c r="AL161" i="35"/>
  <c r="CV133" i="13"/>
  <c r="AB138" i="9"/>
  <c r="BG132" i="13"/>
  <c r="BO132" i="13"/>
  <c r="J132" i="13"/>
  <c r="AO132" i="13"/>
  <c r="AP132" i="13"/>
  <c r="AU161" i="35" s="1"/>
  <c r="CC132" i="13"/>
  <c r="J131" i="13"/>
  <c r="AS132" i="13"/>
  <c r="AX132" i="13"/>
  <c r="CY132" i="13" s="1"/>
  <c r="E161" i="35" s="1"/>
  <c r="CT132" i="13" l="1"/>
  <c r="AI161" i="35"/>
  <c r="M203" i="7"/>
  <c r="AB132" i="13" l="1"/>
  <c r="Z132" i="13"/>
  <c r="V132" i="13"/>
  <c r="T132" i="13"/>
  <c r="R132" i="13"/>
  <c r="K132" i="13"/>
  <c r="O132" i="13"/>
  <c r="BI132" i="13" s="1"/>
  <c r="M132" i="13"/>
  <c r="BH132" i="13" s="1"/>
  <c r="W122" i="13"/>
  <c r="W121" i="13"/>
  <c r="W120" i="13"/>
  <c r="W119" i="13"/>
  <c r="W118" i="13"/>
  <c r="W117" i="13"/>
  <c r="CM129" i="13" s="1"/>
  <c r="W116" i="13"/>
  <c r="W115" i="13"/>
  <c r="W114" i="13"/>
  <c r="W112" i="13"/>
  <c r="W123" i="13"/>
  <c r="M202" i="7"/>
  <c r="G163" i="32"/>
  <c r="H163" i="32"/>
  <c r="J166" i="32" s="1"/>
  <c r="I163" i="32"/>
  <c r="L163" i="32"/>
  <c r="M163" i="32"/>
  <c r="O166" i="32" s="1"/>
  <c r="N163" i="32"/>
  <c r="Q163" i="32"/>
  <c r="R163" i="32"/>
  <c r="T166" i="32" s="1"/>
  <c r="S163" i="32"/>
  <c r="V163" i="32"/>
  <c r="W163" i="32"/>
  <c r="Y166" i="32" s="1"/>
  <c r="X163" i="32"/>
  <c r="AA163" i="32"/>
  <c r="AB163" i="32"/>
  <c r="AD166" i="32" s="1"/>
  <c r="AC163" i="32"/>
  <c r="G113" i="32"/>
  <c r="H113" i="32"/>
  <c r="J116" i="32" s="1"/>
  <c r="I113" i="32"/>
  <c r="L113" i="32"/>
  <c r="M113" i="32"/>
  <c r="O116" i="32" s="1"/>
  <c r="N113" i="32"/>
  <c r="Q113" i="32"/>
  <c r="R113" i="32"/>
  <c r="T116" i="32" s="1"/>
  <c r="S113" i="32"/>
  <c r="V113" i="32"/>
  <c r="W113" i="32"/>
  <c r="Y116" i="32" s="1"/>
  <c r="X113" i="32"/>
  <c r="G63" i="32"/>
  <c r="H63" i="32"/>
  <c r="J66" i="32" s="1"/>
  <c r="I63" i="32"/>
  <c r="K69" i="32" s="1"/>
  <c r="L63" i="32"/>
  <c r="M63" i="32"/>
  <c r="O66" i="32" s="1"/>
  <c r="N63" i="32"/>
  <c r="P69" i="32" s="1"/>
  <c r="Q63" i="32"/>
  <c r="R63" i="32"/>
  <c r="T66" i="32" s="1"/>
  <c r="S63" i="32"/>
  <c r="U69" i="32" s="1"/>
  <c r="V63" i="32"/>
  <c r="W63" i="32"/>
  <c r="Y66" i="32" s="1"/>
  <c r="X63" i="32"/>
  <c r="Z69" i="32" s="1"/>
  <c r="AA63" i="32"/>
  <c r="AB63" i="32"/>
  <c r="AD66" i="32" s="1"/>
  <c r="AC63" i="32"/>
  <c r="AE69" i="32" s="1"/>
  <c r="AF63" i="32"/>
  <c r="AG63" i="32"/>
  <c r="AI66" i="32" s="1"/>
  <c r="AH63" i="32"/>
  <c r="AJ69" i="32" s="1"/>
  <c r="G14" i="32"/>
  <c r="H14" i="32"/>
  <c r="J17" i="32" s="1"/>
  <c r="I14" i="32"/>
  <c r="L14" i="32"/>
  <c r="M14" i="32"/>
  <c r="O17" i="32" s="1"/>
  <c r="N14" i="32"/>
  <c r="P20" i="32" s="1"/>
  <c r="Q14" i="32"/>
  <c r="R14" i="32"/>
  <c r="T17" i="32" s="1"/>
  <c r="S14" i="32"/>
  <c r="U20" i="32" s="1"/>
  <c r="V14" i="32"/>
  <c r="W14" i="32"/>
  <c r="Y17" i="32" s="1"/>
  <c r="X14" i="32"/>
  <c r="Z20" i="32" s="1"/>
  <c r="AA14" i="32"/>
  <c r="AB14" i="32"/>
  <c r="AD17" i="32" s="1"/>
  <c r="AC14" i="32"/>
  <c r="AE20" i="32" s="1"/>
  <c r="AF14" i="32"/>
  <c r="AG14" i="32"/>
  <c r="AI17" i="32" s="1"/>
  <c r="AH14" i="32"/>
  <c r="AJ20" i="32" s="1"/>
  <c r="AK14" i="32"/>
  <c r="AL14" i="32"/>
  <c r="AN17" i="32" s="1"/>
  <c r="AM14" i="32"/>
  <c r="AO20" i="32" s="1"/>
  <c r="AP14" i="32"/>
  <c r="AQ14" i="32"/>
  <c r="AS17" i="32" s="1"/>
  <c r="AR14" i="32"/>
  <c r="AT20" i="32" s="1"/>
  <c r="AU14" i="32"/>
  <c r="AV14" i="32"/>
  <c r="AX17" i="32" s="1"/>
  <c r="AW14" i="32"/>
  <c r="AY20" i="32" s="1"/>
  <c r="AV58" i="5"/>
  <c r="AP58" i="5"/>
  <c r="AA58" i="5"/>
  <c r="E58" i="4"/>
  <c r="O58" i="4"/>
  <c r="Y58" i="4"/>
  <c r="AG58" i="1"/>
  <c r="U58" i="1"/>
  <c r="I58" i="1"/>
  <c r="DF116" i="13" l="1"/>
  <c r="BJ145" i="35" s="1"/>
  <c r="AZ145" i="35"/>
  <c r="DJ116" i="13"/>
  <c r="BV145" i="35" s="1"/>
  <c r="DJ117" i="13"/>
  <c r="BV146" i="35" s="1"/>
  <c r="DF117" i="13"/>
  <c r="BJ146" i="35" s="1"/>
  <c r="AZ146" i="35"/>
  <c r="AY161" i="35"/>
  <c r="DE132" i="13"/>
  <c r="BG161" i="35" s="1"/>
  <c r="DD132" i="13"/>
  <c r="BD161" i="35" s="1"/>
  <c r="DJ118" i="13"/>
  <c r="BV147" i="35" s="1"/>
  <c r="AZ147" i="35"/>
  <c r="DF118" i="13"/>
  <c r="BJ147" i="35" s="1"/>
  <c r="DJ119" i="13"/>
  <c r="BV148" i="35" s="1"/>
  <c r="DF119" i="13"/>
  <c r="BJ148" i="35" s="1"/>
  <c r="AZ148" i="35"/>
  <c r="X134" i="13"/>
  <c r="AU134" i="13" s="1"/>
  <c r="AZ152" i="35"/>
  <c r="DF123" i="13"/>
  <c r="BJ152" i="35" s="1"/>
  <c r="DJ123" i="13"/>
  <c r="BV152" i="35" s="1"/>
  <c r="DF120" i="13"/>
  <c r="BJ149" i="35" s="1"/>
  <c r="AZ149" i="35"/>
  <c r="DJ120" i="13"/>
  <c r="BV149" i="35" s="1"/>
  <c r="DF115" i="13"/>
  <c r="BJ144" i="35" s="1"/>
  <c r="AZ144" i="35"/>
  <c r="DJ115" i="13"/>
  <c r="BV144" i="35" s="1"/>
  <c r="DF112" i="13"/>
  <c r="BJ141" i="35" s="1"/>
  <c r="DJ112" i="13"/>
  <c r="BV141" i="35" s="1"/>
  <c r="AZ141" i="35"/>
  <c r="X132" i="13"/>
  <c r="AU132" i="13" s="1"/>
  <c r="DJ121" i="13"/>
  <c r="BV150" i="35" s="1"/>
  <c r="AZ150" i="35"/>
  <c r="DF121" i="13"/>
  <c r="BJ150" i="35" s="1"/>
  <c r="AZ143" i="35"/>
  <c r="DJ114" i="13"/>
  <c r="BV143" i="35" s="1"/>
  <c r="DF114" i="13"/>
  <c r="BJ143" i="35" s="1"/>
  <c r="X133" i="13"/>
  <c r="AZ133" i="13" s="1"/>
  <c r="DJ122" i="13"/>
  <c r="BV151" i="35" s="1"/>
  <c r="DF122" i="13"/>
  <c r="BJ151" i="35" s="1"/>
  <c r="AZ151" i="35"/>
  <c r="DC132" i="13"/>
  <c r="Q161" i="35" s="1"/>
  <c r="BD132" i="13"/>
  <c r="AR161" i="35" s="1"/>
  <c r="CK132" i="13"/>
  <c r="BC132" i="13"/>
  <c r="AO161" i="35" s="1"/>
  <c r="AT132" i="13"/>
  <c r="K161" i="35" s="1"/>
  <c r="BE132" i="13"/>
  <c r="AY132" i="13"/>
  <c r="M201" i="7"/>
  <c r="M200" i="7"/>
  <c r="AZ132" i="13" l="1"/>
  <c r="AZ134" i="13"/>
  <c r="AU133" i="13"/>
  <c r="AA158" i="32"/>
  <c r="AB158" i="32"/>
  <c r="AC158" i="32"/>
  <c r="AE164" i="32" s="1"/>
  <c r="AA159" i="32"/>
  <c r="AB159" i="32"/>
  <c r="AC159" i="32"/>
  <c r="AE165" i="32" s="1"/>
  <c r="AA160" i="32"/>
  <c r="AB160" i="32"/>
  <c r="AD163" i="32" s="1"/>
  <c r="AC160" i="32"/>
  <c r="AE166" i="32" s="1"/>
  <c r="AA161" i="32"/>
  <c r="AD161" i="32" s="1"/>
  <c r="AB161" i="32"/>
  <c r="AD164" i="32" s="1"/>
  <c r="AC161" i="32"/>
  <c r="AA162" i="32"/>
  <c r="AB162" i="32"/>
  <c r="AD165" i="32" s="1"/>
  <c r="AC162" i="32"/>
  <c r="AC157" i="32"/>
  <c r="AE163" i="32" s="1"/>
  <c r="AB157" i="32"/>
  <c r="AA157" i="32"/>
  <c r="AA154" i="32"/>
  <c r="AB154" i="32" s="1"/>
  <c r="AC154" i="32" s="1"/>
  <c r="AD154" i="32" s="1"/>
  <c r="AE154" i="32" s="1"/>
  <c r="V158" i="32"/>
  <c r="W158" i="32"/>
  <c r="X158" i="32"/>
  <c r="Z164" i="32" s="1"/>
  <c r="V159" i="32"/>
  <c r="W159" i="32"/>
  <c r="X159" i="32"/>
  <c r="Z165" i="32" s="1"/>
  <c r="V160" i="32"/>
  <c r="W160" i="32"/>
  <c r="Y163" i="32" s="1"/>
  <c r="X160" i="32"/>
  <c r="Z166" i="32" s="1"/>
  <c r="V161" i="32"/>
  <c r="Y161" i="32" s="1"/>
  <c r="W161" i="32"/>
  <c r="Y164" i="32" s="1"/>
  <c r="X161" i="32"/>
  <c r="V162" i="32"/>
  <c r="W162" i="32"/>
  <c r="Y165" i="32" s="1"/>
  <c r="X162" i="32"/>
  <c r="X157" i="32"/>
  <c r="Z163" i="32" s="1"/>
  <c r="W157" i="32"/>
  <c r="V157" i="32"/>
  <c r="V154" i="32"/>
  <c r="W154" i="32" s="1"/>
  <c r="X154" i="32" s="1"/>
  <c r="Y154" i="32" s="1"/>
  <c r="Z154" i="32" s="1"/>
  <c r="Q158" i="32"/>
  <c r="R158" i="32"/>
  <c r="S158" i="32"/>
  <c r="U164" i="32" s="1"/>
  <c r="Q159" i="32"/>
  <c r="R159" i="32"/>
  <c r="S159" i="32"/>
  <c r="U165" i="32" s="1"/>
  <c r="Q160" i="32"/>
  <c r="R160" i="32"/>
  <c r="T163" i="32" s="1"/>
  <c r="S160" i="32"/>
  <c r="U166" i="32" s="1"/>
  <c r="Q161" i="32"/>
  <c r="T161" i="32" s="1"/>
  <c r="R161" i="32"/>
  <c r="T164" i="32" s="1"/>
  <c r="S161" i="32"/>
  <c r="Q162" i="32"/>
  <c r="T162" i="32" s="1"/>
  <c r="R162" i="32"/>
  <c r="T165" i="32" s="1"/>
  <c r="S162" i="32"/>
  <c r="S157" i="32"/>
  <c r="U163" i="32" s="1"/>
  <c r="R157" i="32"/>
  <c r="T160" i="32" s="1"/>
  <c r="Q157" i="32"/>
  <c r="Q154" i="32"/>
  <c r="R154" i="32" s="1"/>
  <c r="S154" i="32" s="1"/>
  <c r="T154" i="32" s="1"/>
  <c r="U154" i="32" s="1"/>
  <c r="L158" i="32"/>
  <c r="M158" i="32"/>
  <c r="N158" i="32"/>
  <c r="P164" i="32" s="1"/>
  <c r="L159" i="32"/>
  <c r="M159" i="32"/>
  <c r="N159" i="32"/>
  <c r="P165" i="32" s="1"/>
  <c r="L160" i="32"/>
  <c r="M160" i="32"/>
  <c r="O163" i="32" s="1"/>
  <c r="N160" i="32"/>
  <c r="P166" i="32" s="1"/>
  <c r="L161" i="32"/>
  <c r="O161" i="32" s="1"/>
  <c r="M161" i="32"/>
  <c r="O164" i="32" s="1"/>
  <c r="N161" i="32"/>
  <c r="L162" i="32"/>
  <c r="O162" i="32" s="1"/>
  <c r="M162" i="32"/>
  <c r="O165" i="32" s="1"/>
  <c r="N162" i="32"/>
  <c r="N157" i="32"/>
  <c r="P163" i="32" s="1"/>
  <c r="M157" i="32"/>
  <c r="L157" i="32"/>
  <c r="L154" i="32"/>
  <c r="M154" i="32" s="1"/>
  <c r="N154" i="32" s="1"/>
  <c r="O154" i="32" s="1"/>
  <c r="P154" i="32" s="1"/>
  <c r="G158" i="32"/>
  <c r="H158" i="32"/>
  <c r="I158" i="32"/>
  <c r="K164" i="32" s="1"/>
  <c r="G159" i="32"/>
  <c r="H159" i="32"/>
  <c r="I159" i="32"/>
  <c r="K165" i="32" s="1"/>
  <c r="G160" i="32"/>
  <c r="H160" i="32"/>
  <c r="J163" i="32" s="1"/>
  <c r="I160" i="32"/>
  <c r="K166" i="32" s="1"/>
  <c r="G161" i="32"/>
  <c r="J161" i="32" s="1"/>
  <c r="H161" i="32"/>
  <c r="J164" i="32" s="1"/>
  <c r="I161" i="32"/>
  <c r="G162" i="32"/>
  <c r="J162" i="32" s="1"/>
  <c r="H162" i="32"/>
  <c r="J165" i="32" s="1"/>
  <c r="I162" i="32"/>
  <c r="I157" i="32"/>
  <c r="K163" i="32" s="1"/>
  <c r="H157" i="32"/>
  <c r="G157" i="32"/>
  <c r="I156" i="32"/>
  <c r="S156" i="32" s="1"/>
  <c r="X156" i="32" s="1"/>
  <c r="AC156" i="32" s="1"/>
  <c r="H156" i="32"/>
  <c r="M156" i="32" s="1"/>
  <c r="G156" i="32"/>
  <c r="Q156" i="32" s="1"/>
  <c r="V156" i="32" s="1"/>
  <c r="AA156" i="32" s="1"/>
  <c r="A158" i="32"/>
  <c r="A159" i="32"/>
  <c r="A160" i="32"/>
  <c r="A161" i="32"/>
  <c r="A162" i="32"/>
  <c r="A157" i="32"/>
  <c r="G154" i="32"/>
  <c r="H154" i="32" s="1"/>
  <c r="I154" i="32" s="1"/>
  <c r="J154" i="32" s="1"/>
  <c r="K154" i="32" s="1"/>
  <c r="AD162" i="32"/>
  <c r="V108" i="32"/>
  <c r="W108" i="32"/>
  <c r="X108" i="32"/>
  <c r="Z114" i="32" s="1"/>
  <c r="V109" i="32"/>
  <c r="W109" i="32"/>
  <c r="X109" i="32"/>
  <c r="Z115" i="32" s="1"/>
  <c r="V110" i="32"/>
  <c r="W110" i="32"/>
  <c r="Y113" i="32" s="1"/>
  <c r="X110" i="32"/>
  <c r="Z116" i="32" s="1"/>
  <c r="V111" i="32"/>
  <c r="W111" i="32"/>
  <c r="Y114" i="32" s="1"/>
  <c r="X111" i="32"/>
  <c r="V112" i="32"/>
  <c r="W112" i="32"/>
  <c r="Y115" i="32" s="1"/>
  <c r="X112" i="32"/>
  <c r="X107" i="32"/>
  <c r="Z113" i="32" s="1"/>
  <c r="W107" i="32"/>
  <c r="V107" i="32"/>
  <c r="V104" i="32"/>
  <c r="W104" i="32" s="1"/>
  <c r="X104" i="32" s="1"/>
  <c r="Y104" i="32" s="1"/>
  <c r="Z104" i="32" s="1"/>
  <c r="Q108" i="32"/>
  <c r="R108" i="32"/>
  <c r="S108" i="32"/>
  <c r="U114" i="32" s="1"/>
  <c r="Q109" i="32"/>
  <c r="R109" i="32"/>
  <c r="S109" i="32"/>
  <c r="U115" i="32" s="1"/>
  <c r="Q110" i="32"/>
  <c r="R110" i="32"/>
  <c r="T113" i="32" s="1"/>
  <c r="S110" i="32"/>
  <c r="U116" i="32" s="1"/>
  <c r="Q111" i="32"/>
  <c r="R111" i="32"/>
  <c r="T114" i="32" s="1"/>
  <c r="S111" i="32"/>
  <c r="Q112" i="32"/>
  <c r="T112" i="32" s="1"/>
  <c r="R112" i="32"/>
  <c r="T115" i="32" s="1"/>
  <c r="S112" i="32"/>
  <c r="S107" i="32"/>
  <c r="U113" i="32" s="1"/>
  <c r="R107" i="32"/>
  <c r="Q107" i="32"/>
  <c r="Q104" i="32"/>
  <c r="R104" i="32" s="1"/>
  <c r="S104" i="32" s="1"/>
  <c r="T104" i="32" s="1"/>
  <c r="U104" i="32" s="1"/>
  <c r="L108" i="32"/>
  <c r="M108" i="32"/>
  <c r="N108" i="32"/>
  <c r="P114" i="32" s="1"/>
  <c r="L109" i="32"/>
  <c r="M109" i="32"/>
  <c r="N109" i="32"/>
  <c r="P115" i="32" s="1"/>
  <c r="L110" i="32"/>
  <c r="M110" i="32"/>
  <c r="O113" i="32" s="1"/>
  <c r="N110" i="32"/>
  <c r="P116" i="32" s="1"/>
  <c r="L111" i="32"/>
  <c r="M111" i="32"/>
  <c r="O114" i="32" s="1"/>
  <c r="N111" i="32"/>
  <c r="L112" i="32"/>
  <c r="O112" i="32" s="1"/>
  <c r="M112" i="32"/>
  <c r="O115" i="32" s="1"/>
  <c r="N112" i="32"/>
  <c r="N107" i="32"/>
  <c r="P113" i="32" s="1"/>
  <c r="M107" i="32"/>
  <c r="L107" i="32"/>
  <c r="L104" i="32"/>
  <c r="M104" i="32" s="1"/>
  <c r="N104" i="32" s="1"/>
  <c r="O104" i="32" s="1"/>
  <c r="P104" i="32" s="1"/>
  <c r="G108" i="32"/>
  <c r="H108" i="32"/>
  <c r="I108" i="32"/>
  <c r="K114" i="32" s="1"/>
  <c r="G109" i="32"/>
  <c r="H109" i="32"/>
  <c r="I109" i="32"/>
  <c r="K115" i="32" s="1"/>
  <c r="G110" i="32"/>
  <c r="H110" i="32"/>
  <c r="J113" i="32" s="1"/>
  <c r="I110" i="32"/>
  <c r="K116" i="32" s="1"/>
  <c r="G111" i="32"/>
  <c r="J111" i="32" s="1"/>
  <c r="H111" i="32"/>
  <c r="J114" i="32" s="1"/>
  <c r="I111" i="32"/>
  <c r="G112" i="32"/>
  <c r="J112" i="32" s="1"/>
  <c r="H112" i="32"/>
  <c r="J115" i="32" s="1"/>
  <c r="I112" i="32"/>
  <c r="I107" i="32"/>
  <c r="K113" i="32" s="1"/>
  <c r="H107" i="32"/>
  <c r="G107" i="32"/>
  <c r="I106" i="32"/>
  <c r="N106" i="32" s="1"/>
  <c r="H106" i="32"/>
  <c r="M106" i="32" s="1"/>
  <c r="G106" i="32"/>
  <c r="L106" i="32" s="1"/>
  <c r="A108" i="32"/>
  <c r="A109" i="32"/>
  <c r="A110" i="32"/>
  <c r="A111" i="32"/>
  <c r="A112" i="32"/>
  <c r="A107" i="32"/>
  <c r="G104" i="32"/>
  <c r="H104" i="32" s="1"/>
  <c r="I104" i="32" s="1"/>
  <c r="J104" i="32" s="1"/>
  <c r="K104" i="32" s="1"/>
  <c r="AF58" i="32"/>
  <c r="AG58" i="32"/>
  <c r="AH58" i="32"/>
  <c r="AJ64" i="32" s="1"/>
  <c r="AF59" i="32"/>
  <c r="AG59" i="32"/>
  <c r="AH59" i="32"/>
  <c r="AJ65" i="32" s="1"/>
  <c r="AF60" i="32"/>
  <c r="AG60" i="32"/>
  <c r="AI63" i="32" s="1"/>
  <c r="AH60" i="32"/>
  <c r="AJ66" i="32" s="1"/>
  <c r="AF61" i="32"/>
  <c r="AI61" i="32" s="1"/>
  <c r="AG61" i="32"/>
  <c r="AI64" i="32" s="1"/>
  <c r="AH61" i="32"/>
  <c r="AJ67" i="32" s="1"/>
  <c r="AF62" i="32"/>
  <c r="AI62" i="32" s="1"/>
  <c r="AG62" i="32"/>
  <c r="AI65" i="32" s="1"/>
  <c r="AH62" i="32"/>
  <c r="AJ68" i="32" s="1"/>
  <c r="AH57" i="32"/>
  <c r="AJ63" i="32" s="1"/>
  <c r="AG57" i="32"/>
  <c r="AF57" i="32"/>
  <c r="AF54" i="32"/>
  <c r="AG54" i="32" s="1"/>
  <c r="AH54" i="32" s="1"/>
  <c r="AI54" i="32" s="1"/>
  <c r="AJ54" i="32" s="1"/>
  <c r="AA58" i="32"/>
  <c r="AB58" i="32"/>
  <c r="AC58" i="32"/>
  <c r="AE64" i="32" s="1"/>
  <c r="AA59" i="32"/>
  <c r="AB59" i="32"/>
  <c r="AC59" i="32"/>
  <c r="AE65" i="32" s="1"/>
  <c r="AA60" i="32"/>
  <c r="AB60" i="32"/>
  <c r="AD63" i="32" s="1"/>
  <c r="AC60" i="32"/>
  <c r="AE66" i="32" s="1"/>
  <c r="AA61" i="32"/>
  <c r="AD61" i="32" s="1"/>
  <c r="AB61" i="32"/>
  <c r="AD64" i="32" s="1"/>
  <c r="AC61" i="32"/>
  <c r="AE67" i="32" s="1"/>
  <c r="AA62" i="32"/>
  <c r="AB62" i="32"/>
  <c r="AD65" i="32" s="1"/>
  <c r="AC62" i="32"/>
  <c r="AE68" i="32" s="1"/>
  <c r="AC57" i="32"/>
  <c r="AE63" i="32" s="1"/>
  <c r="AB57" i="32"/>
  <c r="AA57" i="32"/>
  <c r="AA54" i="32"/>
  <c r="AB54" i="32" s="1"/>
  <c r="AC54" i="32" s="1"/>
  <c r="AD54" i="32" s="1"/>
  <c r="AE54" i="32" s="1"/>
  <c r="V58" i="32"/>
  <c r="W58" i="32"/>
  <c r="X58" i="32"/>
  <c r="Z64" i="32" s="1"/>
  <c r="V59" i="32"/>
  <c r="W59" i="32"/>
  <c r="X59" i="32"/>
  <c r="Z65" i="32" s="1"/>
  <c r="V60" i="32"/>
  <c r="W60" i="32"/>
  <c r="Y63" i="32" s="1"/>
  <c r="X60" i="32"/>
  <c r="Z66" i="32" s="1"/>
  <c r="V61" i="32"/>
  <c r="Y61" i="32" s="1"/>
  <c r="W61" i="32"/>
  <c r="Y64" i="32" s="1"/>
  <c r="X61" i="32"/>
  <c r="Z67" i="32" s="1"/>
  <c r="V62" i="32"/>
  <c r="Y62" i="32" s="1"/>
  <c r="W62" i="32"/>
  <c r="Y65" i="32" s="1"/>
  <c r="X62" i="32"/>
  <c r="Z68" i="32" s="1"/>
  <c r="X57" i="32"/>
  <c r="Z63" i="32" s="1"/>
  <c r="W57" i="32"/>
  <c r="V57" i="32"/>
  <c r="V54" i="32"/>
  <c r="W54" i="32" s="1"/>
  <c r="X54" i="32" s="1"/>
  <c r="Y54" i="32" s="1"/>
  <c r="Z54" i="32" s="1"/>
  <c r="Q58" i="32"/>
  <c r="R58" i="32"/>
  <c r="S58" i="32"/>
  <c r="U64" i="32" s="1"/>
  <c r="Q59" i="32"/>
  <c r="R59" i="32"/>
  <c r="S59" i="32"/>
  <c r="U65" i="32" s="1"/>
  <c r="Q60" i="32"/>
  <c r="R60" i="32"/>
  <c r="T63" i="32" s="1"/>
  <c r="S60" i="32"/>
  <c r="U66" i="32" s="1"/>
  <c r="Q61" i="32"/>
  <c r="T61" i="32" s="1"/>
  <c r="R61" i="32"/>
  <c r="T64" i="32" s="1"/>
  <c r="S61" i="32"/>
  <c r="U67" i="32" s="1"/>
  <c r="Q62" i="32"/>
  <c r="R62" i="32"/>
  <c r="T65" i="32" s="1"/>
  <c r="S62" i="32"/>
  <c r="U68" i="32" s="1"/>
  <c r="S57" i="32"/>
  <c r="U63" i="32" s="1"/>
  <c r="R57" i="32"/>
  <c r="Q57" i="32"/>
  <c r="Q54" i="32"/>
  <c r="R54" i="32" s="1"/>
  <c r="S54" i="32" s="1"/>
  <c r="T54" i="32" s="1"/>
  <c r="U54" i="32" s="1"/>
  <c r="L58" i="32"/>
  <c r="M58" i="32"/>
  <c r="N58" i="32"/>
  <c r="P64" i="32" s="1"/>
  <c r="L59" i="32"/>
  <c r="M59" i="32"/>
  <c r="N59" i="32"/>
  <c r="P65" i="32" s="1"/>
  <c r="L60" i="32"/>
  <c r="M60" i="32"/>
  <c r="O63" i="32" s="1"/>
  <c r="N60" i="32"/>
  <c r="P66" i="32" s="1"/>
  <c r="L61" i="32"/>
  <c r="O61" i="32" s="1"/>
  <c r="M61" i="32"/>
  <c r="O64" i="32" s="1"/>
  <c r="N61" i="32"/>
  <c r="P67" i="32" s="1"/>
  <c r="L62" i="32"/>
  <c r="M62" i="32"/>
  <c r="O65" i="32" s="1"/>
  <c r="N62" i="32"/>
  <c r="P68" i="32" s="1"/>
  <c r="N57" i="32"/>
  <c r="P63" i="32" s="1"/>
  <c r="M57" i="32"/>
  <c r="L57" i="32"/>
  <c r="L54" i="32"/>
  <c r="M54" i="32" s="1"/>
  <c r="N54" i="32" s="1"/>
  <c r="O54" i="32" s="1"/>
  <c r="P54" i="32" s="1"/>
  <c r="G58" i="32"/>
  <c r="H58" i="32"/>
  <c r="I58" i="32"/>
  <c r="K64" i="32" s="1"/>
  <c r="G59" i="32"/>
  <c r="H59" i="32"/>
  <c r="I59" i="32"/>
  <c r="K65" i="32" s="1"/>
  <c r="G60" i="32"/>
  <c r="H60" i="32"/>
  <c r="J63" i="32" s="1"/>
  <c r="I60" i="32"/>
  <c r="K66" i="32" s="1"/>
  <c r="G61" i="32"/>
  <c r="J61" i="32" s="1"/>
  <c r="H61" i="32"/>
  <c r="J64" i="32" s="1"/>
  <c r="I61" i="32"/>
  <c r="K67" i="32" s="1"/>
  <c r="G62" i="32"/>
  <c r="H62" i="32"/>
  <c r="J65" i="32" s="1"/>
  <c r="I62" i="32"/>
  <c r="K68" i="32" s="1"/>
  <c r="I57" i="32"/>
  <c r="K63" i="32" s="1"/>
  <c r="H57" i="32"/>
  <c r="G57" i="32"/>
  <c r="I56" i="32"/>
  <c r="S56" i="32" s="1"/>
  <c r="X56" i="32" s="1"/>
  <c r="AC56" i="32" s="1"/>
  <c r="AH56" i="32" s="1"/>
  <c r="H56" i="32"/>
  <c r="M56" i="32" s="1"/>
  <c r="G56" i="32"/>
  <c r="Q56" i="32" s="1"/>
  <c r="V56" i="32" s="1"/>
  <c r="AA56" i="32" s="1"/>
  <c r="AF56" i="32" s="1"/>
  <c r="A58" i="32"/>
  <c r="A59" i="32"/>
  <c r="A60" i="32"/>
  <c r="A61" i="32"/>
  <c r="A62" i="32"/>
  <c r="A57" i="32"/>
  <c r="G54" i="32"/>
  <c r="H54" i="32" s="1"/>
  <c r="I54" i="32" s="1"/>
  <c r="J54" i="32" s="1"/>
  <c r="K54" i="32" s="1"/>
  <c r="AU9" i="32"/>
  <c r="AV9" i="32"/>
  <c r="AW9" i="32"/>
  <c r="AY15" i="32" s="1"/>
  <c r="AU10" i="32"/>
  <c r="AV10" i="32"/>
  <c r="AW10" i="32"/>
  <c r="AY16" i="32" s="1"/>
  <c r="AU11" i="32"/>
  <c r="AV11" i="32"/>
  <c r="AX14" i="32" s="1"/>
  <c r="AW11" i="32"/>
  <c r="AY17" i="32" s="1"/>
  <c r="AU12" i="32"/>
  <c r="AX12" i="32" s="1"/>
  <c r="AV12" i="32"/>
  <c r="AX15" i="32" s="1"/>
  <c r="AW12" i="32"/>
  <c r="AY18" i="32" s="1"/>
  <c r="AU13" i="32"/>
  <c r="AX13" i="32" s="1"/>
  <c r="AV13" i="32"/>
  <c r="AX16" i="32" s="1"/>
  <c r="AW13" i="32"/>
  <c r="AY19" i="32" s="1"/>
  <c r="AW8" i="32"/>
  <c r="AY14" i="32" s="1"/>
  <c r="AV8" i="32"/>
  <c r="AU8" i="32"/>
  <c r="AU5" i="32"/>
  <c r="AV5" i="32" s="1"/>
  <c r="AW5" i="32" s="1"/>
  <c r="AX5" i="32" s="1"/>
  <c r="AY5" i="32" s="1"/>
  <c r="AP9" i="32"/>
  <c r="AQ9" i="32"/>
  <c r="AR9" i="32"/>
  <c r="AT15" i="32" s="1"/>
  <c r="AP10" i="32"/>
  <c r="AQ10" i="32"/>
  <c r="AR10" i="32"/>
  <c r="AT16" i="32" s="1"/>
  <c r="AP11" i="32"/>
  <c r="AQ11" i="32"/>
  <c r="AS14" i="32" s="1"/>
  <c r="AR11" i="32"/>
  <c r="AT17" i="32" s="1"/>
  <c r="AP12" i="32"/>
  <c r="AS12" i="32" s="1"/>
  <c r="AQ12" i="32"/>
  <c r="AS15" i="32" s="1"/>
  <c r="AR12" i="32"/>
  <c r="AT18" i="32" s="1"/>
  <c r="AP13" i="32"/>
  <c r="AS13" i="32" s="1"/>
  <c r="AQ13" i="32"/>
  <c r="AS16" i="32" s="1"/>
  <c r="AR13" i="32"/>
  <c r="AT19" i="32" s="1"/>
  <c r="AR8" i="32"/>
  <c r="AT14" i="32" s="1"/>
  <c r="AQ8" i="32"/>
  <c r="AP8" i="32"/>
  <c r="AP5" i="32"/>
  <c r="AQ5" i="32" s="1"/>
  <c r="AR5" i="32" s="1"/>
  <c r="AS5" i="32" s="1"/>
  <c r="AT5" i="32" s="1"/>
  <c r="AK9" i="32"/>
  <c r="AL9" i="32"/>
  <c r="AM9" i="32"/>
  <c r="AO15" i="32" s="1"/>
  <c r="AK10" i="32"/>
  <c r="AL10" i="32"/>
  <c r="AM10" i="32"/>
  <c r="AO16" i="32" s="1"/>
  <c r="AK11" i="32"/>
  <c r="AL11" i="32"/>
  <c r="AN14" i="32" s="1"/>
  <c r="AM11" i="32"/>
  <c r="AO17" i="32" s="1"/>
  <c r="AK12" i="32"/>
  <c r="AN12" i="32" s="1"/>
  <c r="AL12" i="32"/>
  <c r="AN15" i="32" s="1"/>
  <c r="AM12" i="32"/>
  <c r="AO18" i="32" s="1"/>
  <c r="AK13" i="32"/>
  <c r="AN13" i="32" s="1"/>
  <c r="AL13" i="32"/>
  <c r="AN16" i="32" s="1"/>
  <c r="AM13" i="32"/>
  <c r="AO19" i="32" s="1"/>
  <c r="AM8" i="32"/>
  <c r="AO14" i="32" s="1"/>
  <c r="AL8" i="32"/>
  <c r="AK8" i="32"/>
  <c r="AK5" i="32"/>
  <c r="AL5" i="32" s="1"/>
  <c r="AM5" i="32" s="1"/>
  <c r="AN5" i="32" s="1"/>
  <c r="AO5" i="32" s="1"/>
  <c r="AF9" i="32"/>
  <c r="AG9" i="32"/>
  <c r="AH9" i="32"/>
  <c r="AJ15" i="32" s="1"/>
  <c r="AF10" i="32"/>
  <c r="AG10" i="32"/>
  <c r="AH10" i="32"/>
  <c r="AJ16" i="32" s="1"/>
  <c r="AF11" i="32"/>
  <c r="AG11" i="32"/>
  <c r="AI14" i="32" s="1"/>
  <c r="AH11" i="32"/>
  <c r="AJ17" i="32" s="1"/>
  <c r="AF12" i="32"/>
  <c r="AG12" i="32"/>
  <c r="AI15" i="32" s="1"/>
  <c r="AH12" i="32"/>
  <c r="AJ18" i="32" s="1"/>
  <c r="AF13" i="32"/>
  <c r="AG13" i="32"/>
  <c r="AI16" i="32" s="1"/>
  <c r="AH13" i="32"/>
  <c r="AJ19" i="32" s="1"/>
  <c r="AH8" i="32"/>
  <c r="AJ14" i="32" s="1"/>
  <c r="AG8" i="32"/>
  <c r="AF8" i="32"/>
  <c r="AF5" i="32"/>
  <c r="AG5" i="32" s="1"/>
  <c r="AH5" i="32" s="1"/>
  <c r="AI5" i="32" s="1"/>
  <c r="AJ5" i="32" s="1"/>
  <c r="AC8" i="32"/>
  <c r="AE14" i="32" s="1"/>
  <c r="AB8" i="32"/>
  <c r="AA8" i="32"/>
  <c r="AA5" i="32"/>
  <c r="AB5" i="32" s="1"/>
  <c r="AC5" i="32" s="1"/>
  <c r="AD5" i="32" s="1"/>
  <c r="AE5" i="32" s="1"/>
  <c r="AC13" i="32"/>
  <c r="AE19" i="32" s="1"/>
  <c r="AB13" i="32"/>
  <c r="AD16" i="32" s="1"/>
  <c r="AA13" i="32"/>
  <c r="AC12" i="32"/>
  <c r="AE18" i="32" s="1"/>
  <c r="AB12" i="32"/>
  <c r="AD15" i="32" s="1"/>
  <c r="AA12" i="32"/>
  <c r="AC11" i="32"/>
  <c r="AE17" i="32" s="1"/>
  <c r="AB11" i="32"/>
  <c r="AD14" i="32" s="1"/>
  <c r="AA11" i="32"/>
  <c r="AC10" i="32"/>
  <c r="AE16" i="32" s="1"/>
  <c r="AB10" i="32"/>
  <c r="AA10" i="32"/>
  <c r="AC9" i="32"/>
  <c r="AE15" i="32" s="1"/>
  <c r="AB9" i="32"/>
  <c r="AA9" i="32"/>
  <c r="V9" i="32"/>
  <c r="W9" i="32"/>
  <c r="X9" i="32"/>
  <c r="Z15" i="32" s="1"/>
  <c r="V10" i="32"/>
  <c r="W10" i="32"/>
  <c r="X10" i="32"/>
  <c r="Z16" i="32" s="1"/>
  <c r="V11" i="32"/>
  <c r="W11" i="32"/>
  <c r="Y14" i="32" s="1"/>
  <c r="X11" i="32"/>
  <c r="Z17" i="32" s="1"/>
  <c r="V12" i="32"/>
  <c r="Y12" i="32" s="1"/>
  <c r="W12" i="32"/>
  <c r="Y15" i="32" s="1"/>
  <c r="X12" i="32"/>
  <c r="Z18" i="32" s="1"/>
  <c r="V13" i="32"/>
  <c r="Y13" i="32" s="1"/>
  <c r="W13" i="32"/>
  <c r="Y16" i="32" s="1"/>
  <c r="X13" i="32"/>
  <c r="Z19" i="32" s="1"/>
  <c r="X8" i="32"/>
  <c r="Z14" i="32" s="1"/>
  <c r="W8" i="32"/>
  <c r="V8" i="32"/>
  <c r="V5" i="32"/>
  <c r="W5" i="32" s="1"/>
  <c r="X5" i="32" s="1"/>
  <c r="Y5" i="32" s="1"/>
  <c r="Z5" i="32" s="1"/>
  <c r="Q9" i="32"/>
  <c r="Q10" i="32"/>
  <c r="Q11" i="32"/>
  <c r="Q12" i="32"/>
  <c r="Q13" i="32"/>
  <c r="Q8" i="32"/>
  <c r="R9" i="32"/>
  <c r="S9" i="32"/>
  <c r="U15" i="32" s="1"/>
  <c r="R10" i="32"/>
  <c r="S10" i="32"/>
  <c r="U16" i="32" s="1"/>
  <c r="R11" i="32"/>
  <c r="T14" i="32" s="1"/>
  <c r="S11" i="32"/>
  <c r="U17" i="32" s="1"/>
  <c r="R12" i="32"/>
  <c r="T15" i="32" s="1"/>
  <c r="S12" i="32"/>
  <c r="U18" i="32" s="1"/>
  <c r="R13" i="32"/>
  <c r="T16" i="32" s="1"/>
  <c r="S13" i="32"/>
  <c r="U19" i="32" s="1"/>
  <c r="S8" i="32"/>
  <c r="U14" i="32" s="1"/>
  <c r="R8" i="32"/>
  <c r="Q5" i="32"/>
  <c r="R5" i="32" s="1"/>
  <c r="S5" i="32" s="1"/>
  <c r="T5" i="32" s="1"/>
  <c r="U5" i="32" s="1"/>
  <c r="L9" i="32"/>
  <c r="M9" i="32"/>
  <c r="N9" i="32"/>
  <c r="P15" i="32" s="1"/>
  <c r="L10" i="32"/>
  <c r="M10" i="32"/>
  <c r="N10" i="32"/>
  <c r="P16" i="32" s="1"/>
  <c r="L11" i="32"/>
  <c r="M11" i="32"/>
  <c r="O14" i="32" s="1"/>
  <c r="N11" i="32"/>
  <c r="P17" i="32" s="1"/>
  <c r="L12" i="32"/>
  <c r="O12" i="32" s="1"/>
  <c r="M12" i="32"/>
  <c r="O15" i="32" s="1"/>
  <c r="N12" i="32"/>
  <c r="P18" i="32" s="1"/>
  <c r="L13" i="32"/>
  <c r="O13" i="32" s="1"/>
  <c r="M13" i="32"/>
  <c r="O16" i="32" s="1"/>
  <c r="N13" i="32"/>
  <c r="P19" i="32" s="1"/>
  <c r="N8" i="32"/>
  <c r="P14" i="32" s="1"/>
  <c r="M8" i="32"/>
  <c r="L8" i="32"/>
  <c r="N5" i="32"/>
  <c r="O5" i="32" s="1"/>
  <c r="P5" i="32" s="1"/>
  <c r="M5" i="32"/>
  <c r="L5" i="32"/>
  <c r="G9" i="32"/>
  <c r="H9" i="32"/>
  <c r="I9" i="32"/>
  <c r="K15" i="32" s="1"/>
  <c r="G10" i="32"/>
  <c r="H10" i="32"/>
  <c r="I10" i="32"/>
  <c r="K16" i="32" s="1"/>
  <c r="G11" i="32"/>
  <c r="H11" i="32"/>
  <c r="J14" i="32" s="1"/>
  <c r="I11" i="32"/>
  <c r="K17" i="32" s="1"/>
  <c r="G12" i="32"/>
  <c r="J12" i="32" s="1"/>
  <c r="H12" i="32"/>
  <c r="J15" i="32" s="1"/>
  <c r="I12" i="32"/>
  <c r="K18" i="32" s="1"/>
  <c r="G13" i="32"/>
  <c r="J13" i="32" s="1"/>
  <c r="H13" i="32"/>
  <c r="J16" i="32" s="1"/>
  <c r="I13" i="32"/>
  <c r="K19" i="32" s="1"/>
  <c r="I8" i="32"/>
  <c r="K14" i="32" s="1"/>
  <c r="H8" i="32"/>
  <c r="G8" i="32"/>
  <c r="I5" i="32"/>
  <c r="J5" i="32" s="1"/>
  <c r="K5" i="32" s="1"/>
  <c r="H5" i="32"/>
  <c r="G5" i="32"/>
  <c r="I7" i="32"/>
  <c r="N7" i="32" s="1"/>
  <c r="H7" i="32"/>
  <c r="M7" i="32" s="1"/>
  <c r="G7" i="32"/>
  <c r="Q7" i="32" s="1"/>
  <c r="V7" i="32" s="1"/>
  <c r="AA7" i="32" s="1"/>
  <c r="AF7" i="32" s="1"/>
  <c r="AK7" i="32" s="1"/>
  <c r="AP7" i="32" s="1"/>
  <c r="AU7" i="32" s="1"/>
  <c r="A9" i="32"/>
  <c r="A210" i="32" s="1"/>
  <c r="A10" i="32"/>
  <c r="A211" i="32" s="1"/>
  <c r="A11" i="32"/>
  <c r="A212" i="32" s="1"/>
  <c r="A12" i="32"/>
  <c r="A213" i="32" s="1"/>
  <c r="A13" i="32"/>
  <c r="A214" i="32" s="1"/>
  <c r="A8" i="32"/>
  <c r="A209" i="32" s="1"/>
  <c r="M199" i="7"/>
  <c r="T62" i="32" l="1"/>
  <c r="J11" i="32"/>
  <c r="O160" i="32"/>
  <c r="O62" i="32"/>
  <c r="Y162" i="32"/>
  <c r="T111" i="32"/>
  <c r="Y112" i="32"/>
  <c r="AD160" i="32"/>
  <c r="T110" i="32"/>
  <c r="Y111" i="32"/>
  <c r="T12" i="32"/>
  <c r="AI12" i="32"/>
  <c r="J110" i="32"/>
  <c r="AI13" i="32"/>
  <c r="S106" i="32"/>
  <c r="X106" i="32" s="1"/>
  <c r="O60" i="32"/>
  <c r="AN11" i="32"/>
  <c r="R106" i="32"/>
  <c r="W106" i="32" s="1"/>
  <c r="AX11" i="32"/>
  <c r="L156" i="32"/>
  <c r="AD62" i="32"/>
  <c r="AD11" i="32"/>
  <c r="J60" i="32"/>
  <c r="Y110" i="32"/>
  <c r="J62" i="32"/>
  <c r="L56" i="32"/>
  <c r="O11" i="32"/>
  <c r="AD13" i="32"/>
  <c r="Y160" i="32"/>
  <c r="J160" i="32"/>
  <c r="N156" i="32"/>
  <c r="R156" i="32"/>
  <c r="W156" i="32" s="1"/>
  <c r="AB156" i="32" s="1"/>
  <c r="O111" i="32"/>
  <c r="T11" i="32"/>
  <c r="Y11" i="32"/>
  <c r="T60" i="32"/>
  <c r="O110" i="32"/>
  <c r="Q106" i="32"/>
  <c r="V106" i="32" s="1"/>
  <c r="S7" i="32"/>
  <c r="X7" i="32" s="1"/>
  <c r="AC7" i="32" s="1"/>
  <c r="AH7" i="32" s="1"/>
  <c r="AM7" i="32" s="1"/>
  <c r="AR7" i="32" s="1"/>
  <c r="AW7" i="32" s="1"/>
  <c r="AD12" i="32"/>
  <c r="R7" i="32"/>
  <c r="W7" i="32" s="1"/>
  <c r="AB7" i="32" s="1"/>
  <c r="AG7" i="32" s="1"/>
  <c r="AL7" i="32" s="1"/>
  <c r="AQ7" i="32" s="1"/>
  <c r="AV7" i="32" s="1"/>
  <c r="T13" i="32"/>
  <c r="L7" i="32"/>
  <c r="AI11" i="32"/>
  <c r="R56" i="32"/>
  <c r="W56" i="32" s="1"/>
  <c r="AB56" i="32" s="1"/>
  <c r="AG56" i="32" s="1"/>
  <c r="AI60" i="32"/>
  <c r="AD60" i="32"/>
  <c r="Y60" i="32"/>
  <c r="N56" i="32"/>
  <c r="AS11" i="32"/>
  <c r="D131" i="13"/>
  <c r="CK160" i="35" s="1"/>
  <c r="D130" i="13"/>
  <c r="CK159" i="35" l="1"/>
  <c r="CA141" i="13"/>
  <c r="BQ131" i="13"/>
  <c r="BW131" i="13"/>
  <c r="BJ131" i="13"/>
  <c r="BT131" i="13" s="1"/>
  <c r="BK131" i="13"/>
  <c r="BL131" i="13"/>
  <c r="BM131" i="13"/>
  <c r="AX131" i="13"/>
  <c r="CY131" i="13" s="1"/>
  <c r="E160" i="35" s="1"/>
  <c r="BA131" i="13"/>
  <c r="AL160" i="35" s="1"/>
  <c r="BB131" i="13"/>
  <c r="BO131" i="13"/>
  <c r="AS131" i="13"/>
  <c r="AV131" i="13"/>
  <c r="T160" i="35" s="1"/>
  <c r="AN160" i="35" s="1"/>
  <c r="AW131" i="13"/>
  <c r="W160" i="35" s="1"/>
  <c r="CC131" i="13"/>
  <c r="BG131" i="13"/>
  <c r="BN131" i="13"/>
  <c r="AF160" i="35" s="1"/>
  <c r="AO131" i="13"/>
  <c r="AP131" i="13"/>
  <c r="AU160" i="35" s="1"/>
  <c r="BF131" i="13"/>
  <c r="CH131" i="13"/>
  <c r="CT131" i="13" l="1"/>
  <c r="AI160" i="35"/>
  <c r="CV132" i="13"/>
  <c r="CU132" i="13"/>
  <c r="AE137" i="9"/>
  <c r="AI137" i="9"/>
  <c r="AS137" i="9"/>
  <c r="AW137" i="9"/>
  <c r="AD137" i="9"/>
  <c r="AJ137" i="9"/>
  <c r="AC137" i="9"/>
  <c r="AB137" i="9" s="1"/>
  <c r="AQ137" i="9"/>
  <c r="AK137" i="9"/>
  <c r="AR137" i="9"/>
  <c r="AV137" i="9"/>
  <c r="AL137" i="9"/>
  <c r="AH137" i="9"/>
  <c r="AP137" i="9"/>
  <c r="AU137" i="9"/>
  <c r="AO137" i="9"/>
  <c r="F131" i="13"/>
  <c r="F130" i="13"/>
  <c r="CH159" i="35" l="1"/>
  <c r="BZ141" i="13"/>
  <c r="H131" i="13"/>
  <c r="CH160" i="35"/>
  <c r="AF137" i="9"/>
  <c r="H130" i="13"/>
  <c r="CB141" i="13" s="1"/>
  <c r="AM137" i="9"/>
  <c r="AQ131" i="13" l="1"/>
  <c r="AR131" i="13"/>
  <c r="R131" i="13" l="1"/>
  <c r="T131" i="13"/>
  <c r="V131" i="13"/>
  <c r="X131" i="13"/>
  <c r="Z131" i="13"/>
  <c r="AB131" i="13"/>
  <c r="K131" i="13"/>
  <c r="O131" i="13"/>
  <c r="BI131" i="13" s="1"/>
  <c r="M131" i="13"/>
  <c r="BH131" i="13" s="1"/>
  <c r="M55" i="29"/>
  <c r="M51" i="29"/>
  <c r="M69" i="29"/>
  <c r="M67" i="29"/>
  <c r="M65" i="29"/>
  <c r="M93" i="29"/>
  <c r="M91" i="29"/>
  <c r="M89" i="29"/>
  <c r="M87" i="29"/>
  <c r="M85" i="29"/>
  <c r="M83" i="29"/>
  <c r="M81" i="29"/>
  <c r="M79" i="29"/>
  <c r="M121" i="29"/>
  <c r="M119" i="29"/>
  <c r="M117" i="29"/>
  <c r="M115" i="29"/>
  <c r="M113" i="29"/>
  <c r="M111" i="29"/>
  <c r="M109" i="29"/>
  <c r="M107" i="29"/>
  <c r="M105" i="29"/>
  <c r="M103" i="29"/>
  <c r="M101" i="29"/>
  <c r="M77" i="29"/>
  <c r="M63" i="29"/>
  <c r="M49" i="29"/>
  <c r="M41" i="29"/>
  <c r="M39" i="29"/>
  <c r="M37" i="29"/>
  <c r="M35" i="29"/>
  <c r="Y57" i="4"/>
  <c r="AG57" i="1"/>
  <c r="U57" i="1"/>
  <c r="I57" i="1"/>
  <c r="AY160" i="35" l="1"/>
  <c r="DD131" i="13"/>
  <c r="BD160" i="35" s="1"/>
  <c r="DE131" i="13"/>
  <c r="BG160" i="35" s="1"/>
  <c r="DC131" i="13"/>
  <c r="Q160" i="35" s="1"/>
  <c r="CK131" i="13"/>
  <c r="AZ131" i="13"/>
  <c r="AU131" i="13"/>
  <c r="AY131" i="13"/>
  <c r="AT131" i="13"/>
  <c r="K160" i="35" s="1"/>
  <c r="BE131" i="13"/>
  <c r="BD131" i="13"/>
  <c r="AR160" i="35" s="1"/>
  <c r="BC131" i="13"/>
  <c r="AO160" i="35" s="1"/>
  <c r="AV57" i="5"/>
  <c r="AP57" i="5"/>
  <c r="AA57" i="5"/>
  <c r="O57" i="4"/>
  <c r="E57" i="4"/>
  <c r="M198" i="7" l="1"/>
  <c r="M197" i="7" l="1"/>
  <c r="B35" i="7" l="1"/>
  <c r="B56" i="7" s="1"/>
  <c r="M196" i="7" l="1"/>
  <c r="BQ130" i="13"/>
  <c r="BW130" i="13"/>
  <c r="BJ130" i="13"/>
  <c r="BT130" i="13" s="1"/>
  <c r="BK130" i="13"/>
  <c r="BL130" i="13"/>
  <c r="BM130" i="13"/>
  <c r="AQ130" i="13"/>
  <c r="AV130" i="13"/>
  <c r="T159" i="35" s="1"/>
  <c r="AN159" i="35" s="1"/>
  <c r="BA130" i="13"/>
  <c r="BS141" i="13" s="1"/>
  <c r="BF130" i="13"/>
  <c r="BN130" i="13"/>
  <c r="AF159" i="35" s="1"/>
  <c r="AR130" i="13"/>
  <c r="AW130" i="13"/>
  <c r="W159" i="35" s="1"/>
  <c r="BB130" i="13"/>
  <c r="CH130" i="13"/>
  <c r="AE136" i="9"/>
  <c r="AI136" i="9"/>
  <c r="AS136" i="9"/>
  <c r="AW136" i="9"/>
  <c r="AD136" i="9"/>
  <c r="AJ136" i="9"/>
  <c r="AC136" i="9"/>
  <c r="AM136" i="9" s="1"/>
  <c r="AQ136" i="9"/>
  <c r="AK136" i="9"/>
  <c r="AR136" i="9"/>
  <c r="AV136" i="9"/>
  <c r="AL136" i="9"/>
  <c r="AH136" i="9"/>
  <c r="AP136" i="9"/>
  <c r="AU136" i="9"/>
  <c r="AO136" i="9"/>
  <c r="M195" i="7"/>
  <c r="CU131" i="13" l="1"/>
  <c r="AL159" i="35"/>
  <c r="CV131" i="13"/>
  <c r="AF136" i="9"/>
  <c r="AB136" i="9"/>
  <c r="M194" i="7"/>
  <c r="AB130" i="13" l="1"/>
  <c r="Z130" i="13"/>
  <c r="X130" i="13"/>
  <c r="V130" i="13"/>
  <c r="T130" i="13"/>
  <c r="R130" i="13"/>
  <c r="J130" i="13"/>
  <c r="BG130" i="13"/>
  <c r="BP141" i="13" s="1"/>
  <c r="BO130" i="13"/>
  <c r="BU141" i="13" s="1"/>
  <c r="AO130" i="13"/>
  <c r="AP130" i="13"/>
  <c r="AS130" i="13"/>
  <c r="AX130" i="13"/>
  <c r="CY130" i="13" s="1"/>
  <c r="E159" i="35" s="1"/>
  <c r="CC130" i="13"/>
  <c r="AU159" i="35" l="1"/>
  <c r="CR141" i="13"/>
  <c r="CQ141" i="13"/>
  <c r="BV141" i="13"/>
  <c r="CT130" i="13"/>
  <c r="AI159" i="35"/>
  <c r="AU130" i="13"/>
  <c r="AZ130" i="13"/>
  <c r="O130" i="13"/>
  <c r="K130" i="13"/>
  <c r="L141" i="13" s="1"/>
  <c r="M130" i="13"/>
  <c r="M193" i="7"/>
  <c r="F10" i="7"/>
  <c r="BH130" i="13" l="1"/>
  <c r="BY141" i="13" s="1"/>
  <c r="N141" i="13"/>
  <c r="BI130" i="13"/>
  <c r="BX141" i="13" s="1"/>
  <c r="P141" i="13"/>
  <c r="AY159" i="35"/>
  <c r="DD130" i="13"/>
  <c r="BD159" i="35" s="1"/>
  <c r="DE130" i="13"/>
  <c r="BG159" i="35" s="1"/>
  <c r="DC130" i="13"/>
  <c r="Q159" i="35" s="1"/>
  <c r="CK130" i="13"/>
  <c r="F35" i="7"/>
  <c r="BD130" i="13"/>
  <c r="AR159" i="35" s="1"/>
  <c r="BC130" i="13"/>
  <c r="AO159" i="35" s="1"/>
  <c r="AT130" i="13"/>
  <c r="K159" i="35" s="1"/>
  <c r="AY130" i="13"/>
  <c r="BE130" i="13"/>
  <c r="BR141" i="13" s="1"/>
  <c r="AO56" i="6"/>
  <c r="AU56" i="6"/>
  <c r="BA56" i="6"/>
  <c r="AA56" i="6"/>
  <c r="AV56" i="5"/>
  <c r="AP56" i="5"/>
  <c r="AA56" i="5"/>
  <c r="Y56" i="4"/>
  <c r="O56" i="4"/>
  <c r="E56" i="4"/>
  <c r="I56" i="1"/>
  <c r="AG56" i="1"/>
  <c r="U56" i="1"/>
  <c r="BQ129" i="13"/>
  <c r="BW129" i="13"/>
  <c r="BJ129" i="13"/>
  <c r="BT129" i="13" s="1"/>
  <c r="BK129" i="13"/>
  <c r="BL129" i="13"/>
  <c r="BM129" i="13"/>
  <c r="BG129" i="13"/>
  <c r="BP140" i="13" s="1"/>
  <c r="BN129" i="13"/>
  <c r="AF158" i="35" s="1"/>
  <c r="BO129" i="13"/>
  <c r="BU140" i="13" s="1"/>
  <c r="AO129" i="13"/>
  <c r="AP129" i="13"/>
  <c r="AQ129" i="13"/>
  <c r="AR129" i="13"/>
  <c r="AS129" i="13"/>
  <c r="AX129" i="13"/>
  <c r="CY129" i="13" s="1"/>
  <c r="E158" i="35" s="1"/>
  <c r="BA129" i="13"/>
  <c r="BS140" i="13" s="1"/>
  <c r="BB129" i="13"/>
  <c r="AV129" i="13"/>
  <c r="T158" i="35" s="1"/>
  <c r="AN158" i="35" s="1"/>
  <c r="AW129" i="13"/>
  <c r="W158" i="35" s="1"/>
  <c r="CC129" i="13"/>
  <c r="J129" i="13"/>
  <c r="BF129" i="13"/>
  <c r="CH129" i="13"/>
  <c r="M192" i="7"/>
  <c r="BV140" i="13" l="1"/>
  <c r="CQ140" i="13"/>
  <c r="AU158" i="35"/>
  <c r="CR140" i="13"/>
  <c r="CV130" i="13"/>
  <c r="CU130" i="13"/>
  <c r="AL158" i="35"/>
  <c r="CT129" i="13"/>
  <c r="AI158" i="35"/>
  <c r="BJ41" i="24"/>
  <c r="BJ42" i="24"/>
  <c r="BJ43" i="24"/>
  <c r="BJ44" i="24"/>
  <c r="BJ45" i="24"/>
  <c r="BJ46" i="24"/>
  <c r="BK46" i="24" s="1"/>
  <c r="BJ47" i="24"/>
  <c r="BJ48" i="24"/>
  <c r="BJ49" i="24"/>
  <c r="BK41" i="24"/>
  <c r="BK42" i="24"/>
  <c r="BK43" i="24"/>
  <c r="BK44" i="24"/>
  <c r="BK45" i="24"/>
  <c r="BK47" i="24"/>
  <c r="BK48" i="24"/>
  <c r="BK49" i="24"/>
  <c r="BK40" i="24"/>
  <c r="BG41" i="24"/>
  <c r="BG42" i="24"/>
  <c r="BG43" i="24"/>
  <c r="BG44" i="24"/>
  <c r="BG45" i="24"/>
  <c r="BG46" i="24"/>
  <c r="BG47" i="24"/>
  <c r="BG48" i="24"/>
  <c r="BG49" i="24"/>
  <c r="BG40" i="24"/>
  <c r="BJ40" i="24"/>
  <c r="BJ14" i="24"/>
  <c r="BK14" i="24"/>
  <c r="BL14" i="24" s="1"/>
  <c r="BF41" i="24"/>
  <c r="BF42" i="24"/>
  <c r="BF43" i="24"/>
  <c r="BF44" i="24"/>
  <c r="BF45" i="24"/>
  <c r="BF46" i="24"/>
  <c r="BF47" i="24"/>
  <c r="BF48" i="24"/>
  <c r="BF49" i="24"/>
  <c r="BF40" i="24"/>
  <c r="BE39" i="24"/>
  <c r="BI16" i="24"/>
  <c r="BI17" i="24"/>
  <c r="BI18" i="24"/>
  <c r="BI19" i="24"/>
  <c r="BI20" i="24"/>
  <c r="BI21" i="24"/>
  <c r="BI22" i="24"/>
  <c r="BI23" i="24"/>
  <c r="BI24" i="24"/>
  <c r="BI15" i="24"/>
  <c r="BK16" i="24"/>
  <c r="BK17" i="24"/>
  <c r="BK18" i="24"/>
  <c r="BK19" i="24"/>
  <c r="BK20" i="24"/>
  <c r="BK21" i="24"/>
  <c r="BK22" i="24"/>
  <c r="BK23" i="24"/>
  <c r="BK24" i="24"/>
  <c r="BK15" i="24"/>
  <c r="BL9" i="24"/>
  <c r="BL10" i="24"/>
  <c r="BL11" i="24"/>
  <c r="BL12" i="24"/>
  <c r="BL13" i="24"/>
  <c r="BL8" i="24"/>
  <c r="BK9" i="24"/>
  <c r="BK10" i="24"/>
  <c r="BK11" i="24"/>
  <c r="BK12" i="24"/>
  <c r="BK13" i="24"/>
  <c r="BK8" i="24"/>
  <c r="BJ9" i="24"/>
  <c r="BJ10" i="24"/>
  <c r="BJ11" i="24"/>
  <c r="BJ12" i="24"/>
  <c r="BJ13" i="24"/>
  <c r="BJ8" i="24"/>
  <c r="BD39" i="24"/>
  <c r="BB39" i="24"/>
  <c r="BC39" i="24" s="1"/>
  <c r="AA180" i="26"/>
  <c r="AP15" i="24"/>
  <c r="BD14" i="24" l="1"/>
  <c r="BF14" i="24" s="1"/>
  <c r="M191" i="7"/>
  <c r="E52" i="7" l="1"/>
  <c r="J113" i="13" l="1"/>
  <c r="CM33" i="13"/>
  <c r="AW7" i="24" s="1"/>
  <c r="CN33" i="13"/>
  <c r="AR7" i="24" s="1"/>
  <c r="CO33" i="13"/>
  <c r="CP33" i="13"/>
  <c r="CM45" i="13"/>
  <c r="AW8" i="24" s="1"/>
  <c r="CN45" i="13"/>
  <c r="AR8" i="24" s="1"/>
  <c r="CO45" i="13"/>
  <c r="CP45" i="13"/>
  <c r="CM57" i="13"/>
  <c r="AW9" i="24" s="1"/>
  <c r="CN57" i="13"/>
  <c r="AR9" i="24" s="1"/>
  <c r="CO57" i="13"/>
  <c r="CP57" i="13"/>
  <c r="CM69" i="13"/>
  <c r="AW10" i="24" s="1"/>
  <c r="CN69" i="13"/>
  <c r="AR10" i="24" s="1"/>
  <c r="CO69" i="13"/>
  <c r="CP69" i="13"/>
  <c r="CM81" i="13"/>
  <c r="AW11" i="24" s="1"/>
  <c r="CN81" i="13"/>
  <c r="AR11" i="24" s="1"/>
  <c r="CO81" i="13"/>
  <c r="CP81" i="13"/>
  <c r="CM93" i="13"/>
  <c r="AW12" i="24" s="1"/>
  <c r="CN93" i="13"/>
  <c r="AR12" i="24" s="1"/>
  <c r="CO93" i="13"/>
  <c r="CP93" i="13"/>
  <c r="CM105" i="13"/>
  <c r="AW13" i="24" s="1"/>
  <c r="CN105" i="13"/>
  <c r="AR13" i="24" s="1"/>
  <c r="CO105" i="13"/>
  <c r="CP105" i="13"/>
  <c r="CM117" i="13"/>
  <c r="AW14" i="24" s="1"/>
  <c r="CN117" i="13"/>
  <c r="AR14" i="24" s="1"/>
  <c r="CO117" i="13"/>
  <c r="CP117" i="13"/>
  <c r="CN129" i="13"/>
  <c r="CO129" i="13"/>
  <c r="CP129" i="13"/>
  <c r="CP21" i="13"/>
  <c r="CO21" i="13"/>
  <c r="CN21" i="13"/>
  <c r="AR6" i="24" s="1"/>
  <c r="CM21" i="13"/>
  <c r="AW6" i="24" s="1"/>
  <c r="AV14" i="24"/>
  <c r="AQ14" i="24"/>
  <c r="E13" i="12"/>
  <c r="E12" i="12"/>
  <c r="E11" i="12"/>
  <c r="E10" i="12"/>
  <c r="E9" i="12"/>
  <c r="E8" i="12"/>
  <c r="E7" i="12"/>
  <c r="E6" i="12"/>
  <c r="C13" i="12"/>
  <c r="C12" i="12"/>
  <c r="C11" i="12"/>
  <c r="C10" i="12"/>
  <c r="C9" i="12"/>
  <c r="C8" i="12"/>
  <c r="C7" i="12"/>
  <c r="C6" i="12"/>
  <c r="BQ128" i="13"/>
  <c r="BW128" i="13"/>
  <c r="BJ128" i="13"/>
  <c r="BT128" i="13" s="1"/>
  <c r="BK128" i="13"/>
  <c r="BL128" i="13"/>
  <c r="BM128" i="13"/>
  <c r="BG128" i="13" l="1"/>
  <c r="BP139" i="13" s="1"/>
  <c r="BN128" i="13"/>
  <c r="AF157" i="35" s="1"/>
  <c r="BO128" i="13"/>
  <c r="AI157" i="35" s="1"/>
  <c r="AO128" i="13"/>
  <c r="AP128" i="13"/>
  <c r="AQ128" i="13"/>
  <c r="AR128" i="13"/>
  <c r="AS128" i="13"/>
  <c r="AX128" i="13"/>
  <c r="CY128" i="13" s="1"/>
  <c r="E157" i="35" s="1"/>
  <c r="BA128" i="13"/>
  <c r="AL157" i="35" s="1"/>
  <c r="BB128" i="13"/>
  <c r="AV128" i="13"/>
  <c r="T157" i="35" s="1"/>
  <c r="AN157" i="35" s="1"/>
  <c r="AW128" i="13"/>
  <c r="W157" i="35" s="1"/>
  <c r="CC128" i="13"/>
  <c r="J128" i="13"/>
  <c r="BF128" i="13"/>
  <c r="CH128" i="13"/>
  <c r="CR139" i="13" l="1"/>
  <c r="AU157" i="35"/>
  <c r="CV129" i="13"/>
  <c r="CQ139" i="13"/>
  <c r="BV139" i="13"/>
  <c r="BU139" i="13"/>
  <c r="CT128" i="13"/>
  <c r="BS139" i="13"/>
  <c r="CU129" i="13"/>
  <c r="M190" i="7"/>
  <c r="CJ125" i="13" l="1"/>
  <c r="CJ126" i="13"/>
  <c r="CJ127" i="13"/>
  <c r="CJ128" i="13"/>
  <c r="CJ129" i="13"/>
  <c r="F129" i="13"/>
  <c r="BZ140" i="13" s="1"/>
  <c r="D129" i="13"/>
  <c r="CK158" i="35" l="1"/>
  <c r="CA140" i="13"/>
  <c r="H129" i="13"/>
  <c r="CB140" i="13" s="1"/>
  <c r="CH158" i="35"/>
  <c r="R129" i="13"/>
  <c r="T129" i="13"/>
  <c r="V129" i="13"/>
  <c r="X129" i="13"/>
  <c r="Z129" i="13"/>
  <c r="AB129" i="13"/>
  <c r="AE135" i="9"/>
  <c r="AI135" i="9"/>
  <c r="AQ135" i="9"/>
  <c r="AS135" i="9"/>
  <c r="AW135" i="9"/>
  <c r="AD135" i="9"/>
  <c r="AM135" i="9" s="1"/>
  <c r="AJ135" i="9"/>
  <c r="AK135" i="9"/>
  <c r="AC135" i="9"/>
  <c r="AR135" i="9"/>
  <c r="AV135" i="9"/>
  <c r="AL135" i="9"/>
  <c r="AH135" i="9"/>
  <c r="AP135" i="9"/>
  <c r="AU135" i="9"/>
  <c r="AO135" i="9"/>
  <c r="AB135" i="9" l="1"/>
  <c r="AZ129" i="13"/>
  <c r="AU129" i="13"/>
  <c r="AF135" i="9"/>
  <c r="BA55" i="6" l="1"/>
  <c r="AU55" i="6"/>
  <c r="AO55" i="6"/>
  <c r="AA55" i="6"/>
  <c r="AV55" i="5"/>
  <c r="AP55" i="5"/>
  <c r="AA55" i="5"/>
  <c r="Y55" i="4"/>
  <c r="O55" i="4"/>
  <c r="E55" i="4"/>
  <c r="AG55" i="1"/>
  <c r="EN55" i="1"/>
  <c r="EO55" i="1" s="1"/>
  <c r="FA55" i="1"/>
  <c r="FB55" i="1" s="1"/>
  <c r="GG55" i="1"/>
  <c r="GY55" i="1"/>
  <c r="U55" i="1"/>
  <c r="EU55" i="1"/>
  <c r="EV55" i="1" s="1"/>
  <c r="GS55" i="1"/>
  <c r="GM55" i="1"/>
  <c r="GA55" i="1"/>
  <c r="FU55" i="1"/>
  <c r="FO55" i="1"/>
  <c r="FI55" i="1"/>
  <c r="I55" i="1"/>
  <c r="FF55" i="1" s="1"/>
  <c r="ET55" i="1"/>
  <c r="M189" i="7" l="1"/>
  <c r="K129" i="13" l="1"/>
  <c r="L140" i="13" s="1"/>
  <c r="O129" i="13"/>
  <c r="M129" i="13"/>
  <c r="M188" i="7"/>
  <c r="BH129" i="13" l="1"/>
  <c r="BY140" i="13" s="1"/>
  <c r="N140" i="13"/>
  <c r="BI129" i="13"/>
  <c r="BX140" i="13" s="1"/>
  <c r="P140" i="13"/>
  <c r="DC129" i="13"/>
  <c r="Q158" i="35" s="1"/>
  <c r="AY158" i="35"/>
  <c r="DD129" i="13"/>
  <c r="BD158" i="35" s="1"/>
  <c r="DE129" i="13"/>
  <c r="BG158" i="35" s="1"/>
  <c r="AY129" i="13"/>
  <c r="AT129" i="13"/>
  <c r="K158" i="35" s="1"/>
  <c r="BE129" i="13"/>
  <c r="BR140" i="13" s="1"/>
  <c r="CK129" i="13"/>
  <c r="BD129" i="13"/>
  <c r="AR158" i="35" s="1"/>
  <c r="BC129" i="13"/>
  <c r="AO158" i="35" s="1"/>
  <c r="M187" i="7"/>
  <c r="AG54" i="1"/>
  <c r="AE134" i="9" l="1"/>
  <c r="AI134" i="9"/>
  <c r="AS134" i="9"/>
  <c r="AW134" i="9"/>
  <c r="AD134" i="9"/>
  <c r="AJ134" i="9"/>
  <c r="AC134" i="9"/>
  <c r="AQ134" i="9"/>
  <c r="AK134" i="9"/>
  <c r="AR134" i="9"/>
  <c r="AV134" i="9"/>
  <c r="AL134" i="9"/>
  <c r="AH134" i="9"/>
  <c r="AP134" i="9"/>
  <c r="AU134" i="9"/>
  <c r="AO134" i="9"/>
  <c r="M186" i="7"/>
  <c r="AF134" i="9" l="1"/>
  <c r="AB134" i="9"/>
  <c r="AM134" i="9"/>
  <c r="F128" i="13"/>
  <c r="CH157" i="35" s="1"/>
  <c r="D128" i="13"/>
  <c r="CA139" i="13" l="1"/>
  <c r="CK157" i="35"/>
  <c r="H128" i="13"/>
  <c r="CB139" i="13" s="1"/>
  <c r="BZ139" i="13"/>
  <c r="R128" i="13"/>
  <c r="T128" i="13"/>
  <c r="V128" i="13"/>
  <c r="X128" i="13"/>
  <c r="Z128" i="13"/>
  <c r="AB128" i="13"/>
  <c r="O128" i="13"/>
  <c r="K128" i="13"/>
  <c r="M128" i="13"/>
  <c r="BA54" i="6"/>
  <c r="AU54" i="6"/>
  <c r="AO54" i="6"/>
  <c r="AA54" i="6"/>
  <c r="AV54" i="5"/>
  <c r="AP54" i="5"/>
  <c r="AA54" i="5"/>
  <c r="EN54" i="1"/>
  <c r="EO54" i="1" s="1"/>
  <c r="FA54" i="1"/>
  <c r="FB54" i="1" s="1"/>
  <c r="GG54" i="1"/>
  <c r="GY54" i="1"/>
  <c r="U54" i="1"/>
  <c r="EU54" i="1"/>
  <c r="EV54" i="1" s="1"/>
  <c r="GS54" i="1"/>
  <c r="GM54" i="1"/>
  <c r="GA54" i="1"/>
  <c r="FU54" i="1"/>
  <c r="FO54" i="1"/>
  <c r="FI54" i="1"/>
  <c r="I54" i="1"/>
  <c r="FF54" i="1" s="1"/>
  <c r="ET54" i="1"/>
  <c r="O54" i="4"/>
  <c r="M185" i="7"/>
  <c r="AY157" i="35" l="1"/>
  <c r="DD128" i="13"/>
  <c r="BD157" i="35" s="1"/>
  <c r="DE128" i="13"/>
  <c r="BG157" i="35" s="1"/>
  <c r="N139" i="13"/>
  <c r="BH128" i="13"/>
  <c r="BY139" i="13" s="1"/>
  <c r="DC128" i="13"/>
  <c r="Q157" i="35" s="1"/>
  <c r="L139" i="13"/>
  <c r="P139" i="13"/>
  <c r="BI128" i="13"/>
  <c r="BX139" i="13" s="1"/>
  <c r="AY128" i="13"/>
  <c r="AT128" i="13"/>
  <c r="K157" i="35" s="1"/>
  <c r="BE128" i="13"/>
  <c r="BR139" i="13" s="1"/>
  <c r="CK128" i="13"/>
  <c r="BC128" i="13"/>
  <c r="AO157" i="35" s="1"/>
  <c r="BD128" i="13"/>
  <c r="AR157" i="35" s="1"/>
  <c r="AU128" i="13"/>
  <c r="AZ128" i="13"/>
  <c r="Y54" i="4"/>
  <c r="E54" i="4"/>
  <c r="J5" i="12"/>
  <c r="I6" i="12"/>
  <c r="C80" i="22"/>
  <c r="R127" i="13"/>
  <c r="L65" i="22"/>
  <c r="L66" i="22"/>
  <c r="L67" i="22"/>
  <c r="L68" i="22"/>
  <c r="L69" i="22"/>
  <c r="L70" i="22"/>
  <c r="L71" i="22"/>
  <c r="L72" i="22"/>
  <c r="L73" i="22"/>
  <c r="L74" i="22"/>
  <c r="L75" i="22"/>
  <c r="L50" i="22"/>
  <c r="L51" i="22"/>
  <c r="L52" i="22"/>
  <c r="L53" i="22"/>
  <c r="L54" i="22"/>
  <c r="L55" i="22"/>
  <c r="L56" i="22"/>
  <c r="L57" i="22"/>
  <c r="L58" i="22"/>
  <c r="L59" i="22"/>
  <c r="L60" i="22"/>
  <c r="L64" i="22"/>
  <c r="L49" i="22"/>
  <c r="Z49" i="22" s="1"/>
  <c r="L35" i="22"/>
  <c r="L36" i="22"/>
  <c r="L37" i="22"/>
  <c r="L38" i="22"/>
  <c r="L39" i="22"/>
  <c r="L40" i="22"/>
  <c r="L41" i="22"/>
  <c r="L42" i="22"/>
  <c r="L43" i="22"/>
  <c r="L44" i="22"/>
  <c r="L45" i="22"/>
  <c r="L34" i="22"/>
  <c r="L20" i="22"/>
  <c r="L21" i="22"/>
  <c r="L22" i="22"/>
  <c r="L23" i="22"/>
  <c r="L24" i="22"/>
  <c r="L25" i="22"/>
  <c r="L26" i="22"/>
  <c r="L27" i="22"/>
  <c r="L28" i="22"/>
  <c r="L29" i="22"/>
  <c r="L30" i="22"/>
  <c r="L19" i="22"/>
  <c r="Z20" i="22" s="1"/>
  <c r="L6" i="22"/>
  <c r="L7" i="22"/>
  <c r="L8" i="22"/>
  <c r="L9" i="22"/>
  <c r="L10" i="22"/>
  <c r="L11" i="22"/>
  <c r="L12" i="22"/>
  <c r="L13" i="22"/>
  <c r="L14" i="22"/>
  <c r="L15" i="22"/>
  <c r="M184" i="7"/>
  <c r="Z21" i="22" l="1"/>
  <c r="Z45" i="22"/>
  <c r="Z71" i="22"/>
  <c r="Z27" i="22"/>
  <c r="Z19" i="22"/>
  <c r="Z38" i="22"/>
  <c r="Z39" i="22"/>
  <c r="Z37" i="22"/>
  <c r="Z25" i="22"/>
  <c r="Z44" i="22"/>
  <c r="Z36" i="22"/>
  <c r="Z53" i="22"/>
  <c r="Z24" i="22"/>
  <c r="Z43" i="22"/>
  <c r="Z35" i="22"/>
  <c r="Z70" i="22"/>
  <c r="Z23" i="22"/>
  <c r="Z42" i="22"/>
  <c r="Z34" i="22"/>
  <c r="Z68" i="22"/>
  <c r="Z26" i="22"/>
  <c r="Z30" i="22"/>
  <c r="Z22" i="22"/>
  <c r="Z41" i="22"/>
  <c r="Z67" i="22"/>
  <c r="Z28" i="22"/>
  <c r="Z29" i="22"/>
  <c r="Z40" i="22"/>
  <c r="Z75" i="22"/>
  <c r="Z56" i="22"/>
  <c r="Z55" i="22"/>
  <c r="Z54" i="22"/>
  <c r="Z57" i="22"/>
  <c r="Z69" i="22"/>
  <c r="Z74" i="22"/>
  <c r="Z66" i="22"/>
  <c r="Z73" i="22"/>
  <c r="Z65" i="22"/>
  <c r="Z72" i="22"/>
  <c r="Z64" i="22"/>
  <c r="Z60" i="22"/>
  <c r="Z52" i="22"/>
  <c r="Z59" i="22"/>
  <c r="Z51" i="22"/>
  <c r="Z58" i="22"/>
  <c r="Z50" i="22"/>
  <c r="AE133" i="9"/>
  <c r="AB133" i="9" s="1"/>
  <c r="AI133" i="9"/>
  <c r="AS133" i="9"/>
  <c r="AW133" i="9"/>
  <c r="AD133" i="9"/>
  <c r="AF133" i="9" s="1"/>
  <c r="AJ133" i="9"/>
  <c r="AC133" i="9"/>
  <c r="AQ133" i="9"/>
  <c r="AK133" i="9"/>
  <c r="AR133" i="9"/>
  <c r="AV133" i="9"/>
  <c r="AL133" i="9"/>
  <c r="AH133" i="9"/>
  <c r="AP133" i="9"/>
  <c r="AU133" i="9"/>
  <c r="AO133" i="9"/>
  <c r="BW127" i="13"/>
  <c r="CC127" i="13"/>
  <c r="BO127" i="13"/>
  <c r="AI156" i="35" s="1"/>
  <c r="BQ127" i="13"/>
  <c r="BK127" i="13"/>
  <c r="BL127" i="13"/>
  <c r="BM127" i="13"/>
  <c r="AX127" i="13"/>
  <c r="CY127" i="13" s="1"/>
  <c r="E156" i="35" s="1"/>
  <c r="AS127" i="13"/>
  <c r="AQ127" i="13"/>
  <c r="AV127" i="13"/>
  <c r="T156" i="35" s="1"/>
  <c r="AN156" i="35" s="1"/>
  <c r="BA127" i="13"/>
  <c r="AL156" i="35" s="1"/>
  <c r="BF127" i="13"/>
  <c r="BN127" i="13"/>
  <c r="AF156" i="35" s="1"/>
  <c r="AR127" i="13"/>
  <c r="AW127" i="13"/>
  <c r="W156" i="35" s="1"/>
  <c r="BB127" i="13"/>
  <c r="CH127" i="13"/>
  <c r="CV128" i="13" l="1"/>
  <c r="BU138" i="13"/>
  <c r="CT127" i="13"/>
  <c r="BS138" i="13"/>
  <c r="CU128" i="13"/>
  <c r="D16" i="12"/>
  <c r="B16" i="12"/>
  <c r="F16" i="12"/>
  <c r="H16" i="12"/>
  <c r="AM133" i="9"/>
  <c r="J16" i="12" l="1"/>
  <c r="M183" i="7"/>
  <c r="L16" i="12" l="1"/>
  <c r="M16" i="12"/>
  <c r="I53" i="1"/>
  <c r="M182" i="7"/>
  <c r="AB127" i="13"/>
  <c r="Z127" i="13"/>
  <c r="X127" i="13"/>
  <c r="V127" i="13"/>
  <c r="T127" i="13"/>
  <c r="J127" i="13"/>
  <c r="K127" i="13"/>
  <c r="O127" i="13"/>
  <c r="M127" i="13"/>
  <c r="DD127" i="13" l="1"/>
  <c r="BD156" i="35" s="1"/>
  <c r="DE127" i="13"/>
  <c r="BG156" i="35" s="1"/>
  <c r="AY156" i="35"/>
  <c r="BH127" i="13"/>
  <c r="BY138" i="13" s="1"/>
  <c r="N138" i="13"/>
  <c r="BI127" i="13"/>
  <c r="BX138" i="13" s="1"/>
  <c r="P138" i="13"/>
  <c r="DC127" i="13"/>
  <c r="Q156" i="35" s="1"/>
  <c r="L138" i="13"/>
  <c r="BE127" i="13"/>
  <c r="BR138" i="13" s="1"/>
  <c r="CK127" i="13"/>
  <c r="L5" i="22"/>
  <c r="BD127" i="13"/>
  <c r="AR156" i="35" s="1"/>
  <c r="BC127" i="13"/>
  <c r="AO156" i="35" s="1"/>
  <c r="AU127" i="13"/>
  <c r="AZ127" i="13"/>
  <c r="AY127" i="13"/>
  <c r="AT127" i="13"/>
  <c r="K156" i="35" s="1"/>
  <c r="AO127" i="13"/>
  <c r="AP127" i="13"/>
  <c r="BG127" i="13"/>
  <c r="BP138" i="13" s="1"/>
  <c r="CR138" i="13" l="1"/>
  <c r="AU156" i="35"/>
  <c r="CQ138" i="13"/>
  <c r="BV138" i="13"/>
  <c r="F125" i="13"/>
  <c r="CH154" i="35" s="1"/>
  <c r="F126" i="13"/>
  <c r="CH155" i="35" s="1"/>
  <c r="F127" i="13"/>
  <c r="CH156" i="35" s="1"/>
  <c r="BZ137" i="13" l="1"/>
  <c r="BZ136" i="13"/>
  <c r="BZ138" i="13"/>
  <c r="D127" i="13"/>
  <c r="D126" i="13"/>
  <c r="D125" i="13"/>
  <c r="H125" i="13" s="1"/>
  <c r="CA138" i="13" l="1"/>
  <c r="CK156" i="35"/>
  <c r="CA137" i="13"/>
  <c r="CK155" i="35"/>
  <c r="CA136" i="13"/>
  <c r="CK154" i="35"/>
  <c r="H126" i="13"/>
  <c r="H127" i="13"/>
  <c r="CB138" i="13" s="1"/>
  <c r="BJ127" i="13"/>
  <c r="BT127" i="13" s="1"/>
  <c r="CB137" i="13" l="1"/>
  <c r="CB136" i="13"/>
  <c r="M181" i="7"/>
  <c r="M180" i="7"/>
  <c r="N180" i="7"/>
  <c r="N181" i="7" s="1"/>
  <c r="N182" i="7" s="1"/>
  <c r="N183" i="7" s="1"/>
  <c r="N184" i="7" s="1"/>
  <c r="N185" i="7" s="1"/>
  <c r="N186" i="7" s="1"/>
  <c r="N187" i="7" s="1"/>
  <c r="N188" i="7" s="1"/>
  <c r="N189" i="7" s="1"/>
  <c r="N190" i="7" s="1"/>
  <c r="N191" i="7" s="1"/>
  <c r="N192" i="7" s="1"/>
  <c r="N193" i="7" s="1"/>
  <c r="N194" i="7" s="1"/>
  <c r="N195" i="7" s="1"/>
  <c r="N196" i="7" s="1"/>
  <c r="N197" i="7" s="1"/>
  <c r="N198" i="7" s="1"/>
  <c r="N199" i="7" s="1"/>
  <c r="N200" i="7" s="1"/>
  <c r="N201" i="7" s="1"/>
  <c r="N202" i="7" s="1"/>
  <c r="N203" i="7" s="1"/>
  <c r="N204" i="7" s="1"/>
  <c r="N205" i="7" s="1"/>
  <c r="N206" i="7" s="1"/>
  <c r="N207" i="7" s="1"/>
  <c r="BA53" i="6"/>
  <c r="AU53" i="6"/>
  <c r="AO53" i="6"/>
  <c r="AA53" i="6"/>
  <c r="AV53" i="5"/>
  <c r="AP53" i="5"/>
  <c r="AA53" i="5"/>
  <c r="Y53" i="4"/>
  <c r="O53" i="4"/>
  <c r="E53" i="4"/>
  <c r="E52" i="4"/>
  <c r="AG53" i="1"/>
  <c r="FF53" i="1"/>
  <c r="EN53" i="1"/>
  <c r="EO53" i="1" s="1"/>
  <c r="FA53" i="1"/>
  <c r="FB53" i="1" s="1"/>
  <c r="GG53" i="1"/>
  <c r="GY53" i="1"/>
  <c r="U53" i="1"/>
  <c r="EU53" i="1"/>
  <c r="EV53" i="1" s="1"/>
  <c r="GS53" i="1"/>
  <c r="GM53" i="1"/>
  <c r="GA53" i="1"/>
  <c r="FU53" i="1"/>
  <c r="FO53" i="1"/>
  <c r="FI53" i="1"/>
  <c r="ET53" i="1"/>
  <c r="V100" i="29"/>
  <c r="W126" i="29"/>
  <c r="V150" i="29"/>
  <c r="AC149" i="29"/>
  <c r="AD149" i="29" s="1"/>
  <c r="AE149" i="29" s="1"/>
  <c r="Z149" i="29"/>
  <c r="AA149" i="29" s="1"/>
  <c r="AB149" i="29" s="1"/>
  <c r="W149" i="29"/>
  <c r="X149" i="29" s="1"/>
  <c r="Y149" i="29" s="1"/>
  <c r="N149" i="29"/>
  <c r="R149" i="29" s="1"/>
  <c r="AC147" i="29"/>
  <c r="AD147" i="29" s="1"/>
  <c r="Z147" i="29"/>
  <c r="AA147" i="29" s="1"/>
  <c r="W147" i="29"/>
  <c r="X147" i="29" s="1"/>
  <c r="X148" i="29" s="1"/>
  <c r="S147" i="29"/>
  <c r="N147" i="29"/>
  <c r="R147" i="29" s="1"/>
  <c r="AC145" i="29"/>
  <c r="AD145" i="29" s="1"/>
  <c r="Z145" i="29"/>
  <c r="AA145" i="29" s="1"/>
  <c r="AA146" i="29" s="1"/>
  <c r="W145" i="29"/>
  <c r="X145" i="29" s="1"/>
  <c r="S145" i="29"/>
  <c r="N145" i="29"/>
  <c r="R145" i="29" s="1"/>
  <c r="AC143" i="29"/>
  <c r="AC144" i="29" s="1"/>
  <c r="Z143" i="29"/>
  <c r="AA143" i="29" s="1"/>
  <c r="AA144" i="29" s="1"/>
  <c r="W143" i="29"/>
  <c r="W144" i="29" s="1"/>
  <c r="S143" i="29"/>
  <c r="N143" i="29"/>
  <c r="R143" i="29" s="1"/>
  <c r="AC141" i="29"/>
  <c r="AD141" i="29" s="1"/>
  <c r="AD142" i="29" s="1"/>
  <c r="Z141" i="29"/>
  <c r="Z142" i="29" s="1"/>
  <c r="W141" i="29"/>
  <c r="S141" i="29"/>
  <c r="N141" i="29"/>
  <c r="R141" i="29" s="1"/>
  <c r="AC139" i="29"/>
  <c r="AC140" i="29" s="1"/>
  <c r="Z139" i="29"/>
  <c r="Z140" i="29" s="1"/>
  <c r="W139" i="29"/>
  <c r="X139" i="29" s="1"/>
  <c r="X140" i="29" s="1"/>
  <c r="S139" i="29"/>
  <c r="N139" i="29"/>
  <c r="R139" i="29" s="1"/>
  <c r="AC137" i="29"/>
  <c r="AC138" i="29" s="1"/>
  <c r="Z137" i="29"/>
  <c r="AA137" i="29" s="1"/>
  <c r="AA138" i="29" s="1"/>
  <c r="W137" i="29"/>
  <c r="X137" i="29" s="1"/>
  <c r="X138" i="29" s="1"/>
  <c r="S137" i="29"/>
  <c r="N137" i="29"/>
  <c r="R137" i="29" s="1"/>
  <c r="AC135" i="29"/>
  <c r="AD135" i="29" s="1"/>
  <c r="Z135" i="29"/>
  <c r="AA135" i="29" s="1"/>
  <c r="W135" i="29"/>
  <c r="W136" i="29" s="1"/>
  <c r="S135" i="29"/>
  <c r="N135" i="29"/>
  <c r="R135" i="29" s="1"/>
  <c r="AC133" i="29"/>
  <c r="Z133" i="29"/>
  <c r="Z134" i="29" s="1"/>
  <c r="W133" i="29"/>
  <c r="W134" i="29" s="1"/>
  <c r="S133" i="29"/>
  <c r="N133" i="29"/>
  <c r="R133" i="29" s="1"/>
  <c r="AC131" i="29"/>
  <c r="AD131" i="29" s="1"/>
  <c r="Z131" i="29"/>
  <c r="AA131" i="29" s="1"/>
  <c r="W131" i="29"/>
  <c r="X131" i="29" s="1"/>
  <c r="X132" i="29" s="1"/>
  <c r="S131" i="29"/>
  <c r="N131" i="29"/>
  <c r="R131" i="29" s="1"/>
  <c r="AC129" i="29"/>
  <c r="AD129" i="29" s="1"/>
  <c r="Z129" i="29"/>
  <c r="AA129" i="29" s="1"/>
  <c r="AA130" i="29" s="1"/>
  <c r="W129" i="29"/>
  <c r="X129" i="29" s="1"/>
  <c r="S129" i="29"/>
  <c r="N129" i="29"/>
  <c r="R129" i="29" s="1"/>
  <c r="AC127" i="29"/>
  <c r="AC128" i="29" s="1"/>
  <c r="Z127" i="29"/>
  <c r="Z128" i="29" s="1"/>
  <c r="W127" i="29"/>
  <c r="W128" i="29" s="1"/>
  <c r="S127" i="29"/>
  <c r="N127" i="29"/>
  <c r="R127" i="29" s="1"/>
  <c r="M179" i="7"/>
  <c r="BW126" i="13"/>
  <c r="BQ126" i="13"/>
  <c r="BK126" i="13"/>
  <c r="BL126" i="13"/>
  <c r="BM126" i="13"/>
  <c r="AB126" i="13"/>
  <c r="Z126" i="13"/>
  <c r="X126" i="13"/>
  <c r="V126" i="13"/>
  <c r="T126" i="13"/>
  <c r="R126" i="13"/>
  <c r="J126" i="13"/>
  <c r="AO126" i="13"/>
  <c r="AP126" i="13"/>
  <c r="BF126" i="13"/>
  <c r="BG126" i="13"/>
  <c r="BP137" i="13" s="1"/>
  <c r="CC126" i="13"/>
  <c r="CH126" i="13"/>
  <c r="W150" i="29" l="1"/>
  <c r="CR137" i="13"/>
  <c r="AU155" i="35"/>
  <c r="AZ126" i="13"/>
  <c r="BV137" i="13"/>
  <c r="CQ137" i="13"/>
  <c r="AU126" i="13"/>
  <c r="AD137" i="29"/>
  <c r="AE137" i="29" s="1"/>
  <c r="AF137" i="29" s="1"/>
  <c r="AC146" i="29"/>
  <c r="AD143" i="29"/>
  <c r="AE143" i="29" s="1"/>
  <c r="AE144" i="29" s="1"/>
  <c r="AE141" i="29"/>
  <c r="AF141" i="29" s="1"/>
  <c r="AF142" i="29" s="1"/>
  <c r="AD139" i="29"/>
  <c r="AE139" i="29" s="1"/>
  <c r="AE140" i="29" s="1"/>
  <c r="Z148" i="29"/>
  <c r="AB143" i="29"/>
  <c r="AB144" i="29" s="1"/>
  <c r="AA141" i="29"/>
  <c r="AB141" i="29" s="1"/>
  <c r="AB142" i="29" s="1"/>
  <c r="AA139" i="29"/>
  <c r="AB139" i="29" s="1"/>
  <c r="AB140" i="29" s="1"/>
  <c r="AB137" i="29"/>
  <c r="AB138" i="29" s="1"/>
  <c r="AA133" i="29"/>
  <c r="AB133" i="29" s="1"/>
  <c r="AB134" i="29" s="1"/>
  <c r="X143" i="29"/>
  <c r="Y143" i="29" s="1"/>
  <c r="Y144" i="29" s="1"/>
  <c r="Y139" i="29"/>
  <c r="Y140" i="29" s="1"/>
  <c r="Y137" i="29"/>
  <c r="Y138" i="29" s="1"/>
  <c r="X135" i="29"/>
  <c r="Y135" i="29" s="1"/>
  <c r="Y136" i="29" s="1"/>
  <c r="X133" i="29"/>
  <c r="Y133" i="29" s="1"/>
  <c r="Y134" i="29" s="1"/>
  <c r="X127" i="29"/>
  <c r="X128" i="29" s="1"/>
  <c r="AA127" i="29"/>
  <c r="AA128" i="29" s="1"/>
  <c r="Y147" i="29"/>
  <c r="Y148" i="29" s="1"/>
  <c r="Y129" i="29"/>
  <c r="Y130" i="29" s="1"/>
  <c r="X130" i="29"/>
  <c r="AE131" i="29"/>
  <c r="AD132" i="29"/>
  <c r="AD127" i="29"/>
  <c r="AB129" i="29"/>
  <c r="AB130" i="29" s="1"/>
  <c r="Y131" i="29"/>
  <c r="Y132" i="29" s="1"/>
  <c r="AE129" i="29"/>
  <c r="AD130" i="29"/>
  <c r="AB131" i="29"/>
  <c r="AB132" i="29" s="1"/>
  <c r="AA132" i="29"/>
  <c r="AC130" i="29"/>
  <c r="Z132" i="29"/>
  <c r="AD133" i="29"/>
  <c r="AC134" i="29"/>
  <c r="W130" i="29"/>
  <c r="AC132" i="29"/>
  <c r="AB135" i="29"/>
  <c r="AB136" i="29" s="1"/>
  <c r="AA136" i="29"/>
  <c r="Z130" i="29"/>
  <c r="W132" i="29"/>
  <c r="AE135" i="29"/>
  <c r="AD136" i="29"/>
  <c r="Z136" i="29"/>
  <c r="Z138" i="29"/>
  <c r="AC136" i="29"/>
  <c r="W140" i="29"/>
  <c r="X141" i="29"/>
  <c r="W142" i="29"/>
  <c r="AE147" i="29"/>
  <c r="AD148" i="29"/>
  <c r="AF149" i="29"/>
  <c r="AG149" i="29" s="1"/>
  <c r="AH149" i="29" s="1"/>
  <c r="AH150" i="29" s="1"/>
  <c r="AE150" i="29"/>
  <c r="W138" i="29"/>
  <c r="AE145" i="29"/>
  <c r="AD146" i="29"/>
  <c r="AB147" i="29"/>
  <c r="AB148" i="29" s="1"/>
  <c r="AA148" i="29"/>
  <c r="Y145" i="29"/>
  <c r="Y146" i="29" s="1"/>
  <c r="X146" i="29"/>
  <c r="AC142" i="29"/>
  <c r="Z144" i="29"/>
  <c r="AB145" i="29"/>
  <c r="AB146" i="29" s="1"/>
  <c r="X150" i="29"/>
  <c r="W146" i="29"/>
  <c r="Y150" i="29"/>
  <c r="AC148" i="29"/>
  <c r="Z150" i="29"/>
  <c r="AA150" i="29"/>
  <c r="Z146" i="29"/>
  <c r="W148" i="29"/>
  <c r="AB150" i="29"/>
  <c r="AC150" i="29"/>
  <c r="AD150" i="29"/>
  <c r="BN126" i="13"/>
  <c r="AF155" i="35" s="1"/>
  <c r="BO126" i="13"/>
  <c r="AI155" i="35" s="1"/>
  <c r="AQ126" i="13"/>
  <c r="AR126" i="13"/>
  <c r="AS126" i="13"/>
  <c r="AX126" i="13"/>
  <c r="CY126" i="13" s="1"/>
  <c r="E155" i="35" s="1"/>
  <c r="BA126" i="13"/>
  <c r="AL155" i="35" s="1"/>
  <c r="BB126" i="13"/>
  <c r="AV126" i="13"/>
  <c r="T155" i="35" s="1"/>
  <c r="AN155" i="35" s="1"/>
  <c r="AW126" i="13"/>
  <c r="W155" i="35" s="1"/>
  <c r="AE132" i="9"/>
  <c r="AB132" i="9" s="1"/>
  <c r="AI132" i="9"/>
  <c r="AS132" i="9"/>
  <c r="AW132" i="9"/>
  <c r="AD132" i="9"/>
  <c r="AJ132" i="9"/>
  <c r="AC132" i="9"/>
  <c r="AF132" i="9" s="1"/>
  <c r="AQ132" i="9"/>
  <c r="AK132" i="9"/>
  <c r="AR132" i="9"/>
  <c r="AV132" i="9"/>
  <c r="AL132" i="9"/>
  <c r="AH132" i="9"/>
  <c r="AP132" i="9"/>
  <c r="AU132" i="9"/>
  <c r="AO132" i="9"/>
  <c r="AE138" i="29" l="1"/>
  <c r="AD138" i="29"/>
  <c r="CV127" i="13"/>
  <c r="BS137" i="13"/>
  <c r="CU127" i="13"/>
  <c r="BU137" i="13"/>
  <c r="CT126" i="13"/>
  <c r="AM132" i="9"/>
  <c r="AA142" i="29"/>
  <c r="AB126" i="29" s="1"/>
  <c r="X136" i="29"/>
  <c r="X134" i="29"/>
  <c r="AD144" i="29"/>
  <c r="AF143" i="29"/>
  <c r="AG143" i="29" s="1"/>
  <c r="AE142" i="29"/>
  <c r="AG141" i="29"/>
  <c r="AH141" i="29" s="1"/>
  <c r="AF139" i="29"/>
  <c r="AF140" i="29" s="1"/>
  <c r="AD140" i="29"/>
  <c r="AA140" i="29"/>
  <c r="AA134" i="29"/>
  <c r="X144" i="29"/>
  <c r="X126" i="29"/>
  <c r="Y127" i="29"/>
  <c r="Y128" i="29" s="1"/>
  <c r="AG150" i="29"/>
  <c r="AB127" i="29"/>
  <c r="AB128" i="29" s="1"/>
  <c r="AC126" i="29" s="1"/>
  <c r="AD126" i="29"/>
  <c r="AF147" i="29"/>
  <c r="AE148" i="29"/>
  <c r="AF131" i="29"/>
  <c r="AE132" i="29"/>
  <c r="AF138" i="29"/>
  <c r="AG137" i="29"/>
  <c r="AE136" i="29"/>
  <c r="AF135" i="29"/>
  <c r="X142" i="29"/>
  <c r="Y141" i="29"/>
  <c r="Y142" i="29" s="1"/>
  <c r="AF150" i="29"/>
  <c r="AA126" i="29"/>
  <c r="AE133" i="29"/>
  <c r="AD134" i="29"/>
  <c r="AF129" i="29"/>
  <c r="AE130" i="29"/>
  <c r="AF145" i="29"/>
  <c r="AE146" i="29"/>
  <c r="AD128" i="29"/>
  <c r="AE127" i="29"/>
  <c r="K126" i="13"/>
  <c r="O126" i="13"/>
  <c r="M126" i="13"/>
  <c r="BJ126" i="13"/>
  <c r="BT126" i="13"/>
  <c r="B35" i="30"/>
  <c r="B49" i="30"/>
  <c r="B42" i="30"/>
  <c r="B47" i="30"/>
  <c r="B46" i="30"/>
  <c r="B40" i="30"/>
  <c r="B33" i="30"/>
  <c r="B32" i="30"/>
  <c r="B39" i="30"/>
  <c r="Q37" i="16"/>
  <c r="L37" i="16"/>
  <c r="G37" i="16"/>
  <c r="Q35" i="16"/>
  <c r="S37" i="16" s="1"/>
  <c r="L35" i="16"/>
  <c r="N37" i="16" s="1"/>
  <c r="G35" i="16"/>
  <c r="I37" i="16" s="1"/>
  <c r="J37" i="16" s="1"/>
  <c r="N29" i="16"/>
  <c r="L29" i="16"/>
  <c r="Q27" i="16"/>
  <c r="L27" i="16"/>
  <c r="Q25" i="16"/>
  <c r="S27" i="16" s="1"/>
  <c r="L25" i="16"/>
  <c r="N27" i="16" s="1"/>
  <c r="O27" i="16" s="1"/>
  <c r="N21" i="16"/>
  <c r="L21" i="16"/>
  <c r="L19" i="16"/>
  <c r="L17" i="16"/>
  <c r="N19" i="16" s="1"/>
  <c r="O19" i="16" s="1"/>
  <c r="G11" i="16"/>
  <c r="G9" i="16"/>
  <c r="I11" i="16" s="1"/>
  <c r="J11" i="16" s="1"/>
  <c r="L5" i="16"/>
  <c r="L3" i="16"/>
  <c r="N5" i="16" s="1"/>
  <c r="Q45" i="15"/>
  <c r="L45" i="15"/>
  <c r="G45" i="15"/>
  <c r="Q43" i="15"/>
  <c r="L43" i="15"/>
  <c r="G43" i="15"/>
  <c r="Q37" i="15"/>
  <c r="L37" i="15"/>
  <c r="G37" i="15"/>
  <c r="Q35" i="15"/>
  <c r="S37" i="15" s="1"/>
  <c r="L35" i="15"/>
  <c r="N37" i="15" s="1"/>
  <c r="G35" i="15"/>
  <c r="I37" i="15" s="1"/>
  <c r="O29" i="15"/>
  <c r="N29" i="15"/>
  <c r="M29" i="15"/>
  <c r="L29" i="15"/>
  <c r="Q27" i="15"/>
  <c r="M27" i="15"/>
  <c r="L27" i="15"/>
  <c r="G27" i="15"/>
  <c r="B27" i="15"/>
  <c r="Q25" i="15"/>
  <c r="S27" i="15" s="1"/>
  <c r="L25" i="15"/>
  <c r="N27" i="15" s="1"/>
  <c r="O27" i="15" s="1"/>
  <c r="G25" i="15"/>
  <c r="B25" i="15"/>
  <c r="O21" i="15"/>
  <c r="N21" i="15"/>
  <c r="M21" i="15"/>
  <c r="L21" i="15"/>
  <c r="Q19" i="15"/>
  <c r="M19" i="15"/>
  <c r="L19" i="15"/>
  <c r="B19" i="15"/>
  <c r="Q17" i="15"/>
  <c r="L17" i="15"/>
  <c r="N19" i="15" s="1"/>
  <c r="B17" i="15"/>
  <c r="N13" i="15"/>
  <c r="L13" i="15"/>
  <c r="Q11" i="15"/>
  <c r="L11" i="15"/>
  <c r="G11" i="15"/>
  <c r="B11" i="15"/>
  <c r="Q9" i="15"/>
  <c r="L9" i="15"/>
  <c r="G9" i="15"/>
  <c r="I11" i="15" s="1"/>
  <c r="J11" i="15" s="1"/>
  <c r="M5" i="15"/>
  <c r="L5" i="15"/>
  <c r="L3" i="15"/>
  <c r="N5" i="15" s="1"/>
  <c r="R46" i="28"/>
  <c r="C25" i="28"/>
  <c r="C21" i="28"/>
  <c r="S14" i="28"/>
  <c r="S13" i="28"/>
  <c r="S6" i="28"/>
  <c r="T5" i="28"/>
  <c r="T2" i="28"/>
  <c r="S2" i="28"/>
  <c r="CH125" i="13"/>
  <c r="CC125" i="13"/>
  <c r="BW125" i="13"/>
  <c r="BQ125" i="13"/>
  <c r="BO125" i="13"/>
  <c r="AI154" i="35" s="1"/>
  <c r="BN125" i="13"/>
  <c r="AF154" i="35" s="1"/>
  <c r="BM125" i="13"/>
  <c r="BL125" i="13"/>
  <c r="BK125" i="13"/>
  <c r="BJ125" i="13"/>
  <c r="BT125" i="13" s="1"/>
  <c r="BG125" i="13"/>
  <c r="BP136" i="13" s="1"/>
  <c r="BF125" i="13"/>
  <c r="BB125" i="13"/>
  <c r="BA125" i="13"/>
  <c r="AL154" i="35" s="1"/>
  <c r="AW125" i="13"/>
  <c r="W154" i="35" s="1"/>
  <c r="AV125" i="13"/>
  <c r="T154" i="35" s="1"/>
  <c r="AN154" i="35" s="1"/>
  <c r="AS125" i="13"/>
  <c r="AR125" i="13"/>
  <c r="AQ125" i="13"/>
  <c r="AP125" i="13"/>
  <c r="AO125" i="13"/>
  <c r="AB125" i="13"/>
  <c r="Z125" i="13"/>
  <c r="X125" i="13"/>
  <c r="V125" i="13"/>
  <c r="T125" i="13"/>
  <c r="R125" i="13"/>
  <c r="O125" i="13"/>
  <c r="P136" i="13" s="1"/>
  <c r="M125" i="13"/>
  <c r="K125" i="13"/>
  <c r="J125" i="13"/>
  <c r="CJ124" i="13"/>
  <c r="CH124" i="13"/>
  <c r="CC124" i="13"/>
  <c r="BW124" i="13"/>
  <c r="BQ124" i="13"/>
  <c r="BO124" i="13"/>
  <c r="AI153" i="35" s="1"/>
  <c r="BN124" i="13"/>
  <c r="AF153" i="35" s="1"/>
  <c r="BM124" i="13"/>
  <c r="BL124" i="13"/>
  <c r="BK124" i="13"/>
  <c r="BJ124" i="13"/>
  <c r="BT124" i="13" s="1"/>
  <c r="BG124" i="13"/>
  <c r="BF124" i="13"/>
  <c r="BB124" i="13"/>
  <c r="BA124" i="13"/>
  <c r="AL153" i="35" s="1"/>
  <c r="AX124" i="13"/>
  <c r="CY124" i="13" s="1"/>
  <c r="E153" i="35" s="1"/>
  <c r="AW124" i="13"/>
  <c r="W153" i="35" s="1"/>
  <c r="AV124" i="13"/>
  <c r="T153" i="35" s="1"/>
  <c r="AN153" i="35" s="1"/>
  <c r="AS124" i="13"/>
  <c r="AR124" i="13"/>
  <c r="AQ124" i="13"/>
  <c r="AP124" i="13"/>
  <c r="AO124" i="13"/>
  <c r="AB124" i="13"/>
  <c r="Z124" i="13"/>
  <c r="X124" i="13"/>
  <c r="V124" i="13"/>
  <c r="T124" i="13"/>
  <c r="R124" i="13"/>
  <c r="O124" i="13"/>
  <c r="P135" i="13" s="1"/>
  <c r="M124" i="13"/>
  <c r="K124" i="13"/>
  <c r="K14" i="22" s="1"/>
  <c r="M14" i="22" s="1"/>
  <c r="J124" i="13"/>
  <c r="F124" i="13"/>
  <c r="D124" i="13"/>
  <c r="CK153" i="35" s="1"/>
  <c r="CJ123" i="13"/>
  <c r="CH123" i="13"/>
  <c r="CC123" i="13"/>
  <c r="BW123" i="13"/>
  <c r="BQ123" i="13"/>
  <c r="BO123" i="13"/>
  <c r="AI152" i="35" s="1"/>
  <c r="BN123" i="13"/>
  <c r="AF152" i="35" s="1"/>
  <c r="BM123" i="13"/>
  <c r="BL123" i="13"/>
  <c r="BK123" i="13"/>
  <c r="BJ123" i="13"/>
  <c r="BT123" i="13" s="1"/>
  <c r="BG123" i="13"/>
  <c r="BF123" i="13"/>
  <c r="BB123" i="13"/>
  <c r="BA123" i="13"/>
  <c r="AL152" i="35" s="1"/>
  <c r="AX123" i="13"/>
  <c r="CY123" i="13" s="1"/>
  <c r="E152" i="35" s="1"/>
  <c r="AW123" i="13"/>
  <c r="W152" i="35" s="1"/>
  <c r="AV123" i="13"/>
  <c r="T152" i="35" s="1"/>
  <c r="AN152" i="35" s="1"/>
  <c r="AS123" i="13"/>
  <c r="AR123" i="13"/>
  <c r="AQ123" i="13"/>
  <c r="AP123" i="13"/>
  <c r="AU152" i="35" s="1"/>
  <c r="AO123" i="13"/>
  <c r="AB123" i="13"/>
  <c r="Z123" i="13"/>
  <c r="X123" i="13"/>
  <c r="V123" i="13"/>
  <c r="T123" i="13"/>
  <c r="R123" i="13"/>
  <c r="O123" i="13"/>
  <c r="M123" i="13"/>
  <c r="K123" i="13"/>
  <c r="J123" i="13"/>
  <c r="F123" i="13"/>
  <c r="D123" i="13"/>
  <c r="CK152" i="35" s="1"/>
  <c r="CJ122" i="13"/>
  <c r="CH122" i="13"/>
  <c r="CC122" i="13"/>
  <c r="BW122" i="13"/>
  <c r="BQ122" i="13"/>
  <c r="BO122" i="13"/>
  <c r="AI151" i="35" s="1"/>
  <c r="BN122" i="13"/>
  <c r="AF151" i="35" s="1"/>
  <c r="BM122" i="13"/>
  <c r="BL122" i="13"/>
  <c r="BK122" i="13"/>
  <c r="BJ122" i="13"/>
  <c r="BT122" i="13" s="1"/>
  <c r="BG122" i="13"/>
  <c r="BF122" i="13"/>
  <c r="BB122" i="13"/>
  <c r="BA122" i="13"/>
  <c r="AL151" i="35" s="1"/>
  <c r="AX122" i="13"/>
  <c r="CY122" i="13" s="1"/>
  <c r="E151" i="35" s="1"/>
  <c r="AW122" i="13"/>
  <c r="W151" i="35" s="1"/>
  <c r="AV122" i="13"/>
  <c r="T151" i="35" s="1"/>
  <c r="AN151" i="35" s="1"/>
  <c r="AS122" i="13"/>
  <c r="AR122" i="13"/>
  <c r="AQ122" i="13"/>
  <c r="AP122" i="13"/>
  <c r="AU151" i="35" s="1"/>
  <c r="AO122" i="13"/>
  <c r="AB122" i="13"/>
  <c r="Z122" i="13"/>
  <c r="X122" i="13"/>
  <c r="V122" i="13"/>
  <c r="T122" i="13"/>
  <c r="R122" i="13"/>
  <c r="O122" i="13"/>
  <c r="BI122" i="13" s="1"/>
  <c r="M122" i="13"/>
  <c r="K122" i="13"/>
  <c r="K12" i="22" s="1"/>
  <c r="M12" i="22" s="1"/>
  <c r="J122" i="13"/>
  <c r="H122" i="13"/>
  <c r="F122" i="13"/>
  <c r="D122" i="13"/>
  <c r="CJ121" i="13"/>
  <c r="CH121" i="13"/>
  <c r="CC121" i="13"/>
  <c r="BW121" i="13"/>
  <c r="BQ121" i="13"/>
  <c r="BO121" i="13"/>
  <c r="AI150" i="35" s="1"/>
  <c r="BN121" i="13"/>
  <c r="AF150" i="35" s="1"/>
  <c r="BM121" i="13"/>
  <c r="BL121" i="13"/>
  <c r="BK121" i="13"/>
  <c r="BJ121" i="13"/>
  <c r="BT121" i="13" s="1"/>
  <c r="BG121" i="13"/>
  <c r="BF121" i="13"/>
  <c r="BE121" i="13"/>
  <c r="BB121" i="13"/>
  <c r="BA121" i="13"/>
  <c r="AL150" i="35" s="1"/>
  <c r="AX121" i="13"/>
  <c r="CY121" i="13" s="1"/>
  <c r="E150" i="35" s="1"/>
  <c r="AW121" i="13"/>
  <c r="W150" i="35" s="1"/>
  <c r="AV121" i="13"/>
  <c r="T150" i="35" s="1"/>
  <c r="AN150" i="35" s="1"/>
  <c r="AS121" i="13"/>
  <c r="AR121" i="13"/>
  <c r="AQ121" i="13"/>
  <c r="AP121" i="13"/>
  <c r="AU150" i="35" s="1"/>
  <c r="AO121" i="13"/>
  <c r="AB121" i="13"/>
  <c r="Z121" i="13"/>
  <c r="X121" i="13"/>
  <c r="V121" i="13"/>
  <c r="T121" i="13"/>
  <c r="R121" i="13"/>
  <c r="O121" i="13"/>
  <c r="M121" i="13"/>
  <c r="K121" i="13"/>
  <c r="J121" i="13"/>
  <c r="F121" i="13"/>
  <c r="CH150" i="35" s="1"/>
  <c r="D121" i="13"/>
  <c r="CK150" i="35" s="1"/>
  <c r="CJ120" i="13"/>
  <c r="CH120" i="13"/>
  <c r="CC120" i="13"/>
  <c r="BW120" i="13"/>
  <c r="BQ120" i="13"/>
  <c r="BO120" i="13"/>
  <c r="AI149" i="35" s="1"/>
  <c r="BN120" i="13"/>
  <c r="AF149" i="35" s="1"/>
  <c r="BM120" i="13"/>
  <c r="BL120" i="13"/>
  <c r="BK120" i="13"/>
  <c r="BJ120" i="13"/>
  <c r="BT120" i="13" s="1"/>
  <c r="BG120" i="13"/>
  <c r="BF120" i="13"/>
  <c r="BB120" i="13"/>
  <c r="BA120" i="13"/>
  <c r="AL149" i="35" s="1"/>
  <c r="AX120" i="13"/>
  <c r="CY120" i="13" s="1"/>
  <c r="E149" i="35" s="1"/>
  <c r="AW120" i="13"/>
  <c r="W149" i="35" s="1"/>
  <c r="AV120" i="13"/>
  <c r="T149" i="35" s="1"/>
  <c r="AN149" i="35" s="1"/>
  <c r="AS120" i="13"/>
  <c r="AR120" i="13"/>
  <c r="AQ120" i="13"/>
  <c r="AP120" i="13"/>
  <c r="AU149" i="35" s="1"/>
  <c r="AO120" i="13"/>
  <c r="AB120" i="13"/>
  <c r="Z120" i="13"/>
  <c r="X120" i="13"/>
  <c r="V120" i="13"/>
  <c r="T120" i="13"/>
  <c r="R120" i="13"/>
  <c r="O120" i="13"/>
  <c r="BI120" i="13" s="1"/>
  <c r="M120" i="13"/>
  <c r="K120" i="13"/>
  <c r="BE120" i="13" s="1"/>
  <c r="J120" i="13"/>
  <c r="F120" i="13"/>
  <c r="D120" i="13"/>
  <c r="CK149" i="35" s="1"/>
  <c r="CJ119" i="13"/>
  <c r="CH119" i="13"/>
  <c r="CC119" i="13"/>
  <c r="BW119" i="13"/>
  <c r="BQ119" i="13"/>
  <c r="BO119" i="13"/>
  <c r="AI148" i="35" s="1"/>
  <c r="BN119" i="13"/>
  <c r="AF148" i="35" s="1"/>
  <c r="BM119" i="13"/>
  <c r="BL119" i="13"/>
  <c r="BK119" i="13"/>
  <c r="BJ119" i="13"/>
  <c r="BT119" i="13" s="1"/>
  <c r="BG119" i="13"/>
  <c r="BF119" i="13"/>
  <c r="BB119" i="13"/>
  <c r="BA119" i="13"/>
  <c r="AL148" i="35" s="1"/>
  <c r="AX119" i="13"/>
  <c r="CY119" i="13" s="1"/>
  <c r="E148" i="35" s="1"/>
  <c r="AW119" i="13"/>
  <c r="W148" i="35" s="1"/>
  <c r="AV119" i="13"/>
  <c r="T148" i="35" s="1"/>
  <c r="AN148" i="35" s="1"/>
  <c r="AS119" i="13"/>
  <c r="AR119" i="13"/>
  <c r="AQ119" i="13"/>
  <c r="AP119" i="13"/>
  <c r="AU148" i="35" s="1"/>
  <c r="AO119" i="13"/>
  <c r="AB119" i="13"/>
  <c r="Z119" i="13"/>
  <c r="X119" i="13"/>
  <c r="V119" i="13"/>
  <c r="T119" i="13"/>
  <c r="R119" i="13"/>
  <c r="O119" i="13"/>
  <c r="M119" i="13"/>
  <c r="K119" i="13"/>
  <c r="BE119" i="13" s="1"/>
  <c r="J119" i="13"/>
  <c r="H119" i="13"/>
  <c r="F119" i="13"/>
  <c r="D119" i="13"/>
  <c r="CK148" i="35" s="1"/>
  <c r="CJ118" i="13"/>
  <c r="CH118" i="13"/>
  <c r="CC118" i="13"/>
  <c r="BW118" i="13"/>
  <c r="BQ118" i="13"/>
  <c r="BO118" i="13"/>
  <c r="AI147" i="35" s="1"/>
  <c r="BN118" i="13"/>
  <c r="AF147" i="35" s="1"/>
  <c r="BM118" i="13"/>
  <c r="BL118" i="13"/>
  <c r="BK118" i="13"/>
  <c r="BJ118" i="13"/>
  <c r="BT118" i="13" s="1"/>
  <c r="BG118" i="13"/>
  <c r="BF118" i="13"/>
  <c r="BB118" i="13"/>
  <c r="BA118" i="13"/>
  <c r="AL147" i="35" s="1"/>
  <c r="AX118" i="13"/>
  <c r="CY118" i="13" s="1"/>
  <c r="E147" i="35" s="1"/>
  <c r="AW118" i="13"/>
  <c r="W147" i="35" s="1"/>
  <c r="AV118" i="13"/>
  <c r="T147" i="35" s="1"/>
  <c r="AN147" i="35" s="1"/>
  <c r="AS118" i="13"/>
  <c r="AR118" i="13"/>
  <c r="AQ118" i="13"/>
  <c r="AP118" i="13"/>
  <c r="AU147" i="35" s="1"/>
  <c r="AO118" i="13"/>
  <c r="AB118" i="13"/>
  <c r="Z118" i="13"/>
  <c r="X118" i="13"/>
  <c r="V118" i="13"/>
  <c r="T118" i="13"/>
  <c r="R118" i="13"/>
  <c r="O118" i="13"/>
  <c r="BI118" i="13" s="1"/>
  <c r="M118" i="13"/>
  <c r="K118" i="13"/>
  <c r="BE118" i="13" s="1"/>
  <c r="J118" i="13"/>
  <c r="F118" i="13"/>
  <c r="D118" i="13"/>
  <c r="CK147" i="35" s="1"/>
  <c r="CJ117" i="13"/>
  <c r="CH117" i="13"/>
  <c r="CC117" i="13"/>
  <c r="BW117" i="13"/>
  <c r="BQ117" i="13"/>
  <c r="BO117" i="13"/>
  <c r="AI146" i="35" s="1"/>
  <c r="BN117" i="13"/>
  <c r="AF146" i="35" s="1"/>
  <c r="BM117" i="13"/>
  <c r="BL117" i="13"/>
  <c r="BK117" i="13"/>
  <c r="BJ117" i="13"/>
  <c r="BT117" i="13" s="1"/>
  <c r="BG117" i="13"/>
  <c r="BF117" i="13"/>
  <c r="BB117" i="13"/>
  <c r="BA117" i="13"/>
  <c r="AL146" i="35" s="1"/>
  <c r="AX117" i="13"/>
  <c r="CY117" i="13" s="1"/>
  <c r="E146" i="35" s="1"/>
  <c r="AW117" i="13"/>
  <c r="W146" i="35" s="1"/>
  <c r="AV117" i="13"/>
  <c r="T146" i="35" s="1"/>
  <c r="AN146" i="35" s="1"/>
  <c r="AS117" i="13"/>
  <c r="AR117" i="13"/>
  <c r="AQ117" i="13"/>
  <c r="AP117" i="13"/>
  <c r="AU146" i="35" s="1"/>
  <c r="AO117" i="13"/>
  <c r="AB117" i="13"/>
  <c r="Z117" i="13"/>
  <c r="X117" i="13"/>
  <c r="V117" i="13"/>
  <c r="T117" i="13"/>
  <c r="R117" i="13"/>
  <c r="O117" i="13"/>
  <c r="BI117" i="13" s="1"/>
  <c r="M117" i="13"/>
  <c r="K117" i="13"/>
  <c r="BE117" i="13" s="1"/>
  <c r="J117" i="13"/>
  <c r="F117" i="13"/>
  <c r="CH146" i="35" s="1"/>
  <c r="D117" i="13"/>
  <c r="CJ116" i="13"/>
  <c r="CH116" i="13"/>
  <c r="CC116" i="13"/>
  <c r="BW116" i="13"/>
  <c r="BQ116" i="13"/>
  <c r="BO116" i="13"/>
  <c r="AI145" i="35" s="1"/>
  <c r="BN116" i="13"/>
  <c r="AF145" i="35" s="1"/>
  <c r="BM116" i="13"/>
  <c r="BL116" i="13"/>
  <c r="BK116" i="13"/>
  <c r="BJ116" i="13"/>
  <c r="BT116" i="13" s="1"/>
  <c r="BG116" i="13"/>
  <c r="BF116" i="13"/>
  <c r="BB116" i="13"/>
  <c r="BA116" i="13"/>
  <c r="AL145" i="35" s="1"/>
  <c r="AX116" i="13"/>
  <c r="CY116" i="13" s="1"/>
  <c r="E145" i="35" s="1"/>
  <c r="AW116" i="13"/>
  <c r="W145" i="35" s="1"/>
  <c r="AV116" i="13"/>
  <c r="T145" i="35" s="1"/>
  <c r="AN145" i="35" s="1"/>
  <c r="AS116" i="13"/>
  <c r="AR116" i="13"/>
  <c r="AQ116" i="13"/>
  <c r="AP116" i="13"/>
  <c r="AU145" i="35" s="1"/>
  <c r="AO116" i="13"/>
  <c r="AB116" i="13"/>
  <c r="Z116" i="13"/>
  <c r="X116" i="13"/>
  <c r="V116" i="13"/>
  <c r="T116" i="13"/>
  <c r="R116" i="13"/>
  <c r="O116" i="13"/>
  <c r="M116" i="13"/>
  <c r="K116" i="13"/>
  <c r="J116" i="13"/>
  <c r="F116" i="13"/>
  <c r="CH145" i="35" s="1"/>
  <c r="D116" i="13"/>
  <c r="CK145" i="35" s="1"/>
  <c r="CJ115" i="13"/>
  <c r="CH115" i="13"/>
  <c r="CC115" i="13"/>
  <c r="BW115" i="13"/>
  <c r="BQ115" i="13"/>
  <c r="BO115" i="13"/>
  <c r="BN115" i="13"/>
  <c r="AF144" i="35" s="1"/>
  <c r="BM115" i="13"/>
  <c r="BL115" i="13"/>
  <c r="BK115" i="13"/>
  <c r="BJ115" i="13"/>
  <c r="BT115" i="13" s="1"/>
  <c r="BG115" i="13"/>
  <c r="BF115" i="13"/>
  <c r="BB115" i="13"/>
  <c r="BA115" i="13"/>
  <c r="AL144" i="35" s="1"/>
  <c r="AX115" i="13"/>
  <c r="CY115" i="13" s="1"/>
  <c r="E144" i="35" s="1"/>
  <c r="AW115" i="13"/>
  <c r="W144" i="35" s="1"/>
  <c r="AV115" i="13"/>
  <c r="T144" i="35" s="1"/>
  <c r="AN144" i="35" s="1"/>
  <c r="AS115" i="13"/>
  <c r="AR115" i="13"/>
  <c r="AQ115" i="13"/>
  <c r="AP115" i="13"/>
  <c r="AU144" i="35" s="1"/>
  <c r="AO115" i="13"/>
  <c r="AB115" i="13"/>
  <c r="Z115" i="13"/>
  <c r="X115" i="13"/>
  <c r="V115" i="13"/>
  <c r="T115" i="13"/>
  <c r="R115" i="13"/>
  <c r="O115" i="13"/>
  <c r="M115" i="13"/>
  <c r="BH115" i="13" s="1"/>
  <c r="K115" i="13"/>
  <c r="AY115" i="13" s="1"/>
  <c r="J115" i="13"/>
  <c r="F115" i="13"/>
  <c r="CH144" i="35" s="1"/>
  <c r="D115" i="13"/>
  <c r="CK144" i="35" s="1"/>
  <c r="CJ114" i="13"/>
  <c r="CH114" i="13"/>
  <c r="CC114" i="13"/>
  <c r="BW114" i="13"/>
  <c r="BQ114" i="13"/>
  <c r="BO114" i="13"/>
  <c r="BN114" i="13"/>
  <c r="AF143" i="35" s="1"/>
  <c r="BM114" i="13"/>
  <c r="BL114" i="13"/>
  <c r="BK114" i="13"/>
  <c r="BJ114" i="13"/>
  <c r="BT114" i="13" s="1"/>
  <c r="BG114" i="13"/>
  <c r="BF114" i="13"/>
  <c r="BB114" i="13"/>
  <c r="BA114" i="13"/>
  <c r="AL143" i="35" s="1"/>
  <c r="AX114" i="13"/>
  <c r="CY114" i="13" s="1"/>
  <c r="E143" i="35" s="1"/>
  <c r="AW114" i="13"/>
  <c r="W143" i="35" s="1"/>
  <c r="AV114" i="13"/>
  <c r="T143" i="35" s="1"/>
  <c r="AN143" i="35" s="1"/>
  <c r="AS114" i="13"/>
  <c r="AR114" i="13"/>
  <c r="AQ114" i="13"/>
  <c r="AP114" i="13"/>
  <c r="AU143" i="35" s="1"/>
  <c r="AO114" i="13"/>
  <c r="AB114" i="13"/>
  <c r="Z114" i="13"/>
  <c r="X114" i="13"/>
  <c r="V114" i="13"/>
  <c r="T114" i="13"/>
  <c r="R114" i="13"/>
  <c r="O114" i="13"/>
  <c r="BI114" i="13" s="1"/>
  <c r="M114" i="13"/>
  <c r="K114" i="13"/>
  <c r="J114" i="13"/>
  <c r="F114" i="13"/>
  <c r="CH143" i="35" s="1"/>
  <c r="D114" i="13"/>
  <c r="CJ113" i="13"/>
  <c r="CH113" i="13"/>
  <c r="CC113" i="13"/>
  <c r="BW113" i="13"/>
  <c r="BQ113" i="13"/>
  <c r="BO113" i="13"/>
  <c r="BN113" i="13"/>
  <c r="AF142" i="35" s="1"/>
  <c r="BM113" i="13"/>
  <c r="BL113" i="13"/>
  <c r="BK113" i="13"/>
  <c r="BJ113" i="13"/>
  <c r="BT113" i="13" s="1"/>
  <c r="BG113" i="13"/>
  <c r="BF113" i="13"/>
  <c r="BB113" i="13"/>
  <c r="BA113" i="13"/>
  <c r="AX113" i="13"/>
  <c r="CY113" i="13" s="1"/>
  <c r="E142" i="35" s="1"/>
  <c r="AW113" i="13"/>
  <c r="W142" i="35" s="1"/>
  <c r="AV113" i="13"/>
  <c r="T142" i="35" s="1"/>
  <c r="AN142" i="35" s="1"/>
  <c r="AS113" i="13"/>
  <c r="AR113" i="13"/>
  <c r="AQ113" i="13"/>
  <c r="AP113" i="13"/>
  <c r="AU142" i="35" s="1"/>
  <c r="AO113" i="13"/>
  <c r="AB113" i="13"/>
  <c r="Z113" i="13"/>
  <c r="X113" i="13"/>
  <c r="V113" i="13"/>
  <c r="T113" i="13"/>
  <c r="R113" i="13"/>
  <c r="O113" i="13"/>
  <c r="BI113" i="13" s="1"/>
  <c r="M113" i="13"/>
  <c r="K113" i="13"/>
  <c r="BE113" i="13" s="1"/>
  <c r="F113" i="13"/>
  <c r="D113" i="13"/>
  <c r="CK142" i="35" s="1"/>
  <c r="CJ112" i="13"/>
  <c r="CH112" i="13"/>
  <c r="CC112" i="13"/>
  <c r="BW112" i="13"/>
  <c r="BQ112" i="13"/>
  <c r="BO112" i="13"/>
  <c r="AI141" i="35" s="1"/>
  <c r="BN112" i="13"/>
  <c r="AF141" i="35" s="1"/>
  <c r="BM112" i="13"/>
  <c r="BL112" i="13"/>
  <c r="BK112" i="13"/>
  <c r="BJ112" i="13"/>
  <c r="BT112" i="13" s="1"/>
  <c r="BG112" i="13"/>
  <c r="BF112" i="13"/>
  <c r="BB112" i="13"/>
  <c r="BA112" i="13"/>
  <c r="AL141" i="35" s="1"/>
  <c r="AX112" i="13"/>
  <c r="CY112" i="13" s="1"/>
  <c r="E141" i="35" s="1"/>
  <c r="AW112" i="13"/>
  <c r="W141" i="35" s="1"/>
  <c r="AV112" i="13"/>
  <c r="T141" i="35" s="1"/>
  <c r="AN141" i="35" s="1"/>
  <c r="AS112" i="13"/>
  <c r="AR112" i="13"/>
  <c r="AQ112" i="13"/>
  <c r="AP112" i="13"/>
  <c r="AU141" i="35" s="1"/>
  <c r="AO112" i="13"/>
  <c r="AB112" i="13"/>
  <c r="Z112" i="13"/>
  <c r="X112" i="13"/>
  <c r="V112" i="13"/>
  <c r="T112" i="13"/>
  <c r="R112" i="13"/>
  <c r="O112" i="13"/>
  <c r="BI112" i="13" s="1"/>
  <c r="M112" i="13"/>
  <c r="BH112" i="13" s="1"/>
  <c r="K112" i="13"/>
  <c r="J112" i="13"/>
  <c r="F112" i="13"/>
  <c r="CH141" i="35" s="1"/>
  <c r="D112" i="13"/>
  <c r="CK141" i="35" s="1"/>
  <c r="CJ111" i="13"/>
  <c r="CH111" i="13"/>
  <c r="CC111" i="13"/>
  <c r="BW111" i="13"/>
  <c r="BQ111" i="13"/>
  <c r="BO111" i="13"/>
  <c r="BN111" i="13"/>
  <c r="AF140" i="35" s="1"/>
  <c r="BM111" i="13"/>
  <c r="BL111" i="13"/>
  <c r="BK111" i="13"/>
  <c r="BJ111" i="13"/>
  <c r="BT111" i="13" s="1"/>
  <c r="BG111" i="13"/>
  <c r="BF111" i="13"/>
  <c r="BB111" i="13"/>
  <c r="BA111" i="13"/>
  <c r="AL140" i="35" s="1"/>
  <c r="AX111" i="13"/>
  <c r="CY111" i="13" s="1"/>
  <c r="E140" i="35" s="1"/>
  <c r="AW111" i="13"/>
  <c r="W140" i="35" s="1"/>
  <c r="AV111" i="13"/>
  <c r="T140" i="35" s="1"/>
  <c r="AN140" i="35" s="1"/>
  <c r="AS111" i="13"/>
  <c r="AR111" i="13"/>
  <c r="AQ111" i="13"/>
  <c r="AP111" i="13"/>
  <c r="AO111" i="13"/>
  <c r="AB111" i="13"/>
  <c r="Z111" i="13"/>
  <c r="X111" i="13"/>
  <c r="V111" i="13"/>
  <c r="T111" i="13"/>
  <c r="R111" i="13"/>
  <c r="O111" i="13"/>
  <c r="BI111" i="13" s="1"/>
  <c r="M111" i="13"/>
  <c r="BH111" i="13" s="1"/>
  <c r="K111" i="13"/>
  <c r="AT111" i="13" s="1"/>
  <c r="K140" i="35" s="1"/>
  <c r="J111" i="13"/>
  <c r="F111" i="13"/>
  <c r="D111" i="13"/>
  <c r="CK140" i="35" s="1"/>
  <c r="CJ110" i="13"/>
  <c r="CK110" i="13" s="1"/>
  <c r="CH110" i="13"/>
  <c r="CC110" i="13"/>
  <c r="BW110" i="13"/>
  <c r="BQ110" i="13"/>
  <c r="BO110" i="13"/>
  <c r="AI139" i="35" s="1"/>
  <c r="BN110" i="13"/>
  <c r="AF139" i="35" s="1"/>
  <c r="BM110" i="13"/>
  <c r="BL110" i="13"/>
  <c r="BK110" i="13"/>
  <c r="BJ110" i="13"/>
  <c r="BT110" i="13" s="1"/>
  <c r="BG110" i="13"/>
  <c r="BF110" i="13"/>
  <c r="BD110" i="13"/>
  <c r="AR139" i="35" s="1"/>
  <c r="BB110" i="13"/>
  <c r="CV111" i="13" s="1"/>
  <c r="BA110" i="13"/>
  <c r="AL139" i="35" s="1"/>
  <c r="AY110" i="13"/>
  <c r="AX110" i="13"/>
  <c r="CY110" i="13" s="1"/>
  <c r="E139" i="35" s="1"/>
  <c r="AW110" i="13"/>
  <c r="W139" i="35" s="1"/>
  <c r="AV110" i="13"/>
  <c r="T139" i="35" s="1"/>
  <c r="AN139" i="35" s="1"/>
  <c r="AT110" i="13"/>
  <c r="K139" i="35" s="1"/>
  <c r="AS110" i="13"/>
  <c r="AR110" i="13"/>
  <c r="AQ110" i="13"/>
  <c r="AP110" i="13"/>
  <c r="AO110" i="13"/>
  <c r="AB110" i="13"/>
  <c r="Z110" i="13"/>
  <c r="X110" i="13"/>
  <c r="V110" i="13"/>
  <c r="T110" i="13"/>
  <c r="R110" i="13"/>
  <c r="O110" i="13"/>
  <c r="BI110" i="13" s="1"/>
  <c r="M110" i="13"/>
  <c r="BH110" i="13" s="1"/>
  <c r="K110" i="13"/>
  <c r="J110" i="13"/>
  <c r="F110" i="13"/>
  <c r="CH139" i="35" s="1"/>
  <c r="D110" i="13"/>
  <c r="CK139" i="35" s="1"/>
  <c r="CJ109" i="13"/>
  <c r="CH109" i="13"/>
  <c r="CC109" i="13"/>
  <c r="BW109" i="13"/>
  <c r="BQ109" i="13"/>
  <c r="BO109" i="13"/>
  <c r="BN109" i="13"/>
  <c r="AF138" i="35" s="1"/>
  <c r="BM109" i="13"/>
  <c r="BL109" i="13"/>
  <c r="BK109" i="13"/>
  <c r="BJ109" i="13"/>
  <c r="BT109" i="13" s="1"/>
  <c r="BG109" i="13"/>
  <c r="BF109" i="13"/>
  <c r="BC109" i="13"/>
  <c r="AO138" i="35" s="1"/>
  <c r="BB109" i="13"/>
  <c r="CV110" i="13" s="1"/>
  <c r="BA109" i="13"/>
  <c r="AX109" i="13"/>
  <c r="CY109" i="13" s="1"/>
  <c r="E138" i="35" s="1"/>
  <c r="AW109" i="13"/>
  <c r="W138" i="35" s="1"/>
  <c r="AV109" i="13"/>
  <c r="T138" i="35" s="1"/>
  <c r="AN138" i="35" s="1"/>
  <c r="AT109" i="13"/>
  <c r="K138" i="35" s="1"/>
  <c r="AS109" i="13"/>
  <c r="AR109" i="13"/>
  <c r="AQ109" i="13"/>
  <c r="AP109" i="13"/>
  <c r="AO109" i="13"/>
  <c r="AB109" i="13"/>
  <c r="Z109" i="13"/>
  <c r="X109" i="13"/>
  <c r="V109" i="13"/>
  <c r="T109" i="13"/>
  <c r="R109" i="13"/>
  <c r="O109" i="13"/>
  <c r="BI109" i="13" s="1"/>
  <c r="M109" i="13"/>
  <c r="BH109" i="13" s="1"/>
  <c r="K109" i="13"/>
  <c r="J109" i="13"/>
  <c r="F109" i="13"/>
  <c r="D109" i="13"/>
  <c r="CK138" i="35" s="1"/>
  <c r="CJ108" i="13"/>
  <c r="CH108" i="13"/>
  <c r="CC108" i="13"/>
  <c r="BW108" i="13"/>
  <c r="BQ108" i="13"/>
  <c r="BO108" i="13"/>
  <c r="AI137" i="35" s="1"/>
  <c r="BN108" i="13"/>
  <c r="AF137" i="35" s="1"/>
  <c r="BM108" i="13"/>
  <c r="BL108" i="13"/>
  <c r="BK108" i="13"/>
  <c r="BJ108" i="13"/>
  <c r="BT108" i="13" s="1"/>
  <c r="BG108" i="13"/>
  <c r="BF108" i="13"/>
  <c r="BB108" i="13"/>
  <c r="BA108" i="13"/>
  <c r="AL137" i="35" s="1"/>
  <c r="AX108" i="13"/>
  <c r="CY108" i="13" s="1"/>
  <c r="E137" i="35" s="1"/>
  <c r="AW108" i="13"/>
  <c r="W137" i="35" s="1"/>
  <c r="AV108" i="13"/>
  <c r="T137" i="35" s="1"/>
  <c r="AN137" i="35" s="1"/>
  <c r="AS108" i="13"/>
  <c r="AR108" i="13"/>
  <c r="AQ108" i="13"/>
  <c r="AP108" i="13"/>
  <c r="AU137" i="35" s="1"/>
  <c r="AO108" i="13"/>
  <c r="AB108" i="13"/>
  <c r="Z108" i="13"/>
  <c r="X108" i="13"/>
  <c r="V108" i="13"/>
  <c r="T108" i="13"/>
  <c r="R108" i="13"/>
  <c r="O108" i="13"/>
  <c r="BI108" i="13" s="1"/>
  <c r="M108" i="13"/>
  <c r="BH108" i="13" s="1"/>
  <c r="K108" i="13"/>
  <c r="AT108" i="13" s="1"/>
  <c r="K137" i="35" s="1"/>
  <c r="J108" i="13"/>
  <c r="D108" i="13"/>
  <c r="CK137" i="35" s="1"/>
  <c r="CJ107" i="13"/>
  <c r="CH107" i="13"/>
  <c r="CC107" i="13"/>
  <c r="BW107" i="13"/>
  <c r="BT107" i="13"/>
  <c r="BQ107" i="13"/>
  <c r="BO107" i="13"/>
  <c r="BN107" i="13"/>
  <c r="AF136" i="35" s="1"/>
  <c r="BM107" i="13"/>
  <c r="BL107" i="13"/>
  <c r="BK107" i="13"/>
  <c r="BJ107" i="13"/>
  <c r="BG107" i="13"/>
  <c r="BF107" i="13"/>
  <c r="BB107" i="13"/>
  <c r="BA107" i="13"/>
  <c r="AL136" i="35" s="1"/>
  <c r="AX107" i="13"/>
  <c r="CY107" i="13" s="1"/>
  <c r="E136" i="35" s="1"/>
  <c r="AW107" i="13"/>
  <c r="W136" i="35" s="1"/>
  <c r="AV107" i="13"/>
  <c r="T136" i="35" s="1"/>
  <c r="AN136" i="35" s="1"/>
  <c r="AS107" i="13"/>
  <c r="AR107" i="13"/>
  <c r="AQ107" i="13"/>
  <c r="AP107" i="13"/>
  <c r="AU136" i="35" s="1"/>
  <c r="AO107" i="13"/>
  <c r="AB107" i="13"/>
  <c r="Z107" i="13"/>
  <c r="X107" i="13"/>
  <c r="V107" i="13"/>
  <c r="T107" i="13"/>
  <c r="R107" i="13"/>
  <c r="O107" i="13"/>
  <c r="BI107" i="13" s="1"/>
  <c r="M107" i="13"/>
  <c r="BH107" i="13" s="1"/>
  <c r="K107" i="13"/>
  <c r="J107" i="13"/>
  <c r="F107" i="13"/>
  <c r="D107" i="13"/>
  <c r="CK136" i="35" s="1"/>
  <c r="CJ106" i="13"/>
  <c r="CH106" i="13"/>
  <c r="CC106" i="13"/>
  <c r="BW106" i="13"/>
  <c r="BQ106" i="13"/>
  <c r="BO106" i="13"/>
  <c r="AI135" i="35" s="1"/>
  <c r="BN106" i="13"/>
  <c r="AF135" i="35" s="1"/>
  <c r="BM106" i="13"/>
  <c r="BL106" i="13"/>
  <c r="BK106" i="13"/>
  <c r="BJ106" i="13"/>
  <c r="BT106" i="13" s="1"/>
  <c r="BG106" i="13"/>
  <c r="BF106" i="13"/>
  <c r="BB106" i="13"/>
  <c r="BA106" i="13"/>
  <c r="AX106" i="13"/>
  <c r="CY106" i="13" s="1"/>
  <c r="E135" i="35" s="1"/>
  <c r="AW106" i="13"/>
  <c r="W135" i="35" s="1"/>
  <c r="AV106" i="13"/>
  <c r="T135" i="35" s="1"/>
  <c r="AN135" i="35" s="1"/>
  <c r="AS106" i="13"/>
  <c r="AR106" i="13"/>
  <c r="AQ106" i="13"/>
  <c r="AP106" i="13"/>
  <c r="AU135" i="35" s="1"/>
  <c r="AO106" i="13"/>
  <c r="AB106" i="13"/>
  <c r="O29" i="16" s="1"/>
  <c r="Z106" i="13"/>
  <c r="M29" i="16" s="1"/>
  <c r="X106" i="13"/>
  <c r="M27" i="16" s="1"/>
  <c r="V106" i="13"/>
  <c r="O21" i="16" s="1"/>
  <c r="T106" i="13"/>
  <c r="M21" i="16" s="1"/>
  <c r="R106" i="13"/>
  <c r="M19" i="16" s="1"/>
  <c r="O106" i="13"/>
  <c r="M106" i="13"/>
  <c r="K106" i="13"/>
  <c r="J8" i="22" s="1"/>
  <c r="J106" i="13"/>
  <c r="M5" i="16" s="1"/>
  <c r="F106" i="13"/>
  <c r="D106" i="13"/>
  <c r="CK135" i="35" s="1"/>
  <c r="CJ105" i="13"/>
  <c r="CH105" i="13"/>
  <c r="CC105" i="13"/>
  <c r="BW105" i="13"/>
  <c r="BQ105" i="13"/>
  <c r="AI134" i="35"/>
  <c r="BN105" i="13"/>
  <c r="AF134" i="35" s="1"/>
  <c r="BM105" i="13"/>
  <c r="BL105" i="13"/>
  <c r="BK105" i="13"/>
  <c r="BJ105" i="13"/>
  <c r="BT105" i="13" s="1"/>
  <c r="BG105" i="13"/>
  <c r="BF105" i="13"/>
  <c r="BB105" i="13"/>
  <c r="BA105" i="13"/>
  <c r="AX105" i="13"/>
  <c r="CY105" i="13" s="1"/>
  <c r="E134" i="35" s="1"/>
  <c r="AW105" i="13"/>
  <c r="W134" i="35" s="1"/>
  <c r="AV105" i="13"/>
  <c r="T134" i="35" s="1"/>
  <c r="AN134" i="35" s="1"/>
  <c r="AS105" i="13"/>
  <c r="AR105" i="13"/>
  <c r="AQ105" i="13"/>
  <c r="AP105" i="13"/>
  <c r="AU134" i="35" s="1"/>
  <c r="AO105" i="13"/>
  <c r="AB105" i="13"/>
  <c r="Z105" i="13"/>
  <c r="X105" i="13"/>
  <c r="V105" i="13"/>
  <c r="T105" i="13"/>
  <c r="R105" i="13"/>
  <c r="O105" i="13"/>
  <c r="BI105" i="13" s="1"/>
  <c r="M105" i="13"/>
  <c r="BH105" i="13" s="1"/>
  <c r="K105" i="13"/>
  <c r="J105" i="13"/>
  <c r="F105" i="13"/>
  <c r="CH134" i="35" s="1"/>
  <c r="D105" i="13"/>
  <c r="CK134" i="35" s="1"/>
  <c r="CJ104" i="13"/>
  <c r="CH104" i="13"/>
  <c r="CC104" i="13"/>
  <c r="BW104" i="13"/>
  <c r="BT104" i="13"/>
  <c r="BQ104" i="13"/>
  <c r="BO104" i="13"/>
  <c r="BN104" i="13"/>
  <c r="AF133" i="35" s="1"/>
  <c r="BM104" i="13"/>
  <c r="BL104" i="13"/>
  <c r="BK104" i="13"/>
  <c r="BJ104" i="13"/>
  <c r="BG104" i="13"/>
  <c r="BF104" i="13"/>
  <c r="BB104" i="13"/>
  <c r="BA104" i="13"/>
  <c r="AL133" i="35" s="1"/>
  <c r="AX104" i="13"/>
  <c r="CY104" i="13" s="1"/>
  <c r="E133" i="35" s="1"/>
  <c r="AW104" i="13"/>
  <c r="W133" i="35" s="1"/>
  <c r="AV104" i="13"/>
  <c r="T133" i="35" s="1"/>
  <c r="AN133" i="35" s="1"/>
  <c r="AS104" i="13"/>
  <c r="AR104" i="13"/>
  <c r="AQ104" i="13"/>
  <c r="AP104" i="13"/>
  <c r="AU133" i="35" s="1"/>
  <c r="AO104" i="13"/>
  <c r="AB104" i="13"/>
  <c r="Z104" i="13"/>
  <c r="X104" i="13"/>
  <c r="V104" i="13"/>
  <c r="T104" i="13"/>
  <c r="R104" i="13"/>
  <c r="O104" i="13"/>
  <c r="M104" i="13"/>
  <c r="BH104" i="13" s="1"/>
  <c r="K104" i="13"/>
  <c r="J104" i="13"/>
  <c r="F104" i="13"/>
  <c r="CH133" i="35" s="1"/>
  <c r="D104" i="13"/>
  <c r="CK133" i="35" s="1"/>
  <c r="CJ103" i="13"/>
  <c r="CH103" i="13"/>
  <c r="CC103" i="13"/>
  <c r="BW103" i="13"/>
  <c r="BQ103" i="13"/>
  <c r="BO103" i="13"/>
  <c r="AI132" i="35" s="1"/>
  <c r="BN103" i="13"/>
  <c r="AF132" i="35" s="1"/>
  <c r="BM103" i="13"/>
  <c r="BL103" i="13"/>
  <c r="BK103" i="13"/>
  <c r="BJ103" i="13"/>
  <c r="BT103" i="13" s="1"/>
  <c r="BG103" i="13"/>
  <c r="BF103" i="13"/>
  <c r="BB103" i="13"/>
  <c r="BA103" i="13"/>
  <c r="AL132" i="35" s="1"/>
  <c r="AX103" i="13"/>
  <c r="CY103" i="13" s="1"/>
  <c r="E132" i="35" s="1"/>
  <c r="AW103" i="13"/>
  <c r="W132" i="35" s="1"/>
  <c r="AV103" i="13"/>
  <c r="T132" i="35" s="1"/>
  <c r="AN132" i="35" s="1"/>
  <c r="AS103" i="13"/>
  <c r="AR103" i="13"/>
  <c r="AQ103" i="13"/>
  <c r="AP103" i="13"/>
  <c r="AU132" i="35" s="1"/>
  <c r="AO103" i="13"/>
  <c r="AB103" i="13"/>
  <c r="Z103" i="13"/>
  <c r="X103" i="13"/>
  <c r="V103" i="13"/>
  <c r="T103" i="13"/>
  <c r="R103" i="13"/>
  <c r="O103" i="13"/>
  <c r="BI103" i="13" s="1"/>
  <c r="M103" i="13"/>
  <c r="BH103" i="13" s="1"/>
  <c r="K103" i="13"/>
  <c r="J103" i="13"/>
  <c r="F103" i="13"/>
  <c r="D103" i="13"/>
  <c r="CK132" i="35" s="1"/>
  <c r="CJ102" i="13"/>
  <c r="CH102" i="13"/>
  <c r="CC102" i="13"/>
  <c r="BW102" i="13"/>
  <c r="BQ102" i="13"/>
  <c r="BO102" i="13"/>
  <c r="AI131" i="35" s="1"/>
  <c r="BN102" i="13"/>
  <c r="AF131" i="35" s="1"/>
  <c r="BM102" i="13"/>
  <c r="BL102" i="13"/>
  <c r="BK102" i="13"/>
  <c r="BJ102" i="13"/>
  <c r="BT102" i="13" s="1"/>
  <c r="BG102" i="13"/>
  <c r="BF102" i="13"/>
  <c r="BB102" i="13"/>
  <c r="BA102" i="13"/>
  <c r="AL131" i="35" s="1"/>
  <c r="AX102" i="13"/>
  <c r="CY102" i="13" s="1"/>
  <c r="E131" i="35" s="1"/>
  <c r="AW102" i="13"/>
  <c r="W131" i="35" s="1"/>
  <c r="AV102" i="13"/>
  <c r="T131" i="35" s="1"/>
  <c r="AN131" i="35" s="1"/>
  <c r="AS102" i="13"/>
  <c r="AR102" i="13"/>
  <c r="AQ102" i="13"/>
  <c r="AP102" i="13"/>
  <c r="AU131" i="35" s="1"/>
  <c r="AO102" i="13"/>
  <c r="AB102" i="13"/>
  <c r="Z102" i="13"/>
  <c r="X102" i="13"/>
  <c r="V102" i="13"/>
  <c r="T102" i="13"/>
  <c r="R102" i="13"/>
  <c r="O102" i="13"/>
  <c r="M102" i="13"/>
  <c r="K102" i="13"/>
  <c r="BE102" i="13" s="1"/>
  <c r="J102" i="13"/>
  <c r="F102" i="13"/>
  <c r="CH131" i="35" s="1"/>
  <c r="D102" i="13"/>
  <c r="CK131" i="35" s="1"/>
  <c r="CJ101" i="13"/>
  <c r="CH101" i="13"/>
  <c r="CC101" i="13"/>
  <c r="BW101" i="13"/>
  <c r="BQ101" i="13"/>
  <c r="BO101" i="13"/>
  <c r="BN101" i="13"/>
  <c r="AF130" i="35" s="1"/>
  <c r="BM101" i="13"/>
  <c r="BL101" i="13"/>
  <c r="BK101" i="13"/>
  <c r="BJ101" i="13"/>
  <c r="BT101" i="13" s="1"/>
  <c r="BG101" i="13"/>
  <c r="BF101" i="13"/>
  <c r="BB101" i="13"/>
  <c r="BA101" i="13"/>
  <c r="AL130" i="35" s="1"/>
  <c r="AX101" i="13"/>
  <c r="CY101" i="13" s="1"/>
  <c r="E130" i="35" s="1"/>
  <c r="AW101" i="13"/>
  <c r="W130" i="35" s="1"/>
  <c r="AV101" i="13"/>
  <c r="T130" i="35" s="1"/>
  <c r="AN130" i="35" s="1"/>
  <c r="AS101" i="13"/>
  <c r="AR101" i="13"/>
  <c r="AQ101" i="13"/>
  <c r="AP101" i="13"/>
  <c r="AU130" i="35" s="1"/>
  <c r="AO101" i="13"/>
  <c r="AB101" i="13"/>
  <c r="Z101" i="13"/>
  <c r="X101" i="13"/>
  <c r="V101" i="13"/>
  <c r="T101" i="13"/>
  <c r="R101" i="13"/>
  <c r="O101" i="13"/>
  <c r="BI101" i="13" s="1"/>
  <c r="M101" i="13"/>
  <c r="BH101" i="13" s="1"/>
  <c r="K101" i="13"/>
  <c r="J101" i="13"/>
  <c r="F101" i="13"/>
  <c r="D101" i="13"/>
  <c r="CK130" i="35" s="1"/>
  <c r="CJ100" i="13"/>
  <c r="CH100" i="13"/>
  <c r="CC100" i="13"/>
  <c r="BW100" i="13"/>
  <c r="BQ100" i="13"/>
  <c r="BO100" i="13"/>
  <c r="AI129" i="35" s="1"/>
  <c r="BN100" i="13"/>
  <c r="AF129" i="35" s="1"/>
  <c r="BM100" i="13"/>
  <c r="BL100" i="13"/>
  <c r="BK100" i="13"/>
  <c r="BJ100" i="13"/>
  <c r="BT100" i="13" s="1"/>
  <c r="BG100" i="13"/>
  <c r="BF100" i="13"/>
  <c r="BE100" i="13"/>
  <c r="BB100" i="13"/>
  <c r="BA100" i="13"/>
  <c r="AL129" i="35" s="1"/>
  <c r="AX100" i="13"/>
  <c r="CY100" i="13" s="1"/>
  <c r="E129" i="35" s="1"/>
  <c r="AW100" i="13"/>
  <c r="W129" i="35" s="1"/>
  <c r="AV100" i="13"/>
  <c r="T129" i="35" s="1"/>
  <c r="AN129" i="35" s="1"/>
  <c r="AS100" i="13"/>
  <c r="AR100" i="13"/>
  <c r="AQ100" i="13"/>
  <c r="AP100" i="13"/>
  <c r="AU129" i="35" s="1"/>
  <c r="AO100" i="13"/>
  <c r="AB100" i="13"/>
  <c r="Z100" i="13"/>
  <c r="X100" i="13"/>
  <c r="V100" i="13"/>
  <c r="T100" i="13"/>
  <c r="R100" i="13"/>
  <c r="O100" i="13"/>
  <c r="M100" i="13"/>
  <c r="K100" i="13"/>
  <c r="BD100" i="13" s="1"/>
  <c r="AR129" i="35" s="1"/>
  <c r="J100" i="13"/>
  <c r="F100" i="13"/>
  <c r="CH129" i="35" s="1"/>
  <c r="D100" i="13"/>
  <c r="CK129" i="35" s="1"/>
  <c r="CJ99" i="13"/>
  <c r="CH99" i="13"/>
  <c r="CC99" i="13"/>
  <c r="BW99" i="13"/>
  <c r="BQ99" i="13"/>
  <c r="BO99" i="13"/>
  <c r="AI128" i="35" s="1"/>
  <c r="BN99" i="13"/>
  <c r="AF128" i="35" s="1"/>
  <c r="BM99" i="13"/>
  <c r="BL99" i="13"/>
  <c r="BK99" i="13"/>
  <c r="BJ99" i="13"/>
  <c r="BT99" i="13" s="1"/>
  <c r="BG99" i="13"/>
  <c r="BF99" i="13"/>
  <c r="BB99" i="13"/>
  <c r="BA99" i="13"/>
  <c r="AL128" i="35" s="1"/>
  <c r="AX99" i="13"/>
  <c r="CY99" i="13" s="1"/>
  <c r="E128" i="35" s="1"/>
  <c r="AW99" i="13"/>
  <c r="W128" i="35" s="1"/>
  <c r="AV99" i="13"/>
  <c r="T128" i="35" s="1"/>
  <c r="AN128" i="35" s="1"/>
  <c r="AS99" i="13"/>
  <c r="AR99" i="13"/>
  <c r="AQ99" i="13"/>
  <c r="AP99" i="13"/>
  <c r="AU128" i="35" s="1"/>
  <c r="AO99" i="13"/>
  <c r="AB99" i="13"/>
  <c r="Z99" i="13"/>
  <c r="X99" i="13"/>
  <c r="V99" i="13"/>
  <c r="T99" i="13"/>
  <c r="R99" i="13"/>
  <c r="O99" i="13"/>
  <c r="BI99" i="13" s="1"/>
  <c r="M99" i="13"/>
  <c r="BH99" i="13" s="1"/>
  <c r="K99" i="13"/>
  <c r="I13" i="22" s="1"/>
  <c r="J99" i="13"/>
  <c r="F99" i="13"/>
  <c r="D99" i="13"/>
  <c r="CK128" i="35" s="1"/>
  <c r="CJ98" i="13"/>
  <c r="CH98" i="13"/>
  <c r="CC98" i="13"/>
  <c r="BW98" i="13"/>
  <c r="BQ98" i="13"/>
  <c r="BO98" i="13"/>
  <c r="AI127" i="35" s="1"/>
  <c r="BN98" i="13"/>
  <c r="AF127" i="35" s="1"/>
  <c r="BM98" i="13"/>
  <c r="BL98" i="13"/>
  <c r="BK98" i="13"/>
  <c r="BJ98" i="13"/>
  <c r="BT98" i="13" s="1"/>
  <c r="BG98" i="13"/>
  <c r="BF98" i="13"/>
  <c r="BB98" i="13"/>
  <c r="BA98" i="13"/>
  <c r="AL127" i="35" s="1"/>
  <c r="AX98" i="13"/>
  <c r="CY98" i="13" s="1"/>
  <c r="E127" i="35" s="1"/>
  <c r="AW98" i="13"/>
  <c r="W127" i="35" s="1"/>
  <c r="AV98" i="13"/>
  <c r="T127" i="35" s="1"/>
  <c r="AN127" i="35" s="1"/>
  <c r="AS98" i="13"/>
  <c r="AR98" i="13"/>
  <c r="AQ98" i="13"/>
  <c r="AP98" i="13"/>
  <c r="AU127" i="35" s="1"/>
  <c r="AO98" i="13"/>
  <c r="AB98" i="13"/>
  <c r="Z98" i="13"/>
  <c r="X98" i="13"/>
  <c r="V98" i="13"/>
  <c r="T98" i="13"/>
  <c r="R98" i="13"/>
  <c r="O98" i="13"/>
  <c r="M98" i="13"/>
  <c r="K98" i="13"/>
  <c r="BD98" i="13" s="1"/>
  <c r="AR127" i="35" s="1"/>
  <c r="J98" i="13"/>
  <c r="F98" i="13"/>
  <c r="D98" i="13"/>
  <c r="CK127" i="35" s="1"/>
  <c r="CJ97" i="13"/>
  <c r="CH97" i="13"/>
  <c r="CC97" i="13"/>
  <c r="BW97" i="13"/>
  <c r="BQ97" i="13"/>
  <c r="BO97" i="13"/>
  <c r="AI126" i="35" s="1"/>
  <c r="BN97" i="13"/>
  <c r="AF126" i="35" s="1"/>
  <c r="BM97" i="13"/>
  <c r="BL97" i="13"/>
  <c r="BK97" i="13"/>
  <c r="BJ97" i="13"/>
  <c r="BT97" i="13" s="1"/>
  <c r="BG97" i="13"/>
  <c r="BF97" i="13"/>
  <c r="BE97" i="13"/>
  <c r="BB97" i="13"/>
  <c r="BA97" i="13"/>
  <c r="AL126" i="35" s="1"/>
  <c r="AY97" i="13"/>
  <c r="AX97" i="13"/>
  <c r="CY97" i="13" s="1"/>
  <c r="E126" i="35" s="1"/>
  <c r="AW97" i="13"/>
  <c r="W126" i="35" s="1"/>
  <c r="AV97" i="13"/>
  <c r="T126" i="35" s="1"/>
  <c r="AN126" i="35" s="1"/>
  <c r="AS97" i="13"/>
  <c r="AR97" i="13"/>
  <c r="AQ97" i="13"/>
  <c r="AP97" i="13"/>
  <c r="AO97" i="13"/>
  <c r="AB97" i="13"/>
  <c r="Z97" i="13"/>
  <c r="X97" i="13"/>
  <c r="V97" i="13"/>
  <c r="T97" i="13"/>
  <c r="R97" i="13"/>
  <c r="O97" i="13"/>
  <c r="M97" i="13"/>
  <c r="BH97" i="13" s="1"/>
  <c r="K97" i="13"/>
  <c r="J97" i="13"/>
  <c r="F97" i="13"/>
  <c r="D97" i="13"/>
  <c r="CK126" i="35" s="1"/>
  <c r="CJ96" i="13"/>
  <c r="CH96" i="13"/>
  <c r="CC96" i="13"/>
  <c r="BW96" i="13"/>
  <c r="BQ96" i="13"/>
  <c r="BO96" i="13"/>
  <c r="AI125" i="35" s="1"/>
  <c r="BN96" i="13"/>
  <c r="AF125" i="35" s="1"/>
  <c r="BM96" i="13"/>
  <c r="BL96" i="13"/>
  <c r="BK96" i="13"/>
  <c r="BJ96" i="13"/>
  <c r="BT96" i="13" s="1"/>
  <c r="BG96" i="13"/>
  <c r="BF96" i="13"/>
  <c r="BB96" i="13"/>
  <c r="BA96" i="13"/>
  <c r="AL125" i="35" s="1"/>
  <c r="AX96" i="13"/>
  <c r="CY96" i="13" s="1"/>
  <c r="E125" i="35" s="1"/>
  <c r="AW96" i="13"/>
  <c r="W125" i="35" s="1"/>
  <c r="AV96" i="13"/>
  <c r="T125" i="35" s="1"/>
  <c r="AN125" i="35" s="1"/>
  <c r="AS96" i="13"/>
  <c r="AR96" i="13"/>
  <c r="AQ96" i="13"/>
  <c r="AP96" i="13"/>
  <c r="AU125" i="35" s="1"/>
  <c r="AO96" i="13"/>
  <c r="AB96" i="13"/>
  <c r="Z96" i="13"/>
  <c r="X96" i="13"/>
  <c r="V96" i="13"/>
  <c r="T96" i="13"/>
  <c r="R96" i="13"/>
  <c r="O96" i="13"/>
  <c r="M96" i="13"/>
  <c r="K96" i="13"/>
  <c r="BD96" i="13" s="1"/>
  <c r="AR125" i="35" s="1"/>
  <c r="J96" i="13"/>
  <c r="F96" i="13"/>
  <c r="CH125" i="35" s="1"/>
  <c r="D96" i="13"/>
  <c r="CK125" i="35" s="1"/>
  <c r="CJ95" i="13"/>
  <c r="CH95" i="13"/>
  <c r="CC95" i="13"/>
  <c r="BW95" i="13"/>
  <c r="BQ95" i="13"/>
  <c r="BO95" i="13"/>
  <c r="BN95" i="13"/>
  <c r="AF124" i="35" s="1"/>
  <c r="BM95" i="13"/>
  <c r="BL95" i="13"/>
  <c r="BK95" i="13"/>
  <c r="BJ95" i="13"/>
  <c r="BT95" i="13" s="1"/>
  <c r="BG95" i="13"/>
  <c r="BF95" i="13"/>
  <c r="BB95" i="13"/>
  <c r="CV96" i="13" s="1"/>
  <c r="BA95" i="13"/>
  <c r="AX95" i="13"/>
  <c r="CY95" i="13" s="1"/>
  <c r="E124" i="35" s="1"/>
  <c r="AW95" i="13"/>
  <c r="W124" i="35" s="1"/>
  <c r="AV95" i="13"/>
  <c r="T124" i="35" s="1"/>
  <c r="AN124" i="35" s="1"/>
  <c r="AS95" i="13"/>
  <c r="AR95" i="13"/>
  <c r="AQ95" i="13"/>
  <c r="AP95" i="13"/>
  <c r="AU124" i="35" s="1"/>
  <c r="AO95" i="13"/>
  <c r="AB95" i="13"/>
  <c r="Z95" i="13"/>
  <c r="X95" i="13"/>
  <c r="V95" i="13"/>
  <c r="T95" i="13"/>
  <c r="R95" i="13"/>
  <c r="O95" i="13"/>
  <c r="BI95" i="13" s="1"/>
  <c r="M95" i="13"/>
  <c r="BH95" i="13" s="1"/>
  <c r="K95" i="13"/>
  <c r="AY95" i="13" s="1"/>
  <c r="J95" i="13"/>
  <c r="F95" i="13"/>
  <c r="CH124" i="35" s="1"/>
  <c r="D95" i="13"/>
  <c r="CJ94" i="13"/>
  <c r="CH94" i="13"/>
  <c r="CC94" i="13"/>
  <c r="BW94" i="13"/>
  <c r="BQ94" i="13"/>
  <c r="BO94" i="13"/>
  <c r="AI123" i="35" s="1"/>
  <c r="BN94" i="13"/>
  <c r="AF123" i="35" s="1"/>
  <c r="BM94" i="13"/>
  <c r="BL94" i="13"/>
  <c r="BK94" i="13"/>
  <c r="BJ94" i="13"/>
  <c r="BT94" i="13" s="1"/>
  <c r="BI94" i="13"/>
  <c r="BG94" i="13"/>
  <c r="BF94" i="13"/>
  <c r="BB94" i="13"/>
  <c r="BA94" i="13"/>
  <c r="AL123" i="35" s="1"/>
  <c r="AX94" i="13"/>
  <c r="CY94" i="13" s="1"/>
  <c r="E123" i="35" s="1"/>
  <c r="AW94" i="13"/>
  <c r="W123" i="35" s="1"/>
  <c r="AV94" i="13"/>
  <c r="T123" i="35" s="1"/>
  <c r="AN123" i="35" s="1"/>
  <c r="AS94" i="13"/>
  <c r="AR94" i="13"/>
  <c r="AQ94" i="13"/>
  <c r="AP94" i="13"/>
  <c r="AU123" i="35" s="1"/>
  <c r="AO94" i="13"/>
  <c r="AB94" i="13"/>
  <c r="Z94" i="13"/>
  <c r="X94" i="13"/>
  <c r="V94" i="13"/>
  <c r="T94" i="13"/>
  <c r="R94" i="13"/>
  <c r="O94" i="13"/>
  <c r="M94" i="13"/>
  <c r="BH94" i="13" s="1"/>
  <c r="K94" i="13"/>
  <c r="AT94" i="13" s="1"/>
  <c r="K123" i="35" s="1"/>
  <c r="J94" i="13"/>
  <c r="F94" i="13"/>
  <c r="CH123" i="35" s="1"/>
  <c r="D94" i="13"/>
  <c r="CK123" i="35" s="1"/>
  <c r="CJ93" i="13"/>
  <c r="CH93" i="13"/>
  <c r="CC93" i="13"/>
  <c r="BW93" i="13"/>
  <c r="BQ93" i="13"/>
  <c r="BO93" i="13"/>
  <c r="BN93" i="13"/>
  <c r="AF122" i="35" s="1"/>
  <c r="BM93" i="13"/>
  <c r="BL93" i="13"/>
  <c r="BK93" i="13"/>
  <c r="BJ93" i="13"/>
  <c r="BT93" i="13" s="1"/>
  <c r="BG93" i="13"/>
  <c r="BF93" i="13"/>
  <c r="BC93" i="13"/>
  <c r="AO122" i="35" s="1"/>
  <c r="BB93" i="13"/>
  <c r="BA93" i="13"/>
  <c r="AX93" i="13"/>
  <c r="CY93" i="13" s="1"/>
  <c r="E122" i="35" s="1"/>
  <c r="AW93" i="13"/>
  <c r="W122" i="35" s="1"/>
  <c r="AV93" i="13"/>
  <c r="T122" i="35" s="1"/>
  <c r="AN122" i="35" s="1"/>
  <c r="AS93" i="13"/>
  <c r="AR93" i="13"/>
  <c r="AQ93" i="13"/>
  <c r="AP93" i="13"/>
  <c r="AU122" i="35" s="1"/>
  <c r="AO93" i="13"/>
  <c r="AB93" i="13"/>
  <c r="Z93" i="13"/>
  <c r="X93" i="13"/>
  <c r="V93" i="13"/>
  <c r="T93" i="13"/>
  <c r="R93" i="13"/>
  <c r="O93" i="13"/>
  <c r="M93" i="13"/>
  <c r="K93" i="13"/>
  <c r="J93" i="13"/>
  <c r="F93" i="13"/>
  <c r="CH122" i="35" s="1"/>
  <c r="D93" i="13"/>
  <c r="CK122" i="35" s="1"/>
  <c r="CJ92" i="13"/>
  <c r="CK92" i="13" s="1"/>
  <c r="CH92" i="13"/>
  <c r="CC92" i="13"/>
  <c r="BQ92" i="13"/>
  <c r="BO92" i="13"/>
  <c r="AI121" i="35" s="1"/>
  <c r="BN92" i="13"/>
  <c r="AF121" i="35" s="1"/>
  <c r="BM92" i="13"/>
  <c r="BL92" i="13"/>
  <c r="BK92" i="13"/>
  <c r="BJ92" i="13"/>
  <c r="BT92" i="13" s="1"/>
  <c r="BG92" i="13"/>
  <c r="BF92" i="13"/>
  <c r="BB92" i="13"/>
  <c r="BA92" i="13"/>
  <c r="AL121" i="35" s="1"/>
  <c r="AX92" i="13"/>
  <c r="CY92" i="13" s="1"/>
  <c r="E121" i="35" s="1"/>
  <c r="AW92" i="13"/>
  <c r="W121" i="35" s="1"/>
  <c r="AV92" i="13"/>
  <c r="T121" i="35" s="1"/>
  <c r="AN121" i="35" s="1"/>
  <c r="AS92" i="13"/>
  <c r="AR92" i="13"/>
  <c r="AQ92" i="13"/>
  <c r="AP92" i="13"/>
  <c r="AU121" i="35" s="1"/>
  <c r="AO92" i="13"/>
  <c r="AB92" i="13"/>
  <c r="Z92" i="13"/>
  <c r="X92" i="13"/>
  <c r="V92" i="13"/>
  <c r="T92" i="13"/>
  <c r="R92" i="13"/>
  <c r="O92" i="13"/>
  <c r="M92" i="13"/>
  <c r="BH92" i="13" s="1"/>
  <c r="K92" i="13"/>
  <c r="BC92" i="13" s="1"/>
  <c r="AO121" i="35" s="1"/>
  <c r="J92" i="13"/>
  <c r="F92" i="13"/>
  <c r="CH121" i="35" s="1"/>
  <c r="D92" i="13"/>
  <c r="CK121" i="35" s="1"/>
  <c r="CJ91" i="13"/>
  <c r="CH91" i="13"/>
  <c r="CC91" i="13"/>
  <c r="BO91" i="13"/>
  <c r="BN91" i="13"/>
  <c r="AF120" i="35" s="1"/>
  <c r="BM91" i="13"/>
  <c r="BL91" i="13"/>
  <c r="BK91" i="13"/>
  <c r="BJ91" i="13"/>
  <c r="BT91" i="13" s="1"/>
  <c r="BG91" i="13"/>
  <c r="BF91" i="13"/>
  <c r="BB91" i="13"/>
  <c r="BA91" i="13"/>
  <c r="AX91" i="13"/>
  <c r="CY91" i="13" s="1"/>
  <c r="E120" i="35" s="1"/>
  <c r="AW91" i="13"/>
  <c r="W120" i="35" s="1"/>
  <c r="AV91" i="13"/>
  <c r="T120" i="35" s="1"/>
  <c r="AN120" i="35" s="1"/>
  <c r="AS91" i="13"/>
  <c r="AR91" i="13"/>
  <c r="AQ91" i="13"/>
  <c r="AO91" i="13"/>
  <c r="AB91" i="13"/>
  <c r="Z91" i="13"/>
  <c r="X91" i="13"/>
  <c r="V91" i="13"/>
  <c r="T91" i="13"/>
  <c r="R91" i="13"/>
  <c r="O91" i="13"/>
  <c r="BI91" i="13" s="1"/>
  <c r="M91" i="13"/>
  <c r="BH91" i="13" s="1"/>
  <c r="K91" i="13"/>
  <c r="BD91" i="13" s="1"/>
  <c r="AR120" i="35" s="1"/>
  <c r="D91" i="13"/>
  <c r="CK120" i="35" s="1"/>
  <c r="CJ90" i="13"/>
  <c r="CH90" i="13"/>
  <c r="CC90" i="13"/>
  <c r="BO90" i="13"/>
  <c r="AI119" i="35" s="1"/>
  <c r="BN90" i="13"/>
  <c r="AF119" i="35" s="1"/>
  <c r="BM90" i="13"/>
  <c r="BL90" i="13"/>
  <c r="BK90" i="13"/>
  <c r="BJ90" i="13"/>
  <c r="BT90" i="13" s="1"/>
  <c r="BG90" i="13"/>
  <c r="BF90" i="13"/>
  <c r="BB90" i="13"/>
  <c r="BA90" i="13"/>
  <c r="AL119" i="35" s="1"/>
  <c r="AX90" i="13"/>
  <c r="CY90" i="13" s="1"/>
  <c r="E119" i="35" s="1"/>
  <c r="AW90" i="13"/>
  <c r="W119" i="35" s="1"/>
  <c r="AV90" i="13"/>
  <c r="T119" i="35" s="1"/>
  <c r="AN119" i="35" s="1"/>
  <c r="AS90" i="13"/>
  <c r="AR90" i="13"/>
  <c r="AQ90" i="13"/>
  <c r="AP90" i="13"/>
  <c r="AU119" i="35" s="1"/>
  <c r="AO90" i="13"/>
  <c r="AB90" i="13"/>
  <c r="Z90" i="13"/>
  <c r="X90" i="13"/>
  <c r="V90" i="13"/>
  <c r="T90" i="13"/>
  <c r="R90" i="13"/>
  <c r="O90" i="13"/>
  <c r="BI90" i="13" s="1"/>
  <c r="M90" i="13"/>
  <c r="BH90" i="13" s="1"/>
  <c r="K90" i="13"/>
  <c r="F90" i="13"/>
  <c r="D90" i="13"/>
  <c r="CK119" i="35" s="1"/>
  <c r="CJ89" i="13"/>
  <c r="CH89" i="13"/>
  <c r="CC89" i="13"/>
  <c r="BO89" i="13"/>
  <c r="BN89" i="13"/>
  <c r="AF118" i="35" s="1"/>
  <c r="BM89" i="13"/>
  <c r="BL89" i="13"/>
  <c r="BK89" i="13"/>
  <c r="BJ89" i="13"/>
  <c r="BT89" i="13" s="1"/>
  <c r="BG89" i="13"/>
  <c r="BF89" i="13"/>
  <c r="BB89" i="13"/>
  <c r="CV90" i="13" s="1"/>
  <c r="BA89" i="13"/>
  <c r="AX89" i="13"/>
  <c r="CY89" i="13" s="1"/>
  <c r="E118" i="35" s="1"/>
  <c r="AW89" i="13"/>
  <c r="W118" i="35" s="1"/>
  <c r="AV89" i="13"/>
  <c r="T118" i="35" s="1"/>
  <c r="AN118" i="35" s="1"/>
  <c r="AS89" i="13"/>
  <c r="AR89" i="13"/>
  <c r="AQ89" i="13"/>
  <c r="AP89" i="13"/>
  <c r="AU118" i="35" s="1"/>
  <c r="AO89" i="13"/>
  <c r="AB89" i="13"/>
  <c r="Z89" i="13"/>
  <c r="X89" i="13"/>
  <c r="V89" i="13"/>
  <c r="T89" i="13"/>
  <c r="R89" i="13"/>
  <c r="O89" i="13"/>
  <c r="M89" i="13"/>
  <c r="BH89" i="13" s="1"/>
  <c r="K89" i="13"/>
  <c r="AT89" i="13" s="1"/>
  <c r="K118" i="35" s="1"/>
  <c r="F89" i="13"/>
  <c r="CH118" i="35" s="1"/>
  <c r="D89" i="13"/>
  <c r="CK118" i="35" s="1"/>
  <c r="CJ88" i="13"/>
  <c r="CH88" i="13"/>
  <c r="CC88" i="13"/>
  <c r="BO88" i="13"/>
  <c r="AI117" i="35" s="1"/>
  <c r="BN88" i="13"/>
  <c r="AF117" i="35" s="1"/>
  <c r="BM88" i="13"/>
  <c r="BL88" i="13"/>
  <c r="BK88" i="13"/>
  <c r="BJ88" i="13"/>
  <c r="BT88" i="13" s="1"/>
  <c r="BG88" i="13"/>
  <c r="BF88" i="13"/>
  <c r="BB88" i="13"/>
  <c r="BA88" i="13"/>
  <c r="AL117" i="35" s="1"/>
  <c r="AX88" i="13"/>
  <c r="CY88" i="13" s="1"/>
  <c r="E117" i="35" s="1"/>
  <c r="AW88" i="13"/>
  <c r="W117" i="35" s="1"/>
  <c r="AV88" i="13"/>
  <c r="T117" i="35" s="1"/>
  <c r="AN117" i="35" s="1"/>
  <c r="AS88" i="13"/>
  <c r="AR88" i="13"/>
  <c r="AQ88" i="13"/>
  <c r="AP88" i="13"/>
  <c r="AU117" i="35" s="1"/>
  <c r="AO88" i="13"/>
  <c r="AB88" i="13"/>
  <c r="Z88" i="13"/>
  <c r="X88" i="13"/>
  <c r="V88" i="13"/>
  <c r="T88" i="13"/>
  <c r="R88" i="13"/>
  <c r="O88" i="13"/>
  <c r="M88" i="13"/>
  <c r="BH88" i="13" s="1"/>
  <c r="K88" i="13"/>
  <c r="BE88" i="13" s="1"/>
  <c r="F88" i="13"/>
  <c r="CH117" i="35" s="1"/>
  <c r="D88" i="13"/>
  <c r="CK117" i="35" s="1"/>
  <c r="CJ87" i="13"/>
  <c r="CH87" i="13"/>
  <c r="CC87" i="13"/>
  <c r="BO87" i="13"/>
  <c r="BN87" i="13"/>
  <c r="AF116" i="35" s="1"/>
  <c r="BM87" i="13"/>
  <c r="BL87" i="13"/>
  <c r="BK87" i="13"/>
  <c r="BJ87" i="13"/>
  <c r="BT87" i="13" s="1"/>
  <c r="BG87" i="13"/>
  <c r="BF87" i="13"/>
  <c r="BB87" i="13"/>
  <c r="BA87" i="13"/>
  <c r="AL116" i="35" s="1"/>
  <c r="AX87" i="13"/>
  <c r="CY87" i="13" s="1"/>
  <c r="E116" i="35" s="1"/>
  <c r="AW87" i="13"/>
  <c r="W116" i="35" s="1"/>
  <c r="AV87" i="13"/>
  <c r="T116" i="35" s="1"/>
  <c r="AN116" i="35" s="1"/>
  <c r="AS87" i="13"/>
  <c r="AR87" i="13"/>
  <c r="AQ87" i="13"/>
  <c r="AP87" i="13"/>
  <c r="AU116" i="35" s="1"/>
  <c r="AO87" i="13"/>
  <c r="AB87" i="13"/>
  <c r="Z87" i="13"/>
  <c r="X87" i="13"/>
  <c r="V87" i="13"/>
  <c r="T87" i="13"/>
  <c r="R87" i="13"/>
  <c r="O87" i="13"/>
  <c r="BI87" i="13" s="1"/>
  <c r="M87" i="13"/>
  <c r="BH87" i="13" s="1"/>
  <c r="K87" i="13"/>
  <c r="D87" i="13"/>
  <c r="CK116" i="35" s="1"/>
  <c r="CJ86" i="13"/>
  <c r="CH86" i="13"/>
  <c r="CC86" i="13"/>
  <c r="BO86" i="13"/>
  <c r="BN86" i="13"/>
  <c r="AF115" i="35" s="1"/>
  <c r="BM86" i="13"/>
  <c r="BL86" i="13"/>
  <c r="BK86" i="13"/>
  <c r="BJ86" i="13"/>
  <c r="BT86" i="13" s="1"/>
  <c r="BG86" i="13"/>
  <c r="BF86" i="13"/>
  <c r="BB86" i="13"/>
  <c r="BA86" i="13"/>
  <c r="AL115" i="35" s="1"/>
  <c r="AX86" i="13"/>
  <c r="CY86" i="13" s="1"/>
  <c r="E115" i="35" s="1"/>
  <c r="AW86" i="13"/>
  <c r="W115" i="35" s="1"/>
  <c r="AV86" i="13"/>
  <c r="T115" i="35" s="1"/>
  <c r="AN115" i="35" s="1"/>
  <c r="AS86" i="13"/>
  <c r="AR86" i="13"/>
  <c r="AQ86" i="13"/>
  <c r="AP86" i="13"/>
  <c r="AU115" i="35" s="1"/>
  <c r="AO86" i="13"/>
  <c r="AB86" i="13"/>
  <c r="Z86" i="13"/>
  <c r="X86" i="13"/>
  <c r="V86" i="13"/>
  <c r="T86" i="13"/>
  <c r="R86" i="13"/>
  <c r="O86" i="13"/>
  <c r="M86" i="13"/>
  <c r="BH86" i="13" s="1"/>
  <c r="K86" i="13"/>
  <c r="F86" i="13"/>
  <c r="CH115" i="35" s="1"/>
  <c r="D86" i="13"/>
  <c r="CK115" i="35" s="1"/>
  <c r="CJ85" i="13"/>
  <c r="CH85" i="13"/>
  <c r="CC85" i="13"/>
  <c r="BO85" i="13"/>
  <c r="BN85" i="13"/>
  <c r="AF114" i="35" s="1"/>
  <c r="BM85" i="13"/>
  <c r="BL85" i="13"/>
  <c r="BK85" i="13"/>
  <c r="BJ85" i="13"/>
  <c r="BT85" i="13" s="1"/>
  <c r="BG85" i="13"/>
  <c r="BF85" i="13"/>
  <c r="BB85" i="13"/>
  <c r="BA85" i="13"/>
  <c r="AX85" i="13"/>
  <c r="CY85" i="13" s="1"/>
  <c r="E114" i="35" s="1"/>
  <c r="AW85" i="13"/>
  <c r="W114" i="35" s="1"/>
  <c r="AV85" i="13"/>
  <c r="T114" i="35" s="1"/>
  <c r="AN114" i="35" s="1"/>
  <c r="AS85" i="13"/>
  <c r="AR85" i="13"/>
  <c r="AQ85" i="13"/>
  <c r="AP85" i="13"/>
  <c r="AU114" i="35" s="1"/>
  <c r="AO85" i="13"/>
  <c r="AB85" i="13"/>
  <c r="Z85" i="13"/>
  <c r="X85" i="13"/>
  <c r="V85" i="13"/>
  <c r="T85" i="13"/>
  <c r="R85" i="13"/>
  <c r="O85" i="13"/>
  <c r="BI85" i="13" s="1"/>
  <c r="M85" i="13"/>
  <c r="K85" i="13"/>
  <c r="AT85" i="13" s="1"/>
  <c r="K114" i="35" s="1"/>
  <c r="F85" i="13"/>
  <c r="D85" i="13"/>
  <c r="CK114" i="35" s="1"/>
  <c r="CJ84" i="13"/>
  <c r="CK84" i="13" s="1"/>
  <c r="CH84" i="13"/>
  <c r="CC84" i="13"/>
  <c r="BT84" i="13"/>
  <c r="BO84" i="13"/>
  <c r="BN84" i="13"/>
  <c r="AF113" i="35" s="1"/>
  <c r="BM84" i="13"/>
  <c r="BL84" i="13"/>
  <c r="BK84" i="13"/>
  <c r="BJ84" i="13"/>
  <c r="BG84" i="13"/>
  <c r="BF84" i="13"/>
  <c r="BD84" i="13"/>
  <c r="AR113" i="35" s="1"/>
  <c r="BC84" i="13"/>
  <c r="AO113" i="35" s="1"/>
  <c r="BB84" i="13"/>
  <c r="BA84" i="13"/>
  <c r="AL113" i="35" s="1"/>
  <c r="AY84" i="13"/>
  <c r="AX84" i="13"/>
  <c r="CY84" i="13" s="1"/>
  <c r="E113" i="35" s="1"/>
  <c r="AW84" i="13"/>
  <c r="W113" i="35" s="1"/>
  <c r="AV84" i="13"/>
  <c r="T113" i="35" s="1"/>
  <c r="AN113" i="35" s="1"/>
  <c r="AS84" i="13"/>
  <c r="AR84" i="13"/>
  <c r="AQ84" i="13"/>
  <c r="AP84" i="13"/>
  <c r="AU113" i="35" s="1"/>
  <c r="AO84" i="13"/>
  <c r="AB84" i="13"/>
  <c r="Z84" i="13"/>
  <c r="X84" i="13"/>
  <c r="V84" i="13"/>
  <c r="T84" i="13"/>
  <c r="R84" i="13"/>
  <c r="O84" i="13"/>
  <c r="BI84" i="13" s="1"/>
  <c r="M84" i="13"/>
  <c r="BH84" i="13" s="1"/>
  <c r="K84" i="13"/>
  <c r="BE84" i="13" s="1"/>
  <c r="F84" i="13"/>
  <c r="D84" i="13"/>
  <c r="CK113" i="35" s="1"/>
  <c r="CJ83" i="13"/>
  <c r="CK83" i="13" s="1"/>
  <c r="CH83" i="13"/>
  <c r="CC83" i="13"/>
  <c r="BO83" i="13"/>
  <c r="AI112" i="35" s="1"/>
  <c r="BN83" i="13"/>
  <c r="AF112" i="35" s="1"/>
  <c r="BM83" i="13"/>
  <c r="BL83" i="13"/>
  <c r="BK83" i="13"/>
  <c r="BJ83" i="13"/>
  <c r="BT83" i="13" s="1"/>
  <c r="BG83" i="13"/>
  <c r="BF83" i="13"/>
  <c r="BE83" i="13"/>
  <c r="BB83" i="13"/>
  <c r="CV84" i="13" s="1"/>
  <c r="BA83" i="13"/>
  <c r="AX83" i="13"/>
  <c r="CY83" i="13" s="1"/>
  <c r="E112" i="35" s="1"/>
  <c r="AS83" i="13"/>
  <c r="AR83" i="13"/>
  <c r="AQ83" i="13"/>
  <c r="AP83" i="13"/>
  <c r="AU112" i="35" s="1"/>
  <c r="AO83" i="13"/>
  <c r="AB83" i="13"/>
  <c r="Z83" i="13"/>
  <c r="X83" i="13"/>
  <c r="V83" i="13"/>
  <c r="T83" i="13"/>
  <c r="R83" i="13"/>
  <c r="O83" i="13"/>
  <c r="M83" i="13"/>
  <c r="K83" i="13"/>
  <c r="AY83" i="13" s="1"/>
  <c r="F83" i="13"/>
  <c r="CH112" i="35" s="1"/>
  <c r="D83" i="13"/>
  <c r="CJ82" i="13"/>
  <c r="CK82" i="13" s="1"/>
  <c r="CH82" i="13"/>
  <c r="CC82" i="13"/>
  <c r="BO82" i="13"/>
  <c r="BN82" i="13"/>
  <c r="AF111" i="35" s="1"/>
  <c r="BM82" i="13"/>
  <c r="BL82" i="13"/>
  <c r="BK82" i="13"/>
  <c r="BJ82" i="13"/>
  <c r="BT82" i="13" s="1"/>
  <c r="BG82" i="13"/>
  <c r="BF82" i="13"/>
  <c r="AX82" i="13"/>
  <c r="CY82" i="13" s="1"/>
  <c r="E111" i="35" s="1"/>
  <c r="AW82" i="13"/>
  <c r="AV82" i="13"/>
  <c r="AS82" i="13"/>
  <c r="AR82" i="13"/>
  <c r="AQ82" i="13"/>
  <c r="AP82" i="13"/>
  <c r="AU111" i="35" s="1"/>
  <c r="AB82" i="13"/>
  <c r="Z82" i="13"/>
  <c r="X82" i="13"/>
  <c r="V82" i="13"/>
  <c r="T82" i="13"/>
  <c r="R82" i="13"/>
  <c r="O82" i="13"/>
  <c r="M82" i="13"/>
  <c r="BH82" i="13" s="1"/>
  <c r="K82" i="13"/>
  <c r="BE82" i="13" s="1"/>
  <c r="F82" i="13"/>
  <c r="D82" i="13"/>
  <c r="CK111" i="35" s="1"/>
  <c r="CJ81" i="13"/>
  <c r="CH81" i="13"/>
  <c r="BO81" i="13"/>
  <c r="BM81" i="13"/>
  <c r="BL81" i="13"/>
  <c r="BK81" i="13"/>
  <c r="BJ81" i="13"/>
  <c r="BT81" i="13" s="1"/>
  <c r="BG81" i="13"/>
  <c r="E110" i="35"/>
  <c r="AW81" i="13"/>
  <c r="AS81" i="13"/>
  <c r="AR81" i="13"/>
  <c r="AP81" i="13"/>
  <c r="AU110" i="35" s="1"/>
  <c r="AO81" i="13"/>
  <c r="BV82" i="13" s="1"/>
  <c r="AB81" i="13"/>
  <c r="Z81" i="13"/>
  <c r="X81" i="13"/>
  <c r="V81" i="13"/>
  <c r="T81" i="13"/>
  <c r="R81" i="13"/>
  <c r="O81" i="13"/>
  <c r="P82" i="13" s="1"/>
  <c r="M81" i="13"/>
  <c r="BH81" i="13" s="1"/>
  <c r="K81" i="13"/>
  <c r="F81" i="13"/>
  <c r="D81" i="13"/>
  <c r="CK110" i="35" s="1"/>
  <c r="CJ80" i="13"/>
  <c r="CC80" i="13"/>
  <c r="BV80" i="13"/>
  <c r="BM80" i="13"/>
  <c r="BL80" i="13"/>
  <c r="BK80" i="13"/>
  <c r="BJ80" i="13"/>
  <c r="BT80" i="13" s="1"/>
  <c r="AX80" i="13"/>
  <c r="AS80" i="13"/>
  <c r="AR80" i="13"/>
  <c r="AB80" i="13"/>
  <c r="Z80" i="13"/>
  <c r="X80" i="13"/>
  <c r="V80" i="13"/>
  <c r="T80" i="13"/>
  <c r="R80" i="13"/>
  <c r="P80" i="13"/>
  <c r="M80" i="13"/>
  <c r="K80" i="13"/>
  <c r="AY80" i="13" s="1"/>
  <c r="F80" i="13"/>
  <c r="D80" i="13"/>
  <c r="CJ79" i="13"/>
  <c r="CC79" i="13"/>
  <c r="BV79" i="13"/>
  <c r="BM79" i="13"/>
  <c r="BL79" i="13"/>
  <c r="BK79" i="13"/>
  <c r="BJ79" i="13"/>
  <c r="BT79" i="13" s="1"/>
  <c r="AR79" i="13"/>
  <c r="AB79" i="13"/>
  <c r="Z79" i="13"/>
  <c r="X79" i="13"/>
  <c r="V79" i="13"/>
  <c r="T79" i="13"/>
  <c r="R79" i="13"/>
  <c r="P79" i="13"/>
  <c r="M79" i="13"/>
  <c r="K79" i="13"/>
  <c r="H5" i="22" s="1"/>
  <c r="F79" i="13"/>
  <c r="D79" i="13"/>
  <c r="CJ78" i="13"/>
  <c r="CC78" i="13"/>
  <c r="BV78" i="13"/>
  <c r="BM78" i="13"/>
  <c r="BL78" i="13"/>
  <c r="BK78" i="13"/>
  <c r="BJ78" i="13"/>
  <c r="BT78" i="13" s="1"/>
  <c r="AR78" i="13"/>
  <c r="AB78" i="13"/>
  <c r="Z78" i="13"/>
  <c r="X78" i="13"/>
  <c r="V78" i="13"/>
  <c r="T78" i="13"/>
  <c r="R78" i="13"/>
  <c r="P78" i="13"/>
  <c r="M78" i="13"/>
  <c r="K78" i="13"/>
  <c r="H4" i="22" s="1"/>
  <c r="V4" i="22" s="1"/>
  <c r="F78" i="13"/>
  <c r="D78" i="13"/>
  <c r="CJ77" i="13"/>
  <c r="CC77" i="13"/>
  <c r="BV77" i="13"/>
  <c r="BM77" i="13"/>
  <c r="BL77" i="13"/>
  <c r="BK77" i="13"/>
  <c r="BJ77" i="13"/>
  <c r="BT77" i="13" s="1"/>
  <c r="AR77" i="13"/>
  <c r="AB77" i="13"/>
  <c r="Z77" i="13"/>
  <c r="X77" i="13"/>
  <c r="V77" i="13"/>
  <c r="T77" i="13"/>
  <c r="R77" i="13"/>
  <c r="P77" i="13"/>
  <c r="M77" i="13"/>
  <c r="K77" i="13"/>
  <c r="G15" i="22" s="1"/>
  <c r="F77" i="13"/>
  <c r="D77" i="13"/>
  <c r="CJ76" i="13"/>
  <c r="CC76" i="13"/>
  <c r="BV76" i="13"/>
  <c r="BM76" i="13"/>
  <c r="BL76" i="13"/>
  <c r="BK76" i="13"/>
  <c r="BJ76" i="13"/>
  <c r="BT76" i="13" s="1"/>
  <c r="AR76" i="13"/>
  <c r="AB76" i="13"/>
  <c r="Z76" i="13"/>
  <c r="X76" i="13"/>
  <c r="V76" i="13"/>
  <c r="T76" i="13"/>
  <c r="R76" i="13"/>
  <c r="P76" i="13"/>
  <c r="M76" i="13"/>
  <c r="K76" i="13"/>
  <c r="F76" i="13"/>
  <c r="D76" i="13"/>
  <c r="CJ75" i="13"/>
  <c r="CC75" i="13"/>
  <c r="BV75" i="13"/>
  <c r="BM75" i="13"/>
  <c r="BL75" i="13"/>
  <c r="BK75" i="13"/>
  <c r="BJ75" i="13"/>
  <c r="BT75" i="13" s="1"/>
  <c r="AR75" i="13"/>
  <c r="AB75" i="13"/>
  <c r="Z75" i="13"/>
  <c r="X75" i="13"/>
  <c r="V75" i="13"/>
  <c r="T75" i="13"/>
  <c r="R75" i="13"/>
  <c r="P75" i="13"/>
  <c r="M75" i="13"/>
  <c r="K75" i="13"/>
  <c r="F75" i="13"/>
  <c r="D75" i="13"/>
  <c r="CJ74" i="13"/>
  <c r="CC74" i="13"/>
  <c r="BV74" i="13"/>
  <c r="BM74" i="13"/>
  <c r="BL74" i="13"/>
  <c r="BK74" i="13"/>
  <c r="BJ74" i="13"/>
  <c r="BT74" i="13" s="1"/>
  <c r="AR74" i="13"/>
  <c r="AB74" i="13"/>
  <c r="Z74" i="13"/>
  <c r="X74" i="13"/>
  <c r="V74" i="13"/>
  <c r="T74" i="13"/>
  <c r="R74" i="13"/>
  <c r="P74" i="13"/>
  <c r="M74" i="13"/>
  <c r="K74" i="13"/>
  <c r="F74" i="13"/>
  <c r="D74" i="13"/>
  <c r="CJ73" i="13"/>
  <c r="CC73" i="13"/>
  <c r="BV73" i="13"/>
  <c r="BM73" i="13"/>
  <c r="BL73" i="13"/>
  <c r="BK73" i="13"/>
  <c r="BJ73" i="13"/>
  <c r="BT73" i="13" s="1"/>
  <c r="AR73" i="13"/>
  <c r="AB73" i="13"/>
  <c r="Z73" i="13"/>
  <c r="X73" i="13"/>
  <c r="V73" i="13"/>
  <c r="T73" i="13"/>
  <c r="R73" i="13"/>
  <c r="P73" i="13"/>
  <c r="M73" i="13"/>
  <c r="K73" i="13"/>
  <c r="F73" i="13"/>
  <c r="D73" i="13"/>
  <c r="CJ72" i="13"/>
  <c r="CC72" i="13"/>
  <c r="BV72" i="13"/>
  <c r="BM72" i="13"/>
  <c r="BL72" i="13"/>
  <c r="BK72" i="13"/>
  <c r="BJ72" i="13"/>
  <c r="BT72" i="13" s="1"/>
  <c r="AR72" i="13"/>
  <c r="AB72" i="13"/>
  <c r="Z72" i="13"/>
  <c r="X72" i="13"/>
  <c r="V72" i="13"/>
  <c r="T72" i="13"/>
  <c r="R72" i="13"/>
  <c r="P72" i="13"/>
  <c r="M72" i="13"/>
  <c r="K72" i="13"/>
  <c r="F72" i="13"/>
  <c r="D72" i="13"/>
  <c r="CJ71" i="13"/>
  <c r="CC71" i="13"/>
  <c r="BV71" i="13"/>
  <c r="BM71" i="13"/>
  <c r="BL71" i="13"/>
  <c r="BK71" i="13"/>
  <c r="BJ71" i="13"/>
  <c r="BT71" i="13" s="1"/>
  <c r="AR71" i="13"/>
  <c r="AB71" i="13"/>
  <c r="Z71" i="13"/>
  <c r="X71" i="13"/>
  <c r="V71" i="13"/>
  <c r="T71" i="13"/>
  <c r="R71" i="13"/>
  <c r="P71" i="13"/>
  <c r="M71" i="13"/>
  <c r="K71" i="13"/>
  <c r="F71" i="13"/>
  <c r="D71" i="13"/>
  <c r="CJ70" i="13"/>
  <c r="CC70" i="13"/>
  <c r="BV70" i="13"/>
  <c r="BM70" i="13"/>
  <c r="BL70" i="13"/>
  <c r="BK70" i="13"/>
  <c r="BJ70" i="13"/>
  <c r="BT70" i="13" s="1"/>
  <c r="AR70" i="13"/>
  <c r="AB70" i="13"/>
  <c r="Z70" i="13"/>
  <c r="X70" i="13"/>
  <c r="V70" i="13"/>
  <c r="T70" i="13"/>
  <c r="R70" i="13"/>
  <c r="P70" i="13"/>
  <c r="M70" i="13"/>
  <c r="K70" i="13"/>
  <c r="G8" i="22" s="1"/>
  <c r="H70" i="13"/>
  <c r="F70" i="13"/>
  <c r="D70" i="13"/>
  <c r="CJ69" i="13"/>
  <c r="CC69" i="13"/>
  <c r="BV69" i="13"/>
  <c r="BM69" i="13"/>
  <c r="BL69" i="13"/>
  <c r="BK69" i="13"/>
  <c r="BJ69" i="13"/>
  <c r="BT69" i="13" s="1"/>
  <c r="AR69" i="13"/>
  <c r="AB69" i="13"/>
  <c r="Z69" i="13"/>
  <c r="X69" i="13"/>
  <c r="V69" i="13"/>
  <c r="T69" i="13"/>
  <c r="R69" i="13"/>
  <c r="P69" i="13"/>
  <c r="M69" i="13"/>
  <c r="K69" i="13"/>
  <c r="F69" i="13"/>
  <c r="D69" i="13"/>
  <c r="CJ68" i="13"/>
  <c r="CC68" i="13"/>
  <c r="BV68" i="13"/>
  <c r="BM68" i="13"/>
  <c r="BL68" i="13"/>
  <c r="BK68" i="13"/>
  <c r="BJ68" i="13"/>
  <c r="BT68" i="13" s="1"/>
  <c r="AR68" i="13"/>
  <c r="AB68" i="13"/>
  <c r="Z68" i="13"/>
  <c r="X68" i="13"/>
  <c r="V68" i="13"/>
  <c r="T68" i="13"/>
  <c r="R68" i="13"/>
  <c r="P68" i="13"/>
  <c r="M68" i="13"/>
  <c r="K68" i="13"/>
  <c r="G6" i="22" s="1"/>
  <c r="F68" i="13"/>
  <c r="D68" i="13"/>
  <c r="CJ67" i="13"/>
  <c r="CC67" i="13"/>
  <c r="BV67" i="13"/>
  <c r="BM67" i="13"/>
  <c r="BL67" i="13"/>
  <c r="BK67" i="13"/>
  <c r="BJ67" i="13"/>
  <c r="BT67" i="13" s="1"/>
  <c r="AR67" i="13"/>
  <c r="AB67" i="13"/>
  <c r="Z67" i="13"/>
  <c r="X67" i="13"/>
  <c r="V67" i="13"/>
  <c r="T67" i="13"/>
  <c r="R67" i="13"/>
  <c r="P67" i="13"/>
  <c r="M67" i="13"/>
  <c r="K67" i="13"/>
  <c r="F67" i="13"/>
  <c r="D67" i="13"/>
  <c r="CJ66" i="13"/>
  <c r="CC66" i="13"/>
  <c r="BV66" i="13"/>
  <c r="BM66" i="13"/>
  <c r="BL66" i="13"/>
  <c r="BK66" i="13"/>
  <c r="BJ66" i="13"/>
  <c r="BT66" i="13" s="1"/>
  <c r="AR66" i="13"/>
  <c r="AB66" i="13"/>
  <c r="Z66" i="13"/>
  <c r="X66" i="13"/>
  <c r="V66" i="13"/>
  <c r="T66" i="13"/>
  <c r="R66" i="13"/>
  <c r="P66" i="13"/>
  <c r="M66" i="13"/>
  <c r="K66" i="13"/>
  <c r="F66" i="13"/>
  <c r="D66" i="13"/>
  <c r="H66" i="13" s="1"/>
  <c r="CJ65" i="13"/>
  <c r="CC65" i="13"/>
  <c r="BV65" i="13"/>
  <c r="BM65" i="13"/>
  <c r="BL65" i="13"/>
  <c r="BK65" i="13"/>
  <c r="BJ65" i="13"/>
  <c r="BT65" i="13" s="1"/>
  <c r="AR65" i="13"/>
  <c r="AB65" i="13"/>
  <c r="Z65" i="13"/>
  <c r="X65" i="13"/>
  <c r="V65" i="13"/>
  <c r="T65" i="13"/>
  <c r="R65" i="13"/>
  <c r="P65" i="13"/>
  <c r="M65" i="13"/>
  <c r="K65" i="13"/>
  <c r="F15" i="22" s="1"/>
  <c r="D65" i="13"/>
  <c r="CJ64" i="13"/>
  <c r="CC64" i="13"/>
  <c r="BV64" i="13"/>
  <c r="BM64" i="13"/>
  <c r="BL64" i="13"/>
  <c r="BK64" i="13"/>
  <c r="BJ64" i="13"/>
  <c r="BT64" i="13" s="1"/>
  <c r="AR64" i="13"/>
  <c r="AB64" i="13"/>
  <c r="Z64" i="13"/>
  <c r="X64" i="13"/>
  <c r="V64" i="13"/>
  <c r="T64" i="13"/>
  <c r="R64" i="13"/>
  <c r="P64" i="13"/>
  <c r="M64" i="13"/>
  <c r="K64" i="13"/>
  <c r="F64" i="13"/>
  <c r="D64" i="13"/>
  <c r="CJ63" i="13"/>
  <c r="CC63" i="13"/>
  <c r="BV63" i="13"/>
  <c r="BM63" i="13"/>
  <c r="BL63" i="13"/>
  <c r="BK63" i="13"/>
  <c r="BJ63" i="13"/>
  <c r="BT63" i="13" s="1"/>
  <c r="AR63" i="13"/>
  <c r="AB63" i="13"/>
  <c r="Z63" i="13"/>
  <c r="X63" i="13"/>
  <c r="V63" i="13"/>
  <c r="T63" i="13"/>
  <c r="R63" i="13"/>
  <c r="P63" i="13"/>
  <c r="M63" i="13"/>
  <c r="K63" i="13"/>
  <c r="F63" i="13"/>
  <c r="D63" i="13"/>
  <c r="CJ62" i="13"/>
  <c r="CC62" i="13"/>
  <c r="BV62" i="13"/>
  <c r="BM62" i="13"/>
  <c r="BL62" i="13"/>
  <c r="BK62" i="13"/>
  <c r="BJ62" i="13"/>
  <c r="BT62" i="13" s="1"/>
  <c r="AR62" i="13"/>
  <c r="AB62" i="13"/>
  <c r="Z62" i="13"/>
  <c r="X62" i="13"/>
  <c r="V62" i="13"/>
  <c r="T62" i="13"/>
  <c r="R62" i="13"/>
  <c r="P62" i="13"/>
  <c r="M62" i="13"/>
  <c r="K62" i="13"/>
  <c r="F12" i="22" s="1"/>
  <c r="D62" i="13"/>
  <c r="CJ61" i="13"/>
  <c r="CC61" i="13"/>
  <c r="BV61" i="13"/>
  <c r="BM61" i="13"/>
  <c r="BL61" i="13"/>
  <c r="BK61" i="13"/>
  <c r="BJ61" i="13"/>
  <c r="BT61" i="13" s="1"/>
  <c r="AR61" i="13"/>
  <c r="AB61" i="13"/>
  <c r="Z61" i="13"/>
  <c r="X61" i="13"/>
  <c r="V61" i="13"/>
  <c r="T61" i="13"/>
  <c r="R61" i="13"/>
  <c r="P61" i="13"/>
  <c r="M61" i="13"/>
  <c r="K61" i="13"/>
  <c r="F61" i="13"/>
  <c r="D61" i="13"/>
  <c r="CJ60" i="13"/>
  <c r="CC60" i="13"/>
  <c r="BV60" i="13"/>
  <c r="BM60" i="13"/>
  <c r="BL60" i="13"/>
  <c r="BK60" i="13"/>
  <c r="BJ60" i="13"/>
  <c r="BT60" i="13" s="1"/>
  <c r="AR60" i="13"/>
  <c r="AB60" i="13"/>
  <c r="Z60" i="13"/>
  <c r="X60" i="13"/>
  <c r="V60" i="13"/>
  <c r="T60" i="13"/>
  <c r="R60" i="13"/>
  <c r="P60" i="13"/>
  <c r="M60" i="13"/>
  <c r="K60" i="13"/>
  <c r="F10" i="22" s="1"/>
  <c r="F60" i="13"/>
  <c r="D60" i="13"/>
  <c r="CJ59" i="13"/>
  <c r="CC59" i="13"/>
  <c r="BV59" i="13"/>
  <c r="BM59" i="13"/>
  <c r="BL59" i="13"/>
  <c r="BK59" i="13"/>
  <c r="BJ59" i="13"/>
  <c r="BT59" i="13" s="1"/>
  <c r="AR59" i="13"/>
  <c r="AB59" i="13"/>
  <c r="Z59" i="13"/>
  <c r="X59" i="13"/>
  <c r="V59" i="13"/>
  <c r="T59" i="13"/>
  <c r="R59" i="13"/>
  <c r="P59" i="13"/>
  <c r="M59" i="13"/>
  <c r="K59" i="13"/>
  <c r="F59" i="13"/>
  <c r="D59" i="13"/>
  <c r="CJ58" i="13"/>
  <c r="CC58" i="13"/>
  <c r="BV58" i="13"/>
  <c r="BM58" i="13"/>
  <c r="BL58" i="13"/>
  <c r="BK58" i="13"/>
  <c r="BJ58" i="13"/>
  <c r="BT58" i="13" s="1"/>
  <c r="AR58" i="13"/>
  <c r="AB58" i="13"/>
  <c r="Z58" i="13"/>
  <c r="X58" i="13"/>
  <c r="V58" i="13"/>
  <c r="T58" i="13"/>
  <c r="R58" i="13"/>
  <c r="P58" i="13"/>
  <c r="M58" i="13"/>
  <c r="K58" i="13"/>
  <c r="CK58" i="13" s="1"/>
  <c r="F58" i="13"/>
  <c r="D58" i="13"/>
  <c r="CJ57" i="13"/>
  <c r="CC57" i="13"/>
  <c r="BV57" i="13"/>
  <c r="BM57" i="13"/>
  <c r="BL57" i="13"/>
  <c r="BK57" i="13"/>
  <c r="BJ57" i="13"/>
  <c r="BT57" i="13" s="1"/>
  <c r="AR57" i="13"/>
  <c r="AB57" i="13"/>
  <c r="Z57" i="13"/>
  <c r="X57" i="13"/>
  <c r="V57" i="13"/>
  <c r="T57" i="13"/>
  <c r="R57" i="13"/>
  <c r="P57" i="13"/>
  <c r="M57" i="13"/>
  <c r="K57" i="13"/>
  <c r="F7" i="22" s="1"/>
  <c r="F57" i="13"/>
  <c r="D57" i="13"/>
  <c r="CJ56" i="13"/>
  <c r="CC56" i="13"/>
  <c r="BV56" i="13"/>
  <c r="BM56" i="13"/>
  <c r="BL56" i="13"/>
  <c r="BK56" i="13"/>
  <c r="BJ56" i="13"/>
  <c r="BT56" i="13" s="1"/>
  <c r="AB56" i="13"/>
  <c r="Z56" i="13"/>
  <c r="X56" i="13"/>
  <c r="V56" i="13"/>
  <c r="T56" i="13"/>
  <c r="R56" i="13"/>
  <c r="P56" i="13"/>
  <c r="M56" i="13"/>
  <c r="K56" i="13"/>
  <c r="F56" i="13"/>
  <c r="D56" i="13"/>
  <c r="CJ55" i="13"/>
  <c r="CC55" i="13"/>
  <c r="BV55" i="13"/>
  <c r="BT55" i="13"/>
  <c r="BM55" i="13"/>
  <c r="BL55" i="13"/>
  <c r="BK55" i="13"/>
  <c r="BJ55" i="13"/>
  <c r="AB55" i="13"/>
  <c r="Z55" i="13"/>
  <c r="X55" i="13"/>
  <c r="V55" i="13"/>
  <c r="T55" i="13"/>
  <c r="R55" i="13"/>
  <c r="P55" i="13"/>
  <c r="M55" i="13"/>
  <c r="K55" i="13"/>
  <c r="F55" i="13"/>
  <c r="D55" i="13"/>
  <c r="CJ54" i="13"/>
  <c r="CC54" i="13"/>
  <c r="BV54" i="13"/>
  <c r="BM54" i="13"/>
  <c r="BL54" i="13"/>
  <c r="BK54" i="13"/>
  <c r="BJ54" i="13"/>
  <c r="BT54" i="13" s="1"/>
  <c r="AB54" i="13"/>
  <c r="Z54" i="13"/>
  <c r="X54" i="13"/>
  <c r="V54" i="13"/>
  <c r="T54" i="13"/>
  <c r="R54" i="13"/>
  <c r="P54" i="13"/>
  <c r="M54" i="13"/>
  <c r="K54" i="13"/>
  <c r="L65" i="13" s="1"/>
  <c r="F54" i="13"/>
  <c r="D54" i="13"/>
  <c r="CJ53" i="13"/>
  <c r="CC53" i="13"/>
  <c r="CB53" i="13"/>
  <c r="BV53" i="13"/>
  <c r="BM53" i="13"/>
  <c r="BL53" i="13"/>
  <c r="BK53" i="13"/>
  <c r="BJ53" i="13"/>
  <c r="BT53" i="13" s="1"/>
  <c r="AB53" i="13"/>
  <c r="Z53" i="13"/>
  <c r="X53" i="13"/>
  <c r="V53" i="13"/>
  <c r="T53" i="13"/>
  <c r="R53" i="13"/>
  <c r="P53" i="13"/>
  <c r="M53" i="13"/>
  <c r="K53" i="13"/>
  <c r="D53" i="13"/>
  <c r="CC52" i="13"/>
  <c r="CB52" i="13"/>
  <c r="BV52" i="13"/>
  <c r="BM52" i="13"/>
  <c r="BL52" i="13"/>
  <c r="BK52" i="13"/>
  <c r="BJ52" i="13"/>
  <c r="BT52" i="13" s="1"/>
  <c r="AB52" i="13"/>
  <c r="Z52" i="13"/>
  <c r="X52" i="13"/>
  <c r="V52" i="13"/>
  <c r="T52" i="13"/>
  <c r="R52" i="13"/>
  <c r="P52" i="13"/>
  <c r="M52" i="13"/>
  <c r="K52" i="13"/>
  <c r="D52" i="13"/>
  <c r="CC51" i="13"/>
  <c r="CB51" i="13"/>
  <c r="BV51" i="13"/>
  <c r="BM51" i="13"/>
  <c r="BL51" i="13"/>
  <c r="BK51" i="13"/>
  <c r="BJ51" i="13"/>
  <c r="BT51" i="13" s="1"/>
  <c r="AB51" i="13"/>
  <c r="Z51" i="13"/>
  <c r="X51" i="13"/>
  <c r="V51" i="13"/>
  <c r="T51" i="13"/>
  <c r="R51" i="13"/>
  <c r="P51" i="13"/>
  <c r="M51" i="13"/>
  <c r="K51" i="13"/>
  <c r="E13" i="22" s="1"/>
  <c r="D51" i="13"/>
  <c r="CC50" i="13"/>
  <c r="CB50" i="13"/>
  <c r="BV50" i="13"/>
  <c r="BM50" i="13"/>
  <c r="BL50" i="13"/>
  <c r="BK50" i="13"/>
  <c r="BJ50" i="13"/>
  <c r="BT50" i="13" s="1"/>
  <c r="AB50" i="13"/>
  <c r="Z50" i="13"/>
  <c r="X50" i="13"/>
  <c r="V50" i="13"/>
  <c r="T50" i="13"/>
  <c r="R50" i="13"/>
  <c r="P50" i="13"/>
  <c r="M50" i="13"/>
  <c r="K50" i="13"/>
  <c r="E12" i="22" s="1"/>
  <c r="D50" i="13"/>
  <c r="CC49" i="13"/>
  <c r="CB49" i="13"/>
  <c r="BV49" i="13"/>
  <c r="BM49" i="13"/>
  <c r="BL49" i="13"/>
  <c r="BK49" i="13"/>
  <c r="BJ49" i="13"/>
  <c r="BT49" i="13" s="1"/>
  <c r="AB49" i="13"/>
  <c r="Z49" i="13"/>
  <c r="X49" i="13"/>
  <c r="V49" i="13"/>
  <c r="T49" i="13"/>
  <c r="R49" i="13"/>
  <c r="P49" i="13"/>
  <c r="M49" i="13"/>
  <c r="K49" i="13"/>
  <c r="D49" i="13"/>
  <c r="CC48" i="13"/>
  <c r="CB48" i="13"/>
  <c r="BV48" i="13"/>
  <c r="BM48" i="13"/>
  <c r="BL48" i="13"/>
  <c r="BK48" i="13"/>
  <c r="BJ48" i="13"/>
  <c r="BT48" i="13" s="1"/>
  <c r="AB48" i="13"/>
  <c r="Z48" i="13"/>
  <c r="X48" i="13"/>
  <c r="V48" i="13"/>
  <c r="T48" i="13"/>
  <c r="R48" i="13"/>
  <c r="P48" i="13"/>
  <c r="M48" i="13"/>
  <c r="K48" i="13"/>
  <c r="D48" i="13"/>
  <c r="CC47" i="13"/>
  <c r="CB47" i="13"/>
  <c r="BV47" i="13"/>
  <c r="BT47" i="13"/>
  <c r="BM47" i="13"/>
  <c r="BL47" i="13"/>
  <c r="BK47" i="13"/>
  <c r="BJ47" i="13"/>
  <c r="AB47" i="13"/>
  <c r="Z47" i="13"/>
  <c r="X47" i="13"/>
  <c r="V47" i="13"/>
  <c r="T47" i="13"/>
  <c r="R47" i="13"/>
  <c r="P47" i="13"/>
  <c r="M47" i="13"/>
  <c r="K47" i="13"/>
  <c r="D47" i="13"/>
  <c r="CC46" i="13"/>
  <c r="CB46" i="13"/>
  <c r="BV46" i="13"/>
  <c r="BM46" i="13"/>
  <c r="BL46" i="13"/>
  <c r="BK46" i="13"/>
  <c r="BJ46" i="13"/>
  <c r="BT46" i="13" s="1"/>
  <c r="AB46" i="13"/>
  <c r="Z46" i="13"/>
  <c r="X46" i="13"/>
  <c r="V46" i="13"/>
  <c r="T46" i="13"/>
  <c r="R46" i="13"/>
  <c r="P46" i="13"/>
  <c r="M46" i="13"/>
  <c r="K46" i="13"/>
  <c r="D46" i="13"/>
  <c r="CC45" i="13"/>
  <c r="CB45" i="13"/>
  <c r="BV45" i="13"/>
  <c r="BM45" i="13"/>
  <c r="BL45" i="13"/>
  <c r="BK45" i="13"/>
  <c r="BJ45" i="13"/>
  <c r="BT45" i="13" s="1"/>
  <c r="AB45" i="13"/>
  <c r="Z45" i="13"/>
  <c r="X45" i="13"/>
  <c r="V45" i="13"/>
  <c r="T45" i="13"/>
  <c r="R45" i="13"/>
  <c r="P45" i="13"/>
  <c r="M45" i="13"/>
  <c r="K45" i="13"/>
  <c r="E7" i="22" s="1"/>
  <c r="D45" i="13"/>
  <c r="CC44" i="13"/>
  <c r="CB44" i="13"/>
  <c r="BV44" i="13"/>
  <c r="BM44" i="13"/>
  <c r="BL44" i="13"/>
  <c r="BK44" i="13"/>
  <c r="BJ44" i="13"/>
  <c r="BT44" i="13" s="1"/>
  <c r="AB44" i="13"/>
  <c r="Z44" i="13"/>
  <c r="X44" i="13"/>
  <c r="V44" i="13"/>
  <c r="T44" i="13"/>
  <c r="R44" i="13"/>
  <c r="P44" i="13"/>
  <c r="M44" i="13"/>
  <c r="K44" i="13"/>
  <c r="E6" i="22" s="1"/>
  <c r="D44" i="13"/>
  <c r="CC43" i="13"/>
  <c r="CB43" i="13"/>
  <c r="BV43" i="13"/>
  <c r="BM43" i="13"/>
  <c r="BL43" i="13"/>
  <c r="BK43" i="13"/>
  <c r="BJ43" i="13"/>
  <c r="BT43" i="13" s="1"/>
  <c r="AB43" i="13"/>
  <c r="Z43" i="13"/>
  <c r="X43" i="13"/>
  <c r="V43" i="13"/>
  <c r="T43" i="13"/>
  <c r="R43" i="13"/>
  <c r="P43" i="13"/>
  <c r="M43" i="13"/>
  <c r="K43" i="13"/>
  <c r="E5" i="22" s="1"/>
  <c r="D43" i="13"/>
  <c r="CC42" i="13"/>
  <c r="CB42" i="13"/>
  <c r="BV42" i="13"/>
  <c r="BM42" i="13"/>
  <c r="BL42" i="13"/>
  <c r="BK42" i="13"/>
  <c r="BJ42" i="13"/>
  <c r="BT42" i="13" s="1"/>
  <c r="AB42" i="13"/>
  <c r="Z42" i="13"/>
  <c r="X42" i="13"/>
  <c r="V42" i="13"/>
  <c r="T42" i="13"/>
  <c r="R42" i="13"/>
  <c r="P42" i="13"/>
  <c r="M42" i="13"/>
  <c r="K42" i="13"/>
  <c r="D42" i="13"/>
  <c r="CC41" i="13"/>
  <c r="CB41" i="13"/>
  <c r="BV41" i="13"/>
  <c r="BM41" i="13"/>
  <c r="BL41" i="13"/>
  <c r="BK41" i="13"/>
  <c r="BJ41" i="13"/>
  <c r="BT41" i="13" s="1"/>
  <c r="AB41" i="13"/>
  <c r="Z41" i="13"/>
  <c r="X41" i="13"/>
  <c r="V41" i="13"/>
  <c r="T41" i="13"/>
  <c r="R41" i="13"/>
  <c r="P41" i="13"/>
  <c r="M41" i="13"/>
  <c r="K41" i="13"/>
  <c r="D41" i="13"/>
  <c r="CC40" i="13"/>
  <c r="CB40" i="13"/>
  <c r="BM40" i="13"/>
  <c r="BL40" i="13"/>
  <c r="BK40" i="13"/>
  <c r="BJ40" i="13"/>
  <c r="BT40" i="13" s="1"/>
  <c r="AB40" i="13"/>
  <c r="Z40" i="13"/>
  <c r="X40" i="13"/>
  <c r="V40" i="13"/>
  <c r="T40" i="13"/>
  <c r="R40" i="13"/>
  <c r="P40" i="13"/>
  <c r="M40" i="13"/>
  <c r="K40" i="13"/>
  <c r="D40" i="13"/>
  <c r="CC39" i="13"/>
  <c r="CB39" i="13"/>
  <c r="BM39" i="13"/>
  <c r="BL39" i="13"/>
  <c r="BK39" i="13"/>
  <c r="BJ39" i="13"/>
  <c r="BT39" i="13" s="1"/>
  <c r="AB39" i="13"/>
  <c r="Z39" i="13"/>
  <c r="X39" i="13"/>
  <c r="V39" i="13"/>
  <c r="T39" i="13"/>
  <c r="R39" i="13"/>
  <c r="P39" i="13"/>
  <c r="M39" i="13"/>
  <c r="K39" i="13"/>
  <c r="D39" i="13"/>
  <c r="CC38" i="13"/>
  <c r="CB38" i="13"/>
  <c r="BM38" i="13"/>
  <c r="BL38" i="13"/>
  <c r="BK38" i="13"/>
  <c r="BJ38" i="13"/>
  <c r="BT38" i="13" s="1"/>
  <c r="AB38" i="13"/>
  <c r="Z38" i="13"/>
  <c r="X38" i="13"/>
  <c r="V38" i="13"/>
  <c r="T38" i="13"/>
  <c r="R38" i="13"/>
  <c r="P38" i="13"/>
  <c r="M38" i="13"/>
  <c r="K38" i="13"/>
  <c r="D38" i="13"/>
  <c r="CC37" i="13"/>
  <c r="CB37" i="13"/>
  <c r="BT37" i="13"/>
  <c r="BM37" i="13"/>
  <c r="BL37" i="13"/>
  <c r="BK37" i="13"/>
  <c r="BJ37" i="13"/>
  <c r="AB37" i="13"/>
  <c r="Z37" i="13"/>
  <c r="X37" i="13"/>
  <c r="V37" i="13"/>
  <c r="T37" i="13"/>
  <c r="R37" i="13"/>
  <c r="P37" i="13"/>
  <c r="M37" i="13"/>
  <c r="K37" i="13"/>
  <c r="D37" i="13"/>
  <c r="CC36" i="13"/>
  <c r="CB36" i="13"/>
  <c r="BM36" i="13"/>
  <c r="BL36" i="13"/>
  <c r="BK36" i="13"/>
  <c r="BJ36" i="13"/>
  <c r="BT36" i="13" s="1"/>
  <c r="AB36" i="13"/>
  <c r="Z36" i="13"/>
  <c r="X36" i="13"/>
  <c r="V36" i="13"/>
  <c r="T36" i="13"/>
  <c r="R36" i="13"/>
  <c r="P36" i="13"/>
  <c r="M36" i="13"/>
  <c r="K36" i="13"/>
  <c r="D36" i="13"/>
  <c r="CC35" i="13"/>
  <c r="CB35" i="13"/>
  <c r="BT35" i="13"/>
  <c r="BM35" i="13"/>
  <c r="BL35" i="13"/>
  <c r="BK35" i="13"/>
  <c r="BJ35" i="13"/>
  <c r="AB35" i="13"/>
  <c r="Z35" i="13"/>
  <c r="X35" i="13"/>
  <c r="V35" i="13"/>
  <c r="T35" i="13"/>
  <c r="R35" i="13"/>
  <c r="P35" i="13"/>
  <c r="M35" i="13"/>
  <c r="K35" i="13"/>
  <c r="D9" i="22" s="1"/>
  <c r="D35" i="13"/>
  <c r="CC34" i="13"/>
  <c r="CB34" i="13"/>
  <c r="BM34" i="13"/>
  <c r="BL34" i="13"/>
  <c r="BK34" i="13"/>
  <c r="BJ34" i="13"/>
  <c r="BT34" i="13" s="1"/>
  <c r="AB34" i="13"/>
  <c r="Z34" i="13"/>
  <c r="X34" i="13"/>
  <c r="V34" i="13"/>
  <c r="T34" i="13"/>
  <c r="R34" i="13"/>
  <c r="P34" i="13"/>
  <c r="M34" i="13"/>
  <c r="K34" i="13"/>
  <c r="D34" i="13"/>
  <c r="CC33" i="13"/>
  <c r="CB33" i="13"/>
  <c r="BM33" i="13"/>
  <c r="BL33" i="13"/>
  <c r="BK33" i="13"/>
  <c r="BJ33" i="13"/>
  <c r="BT33" i="13" s="1"/>
  <c r="AB33" i="13"/>
  <c r="Z33" i="13"/>
  <c r="X33" i="13"/>
  <c r="V33" i="13"/>
  <c r="T33" i="13"/>
  <c r="R33" i="13"/>
  <c r="P33" i="13"/>
  <c r="M33" i="13"/>
  <c r="K33" i="13"/>
  <c r="D7" i="22" s="1"/>
  <c r="D33" i="13"/>
  <c r="CC32" i="13"/>
  <c r="CB32" i="13"/>
  <c r="BM32" i="13"/>
  <c r="BL32" i="13"/>
  <c r="BK32" i="13"/>
  <c r="BJ32" i="13"/>
  <c r="BT32" i="13" s="1"/>
  <c r="AB32" i="13"/>
  <c r="Z32" i="13"/>
  <c r="X32" i="13"/>
  <c r="V32" i="13"/>
  <c r="T32" i="13"/>
  <c r="R32" i="13"/>
  <c r="P32" i="13"/>
  <c r="M32" i="13"/>
  <c r="K32" i="13"/>
  <c r="D32" i="13"/>
  <c r="CC31" i="13"/>
  <c r="CB31" i="13"/>
  <c r="BM31" i="13"/>
  <c r="BL31" i="13"/>
  <c r="BK31" i="13"/>
  <c r="BJ31" i="13"/>
  <c r="BT31" i="13" s="1"/>
  <c r="AB31" i="13"/>
  <c r="Z31" i="13"/>
  <c r="X31" i="13"/>
  <c r="V31" i="13"/>
  <c r="T31" i="13"/>
  <c r="R31" i="13"/>
  <c r="P31" i="13"/>
  <c r="M31" i="13"/>
  <c r="K31" i="13"/>
  <c r="D31" i="13"/>
  <c r="CC30" i="13"/>
  <c r="CB30" i="13"/>
  <c r="BM30" i="13"/>
  <c r="BL30" i="13"/>
  <c r="BK30" i="13"/>
  <c r="BJ30" i="13"/>
  <c r="BT30" i="13" s="1"/>
  <c r="AB30" i="13"/>
  <c r="Z30" i="13"/>
  <c r="X30" i="13"/>
  <c r="V30" i="13"/>
  <c r="T30" i="13"/>
  <c r="R30" i="13"/>
  <c r="P30" i="13"/>
  <c r="M30" i="13"/>
  <c r="K30" i="13"/>
  <c r="D30" i="13"/>
  <c r="CC29" i="13"/>
  <c r="CB29" i="13"/>
  <c r="BM29" i="13"/>
  <c r="BL29" i="13"/>
  <c r="BK29" i="13"/>
  <c r="BJ29" i="13"/>
  <c r="BT29" i="13" s="1"/>
  <c r="AB29" i="13"/>
  <c r="Z29" i="13"/>
  <c r="X29" i="13"/>
  <c r="V29" i="13"/>
  <c r="T29" i="13"/>
  <c r="R29" i="13"/>
  <c r="P29" i="13"/>
  <c r="M29" i="13"/>
  <c r="K29" i="13"/>
  <c r="C15" i="22" s="1"/>
  <c r="D29" i="13"/>
  <c r="CC28" i="13"/>
  <c r="CB28" i="13"/>
  <c r="BM28" i="13"/>
  <c r="BL28" i="13"/>
  <c r="BK28" i="13"/>
  <c r="BJ28" i="13"/>
  <c r="BT28" i="13" s="1"/>
  <c r="AB28" i="13"/>
  <c r="Z28" i="13"/>
  <c r="X28" i="13"/>
  <c r="V28" i="13"/>
  <c r="T28" i="13"/>
  <c r="R28" i="13"/>
  <c r="P28" i="13"/>
  <c r="M28" i="13"/>
  <c r="K28" i="13"/>
  <c r="D28" i="13"/>
  <c r="CC27" i="13"/>
  <c r="CB27" i="13"/>
  <c r="BT27" i="13"/>
  <c r="BM27" i="13"/>
  <c r="BL27" i="13"/>
  <c r="BK27" i="13"/>
  <c r="BJ27" i="13"/>
  <c r="AB27" i="13"/>
  <c r="Z27" i="13"/>
  <c r="X27" i="13"/>
  <c r="V27" i="13"/>
  <c r="T27" i="13"/>
  <c r="R27" i="13"/>
  <c r="P27" i="13"/>
  <c r="M27" i="13"/>
  <c r="K27" i="13"/>
  <c r="D27" i="13"/>
  <c r="CC26" i="13"/>
  <c r="CB26" i="13"/>
  <c r="BM26" i="13"/>
  <c r="BL26" i="13"/>
  <c r="BK26" i="13"/>
  <c r="BJ26" i="13"/>
  <c r="BT26" i="13" s="1"/>
  <c r="AB26" i="13"/>
  <c r="Z26" i="13"/>
  <c r="X26" i="13"/>
  <c r="V26" i="13"/>
  <c r="T26" i="13"/>
  <c r="R26" i="13"/>
  <c r="P26" i="13"/>
  <c r="M26" i="13"/>
  <c r="K26" i="13"/>
  <c r="D26" i="13"/>
  <c r="CC25" i="13"/>
  <c r="CB25" i="13"/>
  <c r="BM25" i="13"/>
  <c r="BL25" i="13"/>
  <c r="BK25" i="13"/>
  <c r="BJ25" i="13"/>
  <c r="BT25" i="13" s="1"/>
  <c r="AB25" i="13"/>
  <c r="Z25" i="13"/>
  <c r="X25" i="13"/>
  <c r="V25" i="13"/>
  <c r="T25" i="13"/>
  <c r="R25" i="13"/>
  <c r="P25" i="13"/>
  <c r="M25" i="13"/>
  <c r="K25" i="13"/>
  <c r="D25" i="13"/>
  <c r="CC24" i="13"/>
  <c r="CB24" i="13"/>
  <c r="BM24" i="13"/>
  <c r="BL24" i="13"/>
  <c r="BK24" i="13"/>
  <c r="BJ24" i="13"/>
  <c r="BT24" i="13" s="1"/>
  <c r="AB24" i="13"/>
  <c r="Z24" i="13"/>
  <c r="X24" i="13"/>
  <c r="V24" i="13"/>
  <c r="T24" i="13"/>
  <c r="R24" i="13"/>
  <c r="P24" i="13"/>
  <c r="M24" i="13"/>
  <c r="K24" i="13"/>
  <c r="C10" i="22" s="1"/>
  <c r="D24" i="13"/>
  <c r="CA35" i="13" s="1"/>
  <c r="CC23" i="13"/>
  <c r="CB23" i="13"/>
  <c r="BM23" i="13"/>
  <c r="BL23" i="13"/>
  <c r="BK23" i="13"/>
  <c r="BJ23" i="13"/>
  <c r="BT23" i="13" s="1"/>
  <c r="AB23" i="13"/>
  <c r="Z23" i="13"/>
  <c r="X23" i="13"/>
  <c r="V23" i="13"/>
  <c r="T23" i="13"/>
  <c r="R23" i="13"/>
  <c r="P23" i="13"/>
  <c r="M23" i="13"/>
  <c r="K23" i="13"/>
  <c r="D23" i="13"/>
  <c r="CC22" i="13"/>
  <c r="CB22" i="13"/>
  <c r="BM22" i="13"/>
  <c r="BL22" i="13"/>
  <c r="BK22" i="13"/>
  <c r="BJ22" i="13"/>
  <c r="BT22" i="13" s="1"/>
  <c r="AB22" i="13"/>
  <c r="Z22" i="13"/>
  <c r="X22" i="13"/>
  <c r="V22" i="13"/>
  <c r="T22" i="13"/>
  <c r="R22" i="13"/>
  <c r="P22" i="13"/>
  <c r="M22" i="13"/>
  <c r="K22" i="13"/>
  <c r="D22" i="13"/>
  <c r="CA33" i="13" s="1"/>
  <c r="CC21" i="13"/>
  <c r="CB21" i="13"/>
  <c r="BM21" i="13"/>
  <c r="BL21" i="13"/>
  <c r="BK21" i="13"/>
  <c r="BJ21" i="13"/>
  <c r="BT21" i="13" s="1"/>
  <c r="AB21" i="13"/>
  <c r="Z21" i="13"/>
  <c r="X21" i="13"/>
  <c r="V21" i="13"/>
  <c r="T21" i="13"/>
  <c r="R21" i="13"/>
  <c r="P21" i="13"/>
  <c r="M21" i="13"/>
  <c r="K21" i="13"/>
  <c r="D21" i="13"/>
  <c r="CC20" i="13"/>
  <c r="CB20" i="13"/>
  <c r="BM20" i="13"/>
  <c r="BL20" i="13"/>
  <c r="BK20" i="13"/>
  <c r="BJ20" i="13"/>
  <c r="BT20" i="13" s="1"/>
  <c r="AB20" i="13"/>
  <c r="Z20" i="13"/>
  <c r="X20" i="13"/>
  <c r="V20" i="13"/>
  <c r="T20" i="13"/>
  <c r="R20" i="13"/>
  <c r="P20" i="13"/>
  <c r="M20" i="13"/>
  <c r="K20" i="13"/>
  <c r="C6" i="22" s="1"/>
  <c r="D20" i="13"/>
  <c r="CC19" i="13"/>
  <c r="CB19" i="13"/>
  <c r="BM19" i="13"/>
  <c r="BL19" i="13"/>
  <c r="BK19" i="13"/>
  <c r="BJ19" i="13"/>
  <c r="BT19" i="13" s="1"/>
  <c r="AB19" i="13"/>
  <c r="Z19" i="13"/>
  <c r="X19" i="13"/>
  <c r="V19" i="13"/>
  <c r="T19" i="13"/>
  <c r="R19" i="13"/>
  <c r="P19" i="13"/>
  <c r="M19" i="13"/>
  <c r="K19" i="13"/>
  <c r="C5" i="22" s="1"/>
  <c r="D19" i="13"/>
  <c r="CC18" i="13"/>
  <c r="CB18" i="13"/>
  <c r="BM18" i="13"/>
  <c r="BL18" i="13"/>
  <c r="BK18" i="13"/>
  <c r="BJ18" i="13"/>
  <c r="BT18" i="13" s="1"/>
  <c r="AB18" i="13"/>
  <c r="Z18" i="13"/>
  <c r="X18" i="13"/>
  <c r="V18" i="13"/>
  <c r="T18" i="13"/>
  <c r="R18" i="13"/>
  <c r="P18" i="13"/>
  <c r="M18" i="13"/>
  <c r="K18" i="13"/>
  <c r="D18" i="13"/>
  <c r="CC17" i="13"/>
  <c r="CB17" i="13"/>
  <c r="BM17" i="13"/>
  <c r="BL17" i="13"/>
  <c r="BK17" i="13"/>
  <c r="BJ17" i="13"/>
  <c r="BT17" i="13" s="1"/>
  <c r="AB17" i="13"/>
  <c r="Z17" i="13"/>
  <c r="X17" i="13"/>
  <c r="V17" i="13"/>
  <c r="T17" i="13"/>
  <c r="R17" i="13"/>
  <c r="P17" i="13"/>
  <c r="M17" i="13"/>
  <c r="K17" i="13"/>
  <c r="B15" i="22" s="1"/>
  <c r="D17" i="13"/>
  <c r="CC16" i="13"/>
  <c r="CB16" i="13"/>
  <c r="BM16" i="13"/>
  <c r="BL16" i="13"/>
  <c r="BK16" i="13"/>
  <c r="BJ16" i="13"/>
  <c r="BT16" i="13" s="1"/>
  <c r="AB16" i="13"/>
  <c r="Z16" i="13"/>
  <c r="X16" i="13"/>
  <c r="V16" i="13"/>
  <c r="T16" i="13"/>
  <c r="R16" i="13"/>
  <c r="P16" i="13"/>
  <c r="M16" i="13"/>
  <c r="K16" i="13"/>
  <c r="D16" i="13"/>
  <c r="CC15" i="13"/>
  <c r="CB15" i="13"/>
  <c r="BM15" i="13"/>
  <c r="BL15" i="13"/>
  <c r="BK15" i="13"/>
  <c r="BJ15" i="13"/>
  <c r="BT15" i="13" s="1"/>
  <c r="AB15" i="13"/>
  <c r="Z15" i="13"/>
  <c r="X15" i="13"/>
  <c r="V15" i="13"/>
  <c r="T15" i="13"/>
  <c r="R15" i="13"/>
  <c r="P15" i="13"/>
  <c r="M15" i="13"/>
  <c r="K15" i="13"/>
  <c r="D15" i="13"/>
  <c r="CC14" i="13"/>
  <c r="BJ14" i="13"/>
  <c r="BT14" i="13" s="1"/>
  <c r="M14" i="13"/>
  <c r="K14" i="13"/>
  <c r="B12" i="22" s="1"/>
  <c r="D14" i="13"/>
  <c r="CC13" i="13"/>
  <c r="BJ13" i="13"/>
  <c r="BT13" i="13" s="1"/>
  <c r="M13" i="13"/>
  <c r="K13" i="13"/>
  <c r="D13" i="13"/>
  <c r="CC12" i="13"/>
  <c r="BJ12" i="13"/>
  <c r="BT12" i="13" s="1"/>
  <c r="M12" i="13"/>
  <c r="K12" i="13"/>
  <c r="B10" i="22" s="1"/>
  <c r="D12" i="13"/>
  <c r="CC11" i="13"/>
  <c r="BJ11" i="13"/>
  <c r="BT11" i="13" s="1"/>
  <c r="M11" i="13"/>
  <c r="K11" i="13"/>
  <c r="D11" i="13"/>
  <c r="CC10" i="13"/>
  <c r="BJ10" i="13"/>
  <c r="BT10" i="13" s="1"/>
  <c r="M10" i="13"/>
  <c r="K10" i="13"/>
  <c r="B8" i="22" s="1"/>
  <c r="D10" i="13"/>
  <c r="CC9" i="13"/>
  <c r="BJ9" i="13"/>
  <c r="BT9" i="13" s="1"/>
  <c r="M9" i="13"/>
  <c r="K9" i="13"/>
  <c r="B7" i="22" s="1"/>
  <c r="D9" i="13"/>
  <c r="CC8" i="13"/>
  <c r="BJ8" i="13"/>
  <c r="BT8" i="13" s="1"/>
  <c r="M8" i="13"/>
  <c r="K8" i="13"/>
  <c r="B6" i="22" s="1"/>
  <c r="D8" i="13"/>
  <c r="CC7" i="13"/>
  <c r="BJ7" i="13"/>
  <c r="BT7" i="13" s="1"/>
  <c r="M7" i="13"/>
  <c r="K7" i="13"/>
  <c r="B5" i="22" s="1"/>
  <c r="D7" i="13"/>
  <c r="CC6" i="13"/>
  <c r="BJ6" i="13"/>
  <c r="BT6" i="13" s="1"/>
  <c r="M6" i="13"/>
  <c r="K6" i="13"/>
  <c r="B4" i="22" s="1"/>
  <c r="P4" i="22" s="1"/>
  <c r="D6" i="13"/>
  <c r="CC5" i="13"/>
  <c r="BJ5" i="13"/>
  <c r="BT5" i="13" s="1"/>
  <c r="M5" i="13"/>
  <c r="K5" i="13"/>
  <c r="D5" i="13"/>
  <c r="CC4" i="13"/>
  <c r="BJ4" i="13"/>
  <c r="M4" i="13"/>
  <c r="K4" i="13"/>
  <c r="D4" i="13"/>
  <c r="AG133" i="24"/>
  <c r="AC133" i="24"/>
  <c r="AB14" i="24" s="1"/>
  <c r="S133" i="24"/>
  <c r="O133" i="24"/>
  <c r="K133" i="24"/>
  <c r="J14" i="24" s="1"/>
  <c r="G133" i="24"/>
  <c r="F14" i="24" s="1"/>
  <c r="AG121" i="24"/>
  <c r="AF13" i="24" s="1"/>
  <c r="AC121" i="24"/>
  <c r="AB13" i="24" s="1"/>
  <c r="S121" i="24"/>
  <c r="O121" i="24"/>
  <c r="K121" i="24"/>
  <c r="J13" i="24" s="1"/>
  <c r="G121" i="24"/>
  <c r="AG109" i="24"/>
  <c r="AF12" i="24" s="1"/>
  <c r="AC109" i="24"/>
  <c r="AB12" i="24" s="1"/>
  <c r="S109" i="24"/>
  <c r="R12" i="24" s="1"/>
  <c r="O109" i="24"/>
  <c r="N12" i="24" s="1"/>
  <c r="K109" i="24"/>
  <c r="G109" i="24"/>
  <c r="F12" i="24" s="1"/>
  <c r="AJ102" i="24"/>
  <c r="AJ101" i="24"/>
  <c r="AJ100" i="24"/>
  <c r="AJ99" i="24"/>
  <c r="AG97" i="24"/>
  <c r="AF11" i="24" s="1"/>
  <c r="AC97" i="24"/>
  <c r="AB11" i="24" s="1"/>
  <c r="S97" i="24"/>
  <c r="O97" i="24"/>
  <c r="K97" i="24"/>
  <c r="J11" i="24" s="1"/>
  <c r="G97" i="24"/>
  <c r="AG85" i="24"/>
  <c r="AF10" i="24" s="1"/>
  <c r="AC85" i="24"/>
  <c r="AB10" i="24" s="1"/>
  <c r="S85" i="24"/>
  <c r="R10" i="24" s="1"/>
  <c r="O85" i="24"/>
  <c r="N10" i="24" s="1"/>
  <c r="K85" i="24"/>
  <c r="G85" i="24"/>
  <c r="AG73" i="24"/>
  <c r="AF9" i="24" s="1"/>
  <c r="AC73" i="24"/>
  <c r="S73" i="24"/>
  <c r="R9" i="24" s="1"/>
  <c r="O73" i="24"/>
  <c r="N9" i="24" s="1"/>
  <c r="K73" i="24"/>
  <c r="J9" i="24" s="1"/>
  <c r="G73" i="24"/>
  <c r="F9" i="24" s="1"/>
  <c r="AG61" i="24"/>
  <c r="AC61" i="24"/>
  <c r="S61" i="24"/>
  <c r="O61" i="24"/>
  <c r="K61" i="24"/>
  <c r="J8" i="24" s="1"/>
  <c r="G61" i="24"/>
  <c r="F8" i="24" s="1"/>
  <c r="C57" i="24"/>
  <c r="B14" i="24" s="1"/>
  <c r="Y56" i="24"/>
  <c r="X14" i="24" s="1"/>
  <c r="AG49" i="24"/>
  <c r="AC49" i="24"/>
  <c r="S49" i="24"/>
  <c r="R7" i="24" s="1"/>
  <c r="O49" i="24"/>
  <c r="K49" i="24"/>
  <c r="J7" i="24" s="1"/>
  <c r="G49" i="24"/>
  <c r="F7" i="24" s="1"/>
  <c r="C45" i="24"/>
  <c r="B13" i="24" s="1"/>
  <c r="Y44" i="24"/>
  <c r="X13" i="24" s="1"/>
  <c r="AG37" i="24"/>
  <c r="AF6" i="24" s="1"/>
  <c r="AC37" i="24"/>
  <c r="AB6" i="24" s="1"/>
  <c r="S37" i="24"/>
  <c r="O37" i="24"/>
  <c r="K37" i="24"/>
  <c r="J6" i="24" s="1"/>
  <c r="G37" i="24"/>
  <c r="F6" i="24" s="1"/>
  <c r="C33" i="24"/>
  <c r="B12" i="24" s="1"/>
  <c r="Y32" i="24"/>
  <c r="X12" i="24" s="1"/>
  <c r="AG25" i="24"/>
  <c r="AC25" i="24"/>
  <c r="AB5" i="24" s="1"/>
  <c r="S25" i="24"/>
  <c r="R5" i="24" s="1"/>
  <c r="O25" i="24"/>
  <c r="K25" i="24"/>
  <c r="J5" i="24" s="1"/>
  <c r="G25" i="24"/>
  <c r="F5" i="24" s="1"/>
  <c r="BO24" i="24"/>
  <c r="AK24" i="24"/>
  <c r="BO23" i="24"/>
  <c r="AK23" i="24"/>
  <c r="BO22" i="24"/>
  <c r="AK22" i="24"/>
  <c r="BO21" i="24"/>
  <c r="AK21" i="24"/>
  <c r="C21" i="24"/>
  <c r="B11" i="24" s="1"/>
  <c r="BO20" i="24"/>
  <c r="AK20" i="24"/>
  <c r="Y20" i="24"/>
  <c r="X11" i="24" s="1"/>
  <c r="BO19" i="24"/>
  <c r="AK19" i="24"/>
  <c r="BO18" i="24"/>
  <c r="AK18" i="24"/>
  <c r="BO17" i="24"/>
  <c r="AK17" i="24"/>
  <c r="BO16" i="24"/>
  <c r="AK16" i="24"/>
  <c r="BO15" i="24"/>
  <c r="AU15" i="24"/>
  <c r="BD15" i="24" s="1"/>
  <c r="BB15" i="24"/>
  <c r="BB40" i="24" s="1"/>
  <c r="BC40" i="24" s="1"/>
  <c r="AK15" i="24"/>
  <c r="BA14" i="24"/>
  <c r="BC14" i="24" s="1"/>
  <c r="AK14" i="24"/>
  <c r="C83" i="26" s="1"/>
  <c r="AF14" i="24"/>
  <c r="R14" i="24"/>
  <c r="N14" i="24"/>
  <c r="BP13" i="24"/>
  <c r="BD13" i="24"/>
  <c r="BF13" i="24" s="1"/>
  <c r="BA13" i="24"/>
  <c r="BC13" i="24" s="1"/>
  <c r="AV13" i="24"/>
  <c r="M82" i="26" s="1"/>
  <c r="AQ13" i="24"/>
  <c r="J82" i="26" s="1"/>
  <c r="AK13" i="24"/>
  <c r="R13" i="24"/>
  <c r="N13" i="24"/>
  <c r="F13" i="24"/>
  <c r="BP12" i="24"/>
  <c r="BD12" i="24"/>
  <c r="BF12" i="24" s="1"/>
  <c r="BA12" i="24"/>
  <c r="BC12" i="24" s="1"/>
  <c r="AV12" i="24"/>
  <c r="M81" i="26" s="1"/>
  <c r="AQ12" i="24"/>
  <c r="J81" i="26" s="1"/>
  <c r="AK12" i="24"/>
  <c r="C81" i="26" s="1"/>
  <c r="J12" i="24"/>
  <c r="BP11" i="24"/>
  <c r="BD11" i="24"/>
  <c r="BF11" i="24" s="1"/>
  <c r="BA11" i="24"/>
  <c r="BC11" i="24" s="1"/>
  <c r="AV11" i="24"/>
  <c r="M80" i="26" s="1"/>
  <c r="AQ11" i="24"/>
  <c r="J80" i="26" s="1"/>
  <c r="AK11" i="24"/>
  <c r="C80" i="26" s="1"/>
  <c r="R11" i="24"/>
  <c r="N11" i="24"/>
  <c r="F11" i="24"/>
  <c r="BP10" i="24"/>
  <c r="BD10" i="24"/>
  <c r="BF10" i="24" s="1"/>
  <c r="BA10" i="24"/>
  <c r="BC10" i="24" s="1"/>
  <c r="AV10" i="24"/>
  <c r="M79" i="26" s="1"/>
  <c r="AQ10" i="24"/>
  <c r="J79" i="26" s="1"/>
  <c r="AK10" i="24"/>
  <c r="C79" i="26" s="1"/>
  <c r="J10" i="24"/>
  <c r="F10" i="24"/>
  <c r="G11" i="24" s="1"/>
  <c r="D80" i="26" s="1"/>
  <c r="BP9" i="24"/>
  <c r="BD9" i="24"/>
  <c r="BF9" i="24" s="1"/>
  <c r="BA9" i="24"/>
  <c r="BC9" i="24" s="1"/>
  <c r="AV9" i="24"/>
  <c r="M78" i="26" s="1"/>
  <c r="AQ9" i="24"/>
  <c r="J78" i="26" s="1"/>
  <c r="AK9" i="24"/>
  <c r="AB9" i="24"/>
  <c r="BP8" i="24"/>
  <c r="BD8" i="24"/>
  <c r="BF8" i="24" s="1"/>
  <c r="BA8" i="24"/>
  <c r="BC8" i="24" s="1"/>
  <c r="AV8" i="24"/>
  <c r="M77" i="26" s="1"/>
  <c r="AQ8" i="24"/>
  <c r="J77" i="26" s="1"/>
  <c r="AK8" i="24"/>
  <c r="AF8" i="24"/>
  <c r="AB8" i="24"/>
  <c r="R8" i="24"/>
  <c r="N8" i="24"/>
  <c r="AV7" i="24"/>
  <c r="M76" i="26" s="1"/>
  <c r="AQ7" i="24"/>
  <c r="J76" i="26" s="1"/>
  <c r="AK7" i="24"/>
  <c r="C76" i="26" s="1"/>
  <c r="AF7" i="24"/>
  <c r="AB7" i="24"/>
  <c r="N7" i="24"/>
  <c r="AV6" i="24"/>
  <c r="M75" i="26" s="1"/>
  <c r="AQ6" i="24"/>
  <c r="J75" i="26" s="1"/>
  <c r="AK6" i="24"/>
  <c r="C75" i="26" s="1"/>
  <c r="R6" i="24"/>
  <c r="N6" i="24"/>
  <c r="AF5" i="24"/>
  <c r="N5" i="24"/>
  <c r="F194" i="26"/>
  <c r="AD190" i="26"/>
  <c r="AC190" i="26"/>
  <c r="AA190" i="26"/>
  <c r="AD189" i="26"/>
  <c r="AC189" i="26"/>
  <c r="AA189" i="26"/>
  <c r="AD188" i="26"/>
  <c r="AC188" i="26"/>
  <c r="AA188" i="26"/>
  <c r="AD187" i="26"/>
  <c r="AC187" i="26"/>
  <c r="AA187" i="26"/>
  <c r="AD186" i="26"/>
  <c r="AC186" i="26"/>
  <c r="AA186" i="26"/>
  <c r="AD185" i="26"/>
  <c r="AC185" i="26"/>
  <c r="AA185" i="26"/>
  <c r="AD184" i="26"/>
  <c r="AC184" i="26"/>
  <c r="AA184" i="26"/>
  <c r="AD183" i="26"/>
  <c r="AC183" i="26"/>
  <c r="AA183" i="26"/>
  <c r="AD182" i="26"/>
  <c r="AC182" i="26"/>
  <c r="AA182" i="26"/>
  <c r="AD181" i="26"/>
  <c r="AC181" i="26"/>
  <c r="AA181" i="26"/>
  <c r="AD180" i="26"/>
  <c r="AC180" i="26"/>
  <c r="AE177" i="26"/>
  <c r="BR168" i="26"/>
  <c r="BN168" i="26"/>
  <c r="AS168" i="26"/>
  <c r="AO168" i="26"/>
  <c r="AK168" i="26"/>
  <c r="BR167" i="26"/>
  <c r="BQ167" i="26"/>
  <c r="BN167" i="26"/>
  <c r="BM167" i="26"/>
  <c r="BJ167" i="26"/>
  <c r="BI167" i="26"/>
  <c r="BF167" i="26"/>
  <c r="BE167" i="26"/>
  <c r="BB167" i="26"/>
  <c r="BA167" i="26"/>
  <c r="AX167" i="26"/>
  <c r="AW167" i="26"/>
  <c r="AS167" i="26"/>
  <c r="AR167" i="26"/>
  <c r="AO167" i="26"/>
  <c r="AN167" i="26"/>
  <c r="AK167" i="26"/>
  <c r="AJ167" i="26"/>
  <c r="AF167" i="26"/>
  <c r="BQ166" i="26"/>
  <c r="BM166" i="26"/>
  <c r="BI166" i="26"/>
  <c r="BE166" i="26"/>
  <c r="BA166" i="26"/>
  <c r="AW166" i="26"/>
  <c r="AR166" i="26"/>
  <c r="AN166" i="26"/>
  <c r="AJ166" i="26"/>
  <c r="AF166" i="26"/>
  <c r="BR165" i="26"/>
  <c r="BQ165" i="26"/>
  <c r="BN165" i="26"/>
  <c r="BM165" i="26"/>
  <c r="BJ165" i="26"/>
  <c r="BF165" i="26"/>
  <c r="BB165" i="26"/>
  <c r="AX165" i="26"/>
  <c r="AS165" i="26"/>
  <c r="AO165" i="26"/>
  <c r="AK165" i="26"/>
  <c r="AJ165" i="26"/>
  <c r="AF165" i="26"/>
  <c r="AF164" i="26"/>
  <c r="AF163" i="26"/>
  <c r="AF162" i="26"/>
  <c r="BR161" i="26"/>
  <c r="BN161" i="26"/>
  <c r="AS161" i="26"/>
  <c r="AO161" i="26"/>
  <c r="AK161" i="26"/>
  <c r="AF161" i="26"/>
  <c r="BR160" i="26"/>
  <c r="BQ160" i="26"/>
  <c r="BN160" i="26"/>
  <c r="BM160" i="26"/>
  <c r="BJ160" i="26"/>
  <c r="BI160" i="26"/>
  <c r="BF160" i="26"/>
  <c r="BE160" i="26"/>
  <c r="BB160" i="26"/>
  <c r="BA160" i="26"/>
  <c r="AX160" i="26"/>
  <c r="AS160" i="26"/>
  <c r="AR160" i="26"/>
  <c r="AO160" i="26"/>
  <c r="AN160" i="26"/>
  <c r="AK160" i="26"/>
  <c r="AJ160" i="26"/>
  <c r="BQ159" i="26"/>
  <c r="BM159" i="26"/>
  <c r="BI159" i="26"/>
  <c r="BE159" i="26"/>
  <c r="BA159" i="26"/>
  <c r="AW159" i="26"/>
  <c r="AR159" i="26"/>
  <c r="AN159" i="26"/>
  <c r="AJ159" i="26"/>
  <c r="BR158" i="26"/>
  <c r="BQ158" i="26"/>
  <c r="BN158" i="26"/>
  <c r="BM158" i="26"/>
  <c r="BJ158" i="26"/>
  <c r="BF158" i="26"/>
  <c r="BB158" i="26"/>
  <c r="AX158" i="26"/>
  <c r="AS158" i="26"/>
  <c r="AO158" i="26"/>
  <c r="AK158" i="26"/>
  <c r="AJ158" i="26"/>
  <c r="BR154" i="26"/>
  <c r="BN154" i="26"/>
  <c r="BJ154" i="26"/>
  <c r="BF154" i="26"/>
  <c r="BB154" i="26"/>
  <c r="AX154" i="26"/>
  <c r="AS154" i="26"/>
  <c r="AO154" i="26"/>
  <c r="AK154" i="26"/>
  <c r="BR153" i="26"/>
  <c r="BN153" i="26"/>
  <c r="BJ153" i="26"/>
  <c r="BF153" i="26"/>
  <c r="BB153" i="26"/>
  <c r="AX153" i="26"/>
  <c r="AS153" i="26"/>
  <c r="AO153" i="26"/>
  <c r="AK153" i="26"/>
  <c r="AJ153" i="26"/>
  <c r="BQ152" i="26"/>
  <c r="BM152" i="26"/>
  <c r="BI152" i="26"/>
  <c r="BE152" i="26"/>
  <c r="BA152" i="26"/>
  <c r="AW152" i="26"/>
  <c r="AR152" i="26"/>
  <c r="AN152" i="26"/>
  <c r="AJ152" i="26"/>
  <c r="BR151" i="26"/>
  <c r="BN151" i="26"/>
  <c r="BJ151" i="26"/>
  <c r="BF151" i="26"/>
  <c r="BB151" i="26"/>
  <c r="AX151" i="26"/>
  <c r="AS151" i="26"/>
  <c r="AO151" i="26"/>
  <c r="AK151" i="26"/>
  <c r="AJ151" i="26"/>
  <c r="AM145" i="26"/>
  <c r="AL145" i="26"/>
  <c r="AK145" i="26"/>
  <c r="AJ145" i="26"/>
  <c r="AI145" i="26"/>
  <c r="AH145" i="26"/>
  <c r="AC145" i="26"/>
  <c r="AB145" i="26"/>
  <c r="AA145" i="26"/>
  <c r="Z145" i="26"/>
  <c r="Y145" i="26"/>
  <c r="X145" i="26"/>
  <c r="AC144" i="26"/>
  <c r="AB144" i="26"/>
  <c r="AA144" i="26"/>
  <c r="AC143" i="26"/>
  <c r="AB143" i="26"/>
  <c r="AA143" i="26"/>
  <c r="Z143" i="26"/>
  <c r="Y143" i="26"/>
  <c r="X143" i="26"/>
  <c r="AM142" i="26"/>
  <c r="AL142" i="26"/>
  <c r="AK142" i="26"/>
  <c r="AJ142" i="26"/>
  <c r="AI142" i="26"/>
  <c r="AH142" i="26"/>
  <c r="AC142" i="26"/>
  <c r="AB142" i="26"/>
  <c r="AA142" i="26"/>
  <c r="Z142" i="26"/>
  <c r="Y142" i="26"/>
  <c r="X142" i="26"/>
  <c r="AM141" i="26"/>
  <c r="AL141" i="26"/>
  <c r="AK141" i="26"/>
  <c r="AJ141" i="26"/>
  <c r="AI141" i="26"/>
  <c r="AH141" i="26"/>
  <c r="AC141" i="26"/>
  <c r="AB141" i="26"/>
  <c r="AA141" i="26"/>
  <c r="Z141" i="26"/>
  <c r="Y141" i="26"/>
  <c r="X141" i="26"/>
  <c r="AM140" i="26"/>
  <c r="AL140" i="26"/>
  <c r="AK140" i="26"/>
  <c r="AJ140" i="26"/>
  <c r="AI140" i="26"/>
  <c r="AH140" i="26"/>
  <c r="AC140" i="26"/>
  <c r="AB140" i="26"/>
  <c r="AA140" i="26"/>
  <c r="Z140" i="26"/>
  <c r="Y140" i="26"/>
  <c r="X140" i="26"/>
  <c r="W140" i="26"/>
  <c r="V140" i="26"/>
  <c r="U140" i="26"/>
  <c r="AM139" i="26"/>
  <c r="AL139" i="26"/>
  <c r="AK139" i="26"/>
  <c r="AJ139" i="26"/>
  <c r="AI139" i="26"/>
  <c r="AH139" i="26"/>
  <c r="AC139" i="26"/>
  <c r="AB139" i="26"/>
  <c r="AA139" i="26"/>
  <c r="Z139" i="26"/>
  <c r="Y139" i="26"/>
  <c r="X139" i="26"/>
  <c r="AM138" i="26"/>
  <c r="AL138" i="26"/>
  <c r="AK138" i="26"/>
  <c r="AJ138" i="26"/>
  <c r="AI138" i="26"/>
  <c r="AH138" i="26"/>
  <c r="AC138" i="26"/>
  <c r="AB138" i="26"/>
  <c r="AA138" i="26"/>
  <c r="Z138" i="26"/>
  <c r="Y138" i="26"/>
  <c r="X138" i="26"/>
  <c r="AF127" i="26"/>
  <c r="AD127" i="26"/>
  <c r="AF126" i="26"/>
  <c r="AD126" i="26"/>
  <c r="AF125" i="26"/>
  <c r="AD125" i="26"/>
  <c r="AF124" i="26"/>
  <c r="AD124" i="26"/>
  <c r="AF123" i="26"/>
  <c r="AD123" i="26"/>
  <c r="AF122" i="26"/>
  <c r="AD122" i="26"/>
  <c r="AF121" i="26"/>
  <c r="AD121" i="26"/>
  <c r="AF120" i="26"/>
  <c r="AD120" i="26"/>
  <c r="AF119" i="26"/>
  <c r="AD119" i="26"/>
  <c r="Z113" i="26"/>
  <c r="AD111" i="26"/>
  <c r="AC111" i="26"/>
  <c r="AB111" i="26"/>
  <c r="AA111" i="26"/>
  <c r="Z111" i="26"/>
  <c r="AD110" i="26"/>
  <c r="AB110" i="26"/>
  <c r="AD109" i="26"/>
  <c r="AB109" i="26"/>
  <c r="AC108" i="26"/>
  <c r="AA108" i="26"/>
  <c r="AC106" i="26"/>
  <c r="AA106" i="26"/>
  <c r="AK105" i="26"/>
  <c r="AM104" i="26"/>
  <c r="AL104" i="26"/>
  <c r="AK103" i="26"/>
  <c r="AM102" i="26"/>
  <c r="AL102" i="26"/>
  <c r="AK101" i="26"/>
  <c r="AF101" i="26"/>
  <c r="AD101" i="26"/>
  <c r="AM100" i="26"/>
  <c r="AL100" i="26"/>
  <c r="AF100" i="26"/>
  <c r="AD100" i="26"/>
  <c r="AK99" i="26"/>
  <c r="AF99" i="26"/>
  <c r="AD99" i="26"/>
  <c r="AM98" i="26"/>
  <c r="AL98" i="26"/>
  <c r="AF98" i="26"/>
  <c r="AD98" i="26"/>
  <c r="AF97" i="26"/>
  <c r="AE97" i="26"/>
  <c r="AD97" i="26"/>
  <c r="AC97" i="26"/>
  <c r="AB97" i="26"/>
  <c r="W97" i="26"/>
  <c r="V97" i="26"/>
  <c r="T97" i="26"/>
  <c r="AK96" i="26"/>
  <c r="AF96" i="26"/>
  <c r="AD96" i="26"/>
  <c r="AM95" i="26"/>
  <c r="AL95" i="26"/>
  <c r="AF95" i="26"/>
  <c r="AD95" i="26"/>
  <c r="AD86" i="26"/>
  <c r="AB86" i="26"/>
  <c r="AF83" i="26"/>
  <c r="AE83" i="26"/>
  <c r="AD83" i="26"/>
  <c r="AC83" i="26"/>
  <c r="AB83" i="26"/>
  <c r="AA83" i="26"/>
  <c r="Z83" i="26"/>
  <c r="M83" i="26"/>
  <c r="J83" i="26"/>
  <c r="C82" i="26"/>
  <c r="Z79" i="26"/>
  <c r="C78" i="26"/>
  <c r="Z77" i="26"/>
  <c r="C77" i="26"/>
  <c r="AF75" i="26"/>
  <c r="AE75" i="26"/>
  <c r="AD75" i="26"/>
  <c r="AC75" i="26"/>
  <c r="AB75" i="26"/>
  <c r="AA75" i="26"/>
  <c r="Z75" i="26"/>
  <c r="P74" i="26"/>
  <c r="N74" i="26"/>
  <c r="M74" i="26"/>
  <c r="K74" i="26"/>
  <c r="J74" i="26"/>
  <c r="H74" i="26"/>
  <c r="G74" i="26"/>
  <c r="F74" i="26"/>
  <c r="E74" i="26"/>
  <c r="D74" i="26"/>
  <c r="C74" i="26"/>
  <c r="AF73" i="26"/>
  <c r="AE73" i="26"/>
  <c r="AD73" i="26"/>
  <c r="AC73" i="26"/>
  <c r="AB73" i="26"/>
  <c r="AA73" i="26"/>
  <c r="Z73" i="26"/>
  <c r="AF72" i="26"/>
  <c r="AE72" i="26"/>
  <c r="AD72" i="26"/>
  <c r="AC72" i="26"/>
  <c r="AB72" i="26"/>
  <c r="AA72" i="26"/>
  <c r="Z72" i="26"/>
  <c r="AF71" i="26"/>
  <c r="AE71" i="26"/>
  <c r="AD71" i="26"/>
  <c r="AC71" i="26"/>
  <c r="AB71" i="26"/>
  <c r="AA71" i="26"/>
  <c r="Z71" i="26"/>
  <c r="Z69" i="26"/>
  <c r="AA68" i="26"/>
  <c r="AA69" i="26" s="1"/>
  <c r="AF67" i="26"/>
  <c r="AE67" i="26"/>
  <c r="AD67" i="26"/>
  <c r="AC67" i="26"/>
  <c r="AB67" i="26"/>
  <c r="AA67" i="26"/>
  <c r="Z67" i="26"/>
  <c r="AF66" i="26"/>
  <c r="AE66" i="26"/>
  <c r="AD66" i="26"/>
  <c r="AC66" i="26"/>
  <c r="AB66" i="26"/>
  <c r="AA66" i="26"/>
  <c r="Z66" i="26"/>
  <c r="AF65" i="26"/>
  <c r="AE65" i="26"/>
  <c r="AD65" i="26"/>
  <c r="AC65" i="26"/>
  <c r="AB65" i="26"/>
  <c r="AA65" i="26"/>
  <c r="Z65" i="26"/>
  <c r="AF64" i="26"/>
  <c r="AE64" i="26"/>
  <c r="AD64" i="26"/>
  <c r="AC64" i="26"/>
  <c r="AB64" i="26"/>
  <c r="AA64" i="26"/>
  <c r="Z64" i="26"/>
  <c r="AF63" i="26"/>
  <c r="AE63" i="26"/>
  <c r="AD63" i="26"/>
  <c r="AC63" i="26"/>
  <c r="AB63" i="26"/>
  <c r="AA63" i="26"/>
  <c r="Z63" i="26"/>
  <c r="AF62" i="26"/>
  <c r="AE62" i="26"/>
  <c r="AD62" i="26"/>
  <c r="AC62" i="26"/>
  <c r="AB62" i="26"/>
  <c r="AA62" i="26"/>
  <c r="Z62" i="26"/>
  <c r="AF61" i="26"/>
  <c r="AE61" i="26"/>
  <c r="AD61" i="26"/>
  <c r="AC61" i="26"/>
  <c r="AB61" i="26"/>
  <c r="AA61" i="26"/>
  <c r="Z61" i="26"/>
  <c r="AD44" i="26"/>
  <c r="AC44" i="26"/>
  <c r="AB44" i="26"/>
  <c r="AA44" i="26"/>
  <c r="Z44" i="26"/>
  <c r="AD43" i="26"/>
  <c r="AC43" i="26"/>
  <c r="AB43" i="26"/>
  <c r="AA43" i="26"/>
  <c r="Z43" i="26"/>
  <c r="AD42" i="26"/>
  <c r="AC42" i="26"/>
  <c r="AB42" i="26"/>
  <c r="AA42" i="26"/>
  <c r="Z42" i="26"/>
  <c r="AD41" i="26"/>
  <c r="AC41" i="26"/>
  <c r="AB41" i="26"/>
  <c r="AA41" i="26"/>
  <c r="Z41" i="26"/>
  <c r="AD40" i="26"/>
  <c r="AC40" i="26"/>
  <c r="AB40" i="26"/>
  <c r="AA40" i="26"/>
  <c r="Z40" i="26"/>
  <c r="AD39" i="26"/>
  <c r="AC39" i="26"/>
  <c r="AB39" i="26"/>
  <c r="AA39" i="26"/>
  <c r="Z39" i="26"/>
  <c r="AD38" i="26"/>
  <c r="AC38" i="26"/>
  <c r="AB38" i="26"/>
  <c r="AA38" i="26"/>
  <c r="Z38" i="26"/>
  <c r="AD34" i="26"/>
  <c r="AC34" i="26"/>
  <c r="AB34" i="26"/>
  <c r="AA34" i="26"/>
  <c r="Z34" i="26"/>
  <c r="AD33" i="26"/>
  <c r="AC33" i="26"/>
  <c r="AB33" i="26"/>
  <c r="AA33" i="26"/>
  <c r="Z33" i="26"/>
  <c r="AD32" i="26"/>
  <c r="AC32" i="26"/>
  <c r="AB32" i="26"/>
  <c r="AA32" i="26"/>
  <c r="Z32" i="26"/>
  <c r="AD31" i="26"/>
  <c r="AC31" i="26"/>
  <c r="AB31" i="26"/>
  <c r="AA31" i="26"/>
  <c r="Z31" i="26"/>
  <c r="AD30" i="26"/>
  <c r="AC30" i="26"/>
  <c r="AB30" i="26"/>
  <c r="AA30" i="26"/>
  <c r="Z30" i="26"/>
  <c r="AD29" i="26"/>
  <c r="AC29" i="26"/>
  <c r="AB29" i="26"/>
  <c r="AA29" i="26"/>
  <c r="Z29" i="26"/>
  <c r="AD28" i="26"/>
  <c r="AC28" i="26"/>
  <c r="AB28" i="26"/>
  <c r="AA28" i="26"/>
  <c r="Z28" i="26"/>
  <c r="AH26" i="26"/>
  <c r="AD23" i="26"/>
  <c r="AC23" i="26"/>
  <c r="AB23" i="26"/>
  <c r="AD22" i="26"/>
  <c r="AB22" i="26"/>
  <c r="AD21" i="26"/>
  <c r="AB21" i="26"/>
  <c r="AD20" i="26"/>
  <c r="AB20" i="26"/>
  <c r="AD19" i="26"/>
  <c r="AB19" i="26"/>
  <c r="AD17" i="26"/>
  <c r="AC17" i="26"/>
  <c r="AB17" i="26"/>
  <c r="AA17" i="26"/>
  <c r="Z17" i="26"/>
  <c r="AD16" i="26"/>
  <c r="AB16" i="26"/>
  <c r="AD15" i="26"/>
  <c r="AB15" i="26"/>
  <c r="AD14" i="26"/>
  <c r="AB14" i="26"/>
  <c r="AD13" i="26"/>
  <c r="AB13" i="26"/>
  <c r="AL12" i="26"/>
  <c r="AK12" i="26"/>
  <c r="AJ12" i="26"/>
  <c r="AI12" i="26"/>
  <c r="AL11" i="26"/>
  <c r="AK11" i="26"/>
  <c r="AJ11" i="26"/>
  <c r="AI11" i="26"/>
  <c r="AD11" i="26"/>
  <c r="AC11" i="26"/>
  <c r="AB11" i="26"/>
  <c r="AA11" i="26"/>
  <c r="Z11" i="26"/>
  <c r="AL10" i="26"/>
  <c r="AK10" i="26"/>
  <c r="AJ10" i="26"/>
  <c r="AI10" i="26"/>
  <c r="AD10" i="26"/>
  <c r="AB10" i="26"/>
  <c r="AL9" i="26"/>
  <c r="AK9" i="26"/>
  <c r="AD9" i="26"/>
  <c r="AC9" i="26"/>
  <c r="AB9" i="26"/>
  <c r="AA9" i="26"/>
  <c r="Z9" i="26"/>
  <c r="AL8" i="26"/>
  <c r="AK8" i="26"/>
  <c r="AJ8" i="26"/>
  <c r="AI8" i="26"/>
  <c r="AD8" i="26"/>
  <c r="AB8" i="26"/>
  <c r="AL7" i="26"/>
  <c r="AK7" i="26"/>
  <c r="AI7" i="26"/>
  <c r="AD7" i="26"/>
  <c r="AB7" i="26"/>
  <c r="AL6" i="26"/>
  <c r="AK6" i="26"/>
  <c r="AI6" i="26"/>
  <c r="AD6" i="26"/>
  <c r="AB6" i="26"/>
  <c r="AL5" i="26"/>
  <c r="AK5" i="26"/>
  <c r="AI5" i="26"/>
  <c r="AD4" i="26"/>
  <c r="AB4" i="26"/>
  <c r="N37" i="27"/>
  <c r="AC68" i="26" s="1"/>
  <c r="I37" i="27"/>
  <c r="B21" i="27"/>
  <c r="E20" i="27"/>
  <c r="F20" i="27" s="1"/>
  <c r="B20" i="27"/>
  <c r="B19" i="27"/>
  <c r="B18" i="27"/>
  <c r="T16" i="27"/>
  <c r="S16" i="27"/>
  <c r="S15" i="27"/>
  <c r="T15" i="27" s="1"/>
  <c r="T17" i="27" s="1"/>
  <c r="F12" i="27"/>
  <c r="L30" i="27" s="1"/>
  <c r="E12" i="27"/>
  <c r="E10" i="27"/>
  <c r="E18" i="27" s="1"/>
  <c r="F18" i="27" s="1"/>
  <c r="C10" i="27"/>
  <c r="C20" i="27" s="1"/>
  <c r="D20" i="27" s="1"/>
  <c r="C91" i="22"/>
  <c r="C90" i="22"/>
  <c r="C89" i="22"/>
  <c r="C88" i="22"/>
  <c r="C87" i="22"/>
  <c r="C86" i="22"/>
  <c r="C85" i="22"/>
  <c r="C84" i="22"/>
  <c r="C83" i="22"/>
  <c r="C82" i="22"/>
  <c r="C81" i="22"/>
  <c r="K45" i="22"/>
  <c r="M45" i="22" s="1"/>
  <c r="J45" i="22"/>
  <c r="I45" i="22"/>
  <c r="H45" i="22"/>
  <c r="G45" i="22"/>
  <c r="F45" i="22"/>
  <c r="E45" i="22"/>
  <c r="D45" i="22"/>
  <c r="C45" i="22"/>
  <c r="B45" i="22"/>
  <c r="K75" i="22"/>
  <c r="M75" i="22" s="1"/>
  <c r="J75" i="22"/>
  <c r="I75" i="22"/>
  <c r="H75" i="22"/>
  <c r="G75" i="22"/>
  <c r="F75" i="22"/>
  <c r="E75" i="22"/>
  <c r="D75" i="22"/>
  <c r="C75" i="22"/>
  <c r="B75" i="22"/>
  <c r="K60" i="22"/>
  <c r="M60" i="22" s="1"/>
  <c r="J60" i="22"/>
  <c r="I60" i="22"/>
  <c r="H60" i="22"/>
  <c r="G60" i="22"/>
  <c r="F60" i="22"/>
  <c r="E60" i="22"/>
  <c r="D60" i="22"/>
  <c r="C60" i="22"/>
  <c r="B60" i="22"/>
  <c r="K30" i="22"/>
  <c r="M30" i="22" s="1"/>
  <c r="J30" i="22"/>
  <c r="I30" i="22"/>
  <c r="H30" i="22"/>
  <c r="G30" i="22"/>
  <c r="F30" i="22"/>
  <c r="E30" i="22"/>
  <c r="D30" i="22"/>
  <c r="C30" i="22"/>
  <c r="B30" i="22"/>
  <c r="K44" i="22"/>
  <c r="M44" i="22" s="1"/>
  <c r="J44" i="22"/>
  <c r="I44" i="22"/>
  <c r="H44" i="22"/>
  <c r="G44" i="22"/>
  <c r="F44" i="22"/>
  <c r="E44" i="22"/>
  <c r="D44" i="22"/>
  <c r="C44" i="22"/>
  <c r="B44" i="22"/>
  <c r="K74" i="22"/>
  <c r="M74" i="22" s="1"/>
  <c r="J74" i="22"/>
  <c r="I74" i="22"/>
  <c r="H74" i="22"/>
  <c r="G74" i="22"/>
  <c r="F74" i="22"/>
  <c r="E74" i="22"/>
  <c r="D74" i="22"/>
  <c r="C74" i="22"/>
  <c r="B74" i="22"/>
  <c r="K59" i="22"/>
  <c r="M59" i="22" s="1"/>
  <c r="J59" i="22"/>
  <c r="I59" i="22"/>
  <c r="H59" i="22"/>
  <c r="G59" i="22"/>
  <c r="F59" i="22"/>
  <c r="E59" i="22"/>
  <c r="D59" i="22"/>
  <c r="C59" i="22"/>
  <c r="B59" i="22"/>
  <c r="K29" i="22"/>
  <c r="M29" i="22" s="1"/>
  <c r="J29" i="22"/>
  <c r="I29" i="22"/>
  <c r="H29" i="22"/>
  <c r="G29" i="22"/>
  <c r="F29" i="22"/>
  <c r="E29" i="22"/>
  <c r="D29" i="22"/>
  <c r="C29" i="22"/>
  <c r="B29" i="22"/>
  <c r="K43" i="22"/>
  <c r="M43" i="22" s="1"/>
  <c r="J43" i="22"/>
  <c r="I43" i="22"/>
  <c r="H43" i="22"/>
  <c r="G43" i="22"/>
  <c r="F43" i="22"/>
  <c r="E43" i="22"/>
  <c r="D43" i="22"/>
  <c r="C43" i="22"/>
  <c r="B43" i="22"/>
  <c r="K73" i="22"/>
  <c r="M73" i="22" s="1"/>
  <c r="J73" i="22"/>
  <c r="I73" i="22"/>
  <c r="H73" i="22"/>
  <c r="G73" i="22"/>
  <c r="F73" i="22"/>
  <c r="E73" i="22"/>
  <c r="D73" i="22"/>
  <c r="C73" i="22"/>
  <c r="B73" i="22"/>
  <c r="K58" i="22"/>
  <c r="M58" i="22" s="1"/>
  <c r="J58" i="22"/>
  <c r="I58" i="22"/>
  <c r="H58" i="22"/>
  <c r="G58" i="22"/>
  <c r="F58" i="22"/>
  <c r="E58" i="22"/>
  <c r="D58" i="22"/>
  <c r="C58" i="22"/>
  <c r="B58" i="22"/>
  <c r="K28" i="22"/>
  <c r="M28" i="22" s="1"/>
  <c r="J28" i="22"/>
  <c r="I28" i="22"/>
  <c r="H28" i="22"/>
  <c r="G28" i="22"/>
  <c r="F28" i="22"/>
  <c r="E28" i="22"/>
  <c r="D28" i="22"/>
  <c r="C28" i="22"/>
  <c r="B28" i="22"/>
  <c r="K42" i="22"/>
  <c r="M42" i="22" s="1"/>
  <c r="J42" i="22"/>
  <c r="I42" i="22"/>
  <c r="H42" i="22"/>
  <c r="G42" i="22"/>
  <c r="F42" i="22"/>
  <c r="E42" i="22"/>
  <c r="D42" i="22"/>
  <c r="C42" i="22"/>
  <c r="B42" i="22"/>
  <c r="K72" i="22"/>
  <c r="M72" i="22" s="1"/>
  <c r="J72" i="22"/>
  <c r="I72" i="22"/>
  <c r="H72" i="22"/>
  <c r="G72" i="22"/>
  <c r="F72" i="22"/>
  <c r="E72" i="22"/>
  <c r="D72" i="22"/>
  <c r="C72" i="22"/>
  <c r="B72" i="22"/>
  <c r="K57" i="22"/>
  <c r="M57" i="22" s="1"/>
  <c r="J57" i="22"/>
  <c r="I57" i="22"/>
  <c r="H57" i="22"/>
  <c r="G57" i="22"/>
  <c r="F57" i="22"/>
  <c r="E57" i="22"/>
  <c r="D57" i="22"/>
  <c r="C57" i="22"/>
  <c r="B57" i="22"/>
  <c r="K27" i="22"/>
  <c r="M27" i="22" s="1"/>
  <c r="J27" i="22"/>
  <c r="I27" i="22"/>
  <c r="H27" i="22"/>
  <c r="G27" i="22"/>
  <c r="F27" i="22"/>
  <c r="E27" i="22"/>
  <c r="D27" i="22"/>
  <c r="C27" i="22"/>
  <c r="B27" i="22"/>
  <c r="K41" i="22"/>
  <c r="M41" i="22" s="1"/>
  <c r="J41" i="22"/>
  <c r="I41" i="22"/>
  <c r="H41" i="22"/>
  <c r="G41" i="22"/>
  <c r="F41" i="22"/>
  <c r="E41" i="22"/>
  <c r="D41" i="22"/>
  <c r="C41" i="22"/>
  <c r="B41" i="22"/>
  <c r="K71" i="22"/>
  <c r="M71" i="22" s="1"/>
  <c r="J71" i="22"/>
  <c r="I71" i="22"/>
  <c r="H71" i="22"/>
  <c r="G71" i="22"/>
  <c r="F71" i="22"/>
  <c r="E71" i="22"/>
  <c r="D71" i="22"/>
  <c r="C71" i="22"/>
  <c r="B71" i="22"/>
  <c r="K56" i="22"/>
  <c r="M56" i="22" s="1"/>
  <c r="J56" i="22"/>
  <c r="I56" i="22"/>
  <c r="H56" i="22"/>
  <c r="G56" i="22"/>
  <c r="F56" i="22"/>
  <c r="E56" i="22"/>
  <c r="D56" i="22"/>
  <c r="C56" i="22"/>
  <c r="B56" i="22"/>
  <c r="K26" i="22"/>
  <c r="M26" i="22" s="1"/>
  <c r="J26" i="22"/>
  <c r="I26" i="22"/>
  <c r="H26" i="22"/>
  <c r="G26" i="22"/>
  <c r="F26" i="22"/>
  <c r="E26" i="22"/>
  <c r="D26" i="22"/>
  <c r="C26" i="22"/>
  <c r="B26" i="22"/>
  <c r="K40" i="22"/>
  <c r="M40" i="22" s="1"/>
  <c r="J40" i="22"/>
  <c r="I40" i="22"/>
  <c r="H40" i="22"/>
  <c r="G40" i="22"/>
  <c r="F40" i="22"/>
  <c r="E40" i="22"/>
  <c r="D40" i="22"/>
  <c r="C40" i="22"/>
  <c r="B40" i="22"/>
  <c r="K70" i="22"/>
  <c r="M70" i="22" s="1"/>
  <c r="J70" i="22"/>
  <c r="I70" i="22"/>
  <c r="H70" i="22"/>
  <c r="G70" i="22"/>
  <c r="F70" i="22"/>
  <c r="E70" i="22"/>
  <c r="D70" i="22"/>
  <c r="C70" i="22"/>
  <c r="B70" i="22"/>
  <c r="K55" i="22"/>
  <c r="M55" i="22" s="1"/>
  <c r="J55" i="22"/>
  <c r="I55" i="22"/>
  <c r="H55" i="22"/>
  <c r="G55" i="22"/>
  <c r="F55" i="22"/>
  <c r="E55" i="22"/>
  <c r="D55" i="22"/>
  <c r="C55" i="22"/>
  <c r="B55" i="22"/>
  <c r="K25" i="22"/>
  <c r="M25" i="22" s="1"/>
  <c r="J25" i="22"/>
  <c r="I25" i="22"/>
  <c r="H25" i="22"/>
  <c r="G25" i="22"/>
  <c r="F25" i="22"/>
  <c r="E25" i="22"/>
  <c r="D25" i="22"/>
  <c r="C25" i="22"/>
  <c r="B25" i="22"/>
  <c r="K39" i="22"/>
  <c r="M39" i="22" s="1"/>
  <c r="J39" i="22"/>
  <c r="I39" i="22"/>
  <c r="H39" i="22"/>
  <c r="G39" i="22"/>
  <c r="F39" i="22"/>
  <c r="E39" i="22"/>
  <c r="D39" i="22"/>
  <c r="C39" i="22"/>
  <c r="B39" i="22"/>
  <c r="K69" i="22"/>
  <c r="M69" i="22" s="1"/>
  <c r="J69" i="22"/>
  <c r="I69" i="22"/>
  <c r="H69" i="22"/>
  <c r="G69" i="22"/>
  <c r="F69" i="22"/>
  <c r="E69" i="22"/>
  <c r="D69" i="22"/>
  <c r="C69" i="22"/>
  <c r="B69" i="22"/>
  <c r="K54" i="22"/>
  <c r="M54" i="22" s="1"/>
  <c r="J54" i="22"/>
  <c r="I54" i="22"/>
  <c r="H54" i="22"/>
  <c r="G54" i="22"/>
  <c r="F54" i="22"/>
  <c r="E54" i="22"/>
  <c r="D54" i="22"/>
  <c r="C54" i="22"/>
  <c r="B54" i="22"/>
  <c r="K24" i="22"/>
  <c r="M24" i="22" s="1"/>
  <c r="J24" i="22"/>
  <c r="I24" i="22"/>
  <c r="H24" i="22"/>
  <c r="G24" i="22"/>
  <c r="F24" i="22"/>
  <c r="E24" i="22"/>
  <c r="D24" i="22"/>
  <c r="C24" i="22"/>
  <c r="B24" i="22"/>
  <c r="K38" i="22"/>
  <c r="M38" i="22" s="1"/>
  <c r="J38" i="22"/>
  <c r="I38" i="22"/>
  <c r="H38" i="22"/>
  <c r="G38" i="22"/>
  <c r="F38" i="22"/>
  <c r="E38" i="22"/>
  <c r="D38" i="22"/>
  <c r="C38" i="22"/>
  <c r="B38" i="22"/>
  <c r="K68" i="22"/>
  <c r="M68" i="22" s="1"/>
  <c r="J68" i="22"/>
  <c r="I68" i="22"/>
  <c r="H68" i="22"/>
  <c r="G68" i="22"/>
  <c r="F68" i="22"/>
  <c r="E68" i="22"/>
  <c r="D68" i="22"/>
  <c r="C68" i="22"/>
  <c r="B68" i="22"/>
  <c r="K53" i="22"/>
  <c r="M53" i="22" s="1"/>
  <c r="J53" i="22"/>
  <c r="I53" i="22"/>
  <c r="H53" i="22"/>
  <c r="G53" i="22"/>
  <c r="F53" i="22"/>
  <c r="E53" i="22"/>
  <c r="D53" i="22"/>
  <c r="C53" i="22"/>
  <c r="B53" i="22"/>
  <c r="K23" i="22"/>
  <c r="M23" i="22" s="1"/>
  <c r="J23" i="22"/>
  <c r="I23" i="22"/>
  <c r="H23" i="22"/>
  <c r="G23" i="22"/>
  <c r="F23" i="22"/>
  <c r="E23" i="22"/>
  <c r="D23" i="22"/>
  <c r="C23" i="22"/>
  <c r="B23" i="22"/>
  <c r="K37" i="22"/>
  <c r="M37" i="22" s="1"/>
  <c r="J37" i="22"/>
  <c r="I37" i="22"/>
  <c r="H37" i="22"/>
  <c r="G37" i="22"/>
  <c r="F37" i="22"/>
  <c r="E37" i="22"/>
  <c r="D37" i="22"/>
  <c r="C37" i="22"/>
  <c r="B37" i="22"/>
  <c r="K67" i="22"/>
  <c r="M67" i="22" s="1"/>
  <c r="J67" i="22"/>
  <c r="I67" i="22"/>
  <c r="H67" i="22"/>
  <c r="G67" i="22"/>
  <c r="F67" i="22"/>
  <c r="E67" i="22"/>
  <c r="D67" i="22"/>
  <c r="C67" i="22"/>
  <c r="B67" i="22"/>
  <c r="K52" i="22"/>
  <c r="M52" i="22" s="1"/>
  <c r="J52" i="22"/>
  <c r="I52" i="22"/>
  <c r="H52" i="22"/>
  <c r="G52" i="22"/>
  <c r="F52" i="22"/>
  <c r="E52" i="22"/>
  <c r="D52" i="22"/>
  <c r="C52" i="22"/>
  <c r="B52" i="22"/>
  <c r="K22" i="22"/>
  <c r="M22" i="22" s="1"/>
  <c r="J22" i="22"/>
  <c r="I22" i="22"/>
  <c r="H22" i="22"/>
  <c r="G22" i="22"/>
  <c r="F22" i="22"/>
  <c r="E22" i="22"/>
  <c r="D22" i="22"/>
  <c r="C22" i="22"/>
  <c r="B22" i="22"/>
  <c r="K36" i="22"/>
  <c r="M36" i="22" s="1"/>
  <c r="J36" i="22"/>
  <c r="I36" i="22"/>
  <c r="H36" i="22"/>
  <c r="G36" i="22"/>
  <c r="F36" i="22"/>
  <c r="E36" i="22"/>
  <c r="D36" i="22"/>
  <c r="C36" i="22"/>
  <c r="B36" i="22"/>
  <c r="K66" i="22"/>
  <c r="M66" i="22" s="1"/>
  <c r="J66" i="22"/>
  <c r="I66" i="22"/>
  <c r="H66" i="22"/>
  <c r="G66" i="22"/>
  <c r="F66" i="22"/>
  <c r="E66" i="22"/>
  <c r="D66" i="22"/>
  <c r="C66" i="22"/>
  <c r="B66" i="22"/>
  <c r="K51" i="22"/>
  <c r="M51" i="22" s="1"/>
  <c r="J51" i="22"/>
  <c r="I51" i="22"/>
  <c r="H51" i="22"/>
  <c r="G51" i="22"/>
  <c r="F51" i="22"/>
  <c r="E51" i="22"/>
  <c r="D51" i="22"/>
  <c r="C51" i="22"/>
  <c r="B51" i="22"/>
  <c r="K21" i="22"/>
  <c r="M21" i="22" s="1"/>
  <c r="J21" i="22"/>
  <c r="I21" i="22"/>
  <c r="H21" i="22"/>
  <c r="G21" i="22"/>
  <c r="F21" i="22"/>
  <c r="E21" i="22"/>
  <c r="D21" i="22"/>
  <c r="C21" i="22"/>
  <c r="B21" i="22"/>
  <c r="K35" i="22"/>
  <c r="M35" i="22" s="1"/>
  <c r="J35" i="22"/>
  <c r="I35" i="22"/>
  <c r="H35" i="22"/>
  <c r="G35" i="22"/>
  <c r="F35" i="22"/>
  <c r="E35" i="22"/>
  <c r="D35" i="22"/>
  <c r="C35" i="22"/>
  <c r="B35" i="22"/>
  <c r="K65" i="22"/>
  <c r="M65" i="22" s="1"/>
  <c r="J65" i="22"/>
  <c r="I65" i="22"/>
  <c r="H65" i="22"/>
  <c r="G65" i="22"/>
  <c r="F65" i="22"/>
  <c r="E65" i="22"/>
  <c r="D65" i="22"/>
  <c r="C65" i="22"/>
  <c r="B65" i="22"/>
  <c r="K50" i="22"/>
  <c r="M50" i="22" s="1"/>
  <c r="J50" i="22"/>
  <c r="I50" i="22"/>
  <c r="H50" i="22"/>
  <c r="G50" i="22"/>
  <c r="F50" i="22"/>
  <c r="E50" i="22"/>
  <c r="D50" i="22"/>
  <c r="C50" i="22"/>
  <c r="B50" i="22"/>
  <c r="K20" i="22"/>
  <c r="M20" i="22" s="1"/>
  <c r="J20" i="22"/>
  <c r="I20" i="22"/>
  <c r="H20" i="22"/>
  <c r="G20" i="22"/>
  <c r="F20" i="22"/>
  <c r="E20" i="22"/>
  <c r="D20" i="22"/>
  <c r="C20" i="22"/>
  <c r="B20" i="22"/>
  <c r="K34" i="22"/>
  <c r="M34" i="22" s="1"/>
  <c r="J34" i="22"/>
  <c r="X40" i="22" s="1"/>
  <c r="I34" i="22"/>
  <c r="W34" i="22" s="1"/>
  <c r="H34" i="22"/>
  <c r="V36" i="22" s="1"/>
  <c r="G34" i="22"/>
  <c r="F34" i="22"/>
  <c r="T38" i="22" s="1"/>
  <c r="E34" i="22"/>
  <c r="S37" i="22" s="1"/>
  <c r="D34" i="22"/>
  <c r="R35" i="22" s="1"/>
  <c r="C34" i="22"/>
  <c r="B34" i="22"/>
  <c r="P40" i="22" s="1"/>
  <c r="K64" i="22"/>
  <c r="J64" i="22"/>
  <c r="I64" i="22"/>
  <c r="H64" i="22"/>
  <c r="V66" i="22" s="1"/>
  <c r="G64" i="22"/>
  <c r="U71" i="22" s="1"/>
  <c r="F64" i="22"/>
  <c r="T74" i="22" s="1"/>
  <c r="E64" i="22"/>
  <c r="S75" i="22" s="1"/>
  <c r="D64" i="22"/>
  <c r="R70" i="22" s="1"/>
  <c r="C64" i="22"/>
  <c r="Q73" i="22" s="1"/>
  <c r="B64" i="22"/>
  <c r="P66" i="22" s="1"/>
  <c r="K49" i="22"/>
  <c r="J49" i="22"/>
  <c r="X49" i="22" s="1"/>
  <c r="I49" i="22"/>
  <c r="W50" i="22" s="1"/>
  <c r="H49" i="22"/>
  <c r="V52" i="22" s="1"/>
  <c r="G49" i="22"/>
  <c r="F49" i="22"/>
  <c r="T51" i="22" s="1"/>
  <c r="E49" i="22"/>
  <c r="S55" i="22" s="1"/>
  <c r="D49" i="22"/>
  <c r="R56" i="22" s="1"/>
  <c r="C49" i="22"/>
  <c r="Q49" i="22" s="1"/>
  <c r="B49" i="22"/>
  <c r="P56" i="22" s="1"/>
  <c r="K19" i="22"/>
  <c r="J19" i="22"/>
  <c r="X19" i="22" s="1"/>
  <c r="I19" i="22"/>
  <c r="H19" i="22"/>
  <c r="V29" i="22" s="1"/>
  <c r="G19" i="22"/>
  <c r="U30" i="22" s="1"/>
  <c r="F19" i="22"/>
  <c r="T30" i="22" s="1"/>
  <c r="E19" i="22"/>
  <c r="S21" i="22" s="1"/>
  <c r="D19" i="22"/>
  <c r="R28" i="22" s="1"/>
  <c r="C19" i="22"/>
  <c r="Q27" i="22" s="1"/>
  <c r="B19" i="22"/>
  <c r="P19" i="22" s="1"/>
  <c r="K15" i="22"/>
  <c r="M15" i="22" s="1"/>
  <c r="I15" i="22"/>
  <c r="H15" i="22"/>
  <c r="E15" i="22"/>
  <c r="D15" i="22"/>
  <c r="Y44" i="22"/>
  <c r="AA44" i="22" s="1"/>
  <c r="Q44" i="22"/>
  <c r="P74" i="22"/>
  <c r="J14" i="22"/>
  <c r="I14" i="22"/>
  <c r="H14" i="22"/>
  <c r="G14" i="22"/>
  <c r="F14" i="22"/>
  <c r="E14" i="22"/>
  <c r="D14" i="22"/>
  <c r="C14" i="22"/>
  <c r="B14" i="22"/>
  <c r="J13" i="22"/>
  <c r="H13" i="22"/>
  <c r="G13" i="22"/>
  <c r="F13" i="22"/>
  <c r="B13" i="22"/>
  <c r="X42" i="22"/>
  <c r="S72" i="22"/>
  <c r="J12" i="22"/>
  <c r="I12" i="22"/>
  <c r="H12" i="22"/>
  <c r="G12" i="22"/>
  <c r="D12" i="22"/>
  <c r="K11" i="22"/>
  <c r="M11" i="22" s="1"/>
  <c r="J11" i="22"/>
  <c r="I11" i="22"/>
  <c r="G11" i="22"/>
  <c r="B11" i="22"/>
  <c r="K10" i="22"/>
  <c r="M10" i="22" s="1"/>
  <c r="I10" i="22"/>
  <c r="H10" i="22"/>
  <c r="G10" i="22"/>
  <c r="E10" i="22"/>
  <c r="D10" i="22"/>
  <c r="Q39" i="22"/>
  <c r="U54" i="22"/>
  <c r="K9" i="22"/>
  <c r="M9" i="22" s="1"/>
  <c r="J9" i="22"/>
  <c r="I9" i="22"/>
  <c r="H9" i="22"/>
  <c r="G9" i="22"/>
  <c r="F9" i="22"/>
  <c r="E9" i="22"/>
  <c r="S68" i="22"/>
  <c r="K8" i="22"/>
  <c r="M8" i="22" s="1"/>
  <c r="I8" i="22"/>
  <c r="H8" i="22"/>
  <c r="F8" i="22"/>
  <c r="E8" i="22"/>
  <c r="D8" i="22"/>
  <c r="C8" i="22"/>
  <c r="Y37" i="22"/>
  <c r="AA37" i="22" s="1"/>
  <c r="Q37" i="22"/>
  <c r="S67" i="22"/>
  <c r="J7" i="22"/>
  <c r="I7" i="22"/>
  <c r="H7" i="22"/>
  <c r="G7" i="22"/>
  <c r="Y36" i="22"/>
  <c r="AA36" i="22" s="1"/>
  <c r="Q36" i="22"/>
  <c r="K6" i="22"/>
  <c r="M6" i="22" s="1"/>
  <c r="I6" i="22"/>
  <c r="H6" i="22"/>
  <c r="F6" i="22"/>
  <c r="D6" i="22"/>
  <c r="Y35" i="22"/>
  <c r="AA35" i="22" s="1"/>
  <c r="T35" i="22"/>
  <c r="Q35" i="22"/>
  <c r="S65" i="22"/>
  <c r="U50" i="22"/>
  <c r="J5" i="22"/>
  <c r="I5" i="22"/>
  <c r="F5" i="22"/>
  <c r="Y34" i="22"/>
  <c r="AA34" i="22" s="1"/>
  <c r="Q34" i="22"/>
  <c r="S64" i="22"/>
  <c r="T49" i="22"/>
  <c r="K4" i="22"/>
  <c r="J4" i="22"/>
  <c r="X4" i="22" s="1"/>
  <c r="G4" i="22"/>
  <c r="E4" i="22"/>
  <c r="D4" i="22"/>
  <c r="J13" i="12"/>
  <c r="I13" i="12"/>
  <c r="G13" i="12"/>
  <c r="J12" i="12"/>
  <c r="I12" i="12"/>
  <c r="G12" i="12"/>
  <c r="J11" i="12"/>
  <c r="I11" i="12"/>
  <c r="G11" i="12"/>
  <c r="J10" i="12"/>
  <c r="K10" i="12" s="1"/>
  <c r="I10" i="12"/>
  <c r="G10" i="12"/>
  <c r="J9" i="12"/>
  <c r="I9" i="12"/>
  <c r="G9" i="12"/>
  <c r="J8" i="12"/>
  <c r="K8" i="12" s="1"/>
  <c r="I8" i="12"/>
  <c r="G8" i="12"/>
  <c r="J7" i="12"/>
  <c r="I7" i="12"/>
  <c r="G7" i="12"/>
  <c r="J6" i="12"/>
  <c r="K6" i="12" s="1"/>
  <c r="G6" i="12"/>
  <c r="M5" i="12"/>
  <c r="Q3" i="11"/>
  <c r="M3" i="11"/>
  <c r="I3" i="11"/>
  <c r="E3" i="11"/>
  <c r="AW131" i="9"/>
  <c r="AV131" i="9"/>
  <c r="AU131" i="9"/>
  <c r="AS131" i="9"/>
  <c r="AR131" i="9"/>
  <c r="AQ131" i="9"/>
  <c r="AP131" i="9"/>
  <c r="AO131" i="9"/>
  <c r="AL131" i="9"/>
  <c r="AK131" i="9"/>
  <c r="AJ131" i="9"/>
  <c r="AI131" i="9"/>
  <c r="AH131" i="9"/>
  <c r="AE131" i="9"/>
  <c r="AD131" i="9"/>
  <c r="AM131" i="9" s="1"/>
  <c r="AC131" i="9"/>
  <c r="AB131" i="9" s="1"/>
  <c r="AW130" i="9"/>
  <c r="AV130" i="9"/>
  <c r="AU130" i="9"/>
  <c r="AS130" i="9"/>
  <c r="AR130" i="9"/>
  <c r="AQ130" i="9"/>
  <c r="AP130" i="9"/>
  <c r="AO130" i="9"/>
  <c r="AL130" i="9"/>
  <c r="AK130" i="9"/>
  <c r="AJ130" i="9"/>
  <c r="AI130" i="9"/>
  <c r="AH130" i="9"/>
  <c r="AE130" i="9"/>
  <c r="AD130" i="9"/>
  <c r="AF130" i="9" s="1"/>
  <c r="AC130" i="9"/>
  <c r="AB130" i="9"/>
  <c r="AW129" i="9"/>
  <c r="AV129" i="9"/>
  <c r="AU129" i="9"/>
  <c r="AS129" i="9"/>
  <c r="AR129" i="9"/>
  <c r="AQ129" i="9"/>
  <c r="AP129" i="9"/>
  <c r="AO129" i="9"/>
  <c r="AL129" i="9"/>
  <c r="AK129" i="9"/>
  <c r="AJ129" i="9"/>
  <c r="AI129" i="9"/>
  <c r="AH129" i="9"/>
  <c r="AE129" i="9"/>
  <c r="AD129" i="9"/>
  <c r="AF129" i="9" s="1"/>
  <c r="AC129" i="9"/>
  <c r="AB129" i="9" s="1"/>
  <c r="AW128" i="9"/>
  <c r="AV128" i="9"/>
  <c r="AU128" i="9"/>
  <c r="AS128" i="9"/>
  <c r="AR128" i="9"/>
  <c r="AQ128" i="9"/>
  <c r="AP128" i="9"/>
  <c r="AO128" i="9"/>
  <c r="AL128" i="9"/>
  <c r="AK128" i="9"/>
  <c r="AJ128" i="9"/>
  <c r="AI128" i="9"/>
  <c r="AH128" i="9"/>
  <c r="AF128" i="9"/>
  <c r="AE128" i="9"/>
  <c r="AD128" i="9"/>
  <c r="AM128" i="9" s="1"/>
  <c r="AC128" i="9"/>
  <c r="AB128" i="9" s="1"/>
  <c r="AW127" i="9"/>
  <c r="AV127" i="9"/>
  <c r="AU127" i="9"/>
  <c r="AS127" i="9"/>
  <c r="AR127" i="9"/>
  <c r="AQ127" i="9"/>
  <c r="AP127" i="9"/>
  <c r="AO127" i="9"/>
  <c r="AL127" i="9"/>
  <c r="AK127" i="9"/>
  <c r="AJ127" i="9"/>
  <c r="AI127" i="9"/>
  <c r="AH127" i="9"/>
  <c r="AE127" i="9"/>
  <c r="AD127" i="9"/>
  <c r="AF127" i="9" s="1"/>
  <c r="AC127" i="9"/>
  <c r="AB127" i="9" s="1"/>
  <c r="AW126" i="9"/>
  <c r="AV126" i="9"/>
  <c r="AU126" i="9"/>
  <c r="AS126" i="9"/>
  <c r="AR126" i="9"/>
  <c r="AQ126" i="9"/>
  <c r="AP126" i="9"/>
  <c r="AO126" i="9"/>
  <c r="AL126" i="9"/>
  <c r="AK126" i="9"/>
  <c r="AJ126" i="9"/>
  <c r="AI126" i="9"/>
  <c r="AH126" i="9"/>
  <c r="AE126" i="9"/>
  <c r="AD126" i="9"/>
  <c r="AB126" i="9" s="1"/>
  <c r="AC126" i="9"/>
  <c r="AW125" i="9"/>
  <c r="AV125" i="9"/>
  <c r="AU125" i="9"/>
  <c r="AS125" i="9"/>
  <c r="AR125" i="9"/>
  <c r="AQ125" i="9"/>
  <c r="AP125" i="9"/>
  <c r="AO125" i="9"/>
  <c r="AL125" i="9"/>
  <c r="AK125" i="9"/>
  <c r="AJ125" i="9"/>
  <c r="AI125" i="9"/>
  <c r="AH125" i="9"/>
  <c r="AE125" i="9"/>
  <c r="AD125" i="9"/>
  <c r="AF125" i="9" s="1"/>
  <c r="AC125" i="9"/>
  <c r="AB125" i="9" s="1"/>
  <c r="AW124" i="9"/>
  <c r="AV124" i="9"/>
  <c r="AU124" i="9"/>
  <c r="AS124" i="9"/>
  <c r="AR124" i="9"/>
  <c r="AQ124" i="9"/>
  <c r="AP124" i="9"/>
  <c r="AO124" i="9"/>
  <c r="AL124" i="9"/>
  <c r="AK124" i="9"/>
  <c r="AJ124" i="9"/>
  <c r="AI124" i="9"/>
  <c r="AH124" i="9"/>
  <c r="AE124" i="9"/>
  <c r="AD124" i="9"/>
  <c r="AM124" i="9" s="1"/>
  <c r="AC124" i="9"/>
  <c r="AB124" i="9"/>
  <c r="AW123" i="9"/>
  <c r="AV123" i="9"/>
  <c r="AU123" i="9"/>
  <c r="AS123" i="9"/>
  <c r="AR123" i="9"/>
  <c r="AQ123" i="9"/>
  <c r="AP123" i="9"/>
  <c r="AO123" i="9"/>
  <c r="AL123" i="9"/>
  <c r="AK123" i="9"/>
  <c r="AJ123" i="9"/>
  <c r="AI123" i="9"/>
  <c r="AH123" i="9"/>
  <c r="AE123" i="9"/>
  <c r="AD123" i="9"/>
  <c r="AM123" i="9" s="1"/>
  <c r="AC123" i="9"/>
  <c r="AB123" i="9" s="1"/>
  <c r="AW122" i="9"/>
  <c r="AV122" i="9"/>
  <c r="AU122" i="9"/>
  <c r="AS122" i="9"/>
  <c r="AR122" i="9"/>
  <c r="AQ122" i="9"/>
  <c r="AP122" i="9"/>
  <c r="AO122" i="9"/>
  <c r="AL122" i="9"/>
  <c r="AK122" i="9"/>
  <c r="AJ122" i="9"/>
  <c r="AI122" i="9"/>
  <c r="AH122" i="9"/>
  <c r="AE122" i="9"/>
  <c r="AD122" i="9"/>
  <c r="AF122" i="9" s="1"/>
  <c r="AC122" i="9"/>
  <c r="AB122" i="9"/>
  <c r="AW121" i="9"/>
  <c r="AV121" i="9"/>
  <c r="AU121" i="9"/>
  <c r="AS121" i="9"/>
  <c r="AR121" i="9"/>
  <c r="AQ121" i="9"/>
  <c r="AP121" i="9"/>
  <c r="AO121" i="9"/>
  <c r="AL121" i="9"/>
  <c r="AK121" i="9"/>
  <c r="AJ121" i="9"/>
  <c r="AI121" i="9"/>
  <c r="AH121" i="9"/>
  <c r="AE121" i="9"/>
  <c r="AD121" i="9"/>
  <c r="AF121" i="9" s="1"/>
  <c r="AC121" i="9"/>
  <c r="AB121" i="9" s="1"/>
  <c r="AW120" i="9"/>
  <c r="AV120" i="9"/>
  <c r="AU120" i="9"/>
  <c r="AS120" i="9"/>
  <c r="AR120" i="9"/>
  <c r="AQ120" i="9"/>
  <c r="AP120" i="9"/>
  <c r="AO120" i="9"/>
  <c r="AL120" i="9"/>
  <c r="AK120" i="9"/>
  <c r="AJ120" i="9"/>
  <c r="AI120" i="9"/>
  <c r="AH120" i="9"/>
  <c r="AF120" i="9"/>
  <c r="AE120" i="9"/>
  <c r="AD120" i="9"/>
  <c r="AM120" i="9" s="1"/>
  <c r="AC120" i="9"/>
  <c r="AB120" i="9" s="1"/>
  <c r="AW119" i="9"/>
  <c r="AV119" i="9"/>
  <c r="AU119" i="9"/>
  <c r="AS119" i="9"/>
  <c r="AR119" i="9"/>
  <c r="AQ119" i="9"/>
  <c r="AP119" i="9"/>
  <c r="AO119" i="9"/>
  <c r="AL119" i="9"/>
  <c r="AK119" i="9"/>
  <c r="AJ119" i="9"/>
  <c r="AI119" i="9"/>
  <c r="AH119" i="9"/>
  <c r="AE119" i="9"/>
  <c r="AD119" i="9"/>
  <c r="AF119" i="9" s="1"/>
  <c r="AC119" i="9"/>
  <c r="AB119" i="9" s="1"/>
  <c r="AW118" i="9"/>
  <c r="AV118" i="9"/>
  <c r="AU118" i="9"/>
  <c r="AS118" i="9"/>
  <c r="AR118" i="9"/>
  <c r="AQ118" i="9"/>
  <c r="AP118" i="9"/>
  <c r="AO118" i="9"/>
  <c r="AL118" i="9"/>
  <c r="AK118" i="9"/>
  <c r="AJ118" i="9"/>
  <c r="AI118" i="9"/>
  <c r="AH118" i="9"/>
  <c r="AE118" i="9"/>
  <c r="AD118" i="9"/>
  <c r="AB118" i="9" s="1"/>
  <c r="AC118" i="9"/>
  <c r="AW117" i="9"/>
  <c r="AV117" i="9"/>
  <c r="AU117" i="9"/>
  <c r="AS117" i="9"/>
  <c r="AR117" i="9"/>
  <c r="AQ117" i="9"/>
  <c r="AP117" i="9"/>
  <c r="AO117" i="9"/>
  <c r="AL117" i="9"/>
  <c r="AK117" i="9"/>
  <c r="AJ117" i="9"/>
  <c r="AI117" i="9"/>
  <c r="AH117" i="9"/>
  <c r="AE117" i="9"/>
  <c r="AD117" i="9"/>
  <c r="AF117" i="9" s="1"/>
  <c r="AC117" i="9"/>
  <c r="AB117" i="9" s="1"/>
  <c r="AW116" i="9"/>
  <c r="AV116" i="9"/>
  <c r="AU116" i="9"/>
  <c r="AS116" i="9"/>
  <c r="AR116" i="9"/>
  <c r="AQ116" i="9"/>
  <c r="AP116" i="9"/>
  <c r="AO116" i="9"/>
  <c r="AL116" i="9"/>
  <c r="AK116" i="9"/>
  <c r="AJ116" i="9"/>
  <c r="AI116" i="9"/>
  <c r="AH116" i="9"/>
  <c r="AE116" i="9"/>
  <c r="AD116" i="9"/>
  <c r="AF116" i="9" s="1"/>
  <c r="AC116" i="9"/>
  <c r="AB116" i="9"/>
  <c r="AW115" i="9"/>
  <c r="AV115" i="9"/>
  <c r="AU115" i="9"/>
  <c r="AS115" i="9"/>
  <c r="AR115" i="9"/>
  <c r="AQ115" i="9"/>
  <c r="AP115" i="9"/>
  <c r="AO115" i="9"/>
  <c r="AL115" i="9"/>
  <c r="AK115" i="9"/>
  <c r="AJ115" i="9"/>
  <c r="AI115" i="9"/>
  <c r="AH115" i="9"/>
  <c r="AE115" i="9"/>
  <c r="AD115" i="9"/>
  <c r="AM115" i="9" s="1"/>
  <c r="AC115" i="9"/>
  <c r="AB115" i="9" s="1"/>
  <c r="AW114" i="9"/>
  <c r="AV114" i="9"/>
  <c r="AU114" i="9"/>
  <c r="AS114" i="9"/>
  <c r="AR114" i="9"/>
  <c r="AQ114" i="9"/>
  <c r="AP114" i="9"/>
  <c r="AO114" i="9"/>
  <c r="AL114" i="9"/>
  <c r="AK114" i="9"/>
  <c r="AJ114" i="9"/>
  <c r="AI114" i="9"/>
  <c r="AH114" i="9"/>
  <c r="AE114" i="9"/>
  <c r="AD114" i="9"/>
  <c r="AF114" i="9" s="1"/>
  <c r="AC114" i="9"/>
  <c r="AB114" i="9"/>
  <c r="AW113" i="9"/>
  <c r="AV113" i="9"/>
  <c r="AU113" i="9"/>
  <c r="AS113" i="9"/>
  <c r="AR113" i="9"/>
  <c r="AQ113" i="9"/>
  <c r="AP113" i="9"/>
  <c r="AO113" i="9"/>
  <c r="AL113" i="9"/>
  <c r="AK113" i="9"/>
  <c r="AJ113" i="9"/>
  <c r="AI113" i="9"/>
  <c r="AH113" i="9"/>
  <c r="AE113" i="9"/>
  <c r="AD113" i="9"/>
  <c r="AF113" i="9" s="1"/>
  <c r="AC113" i="9"/>
  <c r="AB113" i="9" s="1"/>
  <c r="AW112" i="9"/>
  <c r="AV112" i="9"/>
  <c r="AU112" i="9"/>
  <c r="AS112" i="9"/>
  <c r="AR112" i="9"/>
  <c r="AQ112" i="9"/>
  <c r="AP112" i="9"/>
  <c r="AO112" i="9"/>
  <c r="AL112" i="9"/>
  <c r="AK112" i="9"/>
  <c r="AJ112" i="9"/>
  <c r="AI112" i="9"/>
  <c r="AH112" i="9"/>
  <c r="AF112" i="9"/>
  <c r="AE112" i="9"/>
  <c r="AD112" i="9"/>
  <c r="AM112" i="9" s="1"/>
  <c r="AC112" i="9"/>
  <c r="AB112" i="9" s="1"/>
  <c r="AW111" i="9"/>
  <c r="AV111" i="9"/>
  <c r="AU111" i="9"/>
  <c r="AS111" i="9"/>
  <c r="AR111" i="9"/>
  <c r="AQ111" i="9"/>
  <c r="AP111" i="9"/>
  <c r="AO111" i="9"/>
  <c r="AL111" i="9"/>
  <c r="AK111" i="9"/>
  <c r="AJ111" i="9"/>
  <c r="AI111" i="9"/>
  <c r="AH111" i="9"/>
  <c r="AE111" i="9"/>
  <c r="AD111" i="9"/>
  <c r="AF111" i="9" s="1"/>
  <c r="AC111" i="9"/>
  <c r="AB111" i="9" s="1"/>
  <c r="AW110" i="9"/>
  <c r="AV110" i="9"/>
  <c r="AU110" i="9"/>
  <c r="AS110" i="9"/>
  <c r="AR110" i="9"/>
  <c r="AQ110" i="9"/>
  <c r="AP110" i="9"/>
  <c r="AO110" i="9"/>
  <c r="AL110" i="9"/>
  <c r="AK110" i="9"/>
  <c r="AJ110" i="9"/>
  <c r="AI110" i="9"/>
  <c r="AH110" i="9"/>
  <c r="AE110" i="9"/>
  <c r="AD110" i="9"/>
  <c r="AF110" i="9" s="1"/>
  <c r="AC110" i="9"/>
  <c r="AB110" i="9" s="1"/>
  <c r="AW109" i="9"/>
  <c r="AV109" i="9"/>
  <c r="AU109" i="9"/>
  <c r="AS109" i="9"/>
  <c r="AR109" i="9"/>
  <c r="AQ109" i="9"/>
  <c r="AP109" i="9"/>
  <c r="AO109" i="9"/>
  <c r="AL109" i="9"/>
  <c r="AK109" i="9"/>
  <c r="AJ109" i="9"/>
  <c r="AI109" i="9"/>
  <c r="AH109" i="9"/>
  <c r="AE109" i="9"/>
  <c r="AD109" i="9"/>
  <c r="AF109" i="9" s="1"/>
  <c r="AC109" i="9"/>
  <c r="AB109" i="9" s="1"/>
  <c r="AW108" i="9"/>
  <c r="AV108" i="9"/>
  <c r="AU108" i="9"/>
  <c r="AS108" i="9"/>
  <c r="AR108" i="9"/>
  <c r="AQ108" i="9"/>
  <c r="AP108" i="9"/>
  <c r="AL108" i="9"/>
  <c r="AK108" i="9"/>
  <c r="AE108" i="9"/>
  <c r="AD108" i="9"/>
  <c r="AF108" i="9" s="1"/>
  <c r="AC108" i="9"/>
  <c r="AB108" i="9"/>
  <c r="E108" i="9"/>
  <c r="AO108" i="9" s="1"/>
  <c r="D108" i="9"/>
  <c r="AJ108" i="9" s="1"/>
  <c r="AW107" i="9"/>
  <c r="AV107" i="9"/>
  <c r="AU107" i="9"/>
  <c r="AS107" i="9"/>
  <c r="AR107" i="9"/>
  <c r="AQ107" i="9"/>
  <c r="AP107" i="9"/>
  <c r="AL107" i="9"/>
  <c r="AK107" i="9"/>
  <c r="AJ107" i="9"/>
  <c r="AH107" i="9"/>
  <c r="AE107" i="9"/>
  <c r="AD107" i="9"/>
  <c r="AF107" i="9" s="1"/>
  <c r="AC107" i="9"/>
  <c r="E107" i="9"/>
  <c r="AO107" i="9" s="1"/>
  <c r="D107" i="9"/>
  <c r="AI107" i="9" s="1"/>
  <c r="AW106" i="9"/>
  <c r="AV106" i="9"/>
  <c r="AU106" i="9"/>
  <c r="AS106" i="9"/>
  <c r="AR106" i="9"/>
  <c r="AQ106" i="9"/>
  <c r="AP106" i="9"/>
  <c r="AL106" i="9"/>
  <c r="AK106" i="9"/>
  <c r="AJ106" i="9"/>
  <c r="AE106" i="9"/>
  <c r="AD106" i="9"/>
  <c r="AF106" i="9" s="1"/>
  <c r="AC106" i="9"/>
  <c r="AB106" i="9" s="1"/>
  <c r="E106" i="9"/>
  <c r="AO106" i="9" s="1"/>
  <c r="D106" i="9"/>
  <c r="AI106" i="9" s="1"/>
  <c r="AW105" i="9"/>
  <c r="AV105" i="9"/>
  <c r="AU105" i="9"/>
  <c r="AS105" i="9"/>
  <c r="AR105" i="9"/>
  <c r="AQ105" i="9"/>
  <c r="AP105" i="9"/>
  <c r="AL105" i="9"/>
  <c r="AK105" i="9"/>
  <c r="AJ105" i="9"/>
  <c r="AE105" i="9"/>
  <c r="AD105" i="9"/>
  <c r="AM105" i="9" s="1"/>
  <c r="AC105" i="9"/>
  <c r="AF105" i="9" s="1"/>
  <c r="E105" i="9"/>
  <c r="AO105" i="9" s="1"/>
  <c r="D105" i="9"/>
  <c r="AI105" i="9" s="1"/>
  <c r="AV104" i="9"/>
  <c r="AU104" i="9"/>
  <c r="AS104" i="9"/>
  <c r="AR104" i="9"/>
  <c r="AQ104" i="9"/>
  <c r="AP104" i="9"/>
  <c r="AO104" i="9"/>
  <c r="AL104" i="9"/>
  <c r="AK104" i="9"/>
  <c r="AI104" i="9"/>
  <c r="AF104" i="9"/>
  <c r="AE104" i="9"/>
  <c r="AD104" i="9"/>
  <c r="AM104" i="9" s="1"/>
  <c r="AC104" i="9"/>
  <c r="AB104" i="9" s="1"/>
  <c r="E104" i="9"/>
  <c r="D104" i="9"/>
  <c r="AJ104" i="9" s="1"/>
  <c r="AW103" i="9"/>
  <c r="AV103" i="9"/>
  <c r="AU103" i="9"/>
  <c r="AS103" i="9"/>
  <c r="AR103" i="9"/>
  <c r="AQ103" i="9"/>
  <c r="AP103" i="9"/>
  <c r="AO103" i="9"/>
  <c r="AL103" i="9"/>
  <c r="AK103" i="9"/>
  <c r="AE103" i="9"/>
  <c r="AD103" i="9"/>
  <c r="AF103" i="9" s="1"/>
  <c r="AC103" i="9"/>
  <c r="AB103" i="9" s="1"/>
  <c r="E103" i="9"/>
  <c r="D103" i="9"/>
  <c r="AJ103" i="9" s="1"/>
  <c r="AW102" i="9"/>
  <c r="AV102" i="9"/>
  <c r="AU102" i="9"/>
  <c r="AS102" i="9"/>
  <c r="AR102" i="9"/>
  <c r="AQ102" i="9"/>
  <c r="AP102" i="9"/>
  <c r="AL102" i="9"/>
  <c r="AK102" i="9"/>
  <c r="AE102" i="9"/>
  <c r="AD102" i="9"/>
  <c r="AM102" i="9" s="1"/>
  <c r="AC102" i="9"/>
  <c r="AF102" i="9" s="1"/>
  <c r="AB102" i="9"/>
  <c r="E102" i="9"/>
  <c r="AO102" i="9" s="1"/>
  <c r="D102" i="9"/>
  <c r="AH102" i="9" s="1"/>
  <c r="AW101" i="9"/>
  <c r="AV101" i="9"/>
  <c r="AU101" i="9"/>
  <c r="AS101" i="9"/>
  <c r="AR101" i="9"/>
  <c r="AQ101" i="9"/>
  <c r="AP101" i="9"/>
  <c r="AO101" i="9"/>
  <c r="AL101" i="9"/>
  <c r="AK101" i="9"/>
  <c r="AH101" i="9"/>
  <c r="AE101" i="9"/>
  <c r="AD101" i="9"/>
  <c r="AM101" i="9" s="1"/>
  <c r="AC101" i="9"/>
  <c r="E101" i="9"/>
  <c r="D101" i="9"/>
  <c r="AJ101" i="9" s="1"/>
  <c r="AW100" i="9"/>
  <c r="AV100" i="9"/>
  <c r="AU100" i="9"/>
  <c r="AS100" i="9"/>
  <c r="AR100" i="9"/>
  <c r="AQ100" i="9"/>
  <c r="AP100" i="9"/>
  <c r="AL100" i="9"/>
  <c r="AK100" i="9"/>
  <c r="AJ100" i="9"/>
  <c r="AE100" i="9"/>
  <c r="AD100" i="9"/>
  <c r="AM100" i="9" s="1"/>
  <c r="AC100" i="9"/>
  <c r="AB100" i="9"/>
  <c r="E100" i="9"/>
  <c r="AO100" i="9" s="1"/>
  <c r="D100" i="9"/>
  <c r="AI100" i="9" s="1"/>
  <c r="AW99" i="9"/>
  <c r="AV99" i="9"/>
  <c r="AU99" i="9"/>
  <c r="AS99" i="9"/>
  <c r="AR99" i="9"/>
  <c r="AQ99" i="9"/>
  <c r="AP99" i="9"/>
  <c r="AL99" i="9"/>
  <c r="AK99" i="9"/>
  <c r="AJ99" i="9"/>
  <c r="AH99" i="9"/>
  <c r="AF99" i="9"/>
  <c r="AE99" i="9"/>
  <c r="AD99" i="9"/>
  <c r="AM99" i="9" s="1"/>
  <c r="AC99" i="9"/>
  <c r="AB99" i="9" s="1"/>
  <c r="E99" i="9"/>
  <c r="AO99" i="9" s="1"/>
  <c r="D99" i="9"/>
  <c r="AI99" i="9" s="1"/>
  <c r="AW98" i="9"/>
  <c r="AV98" i="9"/>
  <c r="AU98" i="9"/>
  <c r="AS98" i="9"/>
  <c r="AR98" i="9"/>
  <c r="AQ98" i="9"/>
  <c r="AP98" i="9"/>
  <c r="AL98" i="9"/>
  <c r="AK98" i="9"/>
  <c r="AE98" i="9"/>
  <c r="AD98" i="9"/>
  <c r="AF98" i="9" s="1"/>
  <c r="AC98" i="9"/>
  <c r="AB98" i="9" s="1"/>
  <c r="E98" i="9"/>
  <c r="AO98" i="9" s="1"/>
  <c r="D98" i="9"/>
  <c r="AJ98" i="9" s="1"/>
  <c r="AW97" i="9"/>
  <c r="AV97" i="9"/>
  <c r="AU97" i="9"/>
  <c r="AS97" i="9"/>
  <c r="AR97" i="9"/>
  <c r="AQ97" i="9"/>
  <c r="AP97" i="9"/>
  <c r="AL97" i="9"/>
  <c r="AK97" i="9"/>
  <c r="AJ97" i="9"/>
  <c r="AE97" i="9"/>
  <c r="AD97" i="9"/>
  <c r="AM97" i="9" s="1"/>
  <c r="AC97" i="9"/>
  <c r="AF97" i="9" s="1"/>
  <c r="E97" i="9"/>
  <c r="AO97" i="9" s="1"/>
  <c r="D97" i="9"/>
  <c r="AI97" i="9" s="1"/>
  <c r="AW96" i="9"/>
  <c r="AV96" i="9"/>
  <c r="AU96" i="9"/>
  <c r="AS96" i="9"/>
  <c r="AR96" i="9"/>
  <c r="AQ96" i="9"/>
  <c r="AP96" i="9"/>
  <c r="AO96" i="9"/>
  <c r="AL96" i="9"/>
  <c r="AK96" i="9"/>
  <c r="AI96" i="9"/>
  <c r="AF96" i="9"/>
  <c r="AE96" i="9"/>
  <c r="AB96" i="9" s="1"/>
  <c r="AD96" i="9"/>
  <c r="AM96" i="9" s="1"/>
  <c r="AC96" i="9"/>
  <c r="D96" i="9"/>
  <c r="AJ96" i="9" s="1"/>
  <c r="AW95" i="9"/>
  <c r="AV95" i="9"/>
  <c r="AU95" i="9"/>
  <c r="AS95" i="9"/>
  <c r="AR95" i="9"/>
  <c r="AQ95" i="9"/>
  <c r="AP95" i="9"/>
  <c r="AO95" i="9"/>
  <c r="AL95" i="9"/>
  <c r="AK95" i="9"/>
  <c r="AE95" i="9"/>
  <c r="AD95" i="9"/>
  <c r="AF95" i="9" s="1"/>
  <c r="AC95" i="9"/>
  <c r="AB95" i="9"/>
  <c r="D95" i="9"/>
  <c r="AJ95" i="9" s="1"/>
  <c r="AW94" i="9"/>
  <c r="AV94" i="9"/>
  <c r="AU94" i="9"/>
  <c r="AS94" i="9"/>
  <c r="AR94" i="9"/>
  <c r="AQ94" i="9"/>
  <c r="AP94" i="9"/>
  <c r="AO94" i="9"/>
  <c r="AL94" i="9"/>
  <c r="AK94" i="9"/>
  <c r="AI94" i="9"/>
  <c r="AF94" i="9"/>
  <c r="AE94" i="9"/>
  <c r="AD94" i="9"/>
  <c r="AM94" i="9" s="1"/>
  <c r="AC94" i="9"/>
  <c r="AB94" i="9" s="1"/>
  <c r="D94" i="9"/>
  <c r="AJ94" i="9" s="1"/>
  <c r="AW93" i="9"/>
  <c r="AV93" i="9"/>
  <c r="AU93" i="9"/>
  <c r="AS93" i="9"/>
  <c r="AR93" i="9"/>
  <c r="AQ93" i="9"/>
  <c r="AP93" i="9"/>
  <c r="AO93" i="9"/>
  <c r="AL93" i="9"/>
  <c r="AK93" i="9"/>
  <c r="AE93" i="9"/>
  <c r="AD93" i="9"/>
  <c r="AM93" i="9" s="1"/>
  <c r="AC93" i="9"/>
  <c r="AB93" i="9"/>
  <c r="D93" i="9"/>
  <c r="AJ93" i="9" s="1"/>
  <c r="AW92" i="9"/>
  <c r="AV92" i="9"/>
  <c r="AU92" i="9"/>
  <c r="AS92" i="9"/>
  <c r="AR92" i="9"/>
  <c r="AQ92" i="9"/>
  <c r="AP92" i="9"/>
  <c r="AO92" i="9"/>
  <c r="AL92" i="9"/>
  <c r="AK92" i="9"/>
  <c r="AI92" i="9"/>
  <c r="AH92" i="9"/>
  <c r="AF92" i="9"/>
  <c r="AE92" i="9"/>
  <c r="AD92" i="9"/>
  <c r="AM92" i="9" s="1"/>
  <c r="AC92" i="9"/>
  <c r="AB92" i="9" s="1"/>
  <c r="D92" i="9"/>
  <c r="AJ92" i="9" s="1"/>
  <c r="AW91" i="9"/>
  <c r="AV91" i="9"/>
  <c r="AU91" i="9"/>
  <c r="AS91" i="9"/>
  <c r="AR91" i="9"/>
  <c r="AQ91" i="9"/>
  <c r="AP91" i="9"/>
  <c r="AO91" i="9"/>
  <c r="AL91" i="9"/>
  <c r="AK91" i="9"/>
  <c r="AH91" i="9"/>
  <c r="AE91" i="9"/>
  <c r="AD91" i="9"/>
  <c r="AF91" i="9" s="1"/>
  <c r="AC91" i="9"/>
  <c r="AB91" i="9"/>
  <c r="D91" i="9"/>
  <c r="AJ91" i="9" s="1"/>
  <c r="AW90" i="9"/>
  <c r="AV90" i="9"/>
  <c r="AU90" i="9"/>
  <c r="AS90" i="9"/>
  <c r="AR90" i="9"/>
  <c r="AQ90" i="9"/>
  <c r="AP90" i="9"/>
  <c r="AO90" i="9"/>
  <c r="AL90" i="9"/>
  <c r="AK90" i="9"/>
  <c r="AI90" i="9"/>
  <c r="AH90" i="9"/>
  <c r="AF90" i="9"/>
  <c r="AE90" i="9"/>
  <c r="AD90" i="9"/>
  <c r="AM90" i="9" s="1"/>
  <c r="AC90" i="9"/>
  <c r="AB90" i="9" s="1"/>
  <c r="D90" i="9"/>
  <c r="AJ90" i="9" s="1"/>
  <c r="AW89" i="9"/>
  <c r="AV89" i="9"/>
  <c r="AU89" i="9"/>
  <c r="AS89" i="9"/>
  <c r="AR89" i="9"/>
  <c r="AQ89" i="9"/>
  <c r="AP89" i="9"/>
  <c r="AO89" i="9"/>
  <c r="AL89" i="9"/>
  <c r="AK89" i="9"/>
  <c r="AH89" i="9"/>
  <c r="AE89" i="9"/>
  <c r="AD89" i="9"/>
  <c r="AM89" i="9" s="1"/>
  <c r="AC89" i="9"/>
  <c r="AB89" i="9"/>
  <c r="D89" i="9"/>
  <c r="AJ89" i="9" s="1"/>
  <c r="AW88" i="9"/>
  <c r="AV88" i="9"/>
  <c r="AU88" i="9"/>
  <c r="AS88" i="9"/>
  <c r="AR88" i="9"/>
  <c r="AQ88" i="9"/>
  <c r="AP88" i="9"/>
  <c r="AO88" i="9"/>
  <c r="AL88" i="9"/>
  <c r="AK88" i="9"/>
  <c r="AI88" i="9"/>
  <c r="AH88" i="9"/>
  <c r="AF88" i="9"/>
  <c r="AE88" i="9"/>
  <c r="AD88" i="9"/>
  <c r="AM88" i="9" s="1"/>
  <c r="AC88" i="9"/>
  <c r="AB88" i="9" s="1"/>
  <c r="D88" i="9"/>
  <c r="AJ88" i="9" s="1"/>
  <c r="AM87" i="9"/>
  <c r="AF87" i="9"/>
  <c r="AB87" i="9"/>
  <c r="AM86" i="9"/>
  <c r="AF86" i="9"/>
  <c r="AB86" i="9"/>
  <c r="AM85" i="9"/>
  <c r="AF85" i="9"/>
  <c r="AB85" i="9"/>
  <c r="AM84" i="9"/>
  <c r="AF84" i="9"/>
  <c r="AB84" i="9"/>
  <c r="AM83" i="9"/>
  <c r="AF83" i="9"/>
  <c r="AB83" i="9"/>
  <c r="AM82" i="9"/>
  <c r="AF82" i="9"/>
  <c r="AB82" i="9"/>
  <c r="AM81" i="9"/>
  <c r="AF81" i="9"/>
  <c r="AB81" i="9"/>
  <c r="AM80" i="9"/>
  <c r="AF80" i="9"/>
  <c r="AB80" i="9"/>
  <c r="AM79" i="9"/>
  <c r="AF79" i="9"/>
  <c r="AB79" i="9"/>
  <c r="AM78" i="9"/>
  <c r="AF78" i="9"/>
  <c r="AB78" i="9"/>
  <c r="AM77" i="9"/>
  <c r="AF77" i="9"/>
  <c r="AB77" i="9"/>
  <c r="AM76" i="9"/>
  <c r="AF76" i="9"/>
  <c r="AB76" i="9"/>
  <c r="AM75" i="9"/>
  <c r="AF75" i="9"/>
  <c r="AB75" i="9"/>
  <c r="AM74" i="9"/>
  <c r="AF74" i="9"/>
  <c r="AB74" i="9"/>
  <c r="AM73" i="9"/>
  <c r="AF73" i="9"/>
  <c r="AB73" i="9"/>
  <c r="AM72" i="9"/>
  <c r="AF72" i="9"/>
  <c r="AB72" i="9"/>
  <c r="AM71" i="9"/>
  <c r="AF71" i="9"/>
  <c r="AB71" i="9"/>
  <c r="AM70" i="9"/>
  <c r="AF70" i="9"/>
  <c r="AB70" i="9"/>
  <c r="AM69" i="9"/>
  <c r="AF69" i="9"/>
  <c r="AB69" i="9"/>
  <c r="AM68" i="9"/>
  <c r="AF68" i="9"/>
  <c r="AB68" i="9"/>
  <c r="AM67" i="9"/>
  <c r="AF67" i="9"/>
  <c r="AB67" i="9"/>
  <c r="AM66" i="9"/>
  <c r="AF66" i="9"/>
  <c r="AB66" i="9"/>
  <c r="AM65" i="9"/>
  <c r="AF65" i="9"/>
  <c r="AB65" i="9"/>
  <c r="AM64" i="9"/>
  <c r="AF64" i="9"/>
  <c r="AB64" i="9"/>
  <c r="AM63" i="9"/>
  <c r="AF63" i="9"/>
  <c r="AB63" i="9"/>
  <c r="M178" i="7"/>
  <c r="N177" i="7"/>
  <c r="N178" i="7" s="1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N131" i="7"/>
  <c r="N132" i="7" s="1"/>
  <c r="N133" i="7" s="1"/>
  <c r="N134" i="7" s="1"/>
  <c r="N135" i="7" s="1"/>
  <c r="N136" i="7" s="1"/>
  <c r="N137" i="7" s="1"/>
  <c r="N138" i="7" s="1"/>
  <c r="N139" i="7" s="1"/>
  <c r="N140" i="7" s="1"/>
  <c r="N141" i="7" s="1"/>
  <c r="N142" i="7" s="1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N163" i="7" s="1"/>
  <c r="N164" i="7" s="1"/>
  <c r="N165" i="7" s="1"/>
  <c r="N166" i="7" s="1"/>
  <c r="N167" i="7" s="1"/>
  <c r="N168" i="7" s="1"/>
  <c r="N169" i="7" s="1"/>
  <c r="N170" i="7" s="1"/>
  <c r="N171" i="7" s="1"/>
  <c r="N172" i="7" s="1"/>
  <c r="N173" i="7" s="1"/>
  <c r="N174" i="7" s="1"/>
  <c r="N175" i="7" s="1"/>
  <c r="M131" i="7"/>
  <c r="G116" i="7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88" i="7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L62" i="7"/>
  <c r="J62" i="7"/>
  <c r="I62" i="7"/>
  <c r="H62" i="7"/>
  <c r="F62" i="7"/>
  <c r="E62" i="7"/>
  <c r="D62" i="7"/>
  <c r="C62" i="7"/>
  <c r="B62" i="7"/>
  <c r="E55" i="7"/>
  <c r="D55" i="7"/>
  <c r="E54" i="7"/>
  <c r="D54" i="7"/>
  <c r="E53" i="7"/>
  <c r="D53" i="7"/>
  <c r="D52" i="7"/>
  <c r="C52" i="7"/>
  <c r="B52" i="7"/>
  <c r="E51" i="7"/>
  <c r="D51" i="7"/>
  <c r="C51" i="7"/>
  <c r="B51" i="7"/>
  <c r="E50" i="7"/>
  <c r="D50" i="7"/>
  <c r="C50" i="7"/>
  <c r="B50" i="7"/>
  <c r="E49" i="7"/>
  <c r="D49" i="7"/>
  <c r="C49" i="7"/>
  <c r="B49" i="7"/>
  <c r="E47" i="7"/>
  <c r="D47" i="7"/>
  <c r="C47" i="7"/>
  <c r="B47" i="7"/>
  <c r="E46" i="7"/>
  <c r="D46" i="7"/>
  <c r="C46" i="7"/>
  <c r="B46" i="7"/>
  <c r="C45" i="7"/>
  <c r="B45" i="7"/>
  <c r="E44" i="7"/>
  <c r="D44" i="7"/>
  <c r="C44" i="7"/>
  <c r="B44" i="7"/>
  <c r="E43" i="7"/>
  <c r="D43" i="7"/>
  <c r="C43" i="7"/>
  <c r="B43" i="7"/>
  <c r="E35" i="7"/>
  <c r="E56" i="7" s="1"/>
  <c r="D35" i="7"/>
  <c r="D56" i="7" s="1"/>
  <c r="C35" i="7"/>
  <c r="C58" i="7" s="1"/>
  <c r="B58" i="7"/>
  <c r="F33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C13" i="7"/>
  <c r="C54" i="7" s="1"/>
  <c r="B13" i="7"/>
  <c r="B54" i="7" s="1"/>
  <c r="F12" i="7"/>
  <c r="E11" i="7"/>
  <c r="E29" i="7" s="1"/>
  <c r="E36" i="7" s="1"/>
  <c r="E59" i="7" s="1"/>
  <c r="D11" i="7"/>
  <c r="D48" i="7" s="1"/>
  <c r="C11" i="7"/>
  <c r="B48" i="7"/>
  <c r="F9" i="7"/>
  <c r="F8" i="7"/>
  <c r="F7" i="7"/>
  <c r="F6" i="7"/>
  <c r="F5" i="7"/>
  <c r="F4" i="7"/>
  <c r="F2" i="7"/>
  <c r="H19" i="23"/>
  <c r="G19" i="23"/>
  <c r="E19" i="23"/>
  <c r="H18" i="23"/>
  <c r="G18" i="23"/>
  <c r="E18" i="23"/>
  <c r="H17" i="23"/>
  <c r="G17" i="23"/>
  <c r="E17" i="23"/>
  <c r="H16" i="23"/>
  <c r="G16" i="23"/>
  <c r="E16" i="23"/>
  <c r="H15" i="23"/>
  <c r="G15" i="23"/>
  <c r="E15" i="23"/>
  <c r="H14" i="23"/>
  <c r="G14" i="23"/>
  <c r="E14" i="23"/>
  <c r="H13" i="23"/>
  <c r="G13" i="23"/>
  <c r="E13" i="23"/>
  <c r="H12" i="23"/>
  <c r="G12" i="23"/>
  <c r="E12" i="23"/>
  <c r="H11" i="23"/>
  <c r="G11" i="23"/>
  <c r="E11" i="23"/>
  <c r="H10" i="23"/>
  <c r="G10" i="23"/>
  <c r="E10" i="23"/>
  <c r="H9" i="23"/>
  <c r="G9" i="23"/>
  <c r="E9" i="23"/>
  <c r="H8" i="23"/>
  <c r="G8" i="23"/>
  <c r="E8" i="23"/>
  <c r="H7" i="23"/>
  <c r="G7" i="23"/>
  <c r="E7" i="23"/>
  <c r="H6" i="23"/>
  <c r="G6" i="23"/>
  <c r="E6" i="23"/>
  <c r="H5" i="23"/>
  <c r="G5" i="23"/>
  <c r="E5" i="23"/>
  <c r="H4" i="23"/>
  <c r="G4" i="23"/>
  <c r="E4" i="23"/>
  <c r="H3" i="23"/>
  <c r="G3" i="23"/>
  <c r="E3" i="23"/>
  <c r="H2" i="23"/>
  <c r="G2" i="23"/>
  <c r="E2" i="23"/>
  <c r="AB20" i="21"/>
  <c r="AE19" i="21"/>
  <c r="AD19" i="21"/>
  <c r="AE17" i="21"/>
  <c r="AD17" i="21"/>
  <c r="AE16" i="21"/>
  <c r="AD16" i="21"/>
  <c r="AE15" i="21"/>
  <c r="AD15" i="21"/>
  <c r="AE12" i="21"/>
  <c r="AD12" i="21"/>
  <c r="AE10" i="21"/>
  <c r="AD10" i="21"/>
  <c r="AE8" i="21"/>
  <c r="AD8" i="21"/>
  <c r="C27" i="30"/>
  <c r="B27" i="30"/>
  <c r="C26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3" i="30"/>
  <c r="B12" i="30"/>
  <c r="C10" i="30"/>
  <c r="L7" i="30"/>
  <c r="B76" i="29" s="1"/>
  <c r="K7" i="30"/>
  <c r="B75" i="29" s="1"/>
  <c r="J7" i="30"/>
  <c r="B72" i="29" s="1"/>
  <c r="I7" i="30"/>
  <c r="B71" i="29" s="1"/>
  <c r="H7" i="30"/>
  <c r="B70" i="29" s="1"/>
  <c r="G7" i="30"/>
  <c r="B69" i="29" s="1"/>
  <c r="F7" i="30"/>
  <c r="B68" i="29" s="1"/>
  <c r="E7" i="30"/>
  <c r="B67" i="29" s="1"/>
  <c r="D7" i="30"/>
  <c r="B66" i="29" s="1"/>
  <c r="C7" i="30"/>
  <c r="V8" i="29"/>
  <c r="C13" i="30" s="1"/>
  <c r="AC121" i="29"/>
  <c r="AC122" i="29" s="1"/>
  <c r="Z121" i="29"/>
  <c r="W121" i="29"/>
  <c r="W122" i="29" s="1"/>
  <c r="S121" i="29"/>
  <c r="R121" i="29"/>
  <c r="AC119" i="29"/>
  <c r="Z119" i="29"/>
  <c r="Z120" i="29" s="1"/>
  <c r="W119" i="29"/>
  <c r="W120" i="29" s="1"/>
  <c r="S119" i="29"/>
  <c r="R119" i="29"/>
  <c r="AC117" i="29"/>
  <c r="AD117" i="29" s="1"/>
  <c r="Z117" i="29"/>
  <c r="Z118" i="29" s="1"/>
  <c r="W117" i="29"/>
  <c r="W118" i="29" s="1"/>
  <c r="S117" i="29"/>
  <c r="R117" i="29"/>
  <c r="AC115" i="29"/>
  <c r="AC116" i="29" s="1"/>
  <c r="Z115" i="29"/>
  <c r="Z116" i="29" s="1"/>
  <c r="W115" i="29"/>
  <c r="X115" i="29" s="1"/>
  <c r="S115" i="29"/>
  <c r="R115" i="29"/>
  <c r="AC113" i="29"/>
  <c r="AC114" i="29" s="1"/>
  <c r="Z113" i="29"/>
  <c r="AA113" i="29" s="1"/>
  <c r="W113" i="29"/>
  <c r="W114" i="29" s="1"/>
  <c r="S113" i="29"/>
  <c r="R113" i="29"/>
  <c r="AC111" i="29"/>
  <c r="AD111" i="29" s="1"/>
  <c r="Z111" i="29"/>
  <c r="Z112" i="29" s="1"/>
  <c r="W111" i="29"/>
  <c r="X111" i="29" s="1"/>
  <c r="X112" i="29" s="1"/>
  <c r="S111" i="29"/>
  <c r="R111" i="29"/>
  <c r="AC109" i="29"/>
  <c r="AC110" i="29" s="1"/>
  <c r="Z109" i="29"/>
  <c r="AA109" i="29" s="1"/>
  <c r="AA110" i="29" s="1"/>
  <c r="W109" i="29"/>
  <c r="W110" i="29" s="1"/>
  <c r="S109" i="29"/>
  <c r="R109" i="29"/>
  <c r="AC107" i="29"/>
  <c r="AD107" i="29" s="1"/>
  <c r="AD108" i="29" s="1"/>
  <c r="Z107" i="29"/>
  <c r="Z108" i="29" s="1"/>
  <c r="W107" i="29"/>
  <c r="S107" i="29"/>
  <c r="R107" i="29"/>
  <c r="AC105" i="29"/>
  <c r="AC106" i="29" s="1"/>
  <c r="Z105" i="29"/>
  <c r="W105" i="29"/>
  <c r="X105" i="29" s="1"/>
  <c r="S105" i="29"/>
  <c r="R105" i="29"/>
  <c r="AC103" i="29"/>
  <c r="Z103" i="29"/>
  <c r="AA103" i="29" s="1"/>
  <c r="W103" i="29"/>
  <c r="W104" i="29" s="1"/>
  <c r="S103" i="29"/>
  <c r="R103" i="29"/>
  <c r="AC101" i="29"/>
  <c r="AD101" i="29" s="1"/>
  <c r="Z101" i="29"/>
  <c r="Z102" i="29" s="1"/>
  <c r="W101" i="29"/>
  <c r="W102" i="29" s="1"/>
  <c r="S101" i="29"/>
  <c r="R101" i="29"/>
  <c r="W100" i="29"/>
  <c r="AD95" i="29"/>
  <c r="AA95" i="29"/>
  <c r="R95" i="29"/>
  <c r="AC93" i="29"/>
  <c r="AC94" i="29" s="1"/>
  <c r="Z93" i="29"/>
  <c r="AA93" i="29" s="1"/>
  <c r="AA94" i="29" s="1"/>
  <c r="W93" i="29"/>
  <c r="W94" i="29" s="1"/>
  <c r="R93" i="29"/>
  <c r="AC91" i="29"/>
  <c r="AD91" i="29" s="1"/>
  <c r="AD92" i="29" s="1"/>
  <c r="Z91" i="29"/>
  <c r="Z92" i="29" s="1"/>
  <c r="W91" i="29"/>
  <c r="S91" i="29"/>
  <c r="R91" i="29"/>
  <c r="AC89" i="29"/>
  <c r="AC90" i="29" s="1"/>
  <c r="Z89" i="29"/>
  <c r="W89" i="29"/>
  <c r="X89" i="29" s="1"/>
  <c r="S89" i="29"/>
  <c r="R89" i="29"/>
  <c r="AC87" i="29"/>
  <c r="Z87" i="29"/>
  <c r="AA87" i="29" s="1"/>
  <c r="W87" i="29"/>
  <c r="W88" i="29" s="1"/>
  <c r="S87" i="29"/>
  <c r="R87" i="29"/>
  <c r="AC85" i="29"/>
  <c r="AD85" i="29" s="1"/>
  <c r="Z85" i="29"/>
  <c r="Z86" i="29" s="1"/>
  <c r="W85" i="29"/>
  <c r="W86" i="29" s="1"/>
  <c r="S85" i="29"/>
  <c r="R85" i="29"/>
  <c r="AC83" i="29"/>
  <c r="AC84" i="29" s="1"/>
  <c r="Z83" i="29"/>
  <c r="AA83" i="29" s="1"/>
  <c r="AA84" i="29" s="1"/>
  <c r="W83" i="29"/>
  <c r="W84" i="29" s="1"/>
  <c r="S83" i="29"/>
  <c r="R83" i="29"/>
  <c r="AC81" i="29"/>
  <c r="AD81" i="29" s="1"/>
  <c r="AD82" i="29" s="1"/>
  <c r="Z81" i="29"/>
  <c r="Z82" i="29" s="1"/>
  <c r="W81" i="29"/>
  <c r="S81" i="29"/>
  <c r="R81" i="29"/>
  <c r="AC79" i="29"/>
  <c r="AC80" i="29" s="1"/>
  <c r="Z79" i="29"/>
  <c r="W79" i="29"/>
  <c r="X79" i="29" s="1"/>
  <c r="S79" i="29"/>
  <c r="R79" i="29"/>
  <c r="AC77" i="29"/>
  <c r="Z77" i="29"/>
  <c r="AA77" i="29" s="1"/>
  <c r="W77" i="29"/>
  <c r="W78" i="29" s="1"/>
  <c r="S77" i="29"/>
  <c r="AC69" i="29"/>
  <c r="AD69" i="29" s="1"/>
  <c r="AD70" i="29" s="1"/>
  <c r="Z69" i="29"/>
  <c r="Z70" i="29" s="1"/>
  <c r="W69" i="29"/>
  <c r="R69" i="29"/>
  <c r="AC67" i="29"/>
  <c r="AC68" i="29" s="1"/>
  <c r="Z67" i="29"/>
  <c r="W67" i="29"/>
  <c r="X67" i="29" s="1"/>
  <c r="R67" i="29"/>
  <c r="AC65" i="29"/>
  <c r="AC66" i="29" s="1"/>
  <c r="Z65" i="29"/>
  <c r="Z66" i="29" s="1"/>
  <c r="W65" i="29"/>
  <c r="W66" i="29" s="1"/>
  <c r="R65" i="29"/>
  <c r="AC63" i="29"/>
  <c r="AC64" i="29" s="1"/>
  <c r="Z63" i="29"/>
  <c r="Z64" i="29" s="1"/>
  <c r="W63" i="29"/>
  <c r="R63" i="29"/>
  <c r="B62" i="29"/>
  <c r="B61" i="29"/>
  <c r="B56" i="29"/>
  <c r="B55" i="29"/>
  <c r="B54" i="29"/>
  <c r="AC55" i="29"/>
  <c r="AD55" i="29" s="1"/>
  <c r="Z55" i="29"/>
  <c r="AA55" i="29" s="1"/>
  <c r="W55" i="29"/>
  <c r="W56" i="29" s="1"/>
  <c r="R55" i="29"/>
  <c r="B53" i="29"/>
  <c r="B52" i="29"/>
  <c r="AC51" i="29"/>
  <c r="AC52" i="29" s="1"/>
  <c r="Z51" i="29"/>
  <c r="AA51" i="29" s="1"/>
  <c r="W51" i="29"/>
  <c r="X51" i="29" s="1"/>
  <c r="Y51" i="29" s="1"/>
  <c r="Y52" i="29" s="1"/>
  <c r="R51" i="29"/>
  <c r="B51" i="29"/>
  <c r="B50" i="29"/>
  <c r="AC49" i="29"/>
  <c r="AC50" i="29" s="1"/>
  <c r="Z49" i="29"/>
  <c r="Z50" i="29" s="1"/>
  <c r="W49" i="29"/>
  <c r="X49" i="29" s="1"/>
  <c r="R49" i="29"/>
  <c r="B49" i="29"/>
  <c r="AI31" i="29" s="1"/>
  <c r="D27" i="30" s="1"/>
  <c r="V48" i="29"/>
  <c r="B44" i="29"/>
  <c r="B43" i="29"/>
  <c r="B42" i="29"/>
  <c r="AC41" i="29"/>
  <c r="AC42" i="29" s="1"/>
  <c r="Z41" i="29"/>
  <c r="Z42" i="29" s="1"/>
  <c r="W41" i="29"/>
  <c r="X41" i="29" s="1"/>
  <c r="R41" i="29"/>
  <c r="B41" i="29"/>
  <c r="B40" i="29"/>
  <c r="AC39" i="29"/>
  <c r="AD39" i="29" s="1"/>
  <c r="Z39" i="29"/>
  <c r="AA39" i="29" s="1"/>
  <c r="W39" i="29"/>
  <c r="X39" i="29" s="1"/>
  <c r="X40" i="29" s="1"/>
  <c r="R39" i="29"/>
  <c r="B39" i="29"/>
  <c r="B38" i="29"/>
  <c r="AC37" i="29"/>
  <c r="AC38" i="29" s="1"/>
  <c r="Z37" i="29"/>
  <c r="AA37" i="29" s="1"/>
  <c r="W37" i="29"/>
  <c r="X37" i="29" s="1"/>
  <c r="R37" i="29"/>
  <c r="B37" i="29"/>
  <c r="B36" i="29"/>
  <c r="AI53" i="29" s="1"/>
  <c r="AC35" i="29"/>
  <c r="AC36" i="29" s="1"/>
  <c r="Z35" i="29"/>
  <c r="Z36" i="29" s="1"/>
  <c r="W35" i="29"/>
  <c r="X35" i="29" s="1"/>
  <c r="R35" i="29"/>
  <c r="B35" i="29"/>
  <c r="AI30" i="29" s="1"/>
  <c r="D26" i="30" s="1"/>
  <c r="V34" i="29"/>
  <c r="V32" i="29"/>
  <c r="C25" i="30" s="1"/>
  <c r="V24" i="29"/>
  <c r="DO24" i="29" s="1"/>
  <c r="EA23" i="29"/>
  <c r="DO23" i="29"/>
  <c r="DC23" i="29"/>
  <c r="CQ23" i="29"/>
  <c r="CE23" i="29"/>
  <c r="BS23" i="29"/>
  <c r="BG23" i="29"/>
  <c r="AU23" i="29"/>
  <c r="AI23" i="29"/>
  <c r="V22" i="29"/>
  <c r="V21" i="29"/>
  <c r="DO21" i="29" s="1"/>
  <c r="V20" i="29"/>
  <c r="DC20" i="29" s="1"/>
  <c r="EA19" i="29"/>
  <c r="DO19" i="29"/>
  <c r="DC19" i="29"/>
  <c r="CQ19" i="29"/>
  <c r="CE19" i="29"/>
  <c r="BS19" i="29"/>
  <c r="BG19" i="29"/>
  <c r="AU19" i="29"/>
  <c r="AI19" i="29"/>
  <c r="EA18" i="29"/>
  <c r="DO18" i="29"/>
  <c r="DC18" i="29"/>
  <c r="CQ18" i="29"/>
  <c r="CE18" i="29"/>
  <c r="BS18" i="29"/>
  <c r="BG18" i="29"/>
  <c r="AU18" i="29"/>
  <c r="AI18" i="29"/>
  <c r="EA17" i="29"/>
  <c r="DO17" i="29"/>
  <c r="DC17" i="29"/>
  <c r="CQ17" i="29"/>
  <c r="CE17" i="29"/>
  <c r="BS17" i="29"/>
  <c r="BG17" i="29"/>
  <c r="AU17" i="29"/>
  <c r="AI17" i="29"/>
  <c r="EA16" i="29"/>
  <c r="DO16" i="29"/>
  <c r="DC16" i="29"/>
  <c r="CQ16" i="29"/>
  <c r="CE16" i="29"/>
  <c r="BS16" i="29"/>
  <c r="BG16" i="29"/>
  <c r="AU16" i="29"/>
  <c r="AI16" i="29"/>
  <c r="V14" i="29"/>
  <c r="C16" i="30" s="1"/>
  <c r="V12" i="29"/>
  <c r="C23" i="30" s="1"/>
  <c r="V11" i="29"/>
  <c r="C22" i="30" s="1"/>
  <c r="X5" i="29"/>
  <c r="Y5" i="29" s="1"/>
  <c r="Z5" i="29" s="1"/>
  <c r="W4" i="29"/>
  <c r="W3" i="29" s="1"/>
  <c r="BI126" i="2"/>
  <c r="BK126" i="2" s="1"/>
  <c r="AT126" i="2"/>
  <c r="AV126" i="2" s="1"/>
  <c r="BG122" i="2"/>
  <c r="AR122" i="2"/>
  <c r="BG120" i="2"/>
  <c r="AR120" i="2"/>
  <c r="BI118" i="2"/>
  <c r="BK118" i="2" s="1"/>
  <c r="BG118" i="2"/>
  <c r="AT118" i="2"/>
  <c r="AV118" i="2" s="1"/>
  <c r="AR118" i="2"/>
  <c r="AH117" i="2"/>
  <c r="AF117" i="2"/>
  <c r="O117" i="2"/>
  <c r="O114" i="2"/>
  <c r="BX113" i="2"/>
  <c r="BZ113" i="2" s="1"/>
  <c r="BI113" i="2"/>
  <c r="BK113" i="2" s="1"/>
  <c r="AT113" i="2"/>
  <c r="AV113" i="2" s="1"/>
  <c r="AT111" i="2"/>
  <c r="AV111" i="2" s="1"/>
  <c r="AD111" i="2"/>
  <c r="O111" i="2"/>
  <c r="M111" i="2"/>
  <c r="BV109" i="2"/>
  <c r="BG109" i="2"/>
  <c r="AT109" i="2"/>
  <c r="AV109" i="2" s="1"/>
  <c r="AR109" i="2"/>
  <c r="AD108" i="2"/>
  <c r="O108" i="2"/>
  <c r="M108" i="2"/>
  <c r="BV107" i="2"/>
  <c r="BG107" i="2"/>
  <c r="AT107" i="2"/>
  <c r="AV107" i="2" s="1"/>
  <c r="AR107" i="2"/>
  <c r="BX105" i="2"/>
  <c r="BZ105" i="2" s="1"/>
  <c r="BV105" i="2"/>
  <c r="BI105" i="2"/>
  <c r="BK105" i="2" s="1"/>
  <c r="BG105" i="2"/>
  <c r="AR105" i="2"/>
  <c r="AF105" i="2"/>
  <c r="AD105" i="2"/>
  <c r="O105" i="2"/>
  <c r="M105" i="2"/>
  <c r="BI95" i="2"/>
  <c r="BK95" i="2" s="1"/>
  <c r="AT95" i="2"/>
  <c r="AV95" i="2" s="1"/>
  <c r="BG91" i="2"/>
  <c r="AR91" i="2"/>
  <c r="BG89" i="2"/>
  <c r="AR89" i="2"/>
  <c r="BG87" i="2"/>
  <c r="AR87" i="2"/>
  <c r="O85" i="2"/>
  <c r="O82" i="2"/>
  <c r="BI81" i="2"/>
  <c r="BK81" i="2" s="1"/>
  <c r="AT81" i="2"/>
  <c r="AV81" i="2" s="1"/>
  <c r="AT79" i="2"/>
  <c r="AV79" i="2" s="1"/>
  <c r="AD79" i="2"/>
  <c r="O79" i="2"/>
  <c r="M79" i="2"/>
  <c r="BG77" i="2"/>
  <c r="AR77" i="2"/>
  <c r="AD76" i="2"/>
  <c r="O76" i="2"/>
  <c r="M76" i="2"/>
  <c r="BG75" i="2"/>
  <c r="AR75" i="2"/>
  <c r="BG73" i="2"/>
  <c r="AR73" i="2"/>
  <c r="AD73" i="2"/>
  <c r="O73" i="2"/>
  <c r="M73" i="2"/>
  <c r="AT63" i="2"/>
  <c r="AV63" i="2" s="1"/>
  <c r="AT61" i="2"/>
  <c r="AV61" i="2" s="1"/>
  <c r="AT59" i="2"/>
  <c r="AV59" i="2" s="1"/>
  <c r="AR59" i="2"/>
  <c r="AT57" i="2"/>
  <c r="AV57" i="2" s="1"/>
  <c r="AR57" i="2"/>
  <c r="AT55" i="2"/>
  <c r="AV55" i="2" s="1"/>
  <c r="AR55" i="2"/>
  <c r="O53" i="2"/>
  <c r="Q53" i="2" s="1"/>
  <c r="O50" i="2"/>
  <c r="Q50" i="2" s="1"/>
  <c r="AT49" i="2"/>
  <c r="AV49" i="2" s="1"/>
  <c r="AD47" i="2"/>
  <c r="O47" i="2"/>
  <c r="Q47" i="2" s="1"/>
  <c r="M47" i="2"/>
  <c r="AR45" i="2"/>
  <c r="AD44" i="2"/>
  <c r="O44" i="2"/>
  <c r="Q44" i="2" s="1"/>
  <c r="M44" i="2"/>
  <c r="AR43" i="2"/>
  <c r="AR41" i="2"/>
  <c r="AD41" i="2"/>
  <c r="O41" i="2"/>
  <c r="Q41" i="2" s="1"/>
  <c r="M41" i="2"/>
  <c r="BI31" i="2"/>
  <c r="BK31" i="2" s="1"/>
  <c r="AT31" i="2"/>
  <c r="AV31" i="2" s="1"/>
  <c r="AT29" i="2"/>
  <c r="AV29" i="2" s="1"/>
  <c r="BI27" i="2"/>
  <c r="BK27" i="2" s="1"/>
  <c r="BG27" i="2"/>
  <c r="AT27" i="2"/>
  <c r="AV27" i="2" s="1"/>
  <c r="AR27" i="2"/>
  <c r="BI25" i="2"/>
  <c r="BK25" i="2" s="1"/>
  <c r="BG25" i="2"/>
  <c r="AT25" i="2"/>
  <c r="AV25" i="2" s="1"/>
  <c r="AR25" i="2"/>
  <c r="BI23" i="2"/>
  <c r="BK23" i="2" s="1"/>
  <c r="BG23" i="2"/>
  <c r="AT23" i="2"/>
  <c r="AV23" i="2" s="1"/>
  <c r="AR23" i="2"/>
  <c r="AH22" i="2"/>
  <c r="AF22" i="2"/>
  <c r="O22" i="2"/>
  <c r="AH19" i="2"/>
  <c r="AF19" i="2"/>
  <c r="O19" i="2"/>
  <c r="BI18" i="2"/>
  <c r="BK18" i="2" s="1"/>
  <c r="AT18" i="2"/>
  <c r="AV18" i="2" s="1"/>
  <c r="BI16" i="2"/>
  <c r="BK16" i="2" s="1"/>
  <c r="AT16" i="2"/>
  <c r="AV16" i="2" s="1"/>
  <c r="AH16" i="2"/>
  <c r="AF16" i="2"/>
  <c r="AD16" i="2"/>
  <c r="O16" i="2"/>
  <c r="M16" i="2"/>
  <c r="BI14" i="2"/>
  <c r="BK14" i="2" s="1"/>
  <c r="BG14" i="2"/>
  <c r="AT14" i="2"/>
  <c r="AV14" i="2" s="1"/>
  <c r="AR14" i="2"/>
  <c r="AH13" i="2"/>
  <c r="AF13" i="2"/>
  <c r="AD13" i="2"/>
  <c r="O13" i="2"/>
  <c r="M13" i="2"/>
  <c r="BI12" i="2"/>
  <c r="BK12" i="2" s="1"/>
  <c r="BG12" i="2"/>
  <c r="AT12" i="2"/>
  <c r="AV12" i="2" s="1"/>
  <c r="AR12" i="2"/>
  <c r="BI10" i="2"/>
  <c r="BK10" i="2" s="1"/>
  <c r="BG10" i="2"/>
  <c r="AT10" i="2"/>
  <c r="AV10" i="2" s="1"/>
  <c r="AR10" i="2"/>
  <c r="AH10" i="2"/>
  <c r="AF10" i="2"/>
  <c r="AD10" i="2"/>
  <c r="M10" i="2"/>
  <c r="M8" i="2"/>
  <c r="BA52" i="6"/>
  <c r="AU52" i="6"/>
  <c r="AO52" i="6"/>
  <c r="AA52" i="6"/>
  <c r="BA51" i="6"/>
  <c r="AU51" i="6"/>
  <c r="AO51" i="6"/>
  <c r="AA51" i="6"/>
  <c r="BX50" i="6"/>
  <c r="CD50" i="6" s="1"/>
  <c r="BW50" i="6"/>
  <c r="CC50" i="6" s="1"/>
  <c r="BS50" i="6"/>
  <c r="BM50" i="6"/>
  <c r="BA50" i="6"/>
  <c r="AU50" i="6"/>
  <c r="AO50" i="6"/>
  <c r="AA50" i="6"/>
  <c r="BX49" i="6"/>
  <c r="CD49" i="6" s="1"/>
  <c r="BW49" i="6"/>
  <c r="CC49" i="6" s="1"/>
  <c r="BS49" i="6"/>
  <c r="BM49" i="6"/>
  <c r="BG49" i="6"/>
  <c r="BA49" i="6"/>
  <c r="AU49" i="6"/>
  <c r="AO49" i="6"/>
  <c r="AA49" i="6"/>
  <c r="BX48" i="6"/>
  <c r="CD48" i="6" s="1"/>
  <c r="BW48" i="6"/>
  <c r="CC48" i="6" s="1"/>
  <c r="BV48" i="6"/>
  <c r="BU48" i="6"/>
  <c r="BT48" i="6"/>
  <c r="BS48" i="6"/>
  <c r="BP48" i="6"/>
  <c r="BO48" i="6"/>
  <c r="BN48" i="6"/>
  <c r="BM48" i="6"/>
  <c r="BJ48" i="6"/>
  <c r="BI48" i="6"/>
  <c r="BH48" i="6"/>
  <c r="BG48" i="6"/>
  <c r="BD48" i="6"/>
  <c r="BC48" i="6"/>
  <c r="BB48" i="6"/>
  <c r="BA48" i="6"/>
  <c r="AX48" i="6"/>
  <c r="AW48" i="6"/>
  <c r="AV48" i="6"/>
  <c r="AU48" i="6"/>
  <c r="AR48" i="6"/>
  <c r="AQ48" i="6"/>
  <c r="AP48" i="6"/>
  <c r="AO48" i="6"/>
  <c r="AL48" i="6"/>
  <c r="AK48" i="6"/>
  <c r="AJ48" i="6"/>
  <c r="AI48" i="6"/>
  <c r="AB48" i="6"/>
  <c r="AC48" i="6" s="1"/>
  <c r="AA48" i="6"/>
  <c r="CD47" i="6"/>
  <c r="BX47" i="6"/>
  <c r="BY47" i="6" s="1"/>
  <c r="CE47" i="6" s="1"/>
  <c r="BW47" i="6"/>
  <c r="CC47" i="6" s="1"/>
  <c r="BV47" i="6"/>
  <c r="BU47" i="6"/>
  <c r="BT47" i="6"/>
  <c r="BS47" i="6"/>
  <c r="BP47" i="6"/>
  <c r="BO47" i="6"/>
  <c r="BN47" i="6"/>
  <c r="BM47" i="6"/>
  <c r="BJ47" i="6"/>
  <c r="BI47" i="6"/>
  <c r="BH47" i="6"/>
  <c r="BG47" i="6"/>
  <c r="BD47" i="6"/>
  <c r="BC47" i="6"/>
  <c r="BB47" i="6"/>
  <c r="BA47" i="6"/>
  <c r="AX47" i="6"/>
  <c r="AW47" i="6"/>
  <c r="AV47" i="6"/>
  <c r="AU47" i="6"/>
  <c r="AR47" i="6"/>
  <c r="AQ47" i="6"/>
  <c r="AP47" i="6"/>
  <c r="AO47" i="6"/>
  <c r="AL47" i="6"/>
  <c r="AK47" i="6"/>
  <c r="AJ47" i="6"/>
  <c r="AI47" i="6"/>
  <c r="AB47" i="6"/>
  <c r="AC47" i="6" s="1"/>
  <c r="AA47" i="6"/>
  <c r="BX46" i="6"/>
  <c r="CD46" i="6" s="1"/>
  <c r="BW46" i="6"/>
  <c r="AH105" i="2" s="1"/>
  <c r="BV46" i="6"/>
  <c r="AH108" i="2" s="1"/>
  <c r="BU46" i="6"/>
  <c r="AH111" i="2" s="1"/>
  <c r="BT46" i="6"/>
  <c r="AH114" i="2" s="1"/>
  <c r="BS46" i="6"/>
  <c r="BP46" i="6"/>
  <c r="AF108" i="2" s="1"/>
  <c r="BO46" i="6"/>
  <c r="AF111" i="2" s="1"/>
  <c r="BN46" i="6"/>
  <c r="AF114" i="2" s="1"/>
  <c r="BM46" i="6"/>
  <c r="BJ46" i="6"/>
  <c r="BI46" i="6"/>
  <c r="BH46" i="6"/>
  <c r="BG46" i="6"/>
  <c r="BD46" i="6"/>
  <c r="BC46" i="6"/>
  <c r="BB46" i="6"/>
  <c r="BA46" i="6"/>
  <c r="AX46" i="6"/>
  <c r="BX107" i="2" s="1"/>
  <c r="BZ107" i="2" s="1"/>
  <c r="AW46" i="6"/>
  <c r="BX109" i="2" s="1"/>
  <c r="BZ109" i="2" s="1"/>
  <c r="AV46" i="6"/>
  <c r="BX111" i="2" s="1"/>
  <c r="BZ111" i="2" s="1"/>
  <c r="AU46" i="6"/>
  <c r="AR46" i="6"/>
  <c r="BI120" i="2" s="1"/>
  <c r="BK120" i="2" s="1"/>
  <c r="AQ46" i="6"/>
  <c r="BI122" i="2" s="1"/>
  <c r="BK122" i="2" s="1"/>
  <c r="AP46" i="6"/>
  <c r="BI124" i="2" s="1"/>
  <c r="BK124" i="2" s="1"/>
  <c r="AO46" i="6"/>
  <c r="AL46" i="6"/>
  <c r="BI107" i="2" s="1"/>
  <c r="BK107" i="2" s="1"/>
  <c r="AK46" i="6"/>
  <c r="BI109" i="2" s="1"/>
  <c r="BK109" i="2" s="1"/>
  <c r="AJ46" i="6"/>
  <c r="BI111" i="2" s="1"/>
  <c r="BK111" i="2" s="1"/>
  <c r="AI46" i="6"/>
  <c r="AB46" i="6"/>
  <c r="AC46" i="6" s="1"/>
  <c r="AA46" i="6"/>
  <c r="AT105" i="2" s="1"/>
  <c r="AV105" i="2" s="1"/>
  <c r="CD45" i="6"/>
  <c r="BX45" i="6"/>
  <c r="BY45" i="6" s="1"/>
  <c r="CE45" i="6" s="1"/>
  <c r="BW45" i="6"/>
  <c r="CC45" i="6" s="1"/>
  <c r="BV45" i="6"/>
  <c r="BU45" i="6"/>
  <c r="BT45" i="6"/>
  <c r="BS45" i="6"/>
  <c r="BP45" i="6"/>
  <c r="BO45" i="6"/>
  <c r="BN45" i="6"/>
  <c r="BM45" i="6"/>
  <c r="BJ45" i="6"/>
  <c r="BI45" i="6"/>
  <c r="BH45" i="6"/>
  <c r="BG45" i="6"/>
  <c r="BD45" i="6"/>
  <c r="BC45" i="6"/>
  <c r="BB45" i="6"/>
  <c r="BA45" i="6"/>
  <c r="AX45" i="6"/>
  <c r="AW45" i="6"/>
  <c r="AV45" i="6"/>
  <c r="AU45" i="6"/>
  <c r="AR45" i="6"/>
  <c r="AQ45" i="6"/>
  <c r="AP45" i="6"/>
  <c r="AO45" i="6"/>
  <c r="AL45" i="6"/>
  <c r="AK45" i="6"/>
  <c r="AJ45" i="6"/>
  <c r="AI45" i="6"/>
  <c r="AB45" i="6"/>
  <c r="AC45" i="6" s="1"/>
  <c r="AA45" i="6"/>
  <c r="BX44" i="6"/>
  <c r="CD44" i="6" s="1"/>
  <c r="BW44" i="6"/>
  <c r="CC44" i="6" s="1"/>
  <c r="BV44" i="6"/>
  <c r="BU44" i="6"/>
  <c r="BT44" i="6"/>
  <c r="BS44" i="6"/>
  <c r="BP44" i="6"/>
  <c r="BO44" i="6"/>
  <c r="BN44" i="6"/>
  <c r="BM44" i="6"/>
  <c r="BJ44" i="6"/>
  <c r="BI44" i="6"/>
  <c r="BH44" i="6"/>
  <c r="BG44" i="6"/>
  <c r="BD44" i="6"/>
  <c r="BC44" i="6"/>
  <c r="BB44" i="6"/>
  <c r="BA44" i="6"/>
  <c r="AX44" i="6"/>
  <c r="AW44" i="6"/>
  <c r="AV44" i="6"/>
  <c r="AU44" i="6"/>
  <c r="AR44" i="6"/>
  <c r="AQ44" i="6"/>
  <c r="AP44" i="6"/>
  <c r="AO44" i="6"/>
  <c r="AL44" i="6"/>
  <c r="AK44" i="6"/>
  <c r="AJ44" i="6"/>
  <c r="AI44" i="6"/>
  <c r="AB44" i="6"/>
  <c r="AC44" i="6" s="1"/>
  <c r="AA44" i="6"/>
  <c r="BX43" i="6"/>
  <c r="BY43" i="6" s="1"/>
  <c r="CE43" i="6" s="1"/>
  <c r="BW43" i="6"/>
  <c r="CA48" i="6" s="1"/>
  <c r="CG48" i="6" s="1"/>
  <c r="BV43" i="6"/>
  <c r="BU43" i="6"/>
  <c r="BT43" i="6"/>
  <c r="BS43" i="6"/>
  <c r="BP43" i="6"/>
  <c r="BO43" i="6"/>
  <c r="BN43" i="6"/>
  <c r="BM43" i="6"/>
  <c r="BJ43" i="6"/>
  <c r="BI43" i="6"/>
  <c r="BH43" i="6"/>
  <c r="BG43" i="6"/>
  <c r="BD43" i="6"/>
  <c r="BC43" i="6"/>
  <c r="BB43" i="6"/>
  <c r="BA43" i="6"/>
  <c r="AX43" i="6"/>
  <c r="AW43" i="6"/>
  <c r="AV43" i="6"/>
  <c r="AU43" i="6"/>
  <c r="AR43" i="6"/>
  <c r="AQ43" i="6"/>
  <c r="AP43" i="6"/>
  <c r="AO43" i="6"/>
  <c r="AL43" i="6"/>
  <c r="AK43" i="6"/>
  <c r="AJ43" i="6"/>
  <c r="AI43" i="6"/>
  <c r="AB43" i="6"/>
  <c r="AC43" i="6" s="1"/>
  <c r="AA43" i="6"/>
  <c r="AF48" i="6" s="1"/>
  <c r="BX42" i="6"/>
  <c r="CD42" i="6" s="1"/>
  <c r="BW42" i="6"/>
  <c r="CC42" i="6" s="1"/>
  <c r="BV42" i="6"/>
  <c r="BU42" i="6"/>
  <c r="BT42" i="6"/>
  <c r="BS42" i="6"/>
  <c r="BP42" i="6"/>
  <c r="BO42" i="6"/>
  <c r="BN42" i="6"/>
  <c r="BM42" i="6"/>
  <c r="BJ42" i="6"/>
  <c r="BI42" i="6"/>
  <c r="BH42" i="6"/>
  <c r="BG42" i="6"/>
  <c r="BD42" i="6"/>
  <c r="BC42" i="6"/>
  <c r="BB42" i="6"/>
  <c r="BA42" i="6"/>
  <c r="AX42" i="6"/>
  <c r="AW42" i="6"/>
  <c r="AV42" i="6"/>
  <c r="AU42" i="6"/>
  <c r="AR42" i="6"/>
  <c r="AQ42" i="6"/>
  <c r="AP42" i="6"/>
  <c r="AO42" i="6"/>
  <c r="AL42" i="6"/>
  <c r="AK42" i="6"/>
  <c r="AJ42" i="6"/>
  <c r="AI42" i="6"/>
  <c r="AB42" i="6"/>
  <c r="AC42" i="6" s="1"/>
  <c r="AA42" i="6"/>
  <c r="BX41" i="6"/>
  <c r="BY41" i="6" s="1"/>
  <c r="CE41" i="6" s="1"/>
  <c r="BW41" i="6"/>
  <c r="CC41" i="6" s="1"/>
  <c r="BV41" i="6"/>
  <c r="BU41" i="6"/>
  <c r="BT41" i="6"/>
  <c r="BS41" i="6"/>
  <c r="BP41" i="6"/>
  <c r="BO41" i="6"/>
  <c r="BN41" i="6"/>
  <c r="BM41" i="6"/>
  <c r="BJ41" i="6"/>
  <c r="BI41" i="6"/>
  <c r="BH41" i="6"/>
  <c r="BG41" i="6"/>
  <c r="BD41" i="6"/>
  <c r="BC41" i="6"/>
  <c r="BB41" i="6"/>
  <c r="BA41" i="6"/>
  <c r="AX41" i="6"/>
  <c r="AW41" i="6"/>
  <c r="AV41" i="6"/>
  <c r="AU41" i="6"/>
  <c r="AR41" i="6"/>
  <c r="AQ41" i="6"/>
  <c r="AP41" i="6"/>
  <c r="AO41" i="6"/>
  <c r="AL41" i="6"/>
  <c r="AK41" i="6"/>
  <c r="AJ41" i="6"/>
  <c r="AI41" i="6"/>
  <c r="AB41" i="6"/>
  <c r="AC41" i="6" s="1"/>
  <c r="AA41" i="6"/>
  <c r="BX40" i="6"/>
  <c r="BY40" i="6" s="1"/>
  <c r="CE40" i="6" s="1"/>
  <c r="BW40" i="6"/>
  <c r="BV40" i="6"/>
  <c r="BU40" i="6"/>
  <c r="BT40" i="6"/>
  <c r="BS40" i="6"/>
  <c r="BP40" i="6"/>
  <c r="BO40" i="6"/>
  <c r="BN40" i="6"/>
  <c r="BM40" i="6"/>
  <c r="BJ40" i="6"/>
  <c r="BI40" i="6"/>
  <c r="BH40" i="6"/>
  <c r="BG40" i="6"/>
  <c r="BD40" i="6"/>
  <c r="BC40" i="6"/>
  <c r="BB40" i="6"/>
  <c r="BA40" i="6"/>
  <c r="AX40" i="6"/>
  <c r="AW40" i="6"/>
  <c r="AV40" i="6"/>
  <c r="AU40" i="6"/>
  <c r="AR40" i="6"/>
  <c r="AQ40" i="6"/>
  <c r="AP40" i="6"/>
  <c r="AO40" i="6"/>
  <c r="AL40" i="6"/>
  <c r="AK40" i="6"/>
  <c r="AJ40" i="6"/>
  <c r="AI40" i="6"/>
  <c r="AB40" i="6"/>
  <c r="AC40" i="6" s="1"/>
  <c r="AA40" i="6"/>
  <c r="BX39" i="6"/>
  <c r="BY39" i="6" s="1"/>
  <c r="CE39" i="6" s="1"/>
  <c r="BW39" i="6"/>
  <c r="CA44" i="6" s="1"/>
  <c r="CG44" i="6" s="1"/>
  <c r="BV39" i="6"/>
  <c r="BU39" i="6"/>
  <c r="BT39" i="6"/>
  <c r="BS39" i="6"/>
  <c r="BP39" i="6"/>
  <c r="BO39" i="6"/>
  <c r="BN39" i="6"/>
  <c r="BM39" i="6"/>
  <c r="BJ39" i="6"/>
  <c r="BI39" i="6"/>
  <c r="BH39" i="6"/>
  <c r="BG39" i="6"/>
  <c r="BD39" i="6"/>
  <c r="BC39" i="6"/>
  <c r="BB39" i="6"/>
  <c r="BA39" i="6"/>
  <c r="AX39" i="6"/>
  <c r="AW39" i="6"/>
  <c r="AV39" i="6"/>
  <c r="AU39" i="6"/>
  <c r="AR39" i="6"/>
  <c r="AQ39" i="6"/>
  <c r="AP39" i="6"/>
  <c r="AO39" i="6"/>
  <c r="AL39" i="6"/>
  <c r="AK39" i="6"/>
  <c r="AJ39" i="6"/>
  <c r="AI39" i="6"/>
  <c r="AB39" i="6"/>
  <c r="AC39" i="6" s="1"/>
  <c r="AA39" i="6"/>
  <c r="AF44" i="6" s="1"/>
  <c r="CC38" i="6"/>
  <c r="BX38" i="6"/>
  <c r="CD38" i="6" s="1"/>
  <c r="BW38" i="6"/>
  <c r="BV38" i="6"/>
  <c r="BU38" i="6"/>
  <c r="BT38" i="6"/>
  <c r="BS38" i="6"/>
  <c r="BP38" i="6"/>
  <c r="BO38" i="6"/>
  <c r="BN38" i="6"/>
  <c r="BM38" i="6"/>
  <c r="BJ38" i="6"/>
  <c r="BI38" i="6"/>
  <c r="BH38" i="6"/>
  <c r="BG38" i="6"/>
  <c r="BD38" i="6"/>
  <c r="BC38" i="6"/>
  <c r="BB38" i="6"/>
  <c r="BA38" i="6"/>
  <c r="AX38" i="6"/>
  <c r="AW38" i="6"/>
  <c r="AV38" i="6"/>
  <c r="AU38" i="6"/>
  <c r="AR38" i="6"/>
  <c r="AQ38" i="6"/>
  <c r="AP38" i="6"/>
  <c r="AO38" i="6"/>
  <c r="AL38" i="6"/>
  <c r="AK38" i="6"/>
  <c r="AJ38" i="6"/>
  <c r="AI38" i="6"/>
  <c r="AB38" i="6"/>
  <c r="AC38" i="6" s="1"/>
  <c r="AA38" i="6"/>
  <c r="BX37" i="6"/>
  <c r="BY37" i="6" s="1"/>
  <c r="CE37" i="6" s="1"/>
  <c r="BW37" i="6"/>
  <c r="CC37" i="6" s="1"/>
  <c r="BV37" i="6"/>
  <c r="BU37" i="6"/>
  <c r="BT37" i="6"/>
  <c r="BS37" i="6"/>
  <c r="BP37" i="6"/>
  <c r="BO37" i="6"/>
  <c r="BN37" i="6"/>
  <c r="BM37" i="6"/>
  <c r="BJ37" i="6"/>
  <c r="BI37" i="6"/>
  <c r="BH37" i="6"/>
  <c r="BG37" i="6"/>
  <c r="BD37" i="6"/>
  <c r="BC37" i="6"/>
  <c r="BB37" i="6"/>
  <c r="BA37" i="6"/>
  <c r="AX37" i="6"/>
  <c r="AW37" i="6"/>
  <c r="AV37" i="6"/>
  <c r="AU37" i="6"/>
  <c r="AR37" i="6"/>
  <c r="AQ37" i="6"/>
  <c r="AP37" i="6"/>
  <c r="AO37" i="6"/>
  <c r="AL37" i="6"/>
  <c r="AK37" i="6"/>
  <c r="AJ37" i="6"/>
  <c r="AI37" i="6"/>
  <c r="AB37" i="6"/>
  <c r="AC37" i="6" s="1"/>
  <c r="AA37" i="6"/>
  <c r="BX36" i="6"/>
  <c r="BY36" i="6" s="1"/>
  <c r="CE36" i="6" s="1"/>
  <c r="BW36" i="6"/>
  <c r="BV36" i="6"/>
  <c r="BU36" i="6"/>
  <c r="BT36" i="6"/>
  <c r="BS36" i="6"/>
  <c r="BP36" i="6"/>
  <c r="BO36" i="6"/>
  <c r="BN36" i="6"/>
  <c r="BM36" i="6"/>
  <c r="BJ36" i="6"/>
  <c r="BI36" i="6"/>
  <c r="BH36" i="6"/>
  <c r="BG36" i="6"/>
  <c r="BD36" i="6"/>
  <c r="BC36" i="6"/>
  <c r="BB36" i="6"/>
  <c r="BA36" i="6"/>
  <c r="AX36" i="6"/>
  <c r="AW36" i="6"/>
  <c r="AV36" i="6"/>
  <c r="AU36" i="6"/>
  <c r="AR36" i="6"/>
  <c r="AQ36" i="6"/>
  <c r="AP36" i="6"/>
  <c r="AO36" i="6"/>
  <c r="AL36" i="6"/>
  <c r="AK36" i="6"/>
  <c r="AJ36" i="6"/>
  <c r="AI36" i="6"/>
  <c r="AB36" i="6"/>
  <c r="AC36" i="6" s="1"/>
  <c r="AA36" i="6"/>
  <c r="BX35" i="6"/>
  <c r="BY35" i="6" s="1"/>
  <c r="CE35" i="6" s="1"/>
  <c r="BW35" i="6"/>
  <c r="BV35" i="6"/>
  <c r="BU35" i="6"/>
  <c r="BT35" i="6"/>
  <c r="BS35" i="6"/>
  <c r="BP35" i="6"/>
  <c r="BO35" i="6"/>
  <c r="BN35" i="6"/>
  <c r="BM35" i="6"/>
  <c r="BJ35" i="6"/>
  <c r="BI35" i="6"/>
  <c r="BH35" i="6"/>
  <c r="BG35" i="6"/>
  <c r="BD35" i="6"/>
  <c r="BC35" i="6"/>
  <c r="BB35" i="6"/>
  <c r="BA35" i="6"/>
  <c r="AX35" i="6"/>
  <c r="AW35" i="6"/>
  <c r="AV35" i="6"/>
  <c r="AU35" i="6"/>
  <c r="AR35" i="6"/>
  <c r="AQ35" i="6"/>
  <c r="AP35" i="6"/>
  <c r="AO35" i="6"/>
  <c r="AL35" i="6"/>
  <c r="AK35" i="6"/>
  <c r="AJ35" i="6"/>
  <c r="AI35" i="6"/>
  <c r="AB35" i="6"/>
  <c r="AC35" i="6" s="1"/>
  <c r="AA35" i="6"/>
  <c r="BX34" i="6"/>
  <c r="CD34" i="6" s="1"/>
  <c r="BW34" i="6"/>
  <c r="BV34" i="6"/>
  <c r="BU34" i="6"/>
  <c r="BT34" i="6"/>
  <c r="BS34" i="6"/>
  <c r="BP34" i="6"/>
  <c r="BO34" i="6"/>
  <c r="BN34" i="6"/>
  <c r="BM34" i="6"/>
  <c r="BJ34" i="6"/>
  <c r="BI34" i="6"/>
  <c r="BH34" i="6"/>
  <c r="BG34" i="6"/>
  <c r="BD34" i="6"/>
  <c r="BC34" i="6"/>
  <c r="BB34" i="6"/>
  <c r="BA34" i="6"/>
  <c r="AX34" i="6"/>
  <c r="AW34" i="6"/>
  <c r="AV34" i="6"/>
  <c r="AU34" i="6"/>
  <c r="AR34" i="6"/>
  <c r="AQ34" i="6"/>
  <c r="AP34" i="6"/>
  <c r="AO34" i="6"/>
  <c r="AL34" i="6"/>
  <c r="AK34" i="6"/>
  <c r="AJ34" i="6"/>
  <c r="AI34" i="6"/>
  <c r="AB34" i="6"/>
  <c r="AC34" i="6" s="1"/>
  <c r="AA34" i="6"/>
  <c r="BX33" i="6"/>
  <c r="BY33" i="6" s="1"/>
  <c r="CE33" i="6" s="1"/>
  <c r="BW33" i="6"/>
  <c r="CC33" i="6" s="1"/>
  <c r="BV33" i="6"/>
  <c r="BU33" i="6"/>
  <c r="BT33" i="6"/>
  <c r="BS33" i="6"/>
  <c r="BP33" i="6"/>
  <c r="BO33" i="6"/>
  <c r="BN33" i="6"/>
  <c r="BM33" i="6"/>
  <c r="BJ33" i="6"/>
  <c r="BI33" i="6"/>
  <c r="BH33" i="6"/>
  <c r="BG33" i="6"/>
  <c r="BD33" i="6"/>
  <c r="BC33" i="6"/>
  <c r="BB33" i="6"/>
  <c r="BA33" i="6"/>
  <c r="AX33" i="6"/>
  <c r="AW33" i="6"/>
  <c r="AV33" i="6"/>
  <c r="AU33" i="6"/>
  <c r="AR33" i="6"/>
  <c r="AQ33" i="6"/>
  <c r="AP33" i="6"/>
  <c r="AO33" i="6"/>
  <c r="AL33" i="6"/>
  <c r="AK33" i="6"/>
  <c r="AJ33" i="6"/>
  <c r="AI33" i="6"/>
  <c r="AB33" i="6"/>
  <c r="AC33" i="6" s="1"/>
  <c r="AA33" i="6"/>
  <c r="AD38" i="6" s="1"/>
  <c r="BX32" i="6"/>
  <c r="BY32" i="6" s="1"/>
  <c r="CE32" i="6" s="1"/>
  <c r="BW32" i="6"/>
  <c r="BV32" i="6"/>
  <c r="BU32" i="6"/>
  <c r="BT32" i="6"/>
  <c r="BS32" i="6"/>
  <c r="BP32" i="6"/>
  <c r="BO32" i="6"/>
  <c r="BN32" i="6"/>
  <c r="BM32" i="6"/>
  <c r="BJ32" i="6"/>
  <c r="BI32" i="6"/>
  <c r="BH32" i="6"/>
  <c r="BG32" i="6"/>
  <c r="BD32" i="6"/>
  <c r="BC32" i="6"/>
  <c r="BB32" i="6"/>
  <c r="BA32" i="6"/>
  <c r="AX32" i="6"/>
  <c r="AW32" i="6"/>
  <c r="AV32" i="6"/>
  <c r="AU32" i="6"/>
  <c r="AR32" i="6"/>
  <c r="AQ32" i="6"/>
  <c r="AP32" i="6"/>
  <c r="AO32" i="6"/>
  <c r="AL32" i="6"/>
  <c r="AK32" i="6"/>
  <c r="AJ32" i="6"/>
  <c r="AI32" i="6"/>
  <c r="AB32" i="6"/>
  <c r="AC32" i="6" s="1"/>
  <c r="AA32" i="6"/>
  <c r="BX31" i="6"/>
  <c r="BY31" i="6" s="1"/>
  <c r="CE31" i="6" s="1"/>
  <c r="BW31" i="6"/>
  <c r="BV31" i="6"/>
  <c r="BU31" i="6"/>
  <c r="BT31" i="6"/>
  <c r="BS31" i="6"/>
  <c r="BP31" i="6"/>
  <c r="BO31" i="6"/>
  <c r="BN31" i="6"/>
  <c r="BM31" i="6"/>
  <c r="BJ31" i="6"/>
  <c r="BI31" i="6"/>
  <c r="BH31" i="6"/>
  <c r="BG31" i="6"/>
  <c r="BD31" i="6"/>
  <c r="BC31" i="6"/>
  <c r="BB31" i="6"/>
  <c r="BA31" i="6"/>
  <c r="AX31" i="6"/>
  <c r="AW31" i="6"/>
  <c r="AV31" i="6"/>
  <c r="AU31" i="6"/>
  <c r="AR31" i="6"/>
  <c r="AQ31" i="6"/>
  <c r="AP31" i="6"/>
  <c r="AO31" i="6"/>
  <c r="AL31" i="6"/>
  <c r="AK31" i="6"/>
  <c r="AJ31" i="6"/>
  <c r="AI31" i="6"/>
  <c r="AB31" i="6"/>
  <c r="AC31" i="6" s="1"/>
  <c r="AA31" i="6"/>
  <c r="BX30" i="6"/>
  <c r="CD30" i="6" s="1"/>
  <c r="BW30" i="6"/>
  <c r="BV30" i="6"/>
  <c r="BU30" i="6"/>
  <c r="BT30" i="6"/>
  <c r="BS30" i="6"/>
  <c r="BP30" i="6"/>
  <c r="BO30" i="6"/>
  <c r="BN30" i="6"/>
  <c r="BM30" i="6"/>
  <c r="BJ30" i="6"/>
  <c r="BI30" i="6"/>
  <c r="BH30" i="6"/>
  <c r="BG30" i="6"/>
  <c r="BD30" i="6"/>
  <c r="BC30" i="6"/>
  <c r="BB30" i="6"/>
  <c r="BA30" i="6"/>
  <c r="AX30" i="6"/>
  <c r="AW30" i="6"/>
  <c r="AV30" i="6"/>
  <c r="AU30" i="6"/>
  <c r="AR30" i="6"/>
  <c r="AQ30" i="6"/>
  <c r="AP30" i="6"/>
  <c r="AO30" i="6"/>
  <c r="AL30" i="6"/>
  <c r="AK30" i="6"/>
  <c r="AJ30" i="6"/>
  <c r="AI30" i="6"/>
  <c r="AB30" i="6"/>
  <c r="AC30" i="6" s="1"/>
  <c r="AA30" i="6"/>
  <c r="BX29" i="6"/>
  <c r="BY29" i="6" s="1"/>
  <c r="CE29" i="6" s="1"/>
  <c r="BW29" i="6"/>
  <c r="CC29" i="6" s="1"/>
  <c r="BV29" i="6"/>
  <c r="BU29" i="6"/>
  <c r="BT29" i="6"/>
  <c r="BS29" i="6"/>
  <c r="BP29" i="6"/>
  <c r="BO29" i="6"/>
  <c r="BN29" i="6"/>
  <c r="BM29" i="6"/>
  <c r="BJ29" i="6"/>
  <c r="BI29" i="6"/>
  <c r="BH29" i="6"/>
  <c r="BG29" i="6"/>
  <c r="BD29" i="6"/>
  <c r="BC29" i="6"/>
  <c r="BB29" i="6"/>
  <c r="BA29" i="6"/>
  <c r="AX29" i="6"/>
  <c r="AW29" i="6"/>
  <c r="AV29" i="6"/>
  <c r="AU29" i="6"/>
  <c r="AR29" i="6"/>
  <c r="AQ29" i="6"/>
  <c r="AP29" i="6"/>
  <c r="AO29" i="6"/>
  <c r="AL29" i="6"/>
  <c r="AK29" i="6"/>
  <c r="AJ29" i="6"/>
  <c r="AI29" i="6"/>
  <c r="AB29" i="6"/>
  <c r="AC29" i="6" s="1"/>
  <c r="AA29" i="6"/>
  <c r="AD34" i="6" s="1"/>
  <c r="BX28" i="6"/>
  <c r="BY28" i="6" s="1"/>
  <c r="CE28" i="6" s="1"/>
  <c r="BW28" i="6"/>
  <c r="CB33" i="6" s="1"/>
  <c r="CH33" i="6" s="1"/>
  <c r="BV28" i="6"/>
  <c r="BU28" i="6"/>
  <c r="BT28" i="6"/>
  <c r="BS28" i="6"/>
  <c r="BP28" i="6"/>
  <c r="BO28" i="6"/>
  <c r="BN28" i="6"/>
  <c r="BM28" i="6"/>
  <c r="BJ28" i="6"/>
  <c r="BI28" i="6"/>
  <c r="BH28" i="6"/>
  <c r="BG28" i="6"/>
  <c r="BD28" i="6"/>
  <c r="BC28" i="6"/>
  <c r="BB28" i="6"/>
  <c r="BA28" i="6"/>
  <c r="AX28" i="6"/>
  <c r="AW28" i="6"/>
  <c r="AV28" i="6"/>
  <c r="AU28" i="6"/>
  <c r="AR28" i="6"/>
  <c r="AQ28" i="6"/>
  <c r="AP28" i="6"/>
  <c r="AO28" i="6"/>
  <c r="AL28" i="6"/>
  <c r="AK28" i="6"/>
  <c r="AJ28" i="6"/>
  <c r="AI28" i="6"/>
  <c r="AB28" i="6"/>
  <c r="AC28" i="6" s="1"/>
  <c r="AA28" i="6"/>
  <c r="BX27" i="6"/>
  <c r="BY27" i="6" s="1"/>
  <c r="CE27" i="6" s="1"/>
  <c r="BW27" i="6"/>
  <c r="BV27" i="6"/>
  <c r="BU27" i="6"/>
  <c r="BT27" i="6"/>
  <c r="BS27" i="6"/>
  <c r="BP27" i="6"/>
  <c r="BO27" i="6"/>
  <c r="BN27" i="6"/>
  <c r="BM27" i="6"/>
  <c r="BJ27" i="6"/>
  <c r="BI27" i="6"/>
  <c r="BH27" i="6"/>
  <c r="BG27" i="6"/>
  <c r="BD27" i="6"/>
  <c r="BC27" i="6"/>
  <c r="BB27" i="6"/>
  <c r="BA27" i="6"/>
  <c r="AX27" i="6"/>
  <c r="AW27" i="6"/>
  <c r="AV27" i="6"/>
  <c r="AU27" i="6"/>
  <c r="AR27" i="6"/>
  <c r="AQ27" i="6"/>
  <c r="AP27" i="6"/>
  <c r="AO27" i="6"/>
  <c r="AL27" i="6"/>
  <c r="AK27" i="6"/>
  <c r="AJ27" i="6"/>
  <c r="AI27" i="6"/>
  <c r="AB27" i="6"/>
  <c r="AC27" i="6" s="1"/>
  <c r="AA27" i="6"/>
  <c r="CC26" i="6"/>
  <c r="BX26" i="6"/>
  <c r="CD26" i="6" s="1"/>
  <c r="BW26" i="6"/>
  <c r="BV26" i="6"/>
  <c r="BU26" i="6"/>
  <c r="BT26" i="6"/>
  <c r="BS26" i="6"/>
  <c r="BP26" i="6"/>
  <c r="BO26" i="6"/>
  <c r="BN26" i="6"/>
  <c r="BM26" i="6"/>
  <c r="BJ26" i="6"/>
  <c r="BI26" i="6"/>
  <c r="BH26" i="6"/>
  <c r="BG26" i="6"/>
  <c r="BD26" i="6"/>
  <c r="BC26" i="6"/>
  <c r="BB26" i="6"/>
  <c r="BA26" i="6"/>
  <c r="AX26" i="6"/>
  <c r="AW26" i="6"/>
  <c r="AV26" i="6"/>
  <c r="AU26" i="6"/>
  <c r="AR26" i="6"/>
  <c r="AQ26" i="6"/>
  <c r="AP26" i="6"/>
  <c r="AO26" i="6"/>
  <c r="AL26" i="6"/>
  <c r="AK26" i="6"/>
  <c r="AJ26" i="6"/>
  <c r="AI26" i="6"/>
  <c r="AB26" i="6"/>
  <c r="AC26" i="6" s="1"/>
  <c r="AA26" i="6"/>
  <c r="AF31" i="6" s="1"/>
  <c r="CD25" i="6"/>
  <c r="CB25" i="6"/>
  <c r="CH25" i="6" s="1"/>
  <c r="CA25" i="6"/>
  <c r="CG25" i="6" s="1"/>
  <c r="BZ25" i="6"/>
  <c r="CF25" i="6" s="1"/>
  <c r="BX25" i="6"/>
  <c r="BY25" i="6" s="1"/>
  <c r="CE25" i="6" s="1"/>
  <c r="BW25" i="6"/>
  <c r="BV25" i="6"/>
  <c r="BU25" i="6"/>
  <c r="BT25" i="6"/>
  <c r="BS25" i="6"/>
  <c r="BP25" i="6"/>
  <c r="BO25" i="6"/>
  <c r="BN25" i="6"/>
  <c r="BM25" i="6"/>
  <c r="BJ25" i="6"/>
  <c r="BI25" i="6"/>
  <c r="BH25" i="6"/>
  <c r="BG25" i="6"/>
  <c r="BD25" i="6"/>
  <c r="BC25" i="6"/>
  <c r="BB25" i="6"/>
  <c r="BA25" i="6"/>
  <c r="AX25" i="6"/>
  <c r="AW25" i="6"/>
  <c r="AV25" i="6"/>
  <c r="AU25" i="6"/>
  <c r="AR25" i="6"/>
  <c r="AQ25" i="6"/>
  <c r="AP25" i="6"/>
  <c r="AO25" i="6"/>
  <c r="AL25" i="6"/>
  <c r="AK25" i="6"/>
  <c r="AJ25" i="6"/>
  <c r="AI25" i="6"/>
  <c r="AF25" i="6"/>
  <c r="AD25" i="6"/>
  <c r="AB25" i="6"/>
  <c r="AC25" i="6" s="1"/>
  <c r="AA25" i="6"/>
  <c r="BV24" i="6"/>
  <c r="BU24" i="6"/>
  <c r="BT24" i="6"/>
  <c r="BP24" i="6"/>
  <c r="BO24" i="6"/>
  <c r="BN24" i="6"/>
  <c r="BJ24" i="6"/>
  <c r="BI24" i="6"/>
  <c r="BH24" i="6"/>
  <c r="BD24" i="6"/>
  <c r="BC24" i="6"/>
  <c r="BB24" i="6"/>
  <c r="AX24" i="6"/>
  <c r="AW24" i="6"/>
  <c r="AV24" i="6"/>
  <c r="AR24" i="6"/>
  <c r="AQ24" i="6"/>
  <c r="AP24" i="6"/>
  <c r="AL24" i="6"/>
  <c r="AK24" i="6"/>
  <c r="AJ24" i="6"/>
  <c r="AF24" i="6"/>
  <c r="AE24" i="6"/>
  <c r="AD24" i="6"/>
  <c r="BV23" i="6"/>
  <c r="BU23" i="6"/>
  <c r="BT23" i="6"/>
  <c r="BP23" i="6"/>
  <c r="BO23" i="6"/>
  <c r="BN23" i="6"/>
  <c r="BJ23" i="6"/>
  <c r="BI23" i="6"/>
  <c r="BH23" i="6"/>
  <c r="BD23" i="6"/>
  <c r="BC23" i="6"/>
  <c r="BB23" i="6"/>
  <c r="AX23" i="6"/>
  <c r="AW23" i="6"/>
  <c r="AV23" i="6"/>
  <c r="AR23" i="6"/>
  <c r="AQ23" i="6"/>
  <c r="AP23" i="6"/>
  <c r="AL23" i="6"/>
  <c r="AK23" i="6"/>
  <c r="AJ23" i="6"/>
  <c r="AF23" i="6"/>
  <c r="AE23" i="6"/>
  <c r="AD23" i="6"/>
  <c r="BV22" i="6"/>
  <c r="BU22" i="6"/>
  <c r="BT22" i="6"/>
  <c r="BP22" i="6"/>
  <c r="BO22" i="6"/>
  <c r="BN22" i="6"/>
  <c r="BJ22" i="6"/>
  <c r="BI22" i="6"/>
  <c r="BH22" i="6"/>
  <c r="BD22" i="6"/>
  <c r="BC22" i="6"/>
  <c r="BB22" i="6"/>
  <c r="AX22" i="6"/>
  <c r="AW22" i="6"/>
  <c r="AV22" i="6"/>
  <c r="AR22" i="6"/>
  <c r="AQ22" i="6"/>
  <c r="AP22" i="6"/>
  <c r="AL22" i="6"/>
  <c r="AK22" i="6"/>
  <c r="AJ22" i="6"/>
  <c r="AF22" i="6"/>
  <c r="AE22" i="6"/>
  <c r="AD22" i="6"/>
  <c r="BV21" i="6"/>
  <c r="BU21" i="6"/>
  <c r="BT21" i="6"/>
  <c r="BP21" i="6"/>
  <c r="BO21" i="6"/>
  <c r="BN21" i="6"/>
  <c r="BJ21" i="6"/>
  <c r="BI21" i="6"/>
  <c r="BH21" i="6"/>
  <c r="BD21" i="6"/>
  <c r="BC21" i="6"/>
  <c r="BB21" i="6"/>
  <c r="AX21" i="6"/>
  <c r="AW21" i="6"/>
  <c r="AV21" i="6"/>
  <c r="AR21" i="6"/>
  <c r="AQ21" i="6"/>
  <c r="AP21" i="6"/>
  <c r="AL21" i="6"/>
  <c r="AK21" i="6"/>
  <c r="AJ21" i="6"/>
  <c r="AF21" i="6"/>
  <c r="AE21" i="6"/>
  <c r="AD21" i="6"/>
  <c r="BV20" i="6"/>
  <c r="BU20" i="6"/>
  <c r="BT20" i="6"/>
  <c r="BP20" i="6"/>
  <c r="BO20" i="6"/>
  <c r="BN20" i="6"/>
  <c r="BJ20" i="6"/>
  <c r="BI20" i="6"/>
  <c r="BH20" i="6"/>
  <c r="BD20" i="6"/>
  <c r="BC20" i="6"/>
  <c r="BB20" i="6"/>
  <c r="AX20" i="6"/>
  <c r="AW20" i="6"/>
  <c r="AV20" i="6"/>
  <c r="AR20" i="6"/>
  <c r="AQ20" i="6"/>
  <c r="AP20" i="6"/>
  <c r="AL20" i="6"/>
  <c r="AK20" i="6"/>
  <c r="AJ20" i="6"/>
  <c r="AF20" i="6"/>
  <c r="AE20" i="6"/>
  <c r="AD20" i="6"/>
  <c r="BV19" i="6"/>
  <c r="BU19" i="6"/>
  <c r="BT19" i="6"/>
  <c r="BP19" i="6"/>
  <c r="BO19" i="6"/>
  <c r="BN19" i="6"/>
  <c r="BJ19" i="6"/>
  <c r="BI19" i="6"/>
  <c r="BH19" i="6"/>
  <c r="BD19" i="6"/>
  <c r="BC19" i="6"/>
  <c r="BB19" i="6"/>
  <c r="AX19" i="6"/>
  <c r="AW19" i="6"/>
  <c r="AV19" i="6"/>
  <c r="AR19" i="6"/>
  <c r="AQ19" i="6"/>
  <c r="AP19" i="6"/>
  <c r="AL19" i="6"/>
  <c r="AK19" i="6"/>
  <c r="AJ19" i="6"/>
  <c r="AF19" i="6"/>
  <c r="AE19" i="6"/>
  <c r="AD19" i="6"/>
  <c r="BV18" i="6"/>
  <c r="BU18" i="6"/>
  <c r="BT18" i="6"/>
  <c r="BP18" i="6"/>
  <c r="BO18" i="6"/>
  <c r="BN18" i="6"/>
  <c r="BJ18" i="6"/>
  <c r="BI18" i="6"/>
  <c r="BH18" i="6"/>
  <c r="BD18" i="6"/>
  <c r="BC18" i="6"/>
  <c r="BB18" i="6"/>
  <c r="AX18" i="6"/>
  <c r="AW18" i="6"/>
  <c r="AV18" i="6"/>
  <c r="AR18" i="6"/>
  <c r="AQ18" i="6"/>
  <c r="AP18" i="6"/>
  <c r="AL18" i="6"/>
  <c r="AK18" i="6"/>
  <c r="AJ18" i="6"/>
  <c r="AF18" i="6"/>
  <c r="AE18" i="6"/>
  <c r="AD18" i="6"/>
  <c r="BV17" i="6"/>
  <c r="BU17" i="6"/>
  <c r="BT17" i="6"/>
  <c r="BP17" i="6"/>
  <c r="BO17" i="6"/>
  <c r="BN17" i="6"/>
  <c r="BJ17" i="6"/>
  <c r="BI17" i="6"/>
  <c r="BH17" i="6"/>
  <c r="BD17" i="6"/>
  <c r="BC17" i="6"/>
  <c r="BB17" i="6"/>
  <c r="AX17" i="6"/>
  <c r="AW17" i="6"/>
  <c r="AV17" i="6"/>
  <c r="AR17" i="6"/>
  <c r="AQ17" i="6"/>
  <c r="AP17" i="6"/>
  <c r="AL17" i="6"/>
  <c r="AK17" i="6"/>
  <c r="AJ17" i="6"/>
  <c r="AF17" i="6"/>
  <c r="AE17" i="6"/>
  <c r="AD17" i="6"/>
  <c r="BV16" i="6"/>
  <c r="BU16" i="6"/>
  <c r="BT16" i="6"/>
  <c r="BP16" i="6"/>
  <c r="BO16" i="6"/>
  <c r="BN16" i="6"/>
  <c r="BJ16" i="6"/>
  <c r="BI16" i="6"/>
  <c r="BH16" i="6"/>
  <c r="BD16" i="6"/>
  <c r="BC16" i="6"/>
  <c r="BB16" i="6"/>
  <c r="AX16" i="6"/>
  <c r="AW16" i="6"/>
  <c r="AV16" i="6"/>
  <c r="AR16" i="6"/>
  <c r="AQ16" i="6"/>
  <c r="AP16" i="6"/>
  <c r="AL16" i="6"/>
  <c r="AK16" i="6"/>
  <c r="AJ16" i="6"/>
  <c r="AF16" i="6"/>
  <c r="AE16" i="6"/>
  <c r="AD16" i="6"/>
  <c r="BV15" i="6"/>
  <c r="BU15" i="6"/>
  <c r="BT15" i="6"/>
  <c r="BP15" i="6"/>
  <c r="BO15" i="6"/>
  <c r="BN15" i="6"/>
  <c r="BJ15" i="6"/>
  <c r="BI15" i="6"/>
  <c r="BH15" i="6"/>
  <c r="BD15" i="6"/>
  <c r="BC15" i="6"/>
  <c r="BB15" i="6"/>
  <c r="AX15" i="6"/>
  <c r="AW15" i="6"/>
  <c r="AV15" i="6"/>
  <c r="AR15" i="6"/>
  <c r="AQ15" i="6"/>
  <c r="AP15" i="6"/>
  <c r="AL15" i="6"/>
  <c r="AK15" i="6"/>
  <c r="AJ15" i="6"/>
  <c r="AF15" i="6"/>
  <c r="AE15" i="6"/>
  <c r="AD15" i="6"/>
  <c r="BV14" i="6"/>
  <c r="BU14" i="6"/>
  <c r="BT14" i="6"/>
  <c r="BP14" i="6"/>
  <c r="BO14" i="6"/>
  <c r="BN14" i="6"/>
  <c r="BJ14" i="6"/>
  <c r="BI14" i="6"/>
  <c r="BH14" i="6"/>
  <c r="BD14" i="6"/>
  <c r="BC14" i="6"/>
  <c r="BB14" i="6"/>
  <c r="AX14" i="6"/>
  <c r="AW14" i="6"/>
  <c r="AV14" i="6"/>
  <c r="AR14" i="6"/>
  <c r="AQ14" i="6"/>
  <c r="AP14" i="6"/>
  <c r="AL14" i="6"/>
  <c r="AK14" i="6"/>
  <c r="AJ14" i="6"/>
  <c r="AF14" i="6"/>
  <c r="AE14" i="6"/>
  <c r="AD14" i="6"/>
  <c r="BV13" i="6"/>
  <c r="BU13" i="6"/>
  <c r="BT13" i="6"/>
  <c r="BP13" i="6"/>
  <c r="BO13" i="6"/>
  <c r="BN13" i="6"/>
  <c r="BJ13" i="6"/>
  <c r="BI13" i="6"/>
  <c r="BH13" i="6"/>
  <c r="BD13" i="6"/>
  <c r="BC13" i="6"/>
  <c r="BB13" i="6"/>
  <c r="AX13" i="6"/>
  <c r="AW13" i="6"/>
  <c r="AV13" i="6"/>
  <c r="AR13" i="6"/>
  <c r="AQ13" i="6"/>
  <c r="AP13" i="6"/>
  <c r="AL13" i="6"/>
  <c r="AK13" i="6"/>
  <c r="AJ13" i="6"/>
  <c r="AF13" i="6"/>
  <c r="AE13" i="6"/>
  <c r="AD13" i="6"/>
  <c r="BV12" i="6"/>
  <c r="BU12" i="6"/>
  <c r="BT12" i="6"/>
  <c r="BP12" i="6"/>
  <c r="BO12" i="6"/>
  <c r="BN12" i="6"/>
  <c r="BJ12" i="6"/>
  <c r="BI12" i="6"/>
  <c r="BH12" i="6"/>
  <c r="BD12" i="6"/>
  <c r="BC12" i="6"/>
  <c r="BB12" i="6"/>
  <c r="AX12" i="6"/>
  <c r="AW12" i="6"/>
  <c r="AV12" i="6"/>
  <c r="AR12" i="6"/>
  <c r="AQ12" i="6"/>
  <c r="AP12" i="6"/>
  <c r="AL12" i="6"/>
  <c r="AK12" i="6"/>
  <c r="AJ12" i="6"/>
  <c r="AF12" i="6"/>
  <c r="AE12" i="6"/>
  <c r="AD12" i="6"/>
  <c r="BV11" i="6"/>
  <c r="BU11" i="6"/>
  <c r="BT11" i="6"/>
  <c r="BP11" i="6"/>
  <c r="BO11" i="6"/>
  <c r="BN11" i="6"/>
  <c r="BJ11" i="6"/>
  <c r="BI11" i="6"/>
  <c r="BH11" i="6"/>
  <c r="BD11" i="6"/>
  <c r="BC11" i="6"/>
  <c r="BB11" i="6"/>
  <c r="AX11" i="6"/>
  <c r="AW11" i="6"/>
  <c r="AV11" i="6"/>
  <c r="AR11" i="6"/>
  <c r="AQ11" i="6"/>
  <c r="AP11" i="6"/>
  <c r="AL11" i="6"/>
  <c r="AK11" i="6"/>
  <c r="AJ11" i="6"/>
  <c r="AF11" i="6"/>
  <c r="AE11" i="6"/>
  <c r="AD11" i="6"/>
  <c r="BV10" i="6"/>
  <c r="BU10" i="6"/>
  <c r="BT10" i="6"/>
  <c r="BP10" i="6"/>
  <c r="BO10" i="6"/>
  <c r="BN10" i="6"/>
  <c r="BJ10" i="6"/>
  <c r="BI10" i="6"/>
  <c r="BH10" i="6"/>
  <c r="BD10" i="6"/>
  <c r="BC10" i="6"/>
  <c r="BB10" i="6"/>
  <c r="AX10" i="6"/>
  <c r="AW10" i="6"/>
  <c r="AV10" i="6"/>
  <c r="AR10" i="6"/>
  <c r="AQ10" i="6"/>
  <c r="AP10" i="6"/>
  <c r="AL10" i="6"/>
  <c r="AK10" i="6"/>
  <c r="AJ10" i="6"/>
  <c r="AA10" i="6"/>
  <c r="AD10" i="6" s="1"/>
  <c r="BV9" i="6"/>
  <c r="BU9" i="6"/>
  <c r="BT9" i="6"/>
  <c r="BP9" i="6"/>
  <c r="BO9" i="6"/>
  <c r="BN9" i="6"/>
  <c r="BJ9" i="6"/>
  <c r="BI9" i="6"/>
  <c r="BH9" i="6"/>
  <c r="BD9" i="6"/>
  <c r="BC9" i="6"/>
  <c r="BB9" i="6"/>
  <c r="AX9" i="6"/>
  <c r="AW9" i="6"/>
  <c r="AV9" i="6"/>
  <c r="AR9" i="6"/>
  <c r="AQ9" i="6"/>
  <c r="AP9" i="6"/>
  <c r="AL9" i="6"/>
  <c r="AK9" i="6"/>
  <c r="AJ9" i="6"/>
  <c r="AF9" i="6"/>
  <c r="AA9" i="6"/>
  <c r="AE9" i="6" s="1"/>
  <c r="BV8" i="6"/>
  <c r="BU8" i="6"/>
  <c r="BT8" i="6"/>
  <c r="BP8" i="6"/>
  <c r="BO8" i="6"/>
  <c r="BN8" i="6"/>
  <c r="BJ8" i="6"/>
  <c r="BI8" i="6"/>
  <c r="BH8" i="6"/>
  <c r="BD8" i="6"/>
  <c r="BC8" i="6"/>
  <c r="BB8" i="6"/>
  <c r="AX8" i="6"/>
  <c r="AW8" i="6"/>
  <c r="AV8" i="6"/>
  <c r="AR8" i="6"/>
  <c r="AQ8" i="6"/>
  <c r="AP8" i="6"/>
  <c r="AL8" i="6"/>
  <c r="AK8" i="6"/>
  <c r="AJ8" i="6"/>
  <c r="AA8" i="6"/>
  <c r="AF8" i="6" s="1"/>
  <c r="BV7" i="6"/>
  <c r="BU7" i="6"/>
  <c r="BT7" i="6"/>
  <c r="BP7" i="6"/>
  <c r="BO7" i="6"/>
  <c r="BN7" i="6"/>
  <c r="BJ7" i="6"/>
  <c r="BI7" i="6"/>
  <c r="BH7" i="6"/>
  <c r="BD7" i="6"/>
  <c r="BC7" i="6"/>
  <c r="BB7" i="6"/>
  <c r="AX7" i="6"/>
  <c r="AW7" i="6"/>
  <c r="AV7" i="6"/>
  <c r="AR7" i="6"/>
  <c r="AQ7" i="6"/>
  <c r="AP7" i="6"/>
  <c r="AL7" i="6"/>
  <c r="AK7" i="6"/>
  <c r="AJ7" i="6"/>
  <c r="AF7" i="6"/>
  <c r="AE7" i="6"/>
  <c r="AD7" i="6"/>
  <c r="AA7" i="6"/>
  <c r="BV6" i="6"/>
  <c r="BU6" i="6"/>
  <c r="BT6" i="6"/>
  <c r="BP6" i="6"/>
  <c r="BO6" i="6"/>
  <c r="BN6" i="6"/>
  <c r="BJ6" i="6"/>
  <c r="BI6" i="6"/>
  <c r="BH6" i="6"/>
  <c r="BD6" i="6"/>
  <c r="BC6" i="6"/>
  <c r="BB6" i="6"/>
  <c r="AX6" i="6"/>
  <c r="AW6" i="6"/>
  <c r="AV6" i="6"/>
  <c r="AR6" i="6"/>
  <c r="AQ6" i="6"/>
  <c r="AP6" i="6"/>
  <c r="AL6" i="6"/>
  <c r="AK6" i="6"/>
  <c r="AJ6" i="6"/>
  <c r="AF6" i="6"/>
  <c r="AE6" i="6"/>
  <c r="AA6" i="6"/>
  <c r="AD6" i="6" s="1"/>
  <c r="BV5" i="6"/>
  <c r="BU5" i="6"/>
  <c r="BT5" i="6"/>
  <c r="BP5" i="6"/>
  <c r="BO5" i="6"/>
  <c r="BN5" i="6"/>
  <c r="BJ5" i="6"/>
  <c r="BI5" i="6"/>
  <c r="BH5" i="6"/>
  <c r="BD5" i="6"/>
  <c r="BC5" i="6"/>
  <c r="BB5" i="6"/>
  <c r="AX5" i="6"/>
  <c r="AW5" i="6"/>
  <c r="AV5" i="6"/>
  <c r="AR5" i="6"/>
  <c r="AQ5" i="6"/>
  <c r="AP5" i="6"/>
  <c r="AL5" i="6"/>
  <c r="AK5" i="6"/>
  <c r="AJ5" i="6"/>
  <c r="AF5" i="6"/>
  <c r="AD5" i="6"/>
  <c r="AA5" i="6"/>
  <c r="AE5" i="6" s="1"/>
  <c r="AV52" i="5"/>
  <c r="AP52" i="5"/>
  <c r="AA52" i="5"/>
  <c r="AV51" i="5"/>
  <c r="AP51" i="5"/>
  <c r="AA51" i="5"/>
  <c r="BM50" i="5"/>
  <c r="BN50" i="5" s="1"/>
  <c r="BT50" i="5" s="1"/>
  <c r="BL50" i="5"/>
  <c r="BR50" i="5" s="1"/>
  <c r="BH50" i="5"/>
  <c r="AV50" i="5"/>
  <c r="AP50" i="5"/>
  <c r="AA50" i="5"/>
  <c r="BM49" i="5"/>
  <c r="BS49" i="5" s="1"/>
  <c r="BL49" i="5"/>
  <c r="BR49" i="5" s="1"/>
  <c r="BH49" i="5"/>
  <c r="BB49" i="5"/>
  <c r="AV49" i="5"/>
  <c r="AP49" i="5"/>
  <c r="AJ49" i="5"/>
  <c r="AB49" i="5"/>
  <c r="AC49" i="5" s="1"/>
  <c r="AA49" i="5"/>
  <c r="BM48" i="5"/>
  <c r="BS48" i="5" s="1"/>
  <c r="BL48" i="5"/>
  <c r="BR48" i="5" s="1"/>
  <c r="BK48" i="5"/>
  <c r="BJ48" i="5"/>
  <c r="BI48" i="5"/>
  <c r="BH48" i="5"/>
  <c r="BE48" i="5"/>
  <c r="BD48" i="5"/>
  <c r="BC48" i="5"/>
  <c r="BB48" i="5"/>
  <c r="AY48" i="5"/>
  <c r="AX48" i="5"/>
  <c r="AW48" i="5"/>
  <c r="AV48" i="5"/>
  <c r="AS48" i="5"/>
  <c r="AR48" i="5"/>
  <c r="AQ48" i="5"/>
  <c r="AP48" i="5"/>
  <c r="AM48" i="5"/>
  <c r="AL48" i="5"/>
  <c r="AK48" i="5"/>
  <c r="AJ48" i="5"/>
  <c r="AB48" i="5"/>
  <c r="AC48" i="5" s="1"/>
  <c r="AA48" i="5"/>
  <c r="BM47" i="5"/>
  <c r="BS47" i="5" s="1"/>
  <c r="BL47" i="5"/>
  <c r="BR47" i="5" s="1"/>
  <c r="BK47" i="5"/>
  <c r="BJ47" i="5"/>
  <c r="BI47" i="5"/>
  <c r="BH47" i="5"/>
  <c r="BE47" i="5"/>
  <c r="BD47" i="5"/>
  <c r="BC47" i="5"/>
  <c r="BB47" i="5"/>
  <c r="AY47" i="5"/>
  <c r="AX47" i="5"/>
  <c r="AW47" i="5"/>
  <c r="AV47" i="5"/>
  <c r="AS47" i="5"/>
  <c r="AR47" i="5"/>
  <c r="AQ47" i="5"/>
  <c r="AP47" i="5"/>
  <c r="AM47" i="5"/>
  <c r="AL47" i="5"/>
  <c r="AK47" i="5"/>
  <c r="AJ47" i="5"/>
  <c r="AB47" i="5"/>
  <c r="AC47" i="5" s="1"/>
  <c r="AA47" i="5"/>
  <c r="BM46" i="5"/>
  <c r="BL46" i="5"/>
  <c r="BR46" i="5" s="1"/>
  <c r="BK46" i="5"/>
  <c r="BJ46" i="5"/>
  <c r="BI46" i="5"/>
  <c r="BH46" i="5"/>
  <c r="BE46" i="5"/>
  <c r="BD46" i="5"/>
  <c r="AF73" i="2" s="1"/>
  <c r="BC46" i="5"/>
  <c r="BB46" i="5"/>
  <c r="AY46" i="5"/>
  <c r="AX46" i="5"/>
  <c r="AW46" i="5"/>
  <c r="AV46" i="5"/>
  <c r="AS46" i="5"/>
  <c r="AR46" i="5"/>
  <c r="BI93" i="2" s="1"/>
  <c r="BK93" i="2" s="1"/>
  <c r="AQ46" i="5"/>
  <c r="BI89" i="2" s="1"/>
  <c r="BK89" i="2" s="1"/>
  <c r="AP46" i="5"/>
  <c r="AM46" i="5"/>
  <c r="AL46" i="5"/>
  <c r="BI73" i="2" s="1"/>
  <c r="BK73" i="2" s="1"/>
  <c r="AK46" i="5"/>
  <c r="BI75" i="2" s="1"/>
  <c r="BK75" i="2" s="1"/>
  <c r="AJ46" i="5"/>
  <c r="AB46" i="5"/>
  <c r="AC46" i="5" s="1"/>
  <c r="AT73" i="2" s="1"/>
  <c r="AV73" i="2" s="1"/>
  <c r="AA46" i="5"/>
  <c r="AT77" i="2" s="1"/>
  <c r="AV77" i="2" s="1"/>
  <c r="BM45" i="5"/>
  <c r="BS45" i="5" s="1"/>
  <c r="BL45" i="5"/>
  <c r="BR45" i="5" s="1"/>
  <c r="BK45" i="5"/>
  <c r="BJ45" i="5"/>
  <c r="BI45" i="5"/>
  <c r="BH45" i="5"/>
  <c r="BE45" i="5"/>
  <c r="BD45" i="5"/>
  <c r="BC45" i="5"/>
  <c r="BB45" i="5"/>
  <c r="AY45" i="5"/>
  <c r="AX45" i="5"/>
  <c r="AW45" i="5"/>
  <c r="AV45" i="5"/>
  <c r="AS45" i="5"/>
  <c r="AR45" i="5"/>
  <c r="AQ45" i="5"/>
  <c r="AP45" i="5"/>
  <c r="AM45" i="5"/>
  <c r="AL45" i="5"/>
  <c r="AK45" i="5"/>
  <c r="AJ45" i="5"/>
  <c r="AB45" i="5"/>
  <c r="AC45" i="5" s="1"/>
  <c r="AA45" i="5"/>
  <c r="BM44" i="5"/>
  <c r="BN44" i="5" s="1"/>
  <c r="BT44" i="5" s="1"/>
  <c r="BL44" i="5"/>
  <c r="BR44" i="5" s="1"/>
  <c r="BK44" i="5"/>
  <c r="BJ44" i="5"/>
  <c r="BI44" i="5"/>
  <c r="BH44" i="5"/>
  <c r="BE44" i="5"/>
  <c r="BD44" i="5"/>
  <c r="BC44" i="5"/>
  <c r="BB44" i="5"/>
  <c r="AY44" i="5"/>
  <c r="AX44" i="5"/>
  <c r="AW44" i="5"/>
  <c r="AV44" i="5"/>
  <c r="AS44" i="5"/>
  <c r="AR44" i="5"/>
  <c r="AQ44" i="5"/>
  <c r="AP44" i="5"/>
  <c r="AM44" i="5"/>
  <c r="AL44" i="5"/>
  <c r="AK44" i="5"/>
  <c r="AJ44" i="5"/>
  <c r="AB44" i="5"/>
  <c r="AC44" i="5" s="1"/>
  <c r="AA44" i="5"/>
  <c r="BM43" i="5"/>
  <c r="BN43" i="5" s="1"/>
  <c r="BT43" i="5" s="1"/>
  <c r="BL43" i="5"/>
  <c r="BR43" i="5" s="1"/>
  <c r="BK43" i="5"/>
  <c r="BJ43" i="5"/>
  <c r="BI43" i="5"/>
  <c r="BH43" i="5"/>
  <c r="BE43" i="5"/>
  <c r="BD43" i="5"/>
  <c r="BC43" i="5"/>
  <c r="BB43" i="5"/>
  <c r="AY43" i="5"/>
  <c r="AX43" i="5"/>
  <c r="AW43" i="5"/>
  <c r="AV43" i="5"/>
  <c r="AS43" i="5"/>
  <c r="AR43" i="5"/>
  <c r="AQ43" i="5"/>
  <c r="AP43" i="5"/>
  <c r="AM43" i="5"/>
  <c r="AL43" i="5"/>
  <c r="AK43" i="5"/>
  <c r="AJ43" i="5"/>
  <c r="AB43" i="5"/>
  <c r="AC43" i="5" s="1"/>
  <c r="AA43" i="5"/>
  <c r="BM42" i="5"/>
  <c r="BS42" i="5" s="1"/>
  <c r="BL42" i="5"/>
  <c r="BR42" i="5" s="1"/>
  <c r="BK42" i="5"/>
  <c r="BJ42" i="5"/>
  <c r="BI42" i="5"/>
  <c r="BH42" i="5"/>
  <c r="BE42" i="5"/>
  <c r="BD42" i="5"/>
  <c r="BC42" i="5"/>
  <c r="BB42" i="5"/>
  <c r="AY42" i="5"/>
  <c r="AX42" i="5"/>
  <c r="AW42" i="5"/>
  <c r="AV42" i="5"/>
  <c r="AS42" i="5"/>
  <c r="AR42" i="5"/>
  <c r="AQ42" i="5"/>
  <c r="AP42" i="5"/>
  <c r="AM42" i="5"/>
  <c r="AL42" i="5"/>
  <c r="AK42" i="5"/>
  <c r="AJ42" i="5"/>
  <c r="AB42" i="5"/>
  <c r="AC42" i="5" s="1"/>
  <c r="AA42" i="5"/>
  <c r="BM41" i="5"/>
  <c r="BS41" i="5" s="1"/>
  <c r="BL41" i="5"/>
  <c r="BK41" i="5"/>
  <c r="BJ41" i="5"/>
  <c r="BI41" i="5"/>
  <c r="BH41" i="5"/>
  <c r="BE41" i="5"/>
  <c r="BD41" i="5"/>
  <c r="BC41" i="5"/>
  <c r="BB41" i="5"/>
  <c r="AY41" i="5"/>
  <c r="AX41" i="5"/>
  <c r="AW41" i="5"/>
  <c r="AV41" i="5"/>
  <c r="AS41" i="5"/>
  <c r="AR41" i="5"/>
  <c r="AQ41" i="5"/>
  <c r="AP41" i="5"/>
  <c r="AM41" i="5"/>
  <c r="AL41" i="5"/>
  <c r="AK41" i="5"/>
  <c r="AJ41" i="5"/>
  <c r="AB41" i="5"/>
  <c r="AC41" i="5" s="1"/>
  <c r="AA41" i="5"/>
  <c r="BM40" i="5"/>
  <c r="BS40" i="5" s="1"/>
  <c r="BL40" i="5"/>
  <c r="BK40" i="5"/>
  <c r="BJ40" i="5"/>
  <c r="BI40" i="5"/>
  <c r="BH40" i="5"/>
  <c r="BE40" i="5"/>
  <c r="BD40" i="5"/>
  <c r="BC40" i="5"/>
  <c r="BB40" i="5"/>
  <c r="AY40" i="5"/>
  <c r="AX40" i="5"/>
  <c r="AW40" i="5"/>
  <c r="AV40" i="5"/>
  <c r="AS40" i="5"/>
  <c r="AR40" i="5"/>
  <c r="AQ40" i="5"/>
  <c r="AP40" i="5"/>
  <c r="AM40" i="5"/>
  <c r="AL40" i="5"/>
  <c r="AK40" i="5"/>
  <c r="AJ40" i="5"/>
  <c r="AB40" i="5"/>
  <c r="AC40" i="5" s="1"/>
  <c r="AA40" i="5"/>
  <c r="BM39" i="5"/>
  <c r="BN39" i="5" s="1"/>
  <c r="BT39" i="5" s="1"/>
  <c r="BL39" i="5"/>
  <c r="BR39" i="5" s="1"/>
  <c r="BK39" i="5"/>
  <c r="BJ39" i="5"/>
  <c r="BI39" i="5"/>
  <c r="BH39" i="5"/>
  <c r="BE39" i="5"/>
  <c r="BD39" i="5"/>
  <c r="BC39" i="5"/>
  <c r="BB39" i="5"/>
  <c r="AY39" i="5"/>
  <c r="AX39" i="5"/>
  <c r="AW39" i="5"/>
  <c r="AV39" i="5"/>
  <c r="AS39" i="5"/>
  <c r="AR39" i="5"/>
  <c r="AQ39" i="5"/>
  <c r="AP39" i="5"/>
  <c r="AM39" i="5"/>
  <c r="AL39" i="5"/>
  <c r="AK39" i="5"/>
  <c r="AJ39" i="5"/>
  <c r="AB39" i="5"/>
  <c r="AC39" i="5" s="1"/>
  <c r="AA39" i="5"/>
  <c r="BM38" i="5"/>
  <c r="BS38" i="5" s="1"/>
  <c r="BL38" i="5"/>
  <c r="BK38" i="5"/>
  <c r="BJ38" i="5"/>
  <c r="BI38" i="5"/>
  <c r="BH38" i="5"/>
  <c r="BE38" i="5"/>
  <c r="BD38" i="5"/>
  <c r="BC38" i="5"/>
  <c r="BB38" i="5"/>
  <c r="AY38" i="5"/>
  <c r="AX38" i="5"/>
  <c r="AW38" i="5"/>
  <c r="AV38" i="5"/>
  <c r="AS38" i="5"/>
  <c r="AR38" i="5"/>
  <c r="AQ38" i="5"/>
  <c r="AP38" i="5"/>
  <c r="AM38" i="5"/>
  <c r="AL38" i="5"/>
  <c r="AK38" i="5"/>
  <c r="AJ38" i="5"/>
  <c r="AB38" i="5"/>
  <c r="AC38" i="5" s="1"/>
  <c r="AA38" i="5"/>
  <c r="BM37" i="5"/>
  <c r="BN37" i="5" s="1"/>
  <c r="BT37" i="5" s="1"/>
  <c r="BL37" i="5"/>
  <c r="BK37" i="5"/>
  <c r="BJ37" i="5"/>
  <c r="BI37" i="5"/>
  <c r="BH37" i="5"/>
  <c r="BE37" i="5"/>
  <c r="BD37" i="5"/>
  <c r="BC37" i="5"/>
  <c r="BB37" i="5"/>
  <c r="AY37" i="5"/>
  <c r="AX37" i="5"/>
  <c r="AW37" i="5"/>
  <c r="AV37" i="5"/>
  <c r="AS37" i="5"/>
  <c r="AR37" i="5"/>
  <c r="AQ37" i="5"/>
  <c r="AP37" i="5"/>
  <c r="AM37" i="5"/>
  <c r="AL37" i="5"/>
  <c r="AK37" i="5"/>
  <c r="AJ37" i="5"/>
  <c r="AB37" i="5"/>
  <c r="AC37" i="5" s="1"/>
  <c r="AA37" i="5"/>
  <c r="BM36" i="5"/>
  <c r="BN36" i="5" s="1"/>
  <c r="BT36" i="5" s="1"/>
  <c r="BL36" i="5"/>
  <c r="BK36" i="5"/>
  <c r="BJ36" i="5"/>
  <c r="BI36" i="5"/>
  <c r="BH36" i="5"/>
  <c r="BE36" i="5"/>
  <c r="BD36" i="5"/>
  <c r="BC36" i="5"/>
  <c r="BB36" i="5"/>
  <c r="AY36" i="5"/>
  <c r="AX36" i="5"/>
  <c r="AW36" i="5"/>
  <c r="AV36" i="5"/>
  <c r="AS36" i="5"/>
  <c r="AR36" i="5"/>
  <c r="AQ36" i="5"/>
  <c r="AP36" i="5"/>
  <c r="AM36" i="5"/>
  <c r="AL36" i="5"/>
  <c r="AK36" i="5"/>
  <c r="AJ36" i="5"/>
  <c r="AB36" i="5"/>
  <c r="AC36" i="5" s="1"/>
  <c r="AA36" i="5"/>
  <c r="BM35" i="5"/>
  <c r="BS35" i="5" s="1"/>
  <c r="BL35" i="5"/>
  <c r="BK35" i="5"/>
  <c r="BJ35" i="5"/>
  <c r="BI35" i="5"/>
  <c r="BH35" i="5"/>
  <c r="BE35" i="5"/>
  <c r="BD35" i="5"/>
  <c r="BC35" i="5"/>
  <c r="BB35" i="5"/>
  <c r="AY35" i="5"/>
  <c r="AX35" i="5"/>
  <c r="AW35" i="5"/>
  <c r="AV35" i="5"/>
  <c r="AS35" i="5"/>
  <c r="AR35" i="5"/>
  <c r="AQ35" i="5"/>
  <c r="AP35" i="5"/>
  <c r="AM35" i="5"/>
  <c r="AL35" i="5"/>
  <c r="AK35" i="5"/>
  <c r="AJ35" i="5"/>
  <c r="AB35" i="5"/>
  <c r="AC35" i="5" s="1"/>
  <c r="AA35" i="5"/>
  <c r="BM34" i="5"/>
  <c r="BS34" i="5" s="1"/>
  <c r="BL34" i="5"/>
  <c r="BR34" i="5" s="1"/>
  <c r="BK34" i="5"/>
  <c r="BJ34" i="5"/>
  <c r="BI34" i="5"/>
  <c r="BH34" i="5"/>
  <c r="BE34" i="5"/>
  <c r="BD34" i="5"/>
  <c r="BC34" i="5"/>
  <c r="BB34" i="5"/>
  <c r="AY34" i="5"/>
  <c r="AX34" i="5"/>
  <c r="AW34" i="5"/>
  <c r="AV34" i="5"/>
  <c r="AS34" i="5"/>
  <c r="AR34" i="5"/>
  <c r="AQ34" i="5"/>
  <c r="AP34" i="5"/>
  <c r="AM34" i="5"/>
  <c r="AL34" i="5"/>
  <c r="AK34" i="5"/>
  <c r="AJ34" i="5"/>
  <c r="AB34" i="5"/>
  <c r="AC34" i="5" s="1"/>
  <c r="AA34" i="5"/>
  <c r="BM33" i="5"/>
  <c r="BS33" i="5" s="1"/>
  <c r="BL33" i="5"/>
  <c r="BP38" i="5" s="1"/>
  <c r="BV38" i="5" s="1"/>
  <c r="BK33" i="5"/>
  <c r="BJ33" i="5"/>
  <c r="BI33" i="5"/>
  <c r="BH33" i="5"/>
  <c r="BE33" i="5"/>
  <c r="BD33" i="5"/>
  <c r="BC33" i="5"/>
  <c r="BB33" i="5"/>
  <c r="AY33" i="5"/>
  <c r="AX33" i="5"/>
  <c r="AW33" i="5"/>
  <c r="AV33" i="5"/>
  <c r="AS33" i="5"/>
  <c r="AR33" i="5"/>
  <c r="AQ33" i="5"/>
  <c r="AP33" i="5"/>
  <c r="AM33" i="5"/>
  <c r="AL33" i="5"/>
  <c r="AK33" i="5"/>
  <c r="AJ33" i="5"/>
  <c r="AB33" i="5"/>
  <c r="AC33" i="5" s="1"/>
  <c r="AA33" i="5"/>
  <c r="BM32" i="5"/>
  <c r="BN32" i="5" s="1"/>
  <c r="BT32" i="5" s="1"/>
  <c r="BL32" i="5"/>
  <c r="BK32" i="5"/>
  <c r="BJ32" i="5"/>
  <c r="BI32" i="5"/>
  <c r="BH32" i="5"/>
  <c r="BE32" i="5"/>
  <c r="BD32" i="5"/>
  <c r="BC32" i="5"/>
  <c r="BB32" i="5"/>
  <c r="AY32" i="5"/>
  <c r="AX32" i="5"/>
  <c r="AW32" i="5"/>
  <c r="AV32" i="5"/>
  <c r="AS32" i="5"/>
  <c r="AR32" i="5"/>
  <c r="AQ32" i="5"/>
  <c r="AP32" i="5"/>
  <c r="AM32" i="5"/>
  <c r="AL32" i="5"/>
  <c r="AK32" i="5"/>
  <c r="AJ32" i="5"/>
  <c r="AB32" i="5"/>
  <c r="AC32" i="5" s="1"/>
  <c r="AA32" i="5"/>
  <c r="BM31" i="5"/>
  <c r="BN31" i="5" s="1"/>
  <c r="BT31" i="5" s="1"/>
  <c r="BL31" i="5"/>
  <c r="BK31" i="5"/>
  <c r="BJ31" i="5"/>
  <c r="BI31" i="5"/>
  <c r="BH31" i="5"/>
  <c r="BE31" i="5"/>
  <c r="BD31" i="5"/>
  <c r="BC31" i="5"/>
  <c r="BB31" i="5"/>
  <c r="AY31" i="5"/>
  <c r="AX31" i="5"/>
  <c r="AW31" i="5"/>
  <c r="AV31" i="5"/>
  <c r="AS31" i="5"/>
  <c r="AR31" i="5"/>
  <c r="AQ31" i="5"/>
  <c r="AP31" i="5"/>
  <c r="AM31" i="5"/>
  <c r="AL31" i="5"/>
  <c r="AK31" i="5"/>
  <c r="AJ31" i="5"/>
  <c r="AG31" i="5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B31" i="5"/>
  <c r="AC31" i="5" s="1"/>
  <c r="AA31" i="5"/>
  <c r="BM30" i="5"/>
  <c r="BS30" i="5" s="1"/>
  <c r="BL30" i="5"/>
  <c r="BK30" i="5"/>
  <c r="BJ30" i="5"/>
  <c r="BI30" i="5"/>
  <c r="BH30" i="5"/>
  <c r="BE30" i="5"/>
  <c r="BD30" i="5"/>
  <c r="BC30" i="5"/>
  <c r="BB30" i="5"/>
  <c r="AY30" i="5"/>
  <c r="AX30" i="5"/>
  <c r="AW30" i="5"/>
  <c r="AV30" i="5"/>
  <c r="AS30" i="5"/>
  <c r="AR30" i="5"/>
  <c r="AQ30" i="5"/>
  <c r="AP30" i="5"/>
  <c r="AM30" i="5"/>
  <c r="AL30" i="5"/>
  <c r="AK30" i="5"/>
  <c r="AJ30" i="5"/>
  <c r="AB30" i="5"/>
  <c r="AC30" i="5" s="1"/>
  <c r="AA30" i="5"/>
  <c r="BM29" i="5"/>
  <c r="BN29" i="5" s="1"/>
  <c r="BT29" i="5" s="1"/>
  <c r="BL29" i="5"/>
  <c r="BQ34" i="5" s="1"/>
  <c r="BW34" i="5" s="1"/>
  <c r="BK29" i="5"/>
  <c r="BJ29" i="5"/>
  <c r="BI29" i="5"/>
  <c r="BH29" i="5"/>
  <c r="BE29" i="5"/>
  <c r="BD29" i="5"/>
  <c r="BC29" i="5"/>
  <c r="BB29" i="5"/>
  <c r="AY29" i="5"/>
  <c r="AX29" i="5"/>
  <c r="AW29" i="5"/>
  <c r="AV29" i="5"/>
  <c r="AS29" i="5"/>
  <c r="AR29" i="5"/>
  <c r="AQ29" i="5"/>
  <c r="AP29" i="5"/>
  <c r="AM29" i="5"/>
  <c r="AL29" i="5"/>
  <c r="AK29" i="5"/>
  <c r="AJ29" i="5"/>
  <c r="AB29" i="5"/>
  <c r="AC29" i="5" s="1"/>
  <c r="AA29" i="5"/>
  <c r="BR28" i="5"/>
  <c r="BM28" i="5"/>
  <c r="BS28" i="5" s="1"/>
  <c r="BL28" i="5"/>
  <c r="BK28" i="5"/>
  <c r="BJ28" i="5"/>
  <c r="BI28" i="5"/>
  <c r="BH28" i="5"/>
  <c r="BE28" i="5"/>
  <c r="BD28" i="5"/>
  <c r="BC28" i="5"/>
  <c r="BB28" i="5"/>
  <c r="AY28" i="5"/>
  <c r="AX28" i="5"/>
  <c r="AW28" i="5"/>
  <c r="AV28" i="5"/>
  <c r="AS28" i="5"/>
  <c r="AR28" i="5"/>
  <c r="AQ28" i="5"/>
  <c r="AP28" i="5"/>
  <c r="AM28" i="5"/>
  <c r="AL28" i="5"/>
  <c r="AK28" i="5"/>
  <c r="AJ28" i="5"/>
  <c r="AB28" i="5"/>
  <c r="AC28" i="5" s="1"/>
  <c r="AA28" i="5"/>
  <c r="BS27" i="5"/>
  <c r="BM27" i="5"/>
  <c r="BN27" i="5" s="1"/>
  <c r="BT27" i="5" s="1"/>
  <c r="BL27" i="5"/>
  <c r="BR27" i="5" s="1"/>
  <c r="BK27" i="5"/>
  <c r="BJ27" i="5"/>
  <c r="BI27" i="5"/>
  <c r="BH27" i="5"/>
  <c r="BE27" i="5"/>
  <c r="BD27" i="5"/>
  <c r="BC27" i="5"/>
  <c r="BB27" i="5"/>
  <c r="AY27" i="5"/>
  <c r="AX27" i="5"/>
  <c r="AW27" i="5"/>
  <c r="AV27" i="5"/>
  <c r="AS27" i="5"/>
  <c r="AR27" i="5"/>
  <c r="AQ27" i="5"/>
  <c r="AP27" i="5"/>
  <c r="AM27" i="5"/>
  <c r="AL27" i="5"/>
  <c r="AK27" i="5"/>
  <c r="AJ27" i="5"/>
  <c r="AB27" i="5"/>
  <c r="AC27" i="5" s="1"/>
  <c r="AA27" i="5"/>
  <c r="BM26" i="5"/>
  <c r="BS26" i="5" s="1"/>
  <c r="BL26" i="5"/>
  <c r="BK26" i="5"/>
  <c r="BJ26" i="5"/>
  <c r="BI26" i="5"/>
  <c r="BH26" i="5"/>
  <c r="BE26" i="5"/>
  <c r="BD26" i="5"/>
  <c r="BC26" i="5"/>
  <c r="BB26" i="5"/>
  <c r="AY26" i="5"/>
  <c r="AX26" i="5"/>
  <c r="AW26" i="5"/>
  <c r="AV26" i="5"/>
  <c r="AS26" i="5"/>
  <c r="AR26" i="5"/>
  <c r="AQ26" i="5"/>
  <c r="AP26" i="5"/>
  <c r="AM26" i="5"/>
  <c r="AL26" i="5"/>
  <c r="AK26" i="5"/>
  <c r="AJ26" i="5"/>
  <c r="AB26" i="5"/>
  <c r="AC26" i="5" s="1"/>
  <c r="AA26" i="5"/>
  <c r="BK25" i="5"/>
  <c r="BJ25" i="5"/>
  <c r="BI25" i="5"/>
  <c r="BH25" i="5"/>
  <c r="BE25" i="5"/>
  <c r="BD25" i="5"/>
  <c r="BC25" i="5"/>
  <c r="BB25" i="5"/>
  <c r="AY25" i="5"/>
  <c r="AX25" i="5"/>
  <c r="AW25" i="5"/>
  <c r="AV25" i="5"/>
  <c r="AS25" i="5"/>
  <c r="AR25" i="5"/>
  <c r="AQ25" i="5"/>
  <c r="AP25" i="5"/>
  <c r="AM25" i="5"/>
  <c r="AL25" i="5"/>
  <c r="AK25" i="5"/>
  <c r="AJ25" i="5"/>
  <c r="AB25" i="5"/>
  <c r="AC25" i="5" s="1"/>
  <c r="AA25" i="5"/>
  <c r="BK24" i="5"/>
  <c r="BJ24" i="5"/>
  <c r="BI24" i="5"/>
  <c r="BH24" i="5"/>
  <c r="BE24" i="5"/>
  <c r="BD24" i="5"/>
  <c r="BC24" i="5"/>
  <c r="BB24" i="5"/>
  <c r="AY24" i="5"/>
  <c r="AX24" i="5"/>
  <c r="AW24" i="5"/>
  <c r="AV24" i="5"/>
  <c r="AS24" i="5"/>
  <c r="AR24" i="5"/>
  <c r="AQ24" i="5"/>
  <c r="AP24" i="5"/>
  <c r="AM24" i="5"/>
  <c r="AL24" i="5"/>
  <c r="AK24" i="5"/>
  <c r="AJ24" i="5"/>
  <c r="AC24" i="5"/>
  <c r="AA24" i="5"/>
  <c r="BK23" i="5"/>
  <c r="BJ23" i="5"/>
  <c r="BI23" i="5"/>
  <c r="BE23" i="5"/>
  <c r="BD23" i="5"/>
  <c r="BC23" i="5"/>
  <c r="AY23" i="5"/>
  <c r="AX23" i="5"/>
  <c r="AW23" i="5"/>
  <c r="AS23" i="5"/>
  <c r="AR23" i="5"/>
  <c r="AQ23" i="5"/>
  <c r="AM23" i="5"/>
  <c r="AL23" i="5"/>
  <c r="AK23" i="5"/>
  <c r="AA23" i="5"/>
  <c r="BK22" i="5"/>
  <c r="BJ22" i="5"/>
  <c r="BI22" i="5"/>
  <c r="BE22" i="5"/>
  <c r="BD22" i="5"/>
  <c r="BC22" i="5"/>
  <c r="AY22" i="5"/>
  <c r="AX22" i="5"/>
  <c r="AW22" i="5"/>
  <c r="AS22" i="5"/>
  <c r="AR22" i="5"/>
  <c r="AQ22" i="5"/>
  <c r="AM22" i="5"/>
  <c r="AL22" i="5"/>
  <c r="AK22" i="5"/>
  <c r="AA22" i="5"/>
  <c r="BK21" i="5"/>
  <c r="BJ21" i="5"/>
  <c r="BI21" i="5"/>
  <c r="BE21" i="5"/>
  <c r="BD21" i="5"/>
  <c r="BC21" i="5"/>
  <c r="AY21" i="5"/>
  <c r="AX21" i="5"/>
  <c r="AW21" i="5"/>
  <c r="AS21" i="5"/>
  <c r="AR21" i="5"/>
  <c r="AQ21" i="5"/>
  <c r="AM21" i="5"/>
  <c r="AL21" i="5"/>
  <c r="AK21" i="5"/>
  <c r="AA21" i="5"/>
  <c r="BK20" i="5"/>
  <c r="BJ20" i="5"/>
  <c r="BI20" i="5"/>
  <c r="BE20" i="5"/>
  <c r="BD20" i="5"/>
  <c r="BC20" i="5"/>
  <c r="AY20" i="5"/>
  <c r="AX20" i="5"/>
  <c r="AW20" i="5"/>
  <c r="AS20" i="5"/>
  <c r="AR20" i="5"/>
  <c r="AQ20" i="5"/>
  <c r="AM20" i="5"/>
  <c r="AL20" i="5"/>
  <c r="AK20" i="5"/>
  <c r="AA20" i="5"/>
  <c r="BK19" i="5"/>
  <c r="BJ19" i="5"/>
  <c r="BI19" i="5"/>
  <c r="BE19" i="5"/>
  <c r="BD19" i="5"/>
  <c r="BC19" i="5"/>
  <c r="AY19" i="5"/>
  <c r="AX19" i="5"/>
  <c r="AW19" i="5"/>
  <c r="AS19" i="5"/>
  <c r="AR19" i="5"/>
  <c r="AQ19" i="5"/>
  <c r="AM19" i="5"/>
  <c r="AL19" i="5"/>
  <c r="AK19" i="5"/>
  <c r="AA19" i="5"/>
  <c r="BK18" i="5"/>
  <c r="BJ18" i="5"/>
  <c r="BI18" i="5"/>
  <c r="BE18" i="5"/>
  <c r="BD18" i="5"/>
  <c r="BC18" i="5"/>
  <c r="AY18" i="5"/>
  <c r="AX18" i="5"/>
  <c r="AW18" i="5"/>
  <c r="AS18" i="5"/>
  <c r="AR18" i="5"/>
  <c r="AQ18" i="5"/>
  <c r="AM18" i="5"/>
  <c r="AL18" i="5"/>
  <c r="AK18" i="5"/>
  <c r="AA18" i="5"/>
  <c r="BK17" i="5"/>
  <c r="BJ17" i="5"/>
  <c r="BI17" i="5"/>
  <c r="BE17" i="5"/>
  <c r="BD17" i="5"/>
  <c r="BC17" i="5"/>
  <c r="AY17" i="5"/>
  <c r="AX17" i="5"/>
  <c r="AW17" i="5"/>
  <c r="AS17" i="5"/>
  <c r="AR17" i="5"/>
  <c r="AQ17" i="5"/>
  <c r="AM17" i="5"/>
  <c r="AL17" i="5"/>
  <c r="AK17" i="5"/>
  <c r="AA17" i="5"/>
  <c r="BK16" i="5"/>
  <c r="BJ16" i="5"/>
  <c r="BI16" i="5"/>
  <c r="BE16" i="5"/>
  <c r="BD16" i="5"/>
  <c r="BC16" i="5"/>
  <c r="AY16" i="5"/>
  <c r="AX16" i="5"/>
  <c r="AW16" i="5"/>
  <c r="AS16" i="5"/>
  <c r="AR16" i="5"/>
  <c r="AQ16" i="5"/>
  <c r="AM16" i="5"/>
  <c r="AL16" i="5"/>
  <c r="AK16" i="5"/>
  <c r="AA16" i="5"/>
  <c r="BK15" i="5"/>
  <c r="BJ15" i="5"/>
  <c r="BI15" i="5"/>
  <c r="BE15" i="5"/>
  <c r="BD15" i="5"/>
  <c r="BC15" i="5"/>
  <c r="AY15" i="5"/>
  <c r="AX15" i="5"/>
  <c r="AW15" i="5"/>
  <c r="AS15" i="5"/>
  <c r="AR15" i="5"/>
  <c r="AQ15" i="5"/>
  <c r="AM15" i="5"/>
  <c r="AL15" i="5"/>
  <c r="AK15" i="5"/>
  <c r="AA15" i="5"/>
  <c r="AF15" i="5" s="1"/>
  <c r="BK14" i="5"/>
  <c r="BJ14" i="5"/>
  <c r="BI14" i="5"/>
  <c r="BE14" i="5"/>
  <c r="BD14" i="5"/>
  <c r="BC14" i="5"/>
  <c r="AY14" i="5"/>
  <c r="AX14" i="5"/>
  <c r="AW14" i="5"/>
  <c r="AS14" i="5"/>
  <c r="AR14" i="5"/>
  <c r="AQ14" i="5"/>
  <c r="AM14" i="5"/>
  <c r="AL14" i="5"/>
  <c r="AK14" i="5"/>
  <c r="AA14" i="5"/>
  <c r="BK13" i="5"/>
  <c r="BJ13" i="5"/>
  <c r="BI13" i="5"/>
  <c r="BE13" i="5"/>
  <c r="BD13" i="5"/>
  <c r="BC13" i="5"/>
  <c r="AY13" i="5"/>
  <c r="AX13" i="5"/>
  <c r="AW13" i="5"/>
  <c r="AS13" i="5"/>
  <c r="AR13" i="5"/>
  <c r="AQ13" i="5"/>
  <c r="AM13" i="5"/>
  <c r="AL13" i="5"/>
  <c r="AK13" i="5"/>
  <c r="AA13" i="5"/>
  <c r="AE13" i="5" s="1"/>
  <c r="BK12" i="5"/>
  <c r="BJ12" i="5"/>
  <c r="BI12" i="5"/>
  <c r="BE12" i="5"/>
  <c r="BD12" i="5"/>
  <c r="BC12" i="5"/>
  <c r="AY12" i="5"/>
  <c r="AX12" i="5"/>
  <c r="AW12" i="5"/>
  <c r="AS12" i="5"/>
  <c r="AR12" i="5"/>
  <c r="AQ12" i="5"/>
  <c r="AM12" i="5"/>
  <c r="AL12" i="5"/>
  <c r="AK12" i="5"/>
  <c r="AA12" i="5"/>
  <c r="AF12" i="5" s="1"/>
  <c r="BK11" i="5"/>
  <c r="BJ11" i="5"/>
  <c r="BI11" i="5"/>
  <c r="BE11" i="5"/>
  <c r="BD11" i="5"/>
  <c r="BC11" i="5"/>
  <c r="AY11" i="5"/>
  <c r="AX11" i="5"/>
  <c r="AW11" i="5"/>
  <c r="AS11" i="5"/>
  <c r="AR11" i="5"/>
  <c r="AQ11" i="5"/>
  <c r="AM11" i="5"/>
  <c r="AL11" i="5"/>
  <c r="AK11" i="5"/>
  <c r="AA11" i="5"/>
  <c r="BK10" i="5"/>
  <c r="BJ10" i="5"/>
  <c r="BI10" i="5"/>
  <c r="BE10" i="5"/>
  <c r="BD10" i="5"/>
  <c r="BC10" i="5"/>
  <c r="AY10" i="5"/>
  <c r="AX10" i="5"/>
  <c r="AW10" i="5"/>
  <c r="AS10" i="5"/>
  <c r="AR10" i="5"/>
  <c r="AQ10" i="5"/>
  <c r="AM10" i="5"/>
  <c r="AL10" i="5"/>
  <c r="AK10" i="5"/>
  <c r="AA10" i="5"/>
  <c r="AD10" i="5" s="1"/>
  <c r="BK9" i="5"/>
  <c r="BJ9" i="5"/>
  <c r="BI9" i="5"/>
  <c r="BE9" i="5"/>
  <c r="BD9" i="5"/>
  <c r="BC9" i="5"/>
  <c r="AY9" i="5"/>
  <c r="AX9" i="5"/>
  <c r="AW9" i="5"/>
  <c r="AS9" i="5"/>
  <c r="AR9" i="5"/>
  <c r="AQ9" i="5"/>
  <c r="AM9" i="5"/>
  <c r="AL9" i="5"/>
  <c r="AK9" i="5"/>
  <c r="AA9" i="5"/>
  <c r="BK8" i="5"/>
  <c r="BJ8" i="5"/>
  <c r="BI8" i="5"/>
  <c r="BE8" i="5"/>
  <c r="BD8" i="5"/>
  <c r="BC8" i="5"/>
  <c r="AY8" i="5"/>
  <c r="AX8" i="5"/>
  <c r="AW8" i="5"/>
  <c r="AS8" i="5"/>
  <c r="AR8" i="5"/>
  <c r="AQ8" i="5"/>
  <c r="AM8" i="5"/>
  <c r="AL8" i="5"/>
  <c r="AK8" i="5"/>
  <c r="AA8" i="5"/>
  <c r="AD8" i="5" s="1"/>
  <c r="BK7" i="5"/>
  <c r="BJ7" i="5"/>
  <c r="BI7" i="5"/>
  <c r="BE7" i="5"/>
  <c r="BD7" i="5"/>
  <c r="BC7" i="5"/>
  <c r="AY7" i="5"/>
  <c r="AX7" i="5"/>
  <c r="AW7" i="5"/>
  <c r="AS7" i="5"/>
  <c r="AR7" i="5"/>
  <c r="AQ7" i="5"/>
  <c r="AM7" i="5"/>
  <c r="AL7" i="5"/>
  <c r="AK7" i="5"/>
  <c r="AA7" i="5"/>
  <c r="AD7" i="5" s="1"/>
  <c r="BK6" i="5"/>
  <c r="BJ6" i="5"/>
  <c r="BI6" i="5"/>
  <c r="BE6" i="5"/>
  <c r="BD6" i="5"/>
  <c r="BC6" i="5"/>
  <c r="AY6" i="5"/>
  <c r="AX6" i="5"/>
  <c r="AW6" i="5"/>
  <c r="AS6" i="5"/>
  <c r="AR6" i="5"/>
  <c r="AQ6" i="5"/>
  <c r="AM6" i="5"/>
  <c r="AL6" i="5"/>
  <c r="AK6" i="5"/>
  <c r="AA6" i="5"/>
  <c r="BK5" i="5"/>
  <c r="BJ5" i="5"/>
  <c r="BI5" i="5"/>
  <c r="BE5" i="5"/>
  <c r="BD5" i="5"/>
  <c r="BC5" i="5"/>
  <c r="AY5" i="5"/>
  <c r="AX5" i="5"/>
  <c r="AW5" i="5"/>
  <c r="AS5" i="5"/>
  <c r="AR5" i="5"/>
  <c r="AQ5" i="5"/>
  <c r="AM5" i="5"/>
  <c r="AL5" i="5"/>
  <c r="AK5" i="5"/>
  <c r="AA5" i="5"/>
  <c r="AF5" i="5" s="1"/>
  <c r="Y52" i="4"/>
  <c r="O52" i="4"/>
  <c r="O51" i="4"/>
  <c r="E51" i="4"/>
  <c r="ES50" i="4"/>
  <c r="EY50" i="4" s="1"/>
  <c r="ER50" i="4"/>
  <c r="EX50" i="4" s="1"/>
  <c r="EM50" i="4"/>
  <c r="AS50" i="4"/>
  <c r="O50" i="4"/>
  <c r="E50" i="4"/>
  <c r="ES49" i="4"/>
  <c r="EY49" i="4" s="1"/>
  <c r="ER49" i="4"/>
  <c r="EX49" i="4" s="1"/>
  <c r="EM49" i="4"/>
  <c r="EG49" i="4"/>
  <c r="EA49" i="4"/>
  <c r="CW49" i="4"/>
  <c r="CQ49" i="4"/>
  <c r="BA49" i="4"/>
  <c r="AT49" i="4"/>
  <c r="AU49" i="4" s="1"/>
  <c r="AS49" i="4"/>
  <c r="AN49" i="4"/>
  <c r="O49" i="4"/>
  <c r="E49" i="4"/>
  <c r="ES48" i="4"/>
  <c r="EY48" i="4" s="1"/>
  <c r="ER48" i="4"/>
  <c r="EX48" i="4" s="1"/>
  <c r="EP48" i="4"/>
  <c r="EO48" i="4"/>
  <c r="EN48" i="4"/>
  <c r="EM48" i="4"/>
  <c r="EJ48" i="4"/>
  <c r="EI48" i="4"/>
  <c r="EH48" i="4"/>
  <c r="EG48" i="4"/>
  <c r="ED48" i="4"/>
  <c r="EC48" i="4"/>
  <c r="EB48" i="4"/>
  <c r="EA48" i="4"/>
  <c r="CZ48" i="4"/>
  <c r="CY48" i="4"/>
  <c r="CX48" i="4"/>
  <c r="CW48" i="4"/>
  <c r="CT48" i="4"/>
  <c r="CS48" i="4"/>
  <c r="CR48" i="4"/>
  <c r="CQ48" i="4"/>
  <c r="BD48" i="4"/>
  <c r="BC48" i="4"/>
  <c r="BB48" i="4"/>
  <c r="BA48" i="4"/>
  <c r="AT48" i="4"/>
  <c r="AU48" i="4" s="1"/>
  <c r="AS48" i="4"/>
  <c r="AQ48" i="4"/>
  <c r="AP48" i="4"/>
  <c r="AO48" i="4"/>
  <c r="AN48" i="4"/>
  <c r="O48" i="4"/>
  <c r="E48" i="4"/>
  <c r="ES47" i="4"/>
  <c r="ET47" i="4" s="1"/>
  <c r="EZ47" i="4" s="1"/>
  <c r="ER47" i="4"/>
  <c r="EX47" i="4" s="1"/>
  <c r="EP47" i="4"/>
  <c r="EO47" i="4"/>
  <c r="EN47" i="4"/>
  <c r="EM47" i="4"/>
  <c r="EJ47" i="4"/>
  <c r="EI47" i="4"/>
  <c r="EH47" i="4"/>
  <c r="EG47" i="4"/>
  <c r="ED47" i="4"/>
  <c r="EC47" i="4"/>
  <c r="EB47" i="4"/>
  <c r="EA47" i="4"/>
  <c r="CZ47" i="4"/>
  <c r="CY47" i="4"/>
  <c r="CX47" i="4"/>
  <c r="CW47" i="4"/>
  <c r="CT47" i="4"/>
  <c r="CS47" i="4"/>
  <c r="CR47" i="4"/>
  <c r="CQ47" i="4"/>
  <c r="BD47" i="4"/>
  <c r="BC47" i="4"/>
  <c r="BB47" i="4"/>
  <c r="BA47" i="4"/>
  <c r="AT47" i="4"/>
  <c r="AU47" i="4" s="1"/>
  <c r="AS47" i="4"/>
  <c r="AQ47" i="4"/>
  <c r="AP47" i="4"/>
  <c r="AO47" i="4"/>
  <c r="AN47" i="4"/>
  <c r="O47" i="4"/>
  <c r="E47" i="4"/>
  <c r="EY46" i="4"/>
  <c r="ES46" i="4"/>
  <c r="ET46" i="4" s="1"/>
  <c r="EZ46" i="4" s="1"/>
  <c r="ER46" i="4"/>
  <c r="EX46" i="4" s="1"/>
  <c r="EP46" i="4"/>
  <c r="EO46" i="4"/>
  <c r="EN46" i="4"/>
  <c r="AH41" i="2" s="1"/>
  <c r="EM46" i="4"/>
  <c r="EJ46" i="4"/>
  <c r="EI46" i="4"/>
  <c r="AH47" i="2" s="1"/>
  <c r="EH46" i="4"/>
  <c r="AF41" i="2" s="1"/>
  <c r="EG46" i="4"/>
  <c r="ED46" i="4"/>
  <c r="EC46" i="4"/>
  <c r="EB46" i="4"/>
  <c r="EA46" i="4"/>
  <c r="CZ46" i="4"/>
  <c r="CY46" i="4"/>
  <c r="CX46" i="4"/>
  <c r="CW46" i="4"/>
  <c r="CT46" i="4"/>
  <c r="CS46" i="4"/>
  <c r="CR46" i="4"/>
  <c r="CQ46" i="4"/>
  <c r="BD46" i="4"/>
  <c r="BC46" i="4"/>
  <c r="BB46" i="4"/>
  <c r="BA46" i="4"/>
  <c r="AT46" i="4"/>
  <c r="AU46" i="4" s="1"/>
  <c r="AS46" i="4"/>
  <c r="AQ46" i="4"/>
  <c r="AT45" i="2" s="1"/>
  <c r="AV45" i="2" s="1"/>
  <c r="AP46" i="4"/>
  <c r="AT47" i="2" s="1"/>
  <c r="AV47" i="2" s="1"/>
  <c r="AO46" i="4"/>
  <c r="AN46" i="4"/>
  <c r="AT43" i="2" s="1"/>
  <c r="AV43" i="2" s="1"/>
  <c r="O46" i="4"/>
  <c r="E46" i="4"/>
  <c r="ES45" i="4"/>
  <c r="ET45" i="4" s="1"/>
  <c r="EZ45" i="4" s="1"/>
  <c r="ER45" i="4"/>
  <c r="EX45" i="4" s="1"/>
  <c r="EP45" i="4"/>
  <c r="EO45" i="4"/>
  <c r="EN45" i="4"/>
  <c r="EM45" i="4"/>
  <c r="EJ45" i="4"/>
  <c r="EI45" i="4"/>
  <c r="EH45" i="4"/>
  <c r="EG45" i="4"/>
  <c r="ED45" i="4"/>
  <c r="EC45" i="4"/>
  <c r="EB45" i="4"/>
  <c r="EA45" i="4"/>
  <c r="CZ45" i="4"/>
  <c r="CY45" i="4"/>
  <c r="CX45" i="4"/>
  <c r="CW45" i="4"/>
  <c r="CT45" i="4"/>
  <c r="CS45" i="4"/>
  <c r="CR45" i="4"/>
  <c r="CQ45" i="4"/>
  <c r="BD45" i="4"/>
  <c r="BC45" i="4"/>
  <c r="BB45" i="4"/>
  <c r="BA45" i="4"/>
  <c r="AT45" i="4"/>
  <c r="AU45" i="4" s="1"/>
  <c r="AS45" i="4"/>
  <c r="AQ45" i="4"/>
  <c r="AP45" i="4"/>
  <c r="AO45" i="4"/>
  <c r="AN45" i="4"/>
  <c r="O45" i="4"/>
  <c r="E45" i="4"/>
  <c r="ES44" i="4"/>
  <c r="EY44" i="4" s="1"/>
  <c r="ER44" i="4"/>
  <c r="EX44" i="4" s="1"/>
  <c r="EP44" i="4"/>
  <c r="EO44" i="4"/>
  <c r="EN44" i="4"/>
  <c r="EM44" i="4"/>
  <c r="EJ44" i="4"/>
  <c r="EI44" i="4"/>
  <c r="EH44" i="4"/>
  <c r="EG44" i="4"/>
  <c r="ED44" i="4"/>
  <c r="EC44" i="4"/>
  <c r="EB44" i="4"/>
  <c r="EA44" i="4"/>
  <c r="CZ44" i="4"/>
  <c r="CY44" i="4"/>
  <c r="CX44" i="4"/>
  <c r="CW44" i="4"/>
  <c r="CT44" i="4"/>
  <c r="CS44" i="4"/>
  <c r="CR44" i="4"/>
  <c r="CQ44" i="4"/>
  <c r="BD44" i="4"/>
  <c r="BC44" i="4"/>
  <c r="BB44" i="4"/>
  <c r="BA44" i="4"/>
  <c r="AT44" i="4"/>
  <c r="AU44" i="4" s="1"/>
  <c r="AS44" i="4"/>
  <c r="AQ44" i="4"/>
  <c r="AP44" i="4"/>
  <c r="AO44" i="4"/>
  <c r="AN44" i="4"/>
  <c r="O44" i="4"/>
  <c r="E44" i="4"/>
  <c r="ES43" i="4"/>
  <c r="EY43" i="4" s="1"/>
  <c r="ER43" i="4"/>
  <c r="EX43" i="4" s="1"/>
  <c r="EP43" i="4"/>
  <c r="EO43" i="4"/>
  <c r="EN43" i="4"/>
  <c r="EM43" i="4"/>
  <c r="EJ43" i="4"/>
  <c r="EI43" i="4"/>
  <c r="EH43" i="4"/>
  <c r="EG43" i="4"/>
  <c r="ED43" i="4"/>
  <c r="EC43" i="4"/>
  <c r="EB43" i="4"/>
  <c r="EA43" i="4"/>
  <c r="CZ43" i="4"/>
  <c r="CY43" i="4"/>
  <c r="CX43" i="4"/>
  <c r="CW43" i="4"/>
  <c r="CT43" i="4"/>
  <c r="CS43" i="4"/>
  <c r="CR43" i="4"/>
  <c r="CQ43" i="4"/>
  <c r="BD43" i="4"/>
  <c r="BC43" i="4"/>
  <c r="BB43" i="4"/>
  <c r="BA43" i="4"/>
  <c r="AT43" i="4"/>
  <c r="AU43" i="4" s="1"/>
  <c r="AS43" i="4"/>
  <c r="AQ43" i="4"/>
  <c r="AP43" i="4"/>
  <c r="AO43" i="4"/>
  <c r="AN43" i="4"/>
  <c r="O43" i="4"/>
  <c r="E43" i="4"/>
  <c r="ES42" i="4"/>
  <c r="EY42" i="4" s="1"/>
  <c r="ER42" i="4"/>
  <c r="EP42" i="4"/>
  <c r="EO42" i="4"/>
  <c r="EN42" i="4"/>
  <c r="EM42" i="4"/>
  <c r="EJ42" i="4"/>
  <c r="EI42" i="4"/>
  <c r="EH42" i="4"/>
  <c r="EG42" i="4"/>
  <c r="ED42" i="4"/>
  <c r="EC42" i="4"/>
  <c r="EB42" i="4"/>
  <c r="EA42" i="4"/>
  <c r="CZ42" i="4"/>
  <c r="CY42" i="4"/>
  <c r="CX42" i="4"/>
  <c r="CW42" i="4"/>
  <c r="CT42" i="4"/>
  <c r="CS42" i="4"/>
  <c r="CR42" i="4"/>
  <c r="CQ42" i="4"/>
  <c r="BD42" i="4"/>
  <c r="BC42" i="4"/>
  <c r="BB42" i="4"/>
  <c r="BA42" i="4"/>
  <c r="AT42" i="4"/>
  <c r="AU42" i="4" s="1"/>
  <c r="AS42" i="4"/>
  <c r="AQ42" i="4"/>
  <c r="AP42" i="4"/>
  <c r="AO42" i="4"/>
  <c r="AN42" i="4"/>
  <c r="O42" i="4"/>
  <c r="E42" i="4"/>
  <c r="ES41" i="4"/>
  <c r="EY41" i="4" s="1"/>
  <c r="ER41" i="4"/>
  <c r="EP41" i="4"/>
  <c r="EO41" i="4"/>
  <c r="EN41" i="4"/>
  <c r="EM41" i="4"/>
  <c r="EJ41" i="4"/>
  <c r="EI41" i="4"/>
  <c r="EH41" i="4"/>
  <c r="EG41" i="4"/>
  <c r="ED41" i="4"/>
  <c r="EC41" i="4"/>
  <c r="EB41" i="4"/>
  <c r="EA41" i="4"/>
  <c r="CZ41" i="4"/>
  <c r="CY41" i="4"/>
  <c r="CX41" i="4"/>
  <c r="CW41" i="4"/>
  <c r="CT41" i="4"/>
  <c r="CS41" i="4"/>
  <c r="CR41" i="4"/>
  <c r="CQ41" i="4"/>
  <c r="BD41" i="4"/>
  <c r="BC41" i="4"/>
  <c r="BB41" i="4"/>
  <c r="BA41" i="4"/>
  <c r="AT41" i="4"/>
  <c r="AU41" i="4" s="1"/>
  <c r="AS41" i="4"/>
  <c r="AQ41" i="4"/>
  <c r="AP41" i="4"/>
  <c r="AO41" i="4"/>
  <c r="AN41" i="4"/>
  <c r="O41" i="4"/>
  <c r="E41" i="4"/>
  <c r="ES40" i="4"/>
  <c r="EY40" i="4" s="1"/>
  <c r="ER40" i="4"/>
  <c r="EX40" i="4" s="1"/>
  <c r="EP40" i="4"/>
  <c r="EO40" i="4"/>
  <c r="EN40" i="4"/>
  <c r="EM40" i="4"/>
  <c r="EJ40" i="4"/>
  <c r="EI40" i="4"/>
  <c r="EH40" i="4"/>
  <c r="EG40" i="4"/>
  <c r="ED40" i="4"/>
  <c r="EC40" i="4"/>
  <c r="EB40" i="4"/>
  <c r="EA40" i="4"/>
  <c r="CZ40" i="4"/>
  <c r="CY40" i="4"/>
  <c r="CX40" i="4"/>
  <c r="CW40" i="4"/>
  <c r="CT40" i="4"/>
  <c r="CS40" i="4"/>
  <c r="CR40" i="4"/>
  <c r="CQ40" i="4"/>
  <c r="BD40" i="4"/>
  <c r="BC40" i="4"/>
  <c r="BB40" i="4"/>
  <c r="BA40" i="4"/>
  <c r="AT40" i="4"/>
  <c r="AU40" i="4" s="1"/>
  <c r="AS40" i="4"/>
  <c r="AQ40" i="4"/>
  <c r="AP40" i="4"/>
  <c r="AO40" i="4"/>
  <c r="AN40" i="4"/>
  <c r="O40" i="4"/>
  <c r="E40" i="4"/>
  <c r="ES39" i="4"/>
  <c r="EY39" i="4" s="1"/>
  <c r="ER39" i="4"/>
  <c r="EX39" i="4" s="1"/>
  <c r="EP39" i="4"/>
  <c r="EO39" i="4"/>
  <c r="EN39" i="4"/>
  <c r="EM39" i="4"/>
  <c r="EJ39" i="4"/>
  <c r="EI39" i="4"/>
  <c r="EH39" i="4"/>
  <c r="EG39" i="4"/>
  <c r="ED39" i="4"/>
  <c r="EC39" i="4"/>
  <c r="EB39" i="4"/>
  <c r="EA39" i="4"/>
  <c r="CZ39" i="4"/>
  <c r="CY39" i="4"/>
  <c r="CX39" i="4"/>
  <c r="CW39" i="4"/>
  <c r="CT39" i="4"/>
  <c r="CS39" i="4"/>
  <c r="CR39" i="4"/>
  <c r="CQ39" i="4"/>
  <c r="BD39" i="4"/>
  <c r="BC39" i="4"/>
  <c r="BB39" i="4"/>
  <c r="BA39" i="4"/>
  <c r="AT39" i="4"/>
  <c r="AU39" i="4" s="1"/>
  <c r="AS39" i="4"/>
  <c r="AQ39" i="4"/>
  <c r="AP39" i="4"/>
  <c r="AO39" i="4"/>
  <c r="AN39" i="4"/>
  <c r="O39" i="4"/>
  <c r="E39" i="4"/>
  <c r="ES38" i="4"/>
  <c r="ET38" i="4" s="1"/>
  <c r="EZ38" i="4" s="1"/>
  <c r="ER38" i="4"/>
  <c r="EX38" i="4" s="1"/>
  <c r="EP38" i="4"/>
  <c r="EO38" i="4"/>
  <c r="EN38" i="4"/>
  <c r="EM38" i="4"/>
  <c r="EJ38" i="4"/>
  <c r="EI38" i="4"/>
  <c r="EH38" i="4"/>
  <c r="EG38" i="4"/>
  <c r="ED38" i="4"/>
  <c r="EC38" i="4"/>
  <c r="EB38" i="4"/>
  <c r="EA38" i="4"/>
  <c r="CZ38" i="4"/>
  <c r="CY38" i="4"/>
  <c r="CX38" i="4"/>
  <c r="CW38" i="4"/>
  <c r="CT38" i="4"/>
  <c r="CS38" i="4"/>
  <c r="CR38" i="4"/>
  <c r="CQ38" i="4"/>
  <c r="BD38" i="4"/>
  <c r="BC38" i="4"/>
  <c r="BB38" i="4"/>
  <c r="BA38" i="4"/>
  <c r="AT38" i="4"/>
  <c r="AU38" i="4" s="1"/>
  <c r="AS38" i="4"/>
  <c r="AQ38" i="4"/>
  <c r="AP38" i="4"/>
  <c r="AO38" i="4"/>
  <c r="AN38" i="4"/>
  <c r="O38" i="4"/>
  <c r="E38" i="4"/>
  <c r="EY37" i="4"/>
  <c r="ES37" i="4"/>
  <c r="ET37" i="4" s="1"/>
  <c r="EZ37" i="4" s="1"/>
  <c r="ER37" i="4"/>
  <c r="EP37" i="4"/>
  <c r="EO37" i="4"/>
  <c r="EN37" i="4"/>
  <c r="EM37" i="4"/>
  <c r="EJ37" i="4"/>
  <c r="EI37" i="4"/>
  <c r="EH37" i="4"/>
  <c r="EG37" i="4"/>
  <c r="ED37" i="4"/>
  <c r="EC37" i="4"/>
  <c r="EB37" i="4"/>
  <c r="EA37" i="4"/>
  <c r="CZ37" i="4"/>
  <c r="CY37" i="4"/>
  <c r="CX37" i="4"/>
  <c r="CW37" i="4"/>
  <c r="CT37" i="4"/>
  <c r="CS37" i="4"/>
  <c r="CR37" i="4"/>
  <c r="CQ37" i="4"/>
  <c r="BD37" i="4"/>
  <c r="BC37" i="4"/>
  <c r="BB37" i="4"/>
  <c r="BA37" i="4"/>
  <c r="AT37" i="4"/>
  <c r="AU37" i="4" s="1"/>
  <c r="AS37" i="4"/>
  <c r="AQ37" i="4"/>
  <c r="AP37" i="4"/>
  <c r="AO37" i="4"/>
  <c r="AN37" i="4"/>
  <c r="O37" i="4"/>
  <c r="E37" i="4"/>
  <c r="ES36" i="4"/>
  <c r="ET36" i="4" s="1"/>
  <c r="EZ36" i="4" s="1"/>
  <c r="ER36" i="4"/>
  <c r="EP36" i="4"/>
  <c r="EO36" i="4"/>
  <c r="EN36" i="4"/>
  <c r="EM36" i="4"/>
  <c r="EJ36" i="4"/>
  <c r="EI36" i="4"/>
  <c r="EH36" i="4"/>
  <c r="EG36" i="4"/>
  <c r="ED36" i="4"/>
  <c r="EC36" i="4"/>
  <c r="EB36" i="4"/>
  <c r="EA36" i="4"/>
  <c r="CZ36" i="4"/>
  <c r="CY36" i="4"/>
  <c r="CX36" i="4"/>
  <c r="CW36" i="4"/>
  <c r="CT36" i="4"/>
  <c r="CS36" i="4"/>
  <c r="CR36" i="4"/>
  <c r="CQ36" i="4"/>
  <c r="BD36" i="4"/>
  <c r="BC36" i="4"/>
  <c r="BB36" i="4"/>
  <c r="BA36" i="4"/>
  <c r="AT36" i="4"/>
  <c r="AU36" i="4" s="1"/>
  <c r="AS36" i="4"/>
  <c r="AQ36" i="4"/>
  <c r="AP36" i="4"/>
  <c r="AO36" i="4"/>
  <c r="AN36" i="4"/>
  <c r="O36" i="4"/>
  <c r="E36" i="4"/>
  <c r="ES35" i="4"/>
  <c r="EY35" i="4" s="1"/>
  <c r="ER35" i="4"/>
  <c r="EX35" i="4" s="1"/>
  <c r="EP35" i="4"/>
  <c r="EO35" i="4"/>
  <c r="EN35" i="4"/>
  <c r="EM35" i="4"/>
  <c r="EJ35" i="4"/>
  <c r="EI35" i="4"/>
  <c r="EH35" i="4"/>
  <c r="EG35" i="4"/>
  <c r="ED35" i="4"/>
  <c r="EC35" i="4"/>
  <c r="EB35" i="4"/>
  <c r="EA35" i="4"/>
  <c r="CZ35" i="4"/>
  <c r="CY35" i="4"/>
  <c r="CX35" i="4"/>
  <c r="CW35" i="4"/>
  <c r="CT35" i="4"/>
  <c r="CS35" i="4"/>
  <c r="CR35" i="4"/>
  <c r="CQ35" i="4"/>
  <c r="BD35" i="4"/>
  <c r="BC35" i="4"/>
  <c r="BB35" i="4"/>
  <c r="BA35" i="4"/>
  <c r="AT35" i="4"/>
  <c r="AU35" i="4" s="1"/>
  <c r="AS35" i="4"/>
  <c r="AQ35" i="4"/>
  <c r="AP35" i="4"/>
  <c r="AO35" i="4"/>
  <c r="AN35" i="4"/>
  <c r="O35" i="4"/>
  <c r="E35" i="4"/>
  <c r="ES34" i="4"/>
  <c r="EY34" i="4" s="1"/>
  <c r="ER34" i="4"/>
  <c r="EX34" i="4" s="1"/>
  <c r="EP34" i="4"/>
  <c r="EO34" i="4"/>
  <c r="EN34" i="4"/>
  <c r="EM34" i="4"/>
  <c r="EJ34" i="4"/>
  <c r="EI34" i="4"/>
  <c r="EH34" i="4"/>
  <c r="EG34" i="4"/>
  <c r="ED34" i="4"/>
  <c r="EC34" i="4"/>
  <c r="EB34" i="4"/>
  <c r="EA34" i="4"/>
  <c r="CZ34" i="4"/>
  <c r="CY34" i="4"/>
  <c r="CX34" i="4"/>
  <c r="CW34" i="4"/>
  <c r="CT34" i="4"/>
  <c r="CS34" i="4"/>
  <c r="CR34" i="4"/>
  <c r="CQ34" i="4"/>
  <c r="BD34" i="4"/>
  <c r="BC34" i="4"/>
  <c r="BB34" i="4"/>
  <c r="BA34" i="4"/>
  <c r="AT34" i="4"/>
  <c r="AU34" i="4" s="1"/>
  <c r="AS34" i="4"/>
  <c r="AQ34" i="4"/>
  <c r="AP34" i="4"/>
  <c r="AO34" i="4"/>
  <c r="AN34" i="4"/>
  <c r="O34" i="4"/>
  <c r="E34" i="4"/>
  <c r="ES33" i="4"/>
  <c r="EY33" i="4" s="1"/>
  <c r="ER33" i="4"/>
  <c r="EX33" i="4" s="1"/>
  <c r="EP33" i="4"/>
  <c r="EO33" i="4"/>
  <c r="EN33" i="4"/>
  <c r="EM33" i="4"/>
  <c r="EJ33" i="4"/>
  <c r="EI33" i="4"/>
  <c r="EH33" i="4"/>
  <c r="EG33" i="4"/>
  <c r="ED33" i="4"/>
  <c r="EC33" i="4"/>
  <c r="EB33" i="4"/>
  <c r="EA33" i="4"/>
  <c r="CZ33" i="4"/>
  <c r="CY33" i="4"/>
  <c r="CX33" i="4"/>
  <c r="CW33" i="4"/>
  <c r="CT33" i="4"/>
  <c r="CS33" i="4"/>
  <c r="CR33" i="4"/>
  <c r="CQ33" i="4"/>
  <c r="BD33" i="4"/>
  <c r="BC33" i="4"/>
  <c r="BB33" i="4"/>
  <c r="BA33" i="4"/>
  <c r="AT33" i="4"/>
  <c r="AU33" i="4" s="1"/>
  <c r="AS33" i="4"/>
  <c r="AQ33" i="4"/>
  <c r="AP33" i="4"/>
  <c r="AO33" i="4"/>
  <c r="AN33" i="4"/>
  <c r="O33" i="4"/>
  <c r="E33" i="4"/>
  <c r="ES32" i="4"/>
  <c r="EY32" i="4" s="1"/>
  <c r="ER32" i="4"/>
  <c r="EP32" i="4"/>
  <c r="EO32" i="4"/>
  <c r="EN32" i="4"/>
  <c r="EM32" i="4"/>
  <c r="EJ32" i="4"/>
  <c r="EI32" i="4"/>
  <c r="EH32" i="4"/>
  <c r="EG32" i="4"/>
  <c r="ED32" i="4"/>
  <c r="EC32" i="4"/>
  <c r="EB32" i="4"/>
  <c r="EA32" i="4"/>
  <c r="CZ32" i="4"/>
  <c r="CY32" i="4"/>
  <c r="CX32" i="4"/>
  <c r="CW32" i="4"/>
  <c r="CT32" i="4"/>
  <c r="CS32" i="4"/>
  <c r="CR32" i="4"/>
  <c r="CQ32" i="4"/>
  <c r="BD32" i="4"/>
  <c r="BC32" i="4"/>
  <c r="BB32" i="4"/>
  <c r="BA32" i="4"/>
  <c r="AT32" i="4"/>
  <c r="AU32" i="4" s="1"/>
  <c r="AS32" i="4"/>
  <c r="AQ32" i="4"/>
  <c r="AP32" i="4"/>
  <c r="AO32" i="4"/>
  <c r="AN32" i="4"/>
  <c r="O32" i="4"/>
  <c r="E32" i="4"/>
  <c r="ES31" i="4"/>
  <c r="ET31" i="4" s="1"/>
  <c r="EZ31" i="4" s="1"/>
  <c r="ER31" i="4"/>
  <c r="EX31" i="4" s="1"/>
  <c r="EQ31" i="4"/>
  <c r="EQ32" i="4" s="1"/>
  <c r="EQ33" i="4" s="1"/>
  <c r="EQ34" i="4" s="1"/>
  <c r="EQ35" i="4" s="1"/>
  <c r="EQ36" i="4" s="1"/>
  <c r="EQ37" i="4" s="1"/>
  <c r="EQ38" i="4" s="1"/>
  <c r="EQ39" i="4" s="1"/>
  <c r="EQ40" i="4" s="1"/>
  <c r="EQ41" i="4" s="1"/>
  <c r="EQ42" i="4" s="1"/>
  <c r="EQ43" i="4" s="1"/>
  <c r="EQ44" i="4" s="1"/>
  <c r="EQ45" i="4" s="1"/>
  <c r="EQ46" i="4" s="1"/>
  <c r="EQ47" i="4" s="1"/>
  <c r="EQ48" i="4" s="1"/>
  <c r="EP31" i="4"/>
  <c r="EO31" i="4"/>
  <c r="EN31" i="4"/>
  <c r="EM31" i="4"/>
  <c r="EJ31" i="4"/>
  <c r="EI31" i="4"/>
  <c r="EH31" i="4"/>
  <c r="EG31" i="4"/>
  <c r="ED31" i="4"/>
  <c r="EC31" i="4"/>
  <c r="EB31" i="4"/>
  <c r="EA31" i="4"/>
  <c r="CZ31" i="4"/>
  <c r="CY31" i="4"/>
  <c r="CX31" i="4"/>
  <c r="CW31" i="4"/>
  <c r="CT31" i="4"/>
  <c r="CS31" i="4"/>
  <c r="CR31" i="4"/>
  <c r="CQ31" i="4"/>
  <c r="BD31" i="4"/>
  <c r="BC31" i="4"/>
  <c r="BB31" i="4"/>
  <c r="BA31" i="4"/>
  <c r="AT31" i="4"/>
  <c r="AU31" i="4" s="1"/>
  <c r="AS31" i="4"/>
  <c r="AR31" i="4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Q31" i="4"/>
  <c r="AP31" i="4"/>
  <c r="AO31" i="4"/>
  <c r="AN31" i="4"/>
  <c r="O31" i="4"/>
  <c r="E31" i="4"/>
  <c r="ES30" i="4"/>
  <c r="EY30" i="4" s="1"/>
  <c r="ER30" i="4"/>
  <c r="EP30" i="4"/>
  <c r="EO30" i="4"/>
  <c r="EN30" i="4"/>
  <c r="EM30" i="4"/>
  <c r="EJ30" i="4"/>
  <c r="EI30" i="4"/>
  <c r="EH30" i="4"/>
  <c r="EG30" i="4"/>
  <c r="ED30" i="4"/>
  <c r="EC30" i="4"/>
  <c r="EB30" i="4"/>
  <c r="EA30" i="4"/>
  <c r="CZ30" i="4"/>
  <c r="CY30" i="4"/>
  <c r="CX30" i="4"/>
  <c r="CW30" i="4"/>
  <c r="CT30" i="4"/>
  <c r="CS30" i="4"/>
  <c r="CR30" i="4"/>
  <c r="CQ30" i="4"/>
  <c r="BD30" i="4"/>
  <c r="BC30" i="4"/>
  <c r="BB30" i="4"/>
  <c r="BA30" i="4"/>
  <c r="AT30" i="4"/>
  <c r="AU30" i="4" s="1"/>
  <c r="AS30" i="4"/>
  <c r="AN30" i="4"/>
  <c r="O30" i="4"/>
  <c r="E30" i="4"/>
  <c r="ES29" i="4"/>
  <c r="ET29" i="4" s="1"/>
  <c r="EZ29" i="4" s="1"/>
  <c r="ER29" i="4"/>
  <c r="EX29" i="4" s="1"/>
  <c r="EP29" i="4"/>
  <c r="EO29" i="4"/>
  <c r="EN29" i="4"/>
  <c r="EM29" i="4"/>
  <c r="EJ29" i="4"/>
  <c r="EI29" i="4"/>
  <c r="EH29" i="4"/>
  <c r="EG29" i="4"/>
  <c r="ED29" i="4"/>
  <c r="EC29" i="4"/>
  <c r="EB29" i="4"/>
  <c r="EA29" i="4"/>
  <c r="CZ29" i="4"/>
  <c r="CY29" i="4"/>
  <c r="CX29" i="4"/>
  <c r="CW29" i="4"/>
  <c r="CT29" i="4"/>
  <c r="CS29" i="4"/>
  <c r="CR29" i="4"/>
  <c r="CQ29" i="4"/>
  <c r="BD29" i="4"/>
  <c r="BC29" i="4"/>
  <c r="BB29" i="4"/>
  <c r="BA29" i="4"/>
  <c r="AT29" i="4"/>
  <c r="AU29" i="4" s="1"/>
  <c r="AS29" i="4"/>
  <c r="AN29" i="4"/>
  <c r="O29" i="4"/>
  <c r="E29" i="4"/>
  <c r="ES28" i="4"/>
  <c r="ET28" i="4" s="1"/>
  <c r="EZ28" i="4" s="1"/>
  <c r="ER28" i="4"/>
  <c r="EP28" i="4"/>
  <c r="EO28" i="4"/>
  <c r="EN28" i="4"/>
  <c r="EM28" i="4"/>
  <c r="EJ28" i="4"/>
  <c r="EI28" i="4"/>
  <c r="EH28" i="4"/>
  <c r="EG28" i="4"/>
  <c r="ED28" i="4"/>
  <c r="EC28" i="4"/>
  <c r="EB28" i="4"/>
  <c r="EA28" i="4"/>
  <c r="CZ28" i="4"/>
  <c r="CY28" i="4"/>
  <c r="CX28" i="4"/>
  <c r="CW28" i="4"/>
  <c r="CT28" i="4"/>
  <c r="CS28" i="4"/>
  <c r="CR28" i="4"/>
  <c r="CQ28" i="4"/>
  <c r="BD28" i="4"/>
  <c r="BC28" i="4"/>
  <c r="BB28" i="4"/>
  <c r="BA28" i="4"/>
  <c r="AT28" i="4"/>
  <c r="AU28" i="4" s="1"/>
  <c r="AS28" i="4"/>
  <c r="AN28" i="4"/>
  <c r="O28" i="4"/>
  <c r="E28" i="4"/>
  <c r="ES27" i="4"/>
  <c r="EY27" i="4" s="1"/>
  <c r="ER27" i="4"/>
  <c r="EP27" i="4"/>
  <c r="EO27" i="4"/>
  <c r="EN27" i="4"/>
  <c r="EM27" i="4"/>
  <c r="EJ27" i="4"/>
  <c r="EI27" i="4"/>
  <c r="EH27" i="4"/>
  <c r="EG27" i="4"/>
  <c r="ED27" i="4"/>
  <c r="EC27" i="4"/>
  <c r="EB27" i="4"/>
  <c r="EA27" i="4"/>
  <c r="CZ27" i="4"/>
  <c r="CY27" i="4"/>
  <c r="CX27" i="4"/>
  <c r="CW27" i="4"/>
  <c r="CT27" i="4"/>
  <c r="CS27" i="4"/>
  <c r="CR27" i="4"/>
  <c r="CQ27" i="4"/>
  <c r="BD27" i="4"/>
  <c r="BC27" i="4"/>
  <c r="BB27" i="4"/>
  <c r="BA27" i="4"/>
  <c r="AT27" i="4"/>
  <c r="AU27" i="4" s="1"/>
  <c r="AS27" i="4"/>
  <c r="AN27" i="4"/>
  <c r="O27" i="4"/>
  <c r="E27" i="4"/>
  <c r="ES26" i="4"/>
  <c r="ET26" i="4" s="1"/>
  <c r="EZ26" i="4" s="1"/>
  <c r="ER26" i="4"/>
  <c r="EP26" i="4"/>
  <c r="EO26" i="4"/>
  <c r="EN26" i="4"/>
  <c r="EM26" i="4"/>
  <c r="EJ26" i="4"/>
  <c r="EI26" i="4"/>
  <c r="EH26" i="4"/>
  <c r="EG26" i="4"/>
  <c r="ED26" i="4"/>
  <c r="EC26" i="4"/>
  <c r="EB26" i="4"/>
  <c r="EA26" i="4"/>
  <c r="CZ26" i="4"/>
  <c r="CY26" i="4"/>
  <c r="CX26" i="4"/>
  <c r="CW26" i="4"/>
  <c r="CT26" i="4"/>
  <c r="CS26" i="4"/>
  <c r="CR26" i="4"/>
  <c r="CQ26" i="4"/>
  <c r="BD26" i="4"/>
  <c r="BC26" i="4"/>
  <c r="BB26" i="4"/>
  <c r="BA26" i="4"/>
  <c r="AT26" i="4"/>
  <c r="AU26" i="4" s="1"/>
  <c r="AS26" i="4"/>
  <c r="AN26" i="4"/>
  <c r="O26" i="4"/>
  <c r="E26" i="4"/>
  <c r="EP25" i="4"/>
  <c r="EO25" i="4"/>
  <c r="EN25" i="4"/>
  <c r="EM25" i="4"/>
  <c r="EJ25" i="4"/>
  <c r="EI25" i="4"/>
  <c r="EH25" i="4"/>
  <c r="EG25" i="4"/>
  <c r="ED25" i="4"/>
  <c r="EC25" i="4"/>
  <c r="EB25" i="4"/>
  <c r="EA25" i="4"/>
  <c r="DU25" i="4"/>
  <c r="DV25" i="4" s="1"/>
  <c r="DO25" i="4"/>
  <c r="DP25" i="4" s="1"/>
  <c r="DI25" i="4"/>
  <c r="DJ25" i="4" s="1"/>
  <c r="DC25" i="4"/>
  <c r="DD25" i="4" s="1"/>
  <c r="CZ25" i="4"/>
  <c r="CY25" i="4"/>
  <c r="CX25" i="4"/>
  <c r="CW25" i="4"/>
  <c r="CT25" i="4"/>
  <c r="CS25" i="4"/>
  <c r="CR25" i="4"/>
  <c r="CQ25" i="4"/>
  <c r="CK25" i="4"/>
  <c r="CL25" i="4" s="1"/>
  <c r="CE25" i="4"/>
  <c r="CF25" i="4" s="1"/>
  <c r="BY25" i="4"/>
  <c r="BZ25" i="4" s="1"/>
  <c r="BS25" i="4"/>
  <c r="BT25" i="4" s="1"/>
  <c r="BO25" i="4"/>
  <c r="BM25" i="4"/>
  <c r="BP25" i="4" s="1"/>
  <c r="BG25" i="4"/>
  <c r="BJ25" i="4" s="1"/>
  <c r="BD25" i="4"/>
  <c r="BC25" i="4"/>
  <c r="BB25" i="4"/>
  <c r="BA25" i="4"/>
  <c r="AT25" i="4"/>
  <c r="AU25" i="4" s="1"/>
  <c r="AS25" i="4"/>
  <c r="U25" i="4"/>
  <c r="AN25" i="4" s="1"/>
  <c r="O25" i="4"/>
  <c r="K25" i="4"/>
  <c r="AQ30" i="4" s="1"/>
  <c r="E25" i="4"/>
  <c r="EP24" i="4"/>
  <c r="EO24" i="4"/>
  <c r="EN24" i="4"/>
  <c r="EM24" i="4"/>
  <c r="EJ24" i="4"/>
  <c r="EI24" i="4"/>
  <c r="EH24" i="4"/>
  <c r="ED24" i="4"/>
  <c r="EC24" i="4"/>
  <c r="EB24" i="4"/>
  <c r="DX24" i="4"/>
  <c r="DW24" i="4"/>
  <c r="DV24" i="4"/>
  <c r="DR24" i="4"/>
  <c r="DQ24" i="4"/>
  <c r="DP24" i="4"/>
  <c r="DL24" i="4"/>
  <c r="DK24" i="4"/>
  <c r="DJ24" i="4"/>
  <c r="DF24" i="4"/>
  <c r="DE24" i="4"/>
  <c r="DD24" i="4"/>
  <c r="CZ24" i="4"/>
  <c r="CY24" i="4"/>
  <c r="CX24" i="4"/>
  <c r="CT24" i="4"/>
  <c r="CS24" i="4"/>
  <c r="CR24" i="4"/>
  <c r="CN24" i="4"/>
  <c r="CM24" i="4"/>
  <c r="CL24" i="4"/>
  <c r="CH24" i="4"/>
  <c r="CG24" i="4"/>
  <c r="CF24" i="4"/>
  <c r="CB24" i="4"/>
  <c r="CA24" i="4"/>
  <c r="BZ24" i="4"/>
  <c r="BV24" i="4"/>
  <c r="BU24" i="4"/>
  <c r="BT24" i="4"/>
  <c r="BP24" i="4"/>
  <c r="BO24" i="4"/>
  <c r="BN24" i="4"/>
  <c r="BJ24" i="4"/>
  <c r="BI24" i="4"/>
  <c r="BH24" i="4"/>
  <c r="BD24" i="4"/>
  <c r="BC24" i="4"/>
  <c r="BB24" i="4"/>
  <c r="BA24" i="4"/>
  <c r="AU24" i="4"/>
  <c r="AS24" i="4"/>
  <c r="AN24" i="4"/>
  <c r="K24" i="4"/>
  <c r="AQ29" i="4" s="1"/>
  <c r="E24" i="4"/>
  <c r="EP23" i="4"/>
  <c r="EO23" i="4"/>
  <c r="EN23" i="4"/>
  <c r="EJ23" i="4"/>
  <c r="EI23" i="4"/>
  <c r="EH23" i="4"/>
  <c r="ED23" i="4"/>
  <c r="EC23" i="4"/>
  <c r="EB23" i="4"/>
  <c r="DX23" i="4"/>
  <c r="DW23" i="4"/>
  <c r="DV23" i="4"/>
  <c r="DR23" i="4"/>
  <c r="DQ23" i="4"/>
  <c r="DP23" i="4"/>
  <c r="DL23" i="4"/>
  <c r="DK23" i="4"/>
  <c r="DJ23" i="4"/>
  <c r="DF23" i="4"/>
  <c r="DE23" i="4"/>
  <c r="DD23" i="4"/>
  <c r="CZ23" i="4"/>
  <c r="CY23" i="4"/>
  <c r="CX23" i="4"/>
  <c r="CT23" i="4"/>
  <c r="CS23" i="4"/>
  <c r="CR23" i="4"/>
  <c r="CN23" i="4"/>
  <c r="CM23" i="4"/>
  <c r="CL23" i="4"/>
  <c r="CH23" i="4"/>
  <c r="CG23" i="4"/>
  <c r="CF23" i="4"/>
  <c r="CB23" i="4"/>
  <c r="CA23" i="4"/>
  <c r="BZ23" i="4"/>
  <c r="BV23" i="4"/>
  <c r="BU23" i="4"/>
  <c r="BT23" i="4"/>
  <c r="BP23" i="4"/>
  <c r="BO23" i="4"/>
  <c r="BN23" i="4"/>
  <c r="BJ23" i="4"/>
  <c r="BI23" i="4"/>
  <c r="BH23" i="4"/>
  <c r="BD23" i="4"/>
  <c r="BC23" i="4"/>
  <c r="BB23" i="4"/>
  <c r="AS23" i="4"/>
  <c r="K23" i="4"/>
  <c r="E23" i="4"/>
  <c r="EP22" i="4"/>
  <c r="EO22" i="4"/>
  <c r="EN22" i="4"/>
  <c r="EJ22" i="4"/>
  <c r="EI22" i="4"/>
  <c r="EH22" i="4"/>
  <c r="ED22" i="4"/>
  <c r="EC22" i="4"/>
  <c r="EB22" i="4"/>
  <c r="DX22" i="4"/>
  <c r="DW22" i="4"/>
  <c r="DV22" i="4"/>
  <c r="DR22" i="4"/>
  <c r="DQ22" i="4"/>
  <c r="DP22" i="4"/>
  <c r="DL22" i="4"/>
  <c r="DK22" i="4"/>
  <c r="DJ22" i="4"/>
  <c r="DF22" i="4"/>
  <c r="DE22" i="4"/>
  <c r="DD22" i="4"/>
  <c r="CZ22" i="4"/>
  <c r="CY22" i="4"/>
  <c r="CX22" i="4"/>
  <c r="CT22" i="4"/>
  <c r="CS22" i="4"/>
  <c r="CR22" i="4"/>
  <c r="CN22" i="4"/>
  <c r="CM22" i="4"/>
  <c r="CL22" i="4"/>
  <c r="CH22" i="4"/>
  <c r="CG22" i="4"/>
  <c r="CF22" i="4"/>
  <c r="CB22" i="4"/>
  <c r="CA22" i="4"/>
  <c r="BZ22" i="4"/>
  <c r="BV22" i="4"/>
  <c r="BU22" i="4"/>
  <c r="BT22" i="4"/>
  <c r="BP22" i="4"/>
  <c r="BO22" i="4"/>
  <c r="BN22" i="4"/>
  <c r="BJ22" i="4"/>
  <c r="BI22" i="4"/>
  <c r="BH22" i="4"/>
  <c r="BD22" i="4"/>
  <c r="BC22" i="4"/>
  <c r="BB22" i="4"/>
  <c r="AS22" i="4"/>
  <c r="K22" i="4"/>
  <c r="E22" i="4"/>
  <c r="EP21" i="4"/>
  <c r="EO21" i="4"/>
  <c r="EN21" i="4"/>
  <c r="EJ21" i="4"/>
  <c r="EI21" i="4"/>
  <c r="EH21" i="4"/>
  <c r="ED21" i="4"/>
  <c r="EC21" i="4"/>
  <c r="EB21" i="4"/>
  <c r="DX21" i="4"/>
  <c r="DW21" i="4"/>
  <c r="DV21" i="4"/>
  <c r="DR21" i="4"/>
  <c r="DQ21" i="4"/>
  <c r="DP21" i="4"/>
  <c r="DL21" i="4"/>
  <c r="DK21" i="4"/>
  <c r="DJ21" i="4"/>
  <c r="DF21" i="4"/>
  <c r="DE21" i="4"/>
  <c r="DD21" i="4"/>
  <c r="CZ21" i="4"/>
  <c r="CY21" i="4"/>
  <c r="CX21" i="4"/>
  <c r="CT21" i="4"/>
  <c r="CS21" i="4"/>
  <c r="CR21" i="4"/>
  <c r="CN21" i="4"/>
  <c r="CM21" i="4"/>
  <c r="CL21" i="4"/>
  <c r="CH21" i="4"/>
  <c r="CG21" i="4"/>
  <c r="CF21" i="4"/>
  <c r="CB21" i="4"/>
  <c r="CA21" i="4"/>
  <c r="BZ21" i="4"/>
  <c r="BV21" i="4"/>
  <c r="BU21" i="4"/>
  <c r="BT21" i="4"/>
  <c r="BP21" i="4"/>
  <c r="BO21" i="4"/>
  <c r="BN21" i="4"/>
  <c r="BJ21" i="4"/>
  <c r="BI21" i="4"/>
  <c r="BH21" i="4"/>
  <c r="BD21" i="4"/>
  <c r="BC21" i="4"/>
  <c r="BB21" i="4"/>
  <c r="AS21" i="4"/>
  <c r="K21" i="4"/>
  <c r="E21" i="4"/>
  <c r="EP20" i="4"/>
  <c r="EO20" i="4"/>
  <c r="EN20" i="4"/>
  <c r="EJ20" i="4"/>
  <c r="EI20" i="4"/>
  <c r="EH20" i="4"/>
  <c r="ED20" i="4"/>
  <c r="EC20" i="4"/>
  <c r="EB20" i="4"/>
  <c r="DX20" i="4"/>
  <c r="DW20" i="4"/>
  <c r="DV20" i="4"/>
  <c r="DR20" i="4"/>
  <c r="DQ20" i="4"/>
  <c r="DP20" i="4"/>
  <c r="DL20" i="4"/>
  <c r="DK20" i="4"/>
  <c r="DJ20" i="4"/>
  <c r="DF20" i="4"/>
  <c r="DE20" i="4"/>
  <c r="DD20" i="4"/>
  <c r="CZ20" i="4"/>
  <c r="CY20" i="4"/>
  <c r="CX20" i="4"/>
  <c r="CT20" i="4"/>
  <c r="CS20" i="4"/>
  <c r="CR20" i="4"/>
  <c r="CN20" i="4"/>
  <c r="CM20" i="4"/>
  <c r="CL20" i="4"/>
  <c r="CH20" i="4"/>
  <c r="CG20" i="4"/>
  <c r="CF20" i="4"/>
  <c r="CB20" i="4"/>
  <c r="CA20" i="4"/>
  <c r="BZ20" i="4"/>
  <c r="BV20" i="4"/>
  <c r="BU20" i="4"/>
  <c r="BT20" i="4"/>
  <c r="BP20" i="4"/>
  <c r="BO20" i="4"/>
  <c r="BN20" i="4"/>
  <c r="BJ20" i="4"/>
  <c r="BI20" i="4"/>
  <c r="BH20" i="4"/>
  <c r="BD20" i="4"/>
  <c r="BC20" i="4"/>
  <c r="BB20" i="4"/>
  <c r="AS20" i="4"/>
  <c r="K20" i="4"/>
  <c r="E20" i="4"/>
  <c r="EP19" i="4"/>
  <c r="EO19" i="4"/>
  <c r="EN19" i="4"/>
  <c r="EJ19" i="4"/>
  <c r="EI19" i="4"/>
  <c r="EH19" i="4"/>
  <c r="ED19" i="4"/>
  <c r="EC19" i="4"/>
  <c r="EB19" i="4"/>
  <c r="DX19" i="4"/>
  <c r="DW19" i="4"/>
  <c r="DV19" i="4"/>
  <c r="DR19" i="4"/>
  <c r="DQ19" i="4"/>
  <c r="DP19" i="4"/>
  <c r="DL19" i="4"/>
  <c r="DK19" i="4"/>
  <c r="DJ19" i="4"/>
  <c r="DF19" i="4"/>
  <c r="DE19" i="4"/>
  <c r="DD19" i="4"/>
  <c r="CZ19" i="4"/>
  <c r="CY19" i="4"/>
  <c r="CX19" i="4"/>
  <c r="CT19" i="4"/>
  <c r="CS19" i="4"/>
  <c r="CR19" i="4"/>
  <c r="CN19" i="4"/>
  <c r="CM19" i="4"/>
  <c r="CL19" i="4"/>
  <c r="CH19" i="4"/>
  <c r="CG19" i="4"/>
  <c r="CF19" i="4"/>
  <c r="CB19" i="4"/>
  <c r="CA19" i="4"/>
  <c r="BZ19" i="4"/>
  <c r="BV19" i="4"/>
  <c r="BU19" i="4"/>
  <c r="BT19" i="4"/>
  <c r="BP19" i="4"/>
  <c r="BO19" i="4"/>
  <c r="BN19" i="4"/>
  <c r="BJ19" i="4"/>
  <c r="BI19" i="4"/>
  <c r="BH19" i="4"/>
  <c r="BD19" i="4"/>
  <c r="BC19" i="4"/>
  <c r="BB19" i="4"/>
  <c r="AS19" i="4"/>
  <c r="K19" i="4"/>
  <c r="E19" i="4"/>
  <c r="EP18" i="4"/>
  <c r="EO18" i="4"/>
  <c r="EN18" i="4"/>
  <c r="EJ18" i="4"/>
  <c r="EI18" i="4"/>
  <c r="EH18" i="4"/>
  <c r="ED18" i="4"/>
  <c r="EC18" i="4"/>
  <c r="EB18" i="4"/>
  <c r="DX18" i="4"/>
  <c r="DW18" i="4"/>
  <c r="DV18" i="4"/>
  <c r="DR18" i="4"/>
  <c r="DQ18" i="4"/>
  <c r="DP18" i="4"/>
  <c r="DL18" i="4"/>
  <c r="DK18" i="4"/>
  <c r="DJ18" i="4"/>
  <c r="DF18" i="4"/>
  <c r="DE18" i="4"/>
  <c r="DD18" i="4"/>
  <c r="CZ18" i="4"/>
  <c r="CY18" i="4"/>
  <c r="CX18" i="4"/>
  <c r="CT18" i="4"/>
  <c r="CS18" i="4"/>
  <c r="CR18" i="4"/>
  <c r="CN18" i="4"/>
  <c r="CM18" i="4"/>
  <c r="CL18" i="4"/>
  <c r="CH18" i="4"/>
  <c r="CG18" i="4"/>
  <c r="CF18" i="4"/>
  <c r="CB18" i="4"/>
  <c r="CA18" i="4"/>
  <c r="BZ18" i="4"/>
  <c r="BV18" i="4"/>
  <c r="BU18" i="4"/>
  <c r="BT18" i="4"/>
  <c r="BP18" i="4"/>
  <c r="BO18" i="4"/>
  <c r="BN18" i="4"/>
  <c r="BJ18" i="4"/>
  <c r="BI18" i="4"/>
  <c r="BH18" i="4"/>
  <c r="BD18" i="4"/>
  <c r="BC18" i="4"/>
  <c r="BB18" i="4"/>
  <c r="AS18" i="4"/>
  <c r="K18" i="4"/>
  <c r="E18" i="4"/>
  <c r="EP17" i="4"/>
  <c r="EO17" i="4"/>
  <c r="EN17" i="4"/>
  <c r="EJ17" i="4"/>
  <c r="EI17" i="4"/>
  <c r="EH17" i="4"/>
  <c r="ED17" i="4"/>
  <c r="EC17" i="4"/>
  <c r="EB17" i="4"/>
  <c r="DX17" i="4"/>
  <c r="DW17" i="4"/>
  <c r="DV17" i="4"/>
  <c r="DR17" i="4"/>
  <c r="DQ17" i="4"/>
  <c r="DP17" i="4"/>
  <c r="DL17" i="4"/>
  <c r="DK17" i="4"/>
  <c r="DJ17" i="4"/>
  <c r="DF17" i="4"/>
  <c r="DE17" i="4"/>
  <c r="DD17" i="4"/>
  <c r="CZ17" i="4"/>
  <c r="CY17" i="4"/>
  <c r="CX17" i="4"/>
  <c r="CT17" i="4"/>
  <c r="CS17" i="4"/>
  <c r="CR17" i="4"/>
  <c r="CN17" i="4"/>
  <c r="CM17" i="4"/>
  <c r="CL17" i="4"/>
  <c r="CH17" i="4"/>
  <c r="CG17" i="4"/>
  <c r="CF17" i="4"/>
  <c r="CB17" i="4"/>
  <c r="CA17" i="4"/>
  <c r="BZ17" i="4"/>
  <c r="BV17" i="4"/>
  <c r="BU17" i="4"/>
  <c r="BT17" i="4"/>
  <c r="BP17" i="4"/>
  <c r="BO17" i="4"/>
  <c r="BN17" i="4"/>
  <c r="BJ17" i="4"/>
  <c r="BI17" i="4"/>
  <c r="BH17" i="4"/>
  <c r="BD17" i="4"/>
  <c r="BC17" i="4"/>
  <c r="BB17" i="4"/>
  <c r="AS17" i="4"/>
  <c r="K17" i="4"/>
  <c r="E17" i="4"/>
  <c r="EP16" i="4"/>
  <c r="EO16" i="4"/>
  <c r="EN16" i="4"/>
  <c r="EJ16" i="4"/>
  <c r="EI16" i="4"/>
  <c r="EH16" i="4"/>
  <c r="ED16" i="4"/>
  <c r="EC16" i="4"/>
  <c r="EB16" i="4"/>
  <c r="DX16" i="4"/>
  <c r="DW16" i="4"/>
  <c r="DV16" i="4"/>
  <c r="DR16" i="4"/>
  <c r="DQ16" i="4"/>
  <c r="DP16" i="4"/>
  <c r="DL16" i="4"/>
  <c r="DK16" i="4"/>
  <c r="DJ16" i="4"/>
  <c r="DF16" i="4"/>
  <c r="DE16" i="4"/>
  <c r="DD16" i="4"/>
  <c r="CZ16" i="4"/>
  <c r="CY16" i="4"/>
  <c r="CX16" i="4"/>
  <c r="CT16" i="4"/>
  <c r="CS16" i="4"/>
  <c r="CR16" i="4"/>
  <c r="CN16" i="4"/>
  <c r="CM16" i="4"/>
  <c r="CL16" i="4"/>
  <c r="CH16" i="4"/>
  <c r="CG16" i="4"/>
  <c r="CF16" i="4"/>
  <c r="CB16" i="4"/>
  <c r="CA16" i="4"/>
  <c r="BZ16" i="4"/>
  <c r="BV16" i="4"/>
  <c r="BU16" i="4"/>
  <c r="BT16" i="4"/>
  <c r="BP16" i="4"/>
  <c r="BO16" i="4"/>
  <c r="BN16" i="4"/>
  <c r="BJ16" i="4"/>
  <c r="BI16" i="4"/>
  <c r="BH16" i="4"/>
  <c r="BD16" i="4"/>
  <c r="BC16" i="4"/>
  <c r="BB16" i="4"/>
  <c r="AS16" i="4"/>
  <c r="K16" i="4"/>
  <c r="E16" i="4"/>
  <c r="EP15" i="4"/>
  <c r="EO15" i="4"/>
  <c r="EN15" i="4"/>
  <c r="EJ15" i="4"/>
  <c r="EI15" i="4"/>
  <c r="EH15" i="4"/>
  <c r="ED15" i="4"/>
  <c r="EC15" i="4"/>
  <c r="EB15" i="4"/>
  <c r="DX15" i="4"/>
  <c r="DW15" i="4"/>
  <c r="DV15" i="4"/>
  <c r="DR15" i="4"/>
  <c r="DQ15" i="4"/>
  <c r="DP15" i="4"/>
  <c r="DL15" i="4"/>
  <c r="DK15" i="4"/>
  <c r="DJ15" i="4"/>
  <c r="DF15" i="4"/>
  <c r="DE15" i="4"/>
  <c r="DD15" i="4"/>
  <c r="CZ15" i="4"/>
  <c r="CY15" i="4"/>
  <c r="CX15" i="4"/>
  <c r="CT15" i="4"/>
  <c r="CS15" i="4"/>
  <c r="CR15" i="4"/>
  <c r="CN15" i="4"/>
  <c r="CM15" i="4"/>
  <c r="CL15" i="4"/>
  <c r="CH15" i="4"/>
  <c r="CG15" i="4"/>
  <c r="CF15" i="4"/>
  <c r="CB15" i="4"/>
  <c r="CA15" i="4"/>
  <c r="BZ15" i="4"/>
  <c r="BV15" i="4"/>
  <c r="BU15" i="4"/>
  <c r="BT15" i="4"/>
  <c r="BP15" i="4"/>
  <c r="BO15" i="4"/>
  <c r="BN15" i="4"/>
  <c r="BJ15" i="4"/>
  <c r="BI15" i="4"/>
  <c r="BH15" i="4"/>
  <c r="BD15" i="4"/>
  <c r="BC15" i="4"/>
  <c r="BB15" i="4"/>
  <c r="AS15" i="4"/>
  <c r="AX15" i="4" s="1"/>
  <c r="K15" i="4"/>
  <c r="E15" i="4"/>
  <c r="EP14" i="4"/>
  <c r="EO14" i="4"/>
  <c r="EN14" i="4"/>
  <c r="EJ14" i="4"/>
  <c r="EI14" i="4"/>
  <c r="EH14" i="4"/>
  <c r="ED14" i="4"/>
  <c r="EC14" i="4"/>
  <c r="EB14" i="4"/>
  <c r="DX14" i="4"/>
  <c r="DW14" i="4"/>
  <c r="DV14" i="4"/>
  <c r="DR14" i="4"/>
  <c r="DQ14" i="4"/>
  <c r="DP14" i="4"/>
  <c r="DL14" i="4"/>
  <c r="DK14" i="4"/>
  <c r="DJ14" i="4"/>
  <c r="DF14" i="4"/>
  <c r="DE14" i="4"/>
  <c r="DD14" i="4"/>
  <c r="CZ14" i="4"/>
  <c r="CY14" i="4"/>
  <c r="CX14" i="4"/>
  <c r="CT14" i="4"/>
  <c r="CS14" i="4"/>
  <c r="CR14" i="4"/>
  <c r="CN14" i="4"/>
  <c r="CM14" i="4"/>
  <c r="CL14" i="4"/>
  <c r="CH14" i="4"/>
  <c r="CG14" i="4"/>
  <c r="CF14" i="4"/>
  <c r="CB14" i="4"/>
  <c r="CA14" i="4"/>
  <c r="BZ14" i="4"/>
  <c r="BV14" i="4"/>
  <c r="BU14" i="4"/>
  <c r="BT14" i="4"/>
  <c r="BP14" i="4"/>
  <c r="BO14" i="4"/>
  <c r="BN14" i="4"/>
  <c r="BJ14" i="4"/>
  <c r="BI14" i="4"/>
  <c r="BH14" i="4"/>
  <c r="BD14" i="4"/>
  <c r="BC14" i="4"/>
  <c r="BB14" i="4"/>
  <c r="AS14" i="4"/>
  <c r="AX14" i="4" s="1"/>
  <c r="K14" i="4"/>
  <c r="E14" i="4"/>
  <c r="EP13" i="4"/>
  <c r="EO13" i="4"/>
  <c r="EN13" i="4"/>
  <c r="EJ13" i="4"/>
  <c r="EI13" i="4"/>
  <c r="EH13" i="4"/>
  <c r="ED13" i="4"/>
  <c r="EC13" i="4"/>
  <c r="EB13" i="4"/>
  <c r="DX13" i="4"/>
  <c r="DW13" i="4"/>
  <c r="DV13" i="4"/>
  <c r="DR13" i="4"/>
  <c r="DQ13" i="4"/>
  <c r="DP13" i="4"/>
  <c r="DL13" i="4"/>
  <c r="DK13" i="4"/>
  <c r="DJ13" i="4"/>
  <c r="DF13" i="4"/>
  <c r="DE13" i="4"/>
  <c r="DD13" i="4"/>
  <c r="CZ13" i="4"/>
  <c r="CY13" i="4"/>
  <c r="CX13" i="4"/>
  <c r="CT13" i="4"/>
  <c r="CS13" i="4"/>
  <c r="CR13" i="4"/>
  <c r="CN13" i="4"/>
  <c r="CM13" i="4"/>
  <c r="CL13" i="4"/>
  <c r="CH13" i="4"/>
  <c r="CG13" i="4"/>
  <c r="CF13" i="4"/>
  <c r="CB13" i="4"/>
  <c r="CA13" i="4"/>
  <c r="BZ13" i="4"/>
  <c r="BV13" i="4"/>
  <c r="BU13" i="4"/>
  <c r="BT13" i="4"/>
  <c r="BP13" i="4"/>
  <c r="BO13" i="4"/>
  <c r="BN13" i="4"/>
  <c r="BJ13" i="4"/>
  <c r="BI13" i="4"/>
  <c r="BH13" i="4"/>
  <c r="BD13" i="4"/>
  <c r="BC13" i="4"/>
  <c r="BB13" i="4"/>
  <c r="AS13" i="4"/>
  <c r="AX13" i="4" s="1"/>
  <c r="K13" i="4"/>
  <c r="E13" i="4"/>
  <c r="EP12" i="4"/>
  <c r="EO12" i="4"/>
  <c r="EN12" i="4"/>
  <c r="EJ12" i="4"/>
  <c r="EI12" i="4"/>
  <c r="EH12" i="4"/>
  <c r="ED12" i="4"/>
  <c r="EC12" i="4"/>
  <c r="EB12" i="4"/>
  <c r="DX12" i="4"/>
  <c r="DW12" i="4"/>
  <c r="DV12" i="4"/>
  <c r="DR12" i="4"/>
  <c r="DQ12" i="4"/>
  <c r="DP12" i="4"/>
  <c r="DL12" i="4"/>
  <c r="DK12" i="4"/>
  <c r="DJ12" i="4"/>
  <c r="DF12" i="4"/>
  <c r="DE12" i="4"/>
  <c r="DD12" i="4"/>
  <c r="CZ12" i="4"/>
  <c r="CY12" i="4"/>
  <c r="CX12" i="4"/>
  <c r="CT12" i="4"/>
  <c r="CS12" i="4"/>
  <c r="CR12" i="4"/>
  <c r="CN12" i="4"/>
  <c r="CM12" i="4"/>
  <c r="CL12" i="4"/>
  <c r="CH12" i="4"/>
  <c r="CG12" i="4"/>
  <c r="CF12" i="4"/>
  <c r="CB12" i="4"/>
  <c r="CA12" i="4"/>
  <c r="BZ12" i="4"/>
  <c r="BV12" i="4"/>
  <c r="BU12" i="4"/>
  <c r="BT12" i="4"/>
  <c r="BP12" i="4"/>
  <c r="BO12" i="4"/>
  <c r="BN12" i="4"/>
  <c r="BJ12" i="4"/>
  <c r="BI12" i="4"/>
  <c r="BH12" i="4"/>
  <c r="BD12" i="4"/>
  <c r="BC12" i="4"/>
  <c r="BB12" i="4"/>
  <c r="AS12" i="4"/>
  <c r="K12" i="4"/>
  <c r="E12" i="4"/>
  <c r="EP11" i="4"/>
  <c r="EO11" i="4"/>
  <c r="EN11" i="4"/>
  <c r="EJ11" i="4"/>
  <c r="EI11" i="4"/>
  <c r="EH11" i="4"/>
  <c r="ED11" i="4"/>
  <c r="EC11" i="4"/>
  <c r="EB11" i="4"/>
  <c r="DX11" i="4"/>
  <c r="DW11" i="4"/>
  <c r="DV11" i="4"/>
  <c r="DR11" i="4"/>
  <c r="DQ11" i="4"/>
  <c r="DP11" i="4"/>
  <c r="DL11" i="4"/>
  <c r="DK11" i="4"/>
  <c r="DJ11" i="4"/>
  <c r="DF11" i="4"/>
  <c r="DE11" i="4"/>
  <c r="DD11" i="4"/>
  <c r="CZ11" i="4"/>
  <c r="CY11" i="4"/>
  <c r="CX11" i="4"/>
  <c r="CT11" i="4"/>
  <c r="CS11" i="4"/>
  <c r="CR11" i="4"/>
  <c r="CN11" i="4"/>
  <c r="CM11" i="4"/>
  <c r="CL11" i="4"/>
  <c r="CH11" i="4"/>
  <c r="CG11" i="4"/>
  <c r="CF11" i="4"/>
  <c r="CB11" i="4"/>
  <c r="CA11" i="4"/>
  <c r="BZ11" i="4"/>
  <c r="BV11" i="4"/>
  <c r="BU11" i="4"/>
  <c r="BT11" i="4"/>
  <c r="BP11" i="4"/>
  <c r="BO11" i="4"/>
  <c r="BN11" i="4"/>
  <c r="BJ11" i="4"/>
  <c r="BI11" i="4"/>
  <c r="BH11" i="4"/>
  <c r="BD11" i="4"/>
  <c r="BC11" i="4"/>
  <c r="BB11" i="4"/>
  <c r="AS11" i="4"/>
  <c r="K11" i="4"/>
  <c r="E11" i="4"/>
  <c r="EP10" i="4"/>
  <c r="EO10" i="4"/>
  <c r="EN10" i="4"/>
  <c r="EJ10" i="4"/>
  <c r="EI10" i="4"/>
  <c r="EH10" i="4"/>
  <c r="ED10" i="4"/>
  <c r="EC10" i="4"/>
  <c r="EB10" i="4"/>
  <c r="DX10" i="4"/>
  <c r="DW10" i="4"/>
  <c r="DV10" i="4"/>
  <c r="DR10" i="4"/>
  <c r="DQ10" i="4"/>
  <c r="DP10" i="4"/>
  <c r="DL10" i="4"/>
  <c r="DK10" i="4"/>
  <c r="DJ10" i="4"/>
  <c r="DF10" i="4"/>
  <c r="DE10" i="4"/>
  <c r="DD10" i="4"/>
  <c r="CZ10" i="4"/>
  <c r="CY10" i="4"/>
  <c r="CX10" i="4"/>
  <c r="CT10" i="4"/>
  <c r="CS10" i="4"/>
  <c r="CR10" i="4"/>
  <c r="CN10" i="4"/>
  <c r="CM10" i="4"/>
  <c r="CL10" i="4"/>
  <c r="CH10" i="4"/>
  <c r="CG10" i="4"/>
  <c r="CF10" i="4"/>
  <c r="CB10" i="4"/>
  <c r="CA10" i="4"/>
  <c r="BZ10" i="4"/>
  <c r="BV10" i="4"/>
  <c r="BU10" i="4"/>
  <c r="BT10" i="4"/>
  <c r="BP10" i="4"/>
  <c r="BO10" i="4"/>
  <c r="BN10" i="4"/>
  <c r="BJ10" i="4"/>
  <c r="BI10" i="4"/>
  <c r="BH10" i="4"/>
  <c r="BD10" i="4"/>
  <c r="BC10" i="4"/>
  <c r="BB10" i="4"/>
  <c r="AS10" i="4"/>
  <c r="AV10" i="4" s="1"/>
  <c r="K10" i="4"/>
  <c r="AQ10" i="4" s="1"/>
  <c r="E10" i="4"/>
  <c r="EP9" i="4"/>
  <c r="EO9" i="4"/>
  <c r="EN9" i="4"/>
  <c r="EJ9" i="4"/>
  <c r="EI9" i="4"/>
  <c r="EH9" i="4"/>
  <c r="ED9" i="4"/>
  <c r="EC9" i="4"/>
  <c r="EB9" i="4"/>
  <c r="DX9" i="4"/>
  <c r="DW9" i="4"/>
  <c r="DV9" i="4"/>
  <c r="DR9" i="4"/>
  <c r="DQ9" i="4"/>
  <c r="DP9" i="4"/>
  <c r="DL9" i="4"/>
  <c r="DK9" i="4"/>
  <c r="DJ9" i="4"/>
  <c r="DF9" i="4"/>
  <c r="DE9" i="4"/>
  <c r="DD9" i="4"/>
  <c r="CZ9" i="4"/>
  <c r="CY9" i="4"/>
  <c r="CX9" i="4"/>
  <c r="CT9" i="4"/>
  <c r="CS9" i="4"/>
  <c r="CR9" i="4"/>
  <c r="CN9" i="4"/>
  <c r="CM9" i="4"/>
  <c r="CL9" i="4"/>
  <c r="CH9" i="4"/>
  <c r="CG9" i="4"/>
  <c r="CF9" i="4"/>
  <c r="CB9" i="4"/>
  <c r="CA9" i="4"/>
  <c r="BZ9" i="4"/>
  <c r="BV9" i="4"/>
  <c r="BU9" i="4"/>
  <c r="BT9" i="4"/>
  <c r="BP9" i="4"/>
  <c r="BO9" i="4"/>
  <c r="BN9" i="4"/>
  <c r="BJ9" i="4"/>
  <c r="BI9" i="4"/>
  <c r="BH9" i="4"/>
  <c r="BD9" i="4"/>
  <c r="BC9" i="4"/>
  <c r="BB9" i="4"/>
  <c r="AS9" i="4"/>
  <c r="AW9" i="4" s="1"/>
  <c r="K9" i="4"/>
  <c r="E9" i="4"/>
  <c r="EP8" i="4"/>
  <c r="EO8" i="4"/>
  <c r="EN8" i="4"/>
  <c r="EJ8" i="4"/>
  <c r="EI8" i="4"/>
  <c r="EH8" i="4"/>
  <c r="ED8" i="4"/>
  <c r="EC8" i="4"/>
  <c r="EB8" i="4"/>
  <c r="DX8" i="4"/>
  <c r="DW8" i="4"/>
  <c r="DV8" i="4"/>
  <c r="DR8" i="4"/>
  <c r="DQ8" i="4"/>
  <c r="DP8" i="4"/>
  <c r="DL8" i="4"/>
  <c r="DK8" i="4"/>
  <c r="DJ8" i="4"/>
  <c r="DF8" i="4"/>
  <c r="DE8" i="4"/>
  <c r="DD8" i="4"/>
  <c r="CZ8" i="4"/>
  <c r="CY8" i="4"/>
  <c r="CX8" i="4"/>
  <c r="CT8" i="4"/>
  <c r="CS8" i="4"/>
  <c r="CR8" i="4"/>
  <c r="CN8" i="4"/>
  <c r="CM8" i="4"/>
  <c r="CL8" i="4"/>
  <c r="CH8" i="4"/>
  <c r="CG8" i="4"/>
  <c r="CF8" i="4"/>
  <c r="CB8" i="4"/>
  <c r="CA8" i="4"/>
  <c r="BZ8" i="4"/>
  <c r="BV8" i="4"/>
  <c r="BU8" i="4"/>
  <c r="BT8" i="4"/>
  <c r="BP8" i="4"/>
  <c r="BO8" i="4"/>
  <c r="BN8" i="4"/>
  <c r="BJ8" i="4"/>
  <c r="BI8" i="4"/>
  <c r="BH8" i="4"/>
  <c r="BD8" i="4"/>
  <c r="BC8" i="4"/>
  <c r="BB8" i="4"/>
  <c r="AS8" i="4"/>
  <c r="AX8" i="4" s="1"/>
  <c r="K8" i="4"/>
  <c r="E8" i="4"/>
  <c r="EP7" i="4"/>
  <c r="EO7" i="4"/>
  <c r="EN7" i="4"/>
  <c r="EJ7" i="4"/>
  <c r="EI7" i="4"/>
  <c r="EH7" i="4"/>
  <c r="ED7" i="4"/>
  <c r="EC7" i="4"/>
  <c r="EB7" i="4"/>
  <c r="DX7" i="4"/>
  <c r="DW7" i="4"/>
  <c r="DV7" i="4"/>
  <c r="DR7" i="4"/>
  <c r="DQ7" i="4"/>
  <c r="DP7" i="4"/>
  <c r="DL7" i="4"/>
  <c r="DK7" i="4"/>
  <c r="DJ7" i="4"/>
  <c r="DF7" i="4"/>
  <c r="DE7" i="4"/>
  <c r="DD7" i="4"/>
  <c r="CZ7" i="4"/>
  <c r="CY7" i="4"/>
  <c r="CX7" i="4"/>
  <c r="CT7" i="4"/>
  <c r="CS7" i="4"/>
  <c r="CR7" i="4"/>
  <c r="CN7" i="4"/>
  <c r="CM7" i="4"/>
  <c r="CL7" i="4"/>
  <c r="CH7" i="4"/>
  <c r="CG7" i="4"/>
  <c r="CF7" i="4"/>
  <c r="CB7" i="4"/>
  <c r="CA7" i="4"/>
  <c r="BZ7" i="4"/>
  <c r="BV7" i="4"/>
  <c r="BU7" i="4"/>
  <c r="BT7" i="4"/>
  <c r="BP7" i="4"/>
  <c r="BO7" i="4"/>
  <c r="BN7" i="4"/>
  <c r="BJ7" i="4"/>
  <c r="BI7" i="4"/>
  <c r="BH7" i="4"/>
  <c r="BD7" i="4"/>
  <c r="BC7" i="4"/>
  <c r="BB7" i="4"/>
  <c r="AS7" i="4"/>
  <c r="K7" i="4"/>
  <c r="AO7" i="4" s="1"/>
  <c r="E7" i="4"/>
  <c r="EP6" i="4"/>
  <c r="EO6" i="4"/>
  <c r="EN6" i="4"/>
  <c r="EJ6" i="4"/>
  <c r="EI6" i="4"/>
  <c r="EH6" i="4"/>
  <c r="ED6" i="4"/>
  <c r="EC6" i="4"/>
  <c r="EB6" i="4"/>
  <c r="DX6" i="4"/>
  <c r="DW6" i="4"/>
  <c r="DV6" i="4"/>
  <c r="DR6" i="4"/>
  <c r="DQ6" i="4"/>
  <c r="DP6" i="4"/>
  <c r="DL6" i="4"/>
  <c r="DK6" i="4"/>
  <c r="DJ6" i="4"/>
  <c r="DF6" i="4"/>
  <c r="DE6" i="4"/>
  <c r="DD6" i="4"/>
  <c r="CZ6" i="4"/>
  <c r="CY6" i="4"/>
  <c r="CX6" i="4"/>
  <c r="CT6" i="4"/>
  <c r="CS6" i="4"/>
  <c r="CR6" i="4"/>
  <c r="CN6" i="4"/>
  <c r="CM6" i="4"/>
  <c r="CL6" i="4"/>
  <c r="CH6" i="4"/>
  <c r="CG6" i="4"/>
  <c r="CF6" i="4"/>
  <c r="CB6" i="4"/>
  <c r="CA6" i="4"/>
  <c r="BZ6" i="4"/>
  <c r="BV6" i="4"/>
  <c r="BU6" i="4"/>
  <c r="BT6" i="4"/>
  <c r="BP6" i="4"/>
  <c r="BO6" i="4"/>
  <c r="BN6" i="4"/>
  <c r="BJ6" i="4"/>
  <c r="BI6" i="4"/>
  <c r="BH6" i="4"/>
  <c r="BD6" i="4"/>
  <c r="BC6" i="4"/>
  <c r="BB6" i="4"/>
  <c r="AS6" i="4"/>
  <c r="K6" i="4"/>
  <c r="AP6" i="4" s="1"/>
  <c r="E6" i="4"/>
  <c r="EP5" i="4"/>
  <c r="EO5" i="4"/>
  <c r="EN5" i="4"/>
  <c r="EJ5" i="4"/>
  <c r="EI5" i="4"/>
  <c r="EH5" i="4"/>
  <c r="ED5" i="4"/>
  <c r="EC5" i="4"/>
  <c r="EB5" i="4"/>
  <c r="DX5" i="4"/>
  <c r="DW5" i="4"/>
  <c r="DV5" i="4"/>
  <c r="DR5" i="4"/>
  <c r="DQ5" i="4"/>
  <c r="DP5" i="4"/>
  <c r="DL5" i="4"/>
  <c r="DK5" i="4"/>
  <c r="DJ5" i="4"/>
  <c r="DF5" i="4"/>
  <c r="DE5" i="4"/>
  <c r="DD5" i="4"/>
  <c r="CZ5" i="4"/>
  <c r="CY5" i="4"/>
  <c r="CX5" i="4"/>
  <c r="CT5" i="4"/>
  <c r="CS5" i="4"/>
  <c r="CR5" i="4"/>
  <c r="CN5" i="4"/>
  <c r="CM5" i="4"/>
  <c r="CL5" i="4"/>
  <c r="CH5" i="4"/>
  <c r="CG5" i="4"/>
  <c r="CF5" i="4"/>
  <c r="CB5" i="4"/>
  <c r="CA5" i="4"/>
  <c r="BZ5" i="4"/>
  <c r="BV5" i="4"/>
  <c r="BU5" i="4"/>
  <c r="BT5" i="4"/>
  <c r="BP5" i="4"/>
  <c r="BO5" i="4"/>
  <c r="BN5" i="4"/>
  <c r="BJ5" i="4"/>
  <c r="BI5" i="4"/>
  <c r="BH5" i="4"/>
  <c r="BD5" i="4"/>
  <c r="BC5" i="4"/>
  <c r="BB5" i="4"/>
  <c r="AS5" i="4"/>
  <c r="AX5" i="4" s="1"/>
  <c r="K5" i="4"/>
  <c r="AP5" i="4" s="1"/>
  <c r="E5" i="4"/>
  <c r="GY52" i="1"/>
  <c r="GS52" i="1"/>
  <c r="GM52" i="1"/>
  <c r="GG52" i="1"/>
  <c r="GA52" i="1"/>
  <c r="FU52" i="1"/>
  <c r="FO52" i="1"/>
  <c r="FI52" i="1"/>
  <c r="FA52" i="1"/>
  <c r="FB52" i="1" s="1"/>
  <c r="EU52" i="1"/>
  <c r="EV52" i="1" s="1"/>
  <c r="ET52" i="1"/>
  <c r="EN52" i="1"/>
  <c r="EO52" i="1" s="1"/>
  <c r="AG52" i="1"/>
  <c r="U52" i="1"/>
  <c r="I52" i="1"/>
  <c r="FF52" i="1" s="1"/>
  <c r="HE51" i="1"/>
  <c r="GY51" i="1"/>
  <c r="GS51" i="1"/>
  <c r="GM51" i="1"/>
  <c r="GG51" i="1"/>
  <c r="GA51" i="1"/>
  <c r="FU51" i="1"/>
  <c r="FO51" i="1"/>
  <c r="FI51" i="1"/>
  <c r="FA51" i="1"/>
  <c r="FB51" i="1" s="1"/>
  <c r="EZ51" i="1"/>
  <c r="EU51" i="1"/>
  <c r="EV51" i="1" s="1"/>
  <c r="ET51" i="1"/>
  <c r="EN51" i="1"/>
  <c r="EO51" i="1" s="1"/>
  <c r="EM51" i="1"/>
  <c r="AG51" i="1"/>
  <c r="U51" i="1"/>
  <c r="I51" i="1"/>
  <c r="FF51" i="1" s="1"/>
  <c r="HW50" i="1"/>
  <c r="HX50" i="1" s="1"/>
  <c r="ID50" i="1" s="1"/>
  <c r="HV50" i="1"/>
  <c r="IB50" i="1" s="1"/>
  <c r="HQ50" i="1"/>
  <c r="HE50" i="1"/>
  <c r="GY50" i="1"/>
  <c r="GS50" i="1"/>
  <c r="GM50" i="1"/>
  <c r="GG50" i="1"/>
  <c r="GA50" i="1"/>
  <c r="FU50" i="1"/>
  <c r="FO50" i="1"/>
  <c r="FI50" i="1"/>
  <c r="FA50" i="1"/>
  <c r="FB50" i="1" s="1"/>
  <c r="EZ50" i="1"/>
  <c r="EU50" i="1"/>
  <c r="EV50" i="1" s="1"/>
  <c r="ET50" i="1"/>
  <c r="EN50" i="1"/>
  <c r="EO50" i="1" s="1"/>
  <c r="EM50" i="1"/>
  <c r="AG50" i="1"/>
  <c r="U50" i="1"/>
  <c r="I50" i="1"/>
  <c r="FF50" i="1" s="1"/>
  <c r="HW49" i="1"/>
  <c r="IC49" i="1" s="1"/>
  <c r="HV49" i="1"/>
  <c r="IB49" i="1" s="1"/>
  <c r="HQ49" i="1"/>
  <c r="HE49" i="1"/>
  <c r="EN49" i="1" s="1"/>
  <c r="EO49" i="1" s="1"/>
  <c r="GY49" i="1"/>
  <c r="GS49" i="1"/>
  <c r="GM49" i="1"/>
  <c r="GG49" i="1"/>
  <c r="GA49" i="1"/>
  <c r="FU49" i="1"/>
  <c r="FO49" i="1"/>
  <c r="FI49" i="1"/>
  <c r="FB49" i="1"/>
  <c r="FA49" i="1"/>
  <c r="EZ49" i="1"/>
  <c r="EU49" i="1"/>
  <c r="EV49" i="1" s="1"/>
  <c r="ET49" i="1"/>
  <c r="EM49" i="1"/>
  <c r="AG49" i="1"/>
  <c r="U49" i="1"/>
  <c r="I49" i="1"/>
  <c r="FF49" i="1" s="1"/>
  <c r="HW48" i="1"/>
  <c r="IC48" i="1" s="1"/>
  <c r="HV48" i="1"/>
  <c r="IB48" i="1" s="1"/>
  <c r="HT48" i="1"/>
  <c r="HS48" i="1"/>
  <c r="HR48" i="1"/>
  <c r="HQ48" i="1"/>
  <c r="HN48" i="1"/>
  <c r="HM48" i="1"/>
  <c r="HL48" i="1"/>
  <c r="HH48" i="1"/>
  <c r="HG48" i="1"/>
  <c r="HF48" i="1"/>
  <c r="HE48" i="1"/>
  <c r="HB48" i="1"/>
  <c r="HA48" i="1"/>
  <c r="GZ48" i="1"/>
  <c r="GY48" i="1"/>
  <c r="GV48" i="1"/>
  <c r="GU48" i="1"/>
  <c r="GT48" i="1"/>
  <c r="GS48" i="1"/>
  <c r="GP48" i="1"/>
  <c r="GO48" i="1"/>
  <c r="GN48" i="1"/>
  <c r="GM48" i="1"/>
  <c r="GJ48" i="1"/>
  <c r="GI48" i="1"/>
  <c r="GH48" i="1"/>
  <c r="GG48" i="1"/>
  <c r="GD48" i="1"/>
  <c r="GC48" i="1"/>
  <c r="GB48" i="1"/>
  <c r="GA48" i="1"/>
  <c r="FX48" i="1"/>
  <c r="FW48" i="1"/>
  <c r="FV48" i="1"/>
  <c r="FU48" i="1"/>
  <c r="FR48" i="1"/>
  <c r="FQ48" i="1"/>
  <c r="FP48" i="1"/>
  <c r="FO48" i="1"/>
  <c r="FL48" i="1"/>
  <c r="FK48" i="1"/>
  <c r="FJ48" i="1"/>
  <c r="FI48" i="1"/>
  <c r="FA48" i="1"/>
  <c r="FB48" i="1" s="1"/>
  <c r="EZ48" i="1"/>
  <c r="EV48" i="1"/>
  <c r="EU48" i="1"/>
  <c r="ET48" i="1"/>
  <c r="EN48" i="1"/>
  <c r="EO48" i="1" s="1"/>
  <c r="EM48" i="1"/>
  <c r="AG48" i="1"/>
  <c r="U48" i="1"/>
  <c r="I48" i="1"/>
  <c r="FF48" i="1" s="1"/>
  <c r="IC47" i="1"/>
  <c r="HX47" i="1"/>
  <c r="ID47" i="1" s="1"/>
  <c r="HW47" i="1"/>
  <c r="HV47" i="1"/>
  <c r="IB47" i="1" s="1"/>
  <c r="HT47" i="1"/>
  <c r="HS47" i="1"/>
  <c r="HR47" i="1"/>
  <c r="HQ47" i="1"/>
  <c r="HN47" i="1"/>
  <c r="HM47" i="1"/>
  <c r="HL47" i="1"/>
  <c r="HH47" i="1"/>
  <c r="HG47" i="1"/>
  <c r="HF47" i="1"/>
  <c r="HE47" i="1"/>
  <c r="EN47" i="1" s="1"/>
  <c r="EO47" i="1" s="1"/>
  <c r="HB47" i="1"/>
  <c r="HA47" i="1"/>
  <c r="GZ47" i="1"/>
  <c r="GY47" i="1"/>
  <c r="GV47" i="1"/>
  <c r="GU47" i="1"/>
  <c r="GT47" i="1"/>
  <c r="GS47" i="1"/>
  <c r="GP47" i="1"/>
  <c r="GO47" i="1"/>
  <c r="GN47" i="1"/>
  <c r="GM47" i="1"/>
  <c r="GJ47" i="1"/>
  <c r="GI47" i="1"/>
  <c r="GH47" i="1"/>
  <c r="GG47" i="1"/>
  <c r="GD47" i="1"/>
  <c r="GC47" i="1"/>
  <c r="GB47" i="1"/>
  <c r="GA47" i="1"/>
  <c r="FX47" i="1"/>
  <c r="FW47" i="1"/>
  <c r="FV47" i="1"/>
  <c r="FU47" i="1"/>
  <c r="FR47" i="1"/>
  <c r="FQ47" i="1"/>
  <c r="FP47" i="1"/>
  <c r="FO47" i="1"/>
  <c r="FL47" i="1"/>
  <c r="FK47" i="1"/>
  <c r="FJ47" i="1"/>
  <c r="FI47" i="1"/>
  <c r="FA47" i="1"/>
  <c r="FB47" i="1" s="1"/>
  <c r="EZ47" i="1"/>
  <c r="EU47" i="1"/>
  <c r="EV47" i="1" s="1"/>
  <c r="ET47" i="1"/>
  <c r="EM47" i="1"/>
  <c r="AG47" i="1"/>
  <c r="U47" i="1"/>
  <c r="I47" i="1"/>
  <c r="FF47" i="1" s="1"/>
  <c r="IB46" i="1"/>
  <c r="HW46" i="1"/>
  <c r="IC46" i="1" s="1"/>
  <c r="HV46" i="1"/>
  <c r="HT46" i="1"/>
  <c r="HS46" i="1"/>
  <c r="HR46" i="1"/>
  <c r="HQ46" i="1"/>
  <c r="HN46" i="1"/>
  <c r="HM46" i="1"/>
  <c r="HL46" i="1"/>
  <c r="HH46" i="1"/>
  <c r="HG46" i="1"/>
  <c r="HF46" i="1"/>
  <c r="HE46" i="1"/>
  <c r="EN46" i="1" s="1"/>
  <c r="EO46" i="1" s="1"/>
  <c r="HB46" i="1"/>
  <c r="HA46" i="1"/>
  <c r="GZ46" i="1"/>
  <c r="GY46" i="1"/>
  <c r="GV46" i="1"/>
  <c r="GU46" i="1"/>
  <c r="GT46" i="1"/>
  <c r="GS46" i="1"/>
  <c r="GP46" i="1"/>
  <c r="GO46" i="1"/>
  <c r="GN46" i="1"/>
  <c r="GM46" i="1"/>
  <c r="GJ46" i="1"/>
  <c r="GI46" i="1"/>
  <c r="GH46" i="1"/>
  <c r="GG46" i="1"/>
  <c r="GD46" i="1"/>
  <c r="GC46" i="1"/>
  <c r="GB46" i="1"/>
  <c r="GA46" i="1"/>
  <c r="FX46" i="1"/>
  <c r="FW46" i="1"/>
  <c r="FV46" i="1"/>
  <c r="FU46" i="1"/>
  <c r="FR46" i="1"/>
  <c r="FQ46" i="1"/>
  <c r="FP46" i="1"/>
  <c r="FO46" i="1"/>
  <c r="FL46" i="1"/>
  <c r="FK46" i="1"/>
  <c r="FJ46" i="1"/>
  <c r="FI46" i="1"/>
  <c r="FA46" i="1"/>
  <c r="FB46" i="1" s="1"/>
  <c r="EZ46" i="1"/>
  <c r="EV46" i="1"/>
  <c r="EU46" i="1"/>
  <c r="ET46" i="1"/>
  <c r="EM46" i="1"/>
  <c r="AG46" i="1"/>
  <c r="O10" i="2" s="1"/>
  <c r="U46" i="1"/>
  <c r="BI29" i="2" s="1"/>
  <c r="BK29" i="2" s="1"/>
  <c r="I46" i="1"/>
  <c r="FF46" i="1" s="1"/>
  <c r="HW45" i="1"/>
  <c r="IC45" i="1" s="1"/>
  <c r="HV45" i="1"/>
  <c r="IB45" i="1" s="1"/>
  <c r="HT45" i="1"/>
  <c r="HS45" i="1"/>
  <c r="HR45" i="1"/>
  <c r="HQ45" i="1"/>
  <c r="HN45" i="1"/>
  <c r="HM45" i="1"/>
  <c r="HL45" i="1"/>
  <c r="HH45" i="1"/>
  <c r="HG45" i="1"/>
  <c r="HF45" i="1"/>
  <c r="HE45" i="1"/>
  <c r="HB45" i="1"/>
  <c r="HA45" i="1"/>
  <c r="GZ45" i="1"/>
  <c r="GY45" i="1"/>
  <c r="GV45" i="1"/>
  <c r="GU45" i="1"/>
  <c r="GT45" i="1"/>
  <c r="GS45" i="1"/>
  <c r="GP45" i="1"/>
  <c r="GO45" i="1"/>
  <c r="GN45" i="1"/>
  <c r="GM45" i="1"/>
  <c r="GJ45" i="1"/>
  <c r="GI45" i="1"/>
  <c r="GH45" i="1"/>
  <c r="GG45" i="1"/>
  <c r="GD45" i="1"/>
  <c r="GC45" i="1"/>
  <c r="GB45" i="1"/>
  <c r="GA45" i="1"/>
  <c r="FX45" i="1"/>
  <c r="FW45" i="1"/>
  <c r="FV45" i="1"/>
  <c r="FU45" i="1"/>
  <c r="FR45" i="1"/>
  <c r="FQ45" i="1"/>
  <c r="FP45" i="1"/>
  <c r="FO45" i="1"/>
  <c r="FL45" i="1"/>
  <c r="FK45" i="1"/>
  <c r="FJ45" i="1"/>
  <c r="FI45" i="1"/>
  <c r="FA45" i="1"/>
  <c r="FB45" i="1" s="1"/>
  <c r="EZ45" i="1"/>
  <c r="EU45" i="1"/>
  <c r="EV45" i="1" s="1"/>
  <c r="ET45" i="1"/>
  <c r="EN45" i="1"/>
  <c r="EO45" i="1" s="1"/>
  <c r="EM45" i="1"/>
  <c r="AG45" i="1"/>
  <c r="U45" i="1"/>
  <c r="I45" i="1"/>
  <c r="FF45" i="1" s="1"/>
  <c r="HW44" i="1"/>
  <c r="HX44" i="1" s="1"/>
  <c r="ID44" i="1" s="1"/>
  <c r="HV44" i="1"/>
  <c r="IB44" i="1" s="1"/>
  <c r="HT44" i="1"/>
  <c r="HS44" i="1"/>
  <c r="HR44" i="1"/>
  <c r="HQ44" i="1"/>
  <c r="HN44" i="1"/>
  <c r="HM44" i="1"/>
  <c r="HL44" i="1"/>
  <c r="HH44" i="1"/>
  <c r="HG44" i="1"/>
  <c r="HF44" i="1"/>
  <c r="HE44" i="1"/>
  <c r="HB44" i="1"/>
  <c r="HA44" i="1"/>
  <c r="GZ44" i="1"/>
  <c r="GY44" i="1"/>
  <c r="GV44" i="1"/>
  <c r="GU44" i="1"/>
  <c r="GT44" i="1"/>
  <c r="GS44" i="1"/>
  <c r="GP44" i="1"/>
  <c r="GO44" i="1"/>
  <c r="GN44" i="1"/>
  <c r="GM44" i="1"/>
  <c r="GJ44" i="1"/>
  <c r="GI44" i="1"/>
  <c r="GH44" i="1"/>
  <c r="GG44" i="1"/>
  <c r="GD44" i="1"/>
  <c r="GC44" i="1"/>
  <c r="GB44" i="1"/>
  <c r="GA44" i="1"/>
  <c r="FX44" i="1"/>
  <c r="FW44" i="1"/>
  <c r="FV44" i="1"/>
  <c r="FU44" i="1"/>
  <c r="FR44" i="1"/>
  <c r="FQ44" i="1"/>
  <c r="FP44" i="1"/>
  <c r="FO44" i="1"/>
  <c r="FL44" i="1"/>
  <c r="FK44" i="1"/>
  <c r="FJ44" i="1"/>
  <c r="FI44" i="1"/>
  <c r="FA44" i="1"/>
  <c r="FB44" i="1" s="1"/>
  <c r="EZ44" i="1"/>
  <c r="EU44" i="1"/>
  <c r="EV44" i="1" s="1"/>
  <c r="ET44" i="1"/>
  <c r="EN44" i="1"/>
  <c r="EO44" i="1" s="1"/>
  <c r="EM44" i="1"/>
  <c r="AG44" i="1"/>
  <c r="U44" i="1"/>
  <c r="I44" i="1"/>
  <c r="FF44" i="1" s="1"/>
  <c r="HW43" i="1"/>
  <c r="HX43" i="1" s="1"/>
  <c r="ID43" i="1" s="1"/>
  <c r="HV43" i="1"/>
  <c r="IB43" i="1" s="1"/>
  <c r="HT43" i="1"/>
  <c r="HS43" i="1"/>
  <c r="HR43" i="1"/>
  <c r="HQ43" i="1"/>
  <c r="HN43" i="1"/>
  <c r="HM43" i="1"/>
  <c r="HL43" i="1"/>
  <c r="HH43" i="1"/>
  <c r="HG43" i="1"/>
  <c r="HF43" i="1"/>
  <c r="HE43" i="1"/>
  <c r="HB43" i="1"/>
  <c r="HA43" i="1"/>
  <c r="GZ43" i="1"/>
  <c r="GY43" i="1"/>
  <c r="GV43" i="1"/>
  <c r="GU43" i="1"/>
  <c r="GT43" i="1"/>
  <c r="GS43" i="1"/>
  <c r="GP43" i="1"/>
  <c r="GO43" i="1"/>
  <c r="GN43" i="1"/>
  <c r="GM43" i="1"/>
  <c r="GJ43" i="1"/>
  <c r="GI43" i="1"/>
  <c r="GH43" i="1"/>
  <c r="GG43" i="1"/>
  <c r="GD43" i="1"/>
  <c r="GC43" i="1"/>
  <c r="GB43" i="1"/>
  <c r="GA43" i="1"/>
  <c r="FX43" i="1"/>
  <c r="FW43" i="1"/>
  <c r="FV43" i="1"/>
  <c r="FU43" i="1"/>
  <c r="FR43" i="1"/>
  <c r="FQ43" i="1"/>
  <c r="FP43" i="1"/>
  <c r="FO43" i="1"/>
  <c r="FL43" i="1"/>
  <c r="FK43" i="1"/>
  <c r="FJ43" i="1"/>
  <c r="FI43" i="1"/>
  <c r="FA43" i="1"/>
  <c r="FB43" i="1" s="1"/>
  <c r="EZ43" i="1"/>
  <c r="FE48" i="1" s="1"/>
  <c r="EU43" i="1"/>
  <c r="EV43" i="1" s="1"/>
  <c r="ET43" i="1"/>
  <c r="EO43" i="1"/>
  <c r="EN43" i="1"/>
  <c r="EM43" i="1"/>
  <c r="AG43" i="1"/>
  <c r="U43" i="1"/>
  <c r="I43" i="1"/>
  <c r="FF43" i="1" s="1"/>
  <c r="IB42" i="1"/>
  <c r="HW42" i="1"/>
  <c r="IC42" i="1" s="1"/>
  <c r="HV42" i="1"/>
  <c r="HT42" i="1"/>
  <c r="HS42" i="1"/>
  <c r="HR42" i="1"/>
  <c r="HQ42" i="1"/>
  <c r="HN42" i="1"/>
  <c r="HM42" i="1"/>
  <c r="HL42" i="1"/>
  <c r="HH42" i="1"/>
  <c r="HG42" i="1"/>
  <c r="HF42" i="1"/>
  <c r="HE42" i="1"/>
  <c r="EN42" i="1" s="1"/>
  <c r="EO42" i="1" s="1"/>
  <c r="HB42" i="1"/>
  <c r="HA42" i="1"/>
  <c r="GZ42" i="1"/>
  <c r="GY42" i="1"/>
  <c r="GV42" i="1"/>
  <c r="GU42" i="1"/>
  <c r="GT42" i="1"/>
  <c r="GS42" i="1"/>
  <c r="GP42" i="1"/>
  <c r="GO42" i="1"/>
  <c r="GN42" i="1"/>
  <c r="GM42" i="1"/>
  <c r="GJ42" i="1"/>
  <c r="GI42" i="1"/>
  <c r="GH42" i="1"/>
  <c r="GG42" i="1"/>
  <c r="GD42" i="1"/>
  <c r="GC42" i="1"/>
  <c r="GB42" i="1"/>
  <c r="GA42" i="1"/>
  <c r="FX42" i="1"/>
  <c r="FW42" i="1"/>
  <c r="FV42" i="1"/>
  <c r="FU42" i="1"/>
  <c r="FR42" i="1"/>
  <c r="FQ42" i="1"/>
  <c r="FP42" i="1"/>
  <c r="FO42" i="1"/>
  <c r="FL42" i="1"/>
  <c r="FK42" i="1"/>
  <c r="FJ42" i="1"/>
  <c r="FI42" i="1"/>
  <c r="FA42" i="1"/>
  <c r="FB42" i="1" s="1"/>
  <c r="EZ42" i="1"/>
  <c r="EV42" i="1"/>
  <c r="EU42" i="1"/>
  <c r="ET42" i="1"/>
  <c r="EM42" i="1"/>
  <c r="EQ47" i="1" s="1"/>
  <c r="AG42" i="1"/>
  <c r="U42" i="1"/>
  <c r="I42" i="1"/>
  <c r="FF42" i="1" s="1"/>
  <c r="HW41" i="1"/>
  <c r="IC41" i="1" s="1"/>
  <c r="HV41" i="1"/>
  <c r="IB41" i="1" s="1"/>
  <c r="HT41" i="1"/>
  <c r="HS41" i="1"/>
  <c r="HR41" i="1"/>
  <c r="HQ41" i="1"/>
  <c r="HN41" i="1"/>
  <c r="HM41" i="1"/>
  <c r="HL41" i="1"/>
  <c r="HH41" i="1"/>
  <c r="HG41" i="1"/>
  <c r="HF41" i="1"/>
  <c r="HE41" i="1"/>
  <c r="EN41" i="1" s="1"/>
  <c r="EO41" i="1" s="1"/>
  <c r="HB41" i="1"/>
  <c r="HA41" i="1"/>
  <c r="GZ41" i="1"/>
  <c r="GY41" i="1"/>
  <c r="GV41" i="1"/>
  <c r="GU41" i="1"/>
  <c r="GT41" i="1"/>
  <c r="GS41" i="1"/>
  <c r="GP41" i="1"/>
  <c r="GO41" i="1"/>
  <c r="GN41" i="1"/>
  <c r="GM41" i="1"/>
  <c r="GJ41" i="1"/>
  <c r="GI41" i="1"/>
  <c r="GH41" i="1"/>
  <c r="GG41" i="1"/>
  <c r="GD41" i="1"/>
  <c r="GC41" i="1"/>
  <c r="GB41" i="1"/>
  <c r="GA41" i="1"/>
  <c r="FX41" i="1"/>
  <c r="FW41" i="1"/>
  <c r="FV41" i="1"/>
  <c r="FU41" i="1"/>
  <c r="FR41" i="1"/>
  <c r="FQ41" i="1"/>
  <c r="FP41" i="1"/>
  <c r="FO41" i="1"/>
  <c r="FL41" i="1"/>
  <c r="FK41" i="1"/>
  <c r="FJ41" i="1"/>
  <c r="FI41" i="1"/>
  <c r="FF41" i="1"/>
  <c r="FA41" i="1"/>
  <c r="FB41" i="1" s="1"/>
  <c r="EZ41" i="1"/>
  <c r="EU41" i="1"/>
  <c r="EV41" i="1" s="1"/>
  <c r="ET41" i="1"/>
  <c r="EM41" i="1"/>
  <c r="AG41" i="1"/>
  <c r="U41" i="1"/>
  <c r="I41" i="1"/>
  <c r="HW40" i="1"/>
  <c r="IC40" i="1" s="1"/>
  <c r="HV40" i="1"/>
  <c r="IB40" i="1" s="1"/>
  <c r="HT40" i="1"/>
  <c r="HS40" i="1"/>
  <c r="HR40" i="1"/>
  <c r="HQ40" i="1"/>
  <c r="HN40" i="1"/>
  <c r="HM40" i="1"/>
  <c r="HL40" i="1"/>
  <c r="HH40" i="1"/>
  <c r="HG40" i="1"/>
  <c r="HF40" i="1"/>
  <c r="HE40" i="1"/>
  <c r="HB40" i="1"/>
  <c r="HA40" i="1"/>
  <c r="GZ40" i="1"/>
  <c r="GY40" i="1"/>
  <c r="GV40" i="1"/>
  <c r="GU40" i="1"/>
  <c r="GT40" i="1"/>
  <c r="GS40" i="1"/>
  <c r="GP40" i="1"/>
  <c r="GO40" i="1"/>
  <c r="GN40" i="1"/>
  <c r="GM40" i="1"/>
  <c r="GJ40" i="1"/>
  <c r="GI40" i="1"/>
  <c r="GH40" i="1"/>
  <c r="GG40" i="1"/>
  <c r="GD40" i="1"/>
  <c r="GC40" i="1"/>
  <c r="GB40" i="1"/>
  <c r="GA40" i="1"/>
  <c r="FX40" i="1"/>
  <c r="FW40" i="1"/>
  <c r="FV40" i="1"/>
  <c r="FU40" i="1"/>
  <c r="FR40" i="1"/>
  <c r="FQ40" i="1"/>
  <c r="FP40" i="1"/>
  <c r="FO40" i="1"/>
  <c r="FL40" i="1"/>
  <c r="FK40" i="1"/>
  <c r="FJ40" i="1"/>
  <c r="FI40" i="1"/>
  <c r="FF40" i="1"/>
  <c r="FA40" i="1"/>
  <c r="FB40" i="1" s="1"/>
  <c r="EZ40" i="1"/>
  <c r="EU40" i="1"/>
  <c r="EV40" i="1" s="1"/>
  <c r="ET40" i="1"/>
  <c r="EN40" i="1"/>
  <c r="EO40" i="1" s="1"/>
  <c r="EM40" i="1"/>
  <c r="AG40" i="1"/>
  <c r="U40" i="1"/>
  <c r="I40" i="1"/>
  <c r="HW39" i="1"/>
  <c r="HX39" i="1" s="1"/>
  <c r="ID39" i="1" s="1"/>
  <c r="HV39" i="1"/>
  <c r="IB39" i="1" s="1"/>
  <c r="HT39" i="1"/>
  <c r="HS39" i="1"/>
  <c r="HR39" i="1"/>
  <c r="HQ39" i="1"/>
  <c r="HN39" i="1"/>
  <c r="HM39" i="1"/>
  <c r="HL39" i="1"/>
  <c r="HH39" i="1"/>
  <c r="HG39" i="1"/>
  <c r="HF39" i="1"/>
  <c r="HE39" i="1"/>
  <c r="HB39" i="1"/>
  <c r="HA39" i="1"/>
  <c r="GZ39" i="1"/>
  <c r="GY39" i="1"/>
  <c r="GV39" i="1"/>
  <c r="GU39" i="1"/>
  <c r="GT39" i="1"/>
  <c r="GS39" i="1"/>
  <c r="GP39" i="1"/>
  <c r="GO39" i="1"/>
  <c r="GN39" i="1"/>
  <c r="GM39" i="1"/>
  <c r="GJ39" i="1"/>
  <c r="GI39" i="1"/>
  <c r="GH39" i="1"/>
  <c r="GG39" i="1"/>
  <c r="GD39" i="1"/>
  <c r="GC39" i="1"/>
  <c r="GB39" i="1"/>
  <c r="GA39" i="1"/>
  <c r="FX39" i="1"/>
  <c r="FW39" i="1"/>
  <c r="FV39" i="1"/>
  <c r="FU39" i="1"/>
  <c r="FR39" i="1"/>
  <c r="FQ39" i="1"/>
  <c r="FP39" i="1"/>
  <c r="FO39" i="1"/>
  <c r="FL39" i="1"/>
  <c r="FK39" i="1"/>
  <c r="FJ39" i="1"/>
  <c r="FI39" i="1"/>
  <c r="FA39" i="1"/>
  <c r="FB39" i="1" s="1"/>
  <c r="EZ39" i="1"/>
  <c r="FC44" i="1" s="1"/>
  <c r="EU39" i="1"/>
  <c r="EV39" i="1" s="1"/>
  <c r="ET39" i="1"/>
  <c r="EO39" i="1"/>
  <c r="EN39" i="1"/>
  <c r="EM39" i="1"/>
  <c r="AG39" i="1"/>
  <c r="U39" i="1"/>
  <c r="I39" i="1"/>
  <c r="FF39" i="1" s="1"/>
  <c r="HW38" i="1"/>
  <c r="IC38" i="1" s="1"/>
  <c r="HV38" i="1"/>
  <c r="IB38" i="1" s="1"/>
  <c r="HT38" i="1"/>
  <c r="HS38" i="1"/>
  <c r="HR38" i="1"/>
  <c r="HQ38" i="1"/>
  <c r="HN38" i="1"/>
  <c r="HM38" i="1"/>
  <c r="HL38" i="1"/>
  <c r="HH38" i="1"/>
  <c r="HG38" i="1"/>
  <c r="HF38" i="1"/>
  <c r="HE38" i="1"/>
  <c r="EN38" i="1" s="1"/>
  <c r="EO38" i="1" s="1"/>
  <c r="HB38" i="1"/>
  <c r="HA38" i="1"/>
  <c r="GZ38" i="1"/>
  <c r="GY38" i="1"/>
  <c r="GV38" i="1"/>
  <c r="GU38" i="1"/>
  <c r="GT38" i="1"/>
  <c r="GS38" i="1"/>
  <c r="GP38" i="1"/>
  <c r="GO38" i="1"/>
  <c r="GN38" i="1"/>
  <c r="GM38" i="1"/>
  <c r="GJ38" i="1"/>
  <c r="GI38" i="1"/>
  <c r="GH38" i="1"/>
  <c r="GG38" i="1"/>
  <c r="GD38" i="1"/>
  <c r="GC38" i="1"/>
  <c r="GB38" i="1"/>
  <c r="GA38" i="1"/>
  <c r="FX38" i="1"/>
  <c r="FW38" i="1"/>
  <c r="FV38" i="1"/>
  <c r="FU38" i="1"/>
  <c r="FR38" i="1"/>
  <c r="FQ38" i="1"/>
  <c r="FP38" i="1"/>
  <c r="FO38" i="1"/>
  <c r="FL38" i="1"/>
  <c r="FK38" i="1"/>
  <c r="FJ38" i="1"/>
  <c r="FI38" i="1"/>
  <c r="FA38" i="1"/>
  <c r="FB38" i="1" s="1"/>
  <c r="EZ38" i="1"/>
  <c r="FC43" i="1" s="1"/>
  <c r="EV38" i="1"/>
  <c r="EU38" i="1"/>
  <c r="ET38" i="1"/>
  <c r="EM38" i="1"/>
  <c r="ER43" i="1" s="1"/>
  <c r="AG38" i="1"/>
  <c r="U38" i="1"/>
  <c r="I38" i="1"/>
  <c r="FF38" i="1" s="1"/>
  <c r="HW37" i="1"/>
  <c r="IC37" i="1" s="1"/>
  <c r="HV37" i="1"/>
  <c r="HT37" i="1"/>
  <c r="HS37" i="1"/>
  <c r="HR37" i="1"/>
  <c r="HQ37" i="1"/>
  <c r="HN37" i="1"/>
  <c r="HM37" i="1"/>
  <c r="HL37" i="1"/>
  <c r="HH37" i="1"/>
  <c r="HG37" i="1"/>
  <c r="HF37" i="1"/>
  <c r="HE37" i="1"/>
  <c r="EN37" i="1" s="1"/>
  <c r="EO37" i="1" s="1"/>
  <c r="HB37" i="1"/>
  <c r="HA37" i="1"/>
  <c r="GZ37" i="1"/>
  <c r="GY37" i="1"/>
  <c r="GV37" i="1"/>
  <c r="GU37" i="1"/>
  <c r="GT37" i="1"/>
  <c r="GS37" i="1"/>
  <c r="GP37" i="1"/>
  <c r="GO37" i="1"/>
  <c r="GN37" i="1"/>
  <c r="GM37" i="1"/>
  <c r="GJ37" i="1"/>
  <c r="GI37" i="1"/>
  <c r="GH37" i="1"/>
  <c r="GG37" i="1"/>
  <c r="GD37" i="1"/>
  <c r="GC37" i="1"/>
  <c r="GB37" i="1"/>
  <c r="GA37" i="1"/>
  <c r="FX37" i="1"/>
  <c r="FW37" i="1"/>
  <c r="FV37" i="1"/>
  <c r="FU37" i="1"/>
  <c r="FR37" i="1"/>
  <c r="FQ37" i="1"/>
  <c r="FP37" i="1"/>
  <c r="FO37" i="1"/>
  <c r="FL37" i="1"/>
  <c r="FK37" i="1"/>
  <c r="FJ37" i="1"/>
  <c r="FI37" i="1"/>
  <c r="FA37" i="1"/>
  <c r="FB37" i="1" s="1"/>
  <c r="EZ37" i="1"/>
  <c r="EU37" i="1"/>
  <c r="EV37" i="1" s="1"/>
  <c r="ET37" i="1"/>
  <c r="EM37" i="1"/>
  <c r="AG37" i="1"/>
  <c r="U37" i="1"/>
  <c r="I37" i="1"/>
  <c r="FF37" i="1" s="1"/>
  <c r="HW36" i="1"/>
  <c r="IC36" i="1" s="1"/>
  <c r="HV36" i="1"/>
  <c r="HT36" i="1"/>
  <c r="HS36" i="1"/>
  <c r="HR36" i="1"/>
  <c r="HQ36" i="1"/>
  <c r="HN36" i="1"/>
  <c r="HM36" i="1"/>
  <c r="HL36" i="1"/>
  <c r="HH36" i="1"/>
  <c r="HG36" i="1"/>
  <c r="HF36" i="1"/>
  <c r="HE36" i="1"/>
  <c r="HB36" i="1"/>
  <c r="HA36" i="1"/>
  <c r="GZ36" i="1"/>
  <c r="GY36" i="1"/>
  <c r="GV36" i="1"/>
  <c r="GU36" i="1"/>
  <c r="GT36" i="1"/>
  <c r="GS36" i="1"/>
  <c r="GP36" i="1"/>
  <c r="GO36" i="1"/>
  <c r="GN36" i="1"/>
  <c r="GM36" i="1"/>
  <c r="GJ36" i="1"/>
  <c r="GI36" i="1"/>
  <c r="GH36" i="1"/>
  <c r="GG36" i="1"/>
  <c r="GD36" i="1"/>
  <c r="GC36" i="1"/>
  <c r="GB36" i="1"/>
  <c r="GA36" i="1"/>
  <c r="FX36" i="1"/>
  <c r="FW36" i="1"/>
  <c r="FV36" i="1"/>
  <c r="FU36" i="1"/>
  <c r="FR36" i="1"/>
  <c r="FQ36" i="1"/>
  <c r="FP36" i="1"/>
  <c r="FO36" i="1"/>
  <c r="FL36" i="1"/>
  <c r="FK36" i="1"/>
  <c r="FJ36" i="1"/>
  <c r="FI36" i="1"/>
  <c r="FF36" i="1"/>
  <c r="FA36" i="1"/>
  <c r="FB36" i="1" s="1"/>
  <c r="EZ36" i="1"/>
  <c r="EU36" i="1"/>
  <c r="EV36" i="1" s="1"/>
  <c r="ET36" i="1"/>
  <c r="EN36" i="1"/>
  <c r="EO36" i="1" s="1"/>
  <c r="EM36" i="1"/>
  <c r="AG36" i="1"/>
  <c r="U36" i="1"/>
  <c r="I36" i="1"/>
  <c r="HW35" i="1"/>
  <c r="HX35" i="1" s="1"/>
  <c r="ID35" i="1" s="1"/>
  <c r="HV35" i="1"/>
  <c r="IB35" i="1" s="1"/>
  <c r="HT35" i="1"/>
  <c r="HS35" i="1"/>
  <c r="HR35" i="1"/>
  <c r="HQ35" i="1"/>
  <c r="HN35" i="1"/>
  <c r="HM35" i="1"/>
  <c r="HL35" i="1"/>
  <c r="HH35" i="1"/>
  <c r="HG35" i="1"/>
  <c r="HF35" i="1"/>
  <c r="HE35" i="1"/>
  <c r="HB35" i="1"/>
  <c r="HA35" i="1"/>
  <c r="GZ35" i="1"/>
  <c r="GY35" i="1"/>
  <c r="GV35" i="1"/>
  <c r="GU35" i="1"/>
  <c r="GT35" i="1"/>
  <c r="GS35" i="1"/>
  <c r="GP35" i="1"/>
  <c r="GO35" i="1"/>
  <c r="GN35" i="1"/>
  <c r="GM35" i="1"/>
  <c r="GJ35" i="1"/>
  <c r="GI35" i="1"/>
  <c r="GH35" i="1"/>
  <c r="GG35" i="1"/>
  <c r="GD35" i="1"/>
  <c r="GC35" i="1"/>
  <c r="GB35" i="1"/>
  <c r="GA35" i="1"/>
  <c r="FX35" i="1"/>
  <c r="FW35" i="1"/>
  <c r="FV35" i="1"/>
  <c r="FU35" i="1"/>
  <c r="FR35" i="1"/>
  <c r="FQ35" i="1"/>
  <c r="FP35" i="1"/>
  <c r="FO35" i="1"/>
  <c r="FL35" i="1"/>
  <c r="FK35" i="1"/>
  <c r="FJ35" i="1"/>
  <c r="FI35" i="1"/>
  <c r="FA35" i="1"/>
  <c r="FB35" i="1" s="1"/>
  <c r="EZ35" i="1"/>
  <c r="FD40" i="1" s="1"/>
  <c r="EU35" i="1"/>
  <c r="EV35" i="1" s="1"/>
  <c r="ET35" i="1"/>
  <c r="EO35" i="1"/>
  <c r="EN35" i="1"/>
  <c r="EM35" i="1"/>
  <c r="AG35" i="1"/>
  <c r="U35" i="1"/>
  <c r="I35" i="1"/>
  <c r="FF35" i="1" s="1"/>
  <c r="HW34" i="1"/>
  <c r="IC34" i="1" s="1"/>
  <c r="HV34" i="1"/>
  <c r="IB34" i="1" s="1"/>
  <c r="HT34" i="1"/>
  <c r="HS34" i="1"/>
  <c r="HR34" i="1"/>
  <c r="HQ34" i="1"/>
  <c r="HN34" i="1"/>
  <c r="HM34" i="1"/>
  <c r="HL34" i="1"/>
  <c r="HH34" i="1"/>
  <c r="HG34" i="1"/>
  <c r="HF34" i="1"/>
  <c r="HE34" i="1"/>
  <c r="EN34" i="1" s="1"/>
  <c r="EO34" i="1" s="1"/>
  <c r="HB34" i="1"/>
  <c r="HA34" i="1"/>
  <c r="GZ34" i="1"/>
  <c r="GY34" i="1"/>
  <c r="GV34" i="1"/>
  <c r="GU34" i="1"/>
  <c r="GT34" i="1"/>
  <c r="GS34" i="1"/>
  <c r="GP34" i="1"/>
  <c r="GO34" i="1"/>
  <c r="GN34" i="1"/>
  <c r="GM34" i="1"/>
  <c r="GJ34" i="1"/>
  <c r="GI34" i="1"/>
  <c r="GH34" i="1"/>
  <c r="GG34" i="1"/>
  <c r="GD34" i="1"/>
  <c r="GC34" i="1"/>
  <c r="GB34" i="1"/>
  <c r="GA34" i="1"/>
  <c r="FX34" i="1"/>
  <c r="FW34" i="1"/>
  <c r="FV34" i="1"/>
  <c r="FU34" i="1"/>
  <c r="FR34" i="1"/>
  <c r="FQ34" i="1"/>
  <c r="FP34" i="1"/>
  <c r="FO34" i="1"/>
  <c r="FL34" i="1"/>
  <c r="FK34" i="1"/>
  <c r="FJ34" i="1"/>
  <c r="FI34" i="1"/>
  <c r="FA34" i="1"/>
  <c r="FB34" i="1" s="1"/>
  <c r="EZ34" i="1"/>
  <c r="EV34" i="1"/>
  <c r="EU34" i="1"/>
  <c r="ET34" i="1"/>
  <c r="EM34" i="1"/>
  <c r="AG34" i="1"/>
  <c r="U34" i="1"/>
  <c r="I34" i="1"/>
  <c r="FF34" i="1" s="1"/>
  <c r="HW33" i="1"/>
  <c r="IC33" i="1" s="1"/>
  <c r="HV33" i="1"/>
  <c r="HT33" i="1"/>
  <c r="HS33" i="1"/>
  <c r="HR33" i="1"/>
  <c r="HQ33" i="1"/>
  <c r="HN33" i="1"/>
  <c r="HM33" i="1"/>
  <c r="HL33" i="1"/>
  <c r="HH33" i="1"/>
  <c r="HG33" i="1"/>
  <c r="HF33" i="1"/>
  <c r="HE33" i="1"/>
  <c r="HB33" i="1"/>
  <c r="HA33" i="1"/>
  <c r="GZ33" i="1"/>
  <c r="GY33" i="1"/>
  <c r="GV33" i="1"/>
  <c r="GU33" i="1"/>
  <c r="GT33" i="1"/>
  <c r="GS33" i="1"/>
  <c r="GP33" i="1"/>
  <c r="GO33" i="1"/>
  <c r="GN33" i="1"/>
  <c r="GM33" i="1"/>
  <c r="GJ33" i="1"/>
  <c r="GI33" i="1"/>
  <c r="GH33" i="1"/>
  <c r="GG33" i="1"/>
  <c r="GD33" i="1"/>
  <c r="GC33" i="1"/>
  <c r="GB33" i="1"/>
  <c r="GA33" i="1"/>
  <c r="FX33" i="1"/>
  <c r="FW33" i="1"/>
  <c r="FV33" i="1"/>
  <c r="FU33" i="1"/>
  <c r="FR33" i="1"/>
  <c r="FQ33" i="1"/>
  <c r="FP33" i="1"/>
  <c r="FO33" i="1"/>
  <c r="FL33" i="1"/>
  <c r="FK33" i="1"/>
  <c r="FJ33" i="1"/>
  <c r="FI33" i="1"/>
  <c r="FB33" i="1"/>
  <c r="FA33" i="1"/>
  <c r="EZ33" i="1"/>
  <c r="EU33" i="1"/>
  <c r="EV33" i="1" s="1"/>
  <c r="ET33" i="1"/>
  <c r="EN33" i="1"/>
  <c r="EO33" i="1" s="1"/>
  <c r="EM33" i="1"/>
  <c r="AG33" i="1"/>
  <c r="U33" i="1"/>
  <c r="I33" i="1"/>
  <c r="FF33" i="1" s="1"/>
  <c r="HW32" i="1"/>
  <c r="IC32" i="1" s="1"/>
  <c r="HV32" i="1"/>
  <c r="HT32" i="1"/>
  <c r="HS32" i="1"/>
  <c r="HR32" i="1"/>
  <c r="HQ32" i="1"/>
  <c r="HN32" i="1"/>
  <c r="HM32" i="1"/>
  <c r="HL32" i="1"/>
  <c r="HH32" i="1"/>
  <c r="HG32" i="1"/>
  <c r="HF32" i="1"/>
  <c r="HE32" i="1"/>
  <c r="HB32" i="1"/>
  <c r="HA32" i="1"/>
  <c r="GZ32" i="1"/>
  <c r="GY32" i="1"/>
  <c r="GV32" i="1"/>
  <c r="GU32" i="1"/>
  <c r="GT32" i="1"/>
  <c r="GS32" i="1"/>
  <c r="GP32" i="1"/>
  <c r="GO32" i="1"/>
  <c r="GN32" i="1"/>
  <c r="GM32" i="1"/>
  <c r="GJ32" i="1"/>
  <c r="GI32" i="1"/>
  <c r="GH32" i="1"/>
  <c r="GG32" i="1"/>
  <c r="GD32" i="1"/>
  <c r="GC32" i="1"/>
  <c r="GB32" i="1"/>
  <c r="GA32" i="1"/>
  <c r="FX32" i="1"/>
  <c r="FW32" i="1"/>
  <c r="FV32" i="1"/>
  <c r="FU32" i="1"/>
  <c r="FR32" i="1"/>
  <c r="FQ32" i="1"/>
  <c r="FP32" i="1"/>
  <c r="FO32" i="1"/>
  <c r="FL32" i="1"/>
  <c r="FK32" i="1"/>
  <c r="FJ32" i="1"/>
  <c r="FI32" i="1"/>
  <c r="FF32" i="1"/>
  <c r="FA32" i="1"/>
  <c r="FB32" i="1" s="1"/>
  <c r="EZ32" i="1"/>
  <c r="EU32" i="1"/>
  <c r="EV32" i="1" s="1"/>
  <c r="ET32" i="1"/>
  <c r="EN32" i="1"/>
  <c r="EO32" i="1" s="1"/>
  <c r="EM32" i="1"/>
  <c r="AG32" i="1"/>
  <c r="U32" i="1"/>
  <c r="I32" i="1"/>
  <c r="IB31" i="1"/>
  <c r="HW31" i="1"/>
  <c r="HX31" i="1" s="1"/>
  <c r="ID31" i="1" s="1"/>
  <c r="HV31" i="1"/>
  <c r="HT31" i="1"/>
  <c r="HS31" i="1"/>
  <c r="HR31" i="1"/>
  <c r="HQ31" i="1"/>
  <c r="HN31" i="1"/>
  <c r="HM31" i="1"/>
  <c r="HL31" i="1"/>
  <c r="HH31" i="1"/>
  <c r="HG31" i="1"/>
  <c r="HF31" i="1"/>
  <c r="HE31" i="1"/>
  <c r="HB31" i="1"/>
  <c r="HA31" i="1"/>
  <c r="GZ31" i="1"/>
  <c r="GY31" i="1"/>
  <c r="GV31" i="1"/>
  <c r="GU31" i="1"/>
  <c r="GT31" i="1"/>
  <c r="GS31" i="1"/>
  <c r="GP31" i="1"/>
  <c r="GO31" i="1"/>
  <c r="GN31" i="1"/>
  <c r="GM31" i="1"/>
  <c r="GJ31" i="1"/>
  <c r="GI31" i="1"/>
  <c r="GH31" i="1"/>
  <c r="GG31" i="1"/>
  <c r="GD31" i="1"/>
  <c r="GC31" i="1"/>
  <c r="GB31" i="1"/>
  <c r="GA31" i="1"/>
  <c r="FX31" i="1"/>
  <c r="FW31" i="1"/>
  <c r="FV31" i="1"/>
  <c r="FU31" i="1"/>
  <c r="FR31" i="1"/>
  <c r="FQ31" i="1"/>
  <c r="FP31" i="1"/>
  <c r="FO31" i="1"/>
  <c r="FL31" i="1"/>
  <c r="FK31" i="1"/>
  <c r="FJ31" i="1"/>
  <c r="FI31" i="1"/>
  <c r="FA31" i="1"/>
  <c r="FB31" i="1" s="1"/>
  <c r="EZ31" i="1"/>
  <c r="EU31" i="1"/>
  <c r="EV31" i="1" s="1"/>
  <c r="ET31" i="1"/>
  <c r="EN31" i="1"/>
  <c r="EO31" i="1" s="1"/>
  <c r="EM31" i="1"/>
  <c r="AG31" i="1"/>
  <c r="U31" i="1"/>
  <c r="I31" i="1"/>
  <c r="FF31" i="1" s="1"/>
  <c r="HW30" i="1"/>
  <c r="IC30" i="1" s="1"/>
  <c r="HV30" i="1"/>
  <c r="IB30" i="1" s="1"/>
  <c r="HU30" i="1"/>
  <c r="HU31" i="1" s="1"/>
  <c r="HU32" i="1" s="1"/>
  <c r="HU33" i="1" s="1"/>
  <c r="HU34" i="1" s="1"/>
  <c r="HU35" i="1" s="1"/>
  <c r="HU36" i="1" s="1"/>
  <c r="HU37" i="1" s="1"/>
  <c r="HU38" i="1" s="1"/>
  <c r="HU39" i="1" s="1"/>
  <c r="HU40" i="1" s="1"/>
  <c r="HU41" i="1" s="1"/>
  <c r="HU42" i="1" s="1"/>
  <c r="HU43" i="1" s="1"/>
  <c r="HU44" i="1" s="1"/>
  <c r="HU45" i="1" s="1"/>
  <c r="HU46" i="1" s="1"/>
  <c r="HU47" i="1" s="1"/>
  <c r="HU48" i="1" s="1"/>
  <c r="HT30" i="1"/>
  <c r="HS30" i="1"/>
  <c r="HR30" i="1"/>
  <c r="HQ30" i="1"/>
  <c r="HN30" i="1"/>
  <c r="HM30" i="1"/>
  <c r="HL30" i="1"/>
  <c r="HH30" i="1"/>
  <c r="HG30" i="1"/>
  <c r="HF30" i="1"/>
  <c r="HE30" i="1"/>
  <c r="EN30" i="1" s="1"/>
  <c r="EO30" i="1" s="1"/>
  <c r="HB30" i="1"/>
  <c r="HA30" i="1"/>
  <c r="GZ30" i="1"/>
  <c r="GY30" i="1"/>
  <c r="GV30" i="1"/>
  <c r="GU30" i="1"/>
  <c r="GT30" i="1"/>
  <c r="GS30" i="1"/>
  <c r="GP30" i="1"/>
  <c r="GO30" i="1"/>
  <c r="GN30" i="1"/>
  <c r="GM30" i="1"/>
  <c r="GJ30" i="1"/>
  <c r="GI30" i="1"/>
  <c r="GH30" i="1"/>
  <c r="GG30" i="1"/>
  <c r="GD30" i="1"/>
  <c r="GC30" i="1"/>
  <c r="GB30" i="1"/>
  <c r="GA30" i="1"/>
  <c r="FX30" i="1"/>
  <c r="FW30" i="1"/>
  <c r="FV30" i="1"/>
  <c r="FU30" i="1"/>
  <c r="FR30" i="1"/>
  <c r="FQ30" i="1"/>
  <c r="FP30" i="1"/>
  <c r="FO30" i="1"/>
  <c r="FL30" i="1"/>
  <c r="FK30" i="1"/>
  <c r="FJ30" i="1"/>
  <c r="FI30" i="1"/>
  <c r="FA30" i="1"/>
  <c r="FB30" i="1" s="1"/>
  <c r="EZ30" i="1"/>
  <c r="EU30" i="1"/>
  <c r="EV30" i="1" s="1"/>
  <c r="ET30" i="1"/>
  <c r="EM30" i="1"/>
  <c r="EQ35" i="1" s="1"/>
  <c r="AG30" i="1"/>
  <c r="U30" i="1"/>
  <c r="I30" i="1"/>
  <c r="FF30" i="1" s="1"/>
  <c r="HX29" i="1"/>
  <c r="ID29" i="1" s="1"/>
  <c r="HW29" i="1"/>
  <c r="IC29" i="1" s="1"/>
  <c r="HV29" i="1"/>
  <c r="HT29" i="1"/>
  <c r="HS29" i="1"/>
  <c r="HR29" i="1"/>
  <c r="HQ29" i="1"/>
  <c r="HN29" i="1"/>
  <c r="HM29" i="1"/>
  <c r="HL29" i="1"/>
  <c r="HH29" i="1"/>
  <c r="HG29" i="1"/>
  <c r="HF29" i="1"/>
  <c r="HE29" i="1"/>
  <c r="HB29" i="1"/>
  <c r="HA29" i="1"/>
  <c r="GZ29" i="1"/>
  <c r="GY29" i="1"/>
  <c r="GV29" i="1"/>
  <c r="GU29" i="1"/>
  <c r="GT29" i="1"/>
  <c r="GS29" i="1"/>
  <c r="GP29" i="1"/>
  <c r="GO29" i="1"/>
  <c r="GN29" i="1"/>
  <c r="GM29" i="1"/>
  <c r="GJ29" i="1"/>
  <c r="GI29" i="1"/>
  <c r="GH29" i="1"/>
  <c r="GG29" i="1"/>
  <c r="GD29" i="1"/>
  <c r="GC29" i="1"/>
  <c r="GB29" i="1"/>
  <c r="GA29" i="1"/>
  <c r="FX29" i="1"/>
  <c r="FW29" i="1"/>
  <c r="FV29" i="1"/>
  <c r="FU29" i="1"/>
  <c r="FR29" i="1"/>
  <c r="FQ29" i="1"/>
  <c r="FP29" i="1"/>
  <c r="FO29" i="1"/>
  <c r="FL29" i="1"/>
  <c r="FK29" i="1"/>
  <c r="FJ29" i="1"/>
  <c r="FI29" i="1"/>
  <c r="FA29" i="1"/>
  <c r="FB29" i="1" s="1"/>
  <c r="EZ29" i="1"/>
  <c r="EU29" i="1"/>
  <c r="EV29" i="1" s="1"/>
  <c r="ET29" i="1"/>
  <c r="EN29" i="1"/>
  <c r="EO29" i="1" s="1"/>
  <c r="EM29" i="1"/>
  <c r="AG29" i="1"/>
  <c r="U29" i="1"/>
  <c r="I29" i="1"/>
  <c r="FF29" i="1" s="1"/>
  <c r="IC28" i="1"/>
  <c r="IB28" i="1"/>
  <c r="HW28" i="1"/>
  <c r="HX28" i="1" s="1"/>
  <c r="ID28" i="1" s="1"/>
  <c r="HV28" i="1"/>
  <c r="HT28" i="1"/>
  <c r="HS28" i="1"/>
  <c r="HR28" i="1"/>
  <c r="HQ28" i="1"/>
  <c r="HN28" i="1"/>
  <c r="HM28" i="1"/>
  <c r="HL28" i="1"/>
  <c r="HH28" i="1"/>
  <c r="HG28" i="1"/>
  <c r="HF28" i="1"/>
  <c r="HE28" i="1"/>
  <c r="HB28" i="1"/>
  <c r="HA28" i="1"/>
  <c r="GZ28" i="1"/>
  <c r="GY28" i="1"/>
  <c r="GV28" i="1"/>
  <c r="GU28" i="1"/>
  <c r="GT28" i="1"/>
  <c r="GS28" i="1"/>
  <c r="GP28" i="1"/>
  <c r="GO28" i="1"/>
  <c r="GN28" i="1"/>
  <c r="GM28" i="1"/>
  <c r="GJ28" i="1"/>
  <c r="GI28" i="1"/>
  <c r="GH28" i="1"/>
  <c r="GG28" i="1"/>
  <c r="GD28" i="1"/>
  <c r="GC28" i="1"/>
  <c r="GB28" i="1"/>
  <c r="GA28" i="1"/>
  <c r="FX28" i="1"/>
  <c r="FW28" i="1"/>
  <c r="FV28" i="1"/>
  <c r="FU28" i="1"/>
  <c r="FR28" i="1"/>
  <c r="FQ28" i="1"/>
  <c r="FP28" i="1"/>
  <c r="FO28" i="1"/>
  <c r="FL28" i="1"/>
  <c r="FK28" i="1"/>
  <c r="FJ28" i="1"/>
  <c r="FI28" i="1"/>
  <c r="FA28" i="1"/>
  <c r="FB28" i="1" s="1"/>
  <c r="EZ28" i="1"/>
  <c r="EU28" i="1"/>
  <c r="EV28" i="1" s="1"/>
  <c r="ET28" i="1"/>
  <c r="EN28" i="1"/>
  <c r="EO28" i="1" s="1"/>
  <c r="EM28" i="1"/>
  <c r="AG28" i="1"/>
  <c r="U28" i="1"/>
  <c r="I28" i="1"/>
  <c r="FF28" i="1" s="1"/>
  <c r="HW27" i="1"/>
  <c r="HV27" i="1"/>
  <c r="IB27" i="1" s="1"/>
  <c r="HT27" i="1"/>
  <c r="HS27" i="1"/>
  <c r="HR27" i="1"/>
  <c r="HQ27" i="1"/>
  <c r="HN27" i="1"/>
  <c r="HM27" i="1"/>
  <c r="HL27" i="1"/>
  <c r="HH27" i="1"/>
  <c r="HG27" i="1"/>
  <c r="HF27" i="1"/>
  <c r="HE27" i="1"/>
  <c r="HB27" i="1"/>
  <c r="HA27" i="1"/>
  <c r="GZ27" i="1"/>
  <c r="GY27" i="1"/>
  <c r="GV27" i="1"/>
  <c r="GU27" i="1"/>
  <c r="GT27" i="1"/>
  <c r="GS27" i="1"/>
  <c r="GP27" i="1"/>
  <c r="GO27" i="1"/>
  <c r="GN27" i="1"/>
  <c r="GM27" i="1"/>
  <c r="GJ27" i="1"/>
  <c r="GI27" i="1"/>
  <c r="GH27" i="1"/>
  <c r="GG27" i="1"/>
  <c r="GD27" i="1"/>
  <c r="GC27" i="1"/>
  <c r="GB27" i="1"/>
  <c r="GA27" i="1"/>
  <c r="FX27" i="1"/>
  <c r="FW27" i="1"/>
  <c r="FV27" i="1"/>
  <c r="FU27" i="1"/>
  <c r="FR27" i="1"/>
  <c r="FQ27" i="1"/>
  <c r="FP27" i="1"/>
  <c r="FO27" i="1"/>
  <c r="FL27" i="1"/>
  <c r="FK27" i="1"/>
  <c r="FJ27" i="1"/>
  <c r="FI27" i="1"/>
  <c r="FF27" i="1"/>
  <c r="FA27" i="1"/>
  <c r="FB27" i="1" s="1"/>
  <c r="EZ27" i="1"/>
  <c r="EU27" i="1"/>
  <c r="EV27" i="1" s="1"/>
  <c r="ET27" i="1"/>
  <c r="EY32" i="1" s="1"/>
  <c r="EN27" i="1"/>
  <c r="EO27" i="1" s="1"/>
  <c r="EM27" i="1"/>
  <c r="AG27" i="1"/>
  <c r="U27" i="1"/>
  <c r="I27" i="1"/>
  <c r="IB26" i="1"/>
  <c r="HW26" i="1"/>
  <c r="HV26" i="1"/>
  <c r="HT26" i="1"/>
  <c r="HS26" i="1"/>
  <c r="HR26" i="1"/>
  <c r="HQ26" i="1"/>
  <c r="HN26" i="1"/>
  <c r="HM26" i="1"/>
  <c r="HL26" i="1"/>
  <c r="HH26" i="1"/>
  <c r="HG26" i="1"/>
  <c r="HF26" i="1"/>
  <c r="HE26" i="1"/>
  <c r="EN26" i="1" s="1"/>
  <c r="EO26" i="1" s="1"/>
  <c r="HB26" i="1"/>
  <c r="HA26" i="1"/>
  <c r="GZ26" i="1"/>
  <c r="GY26" i="1"/>
  <c r="GV26" i="1"/>
  <c r="GU26" i="1"/>
  <c r="GT26" i="1"/>
  <c r="GS26" i="1"/>
  <c r="GP26" i="1"/>
  <c r="GO26" i="1"/>
  <c r="GN26" i="1"/>
  <c r="GM26" i="1"/>
  <c r="GJ26" i="1"/>
  <c r="GI26" i="1"/>
  <c r="GH26" i="1"/>
  <c r="GG26" i="1"/>
  <c r="GD26" i="1"/>
  <c r="GC26" i="1"/>
  <c r="GB26" i="1"/>
  <c r="GA26" i="1"/>
  <c r="FX26" i="1"/>
  <c r="FW26" i="1"/>
  <c r="FV26" i="1"/>
  <c r="FU26" i="1"/>
  <c r="FR26" i="1"/>
  <c r="FQ26" i="1"/>
  <c r="FP26" i="1"/>
  <c r="FO26" i="1"/>
  <c r="FL26" i="1"/>
  <c r="FK26" i="1"/>
  <c r="FJ26" i="1"/>
  <c r="FI26" i="1"/>
  <c r="FA26" i="1"/>
  <c r="FB26" i="1" s="1"/>
  <c r="EZ26" i="1"/>
  <c r="EU26" i="1"/>
  <c r="EV26" i="1" s="1"/>
  <c r="ET26" i="1"/>
  <c r="EW31" i="1" s="1"/>
  <c r="EM26" i="1"/>
  <c r="AG26" i="1"/>
  <c r="U26" i="1"/>
  <c r="I26" i="1"/>
  <c r="FF26" i="1" s="1"/>
  <c r="HT25" i="1"/>
  <c r="HS25" i="1"/>
  <c r="HR25" i="1"/>
  <c r="HQ25" i="1"/>
  <c r="HN25" i="1"/>
  <c r="HM25" i="1"/>
  <c r="HL25" i="1"/>
  <c r="HK25" i="1"/>
  <c r="HH25" i="1"/>
  <c r="HG25" i="1"/>
  <c r="HF25" i="1"/>
  <c r="HE25" i="1"/>
  <c r="EN25" i="1" s="1"/>
  <c r="EO25" i="1" s="1"/>
  <c r="HB25" i="1"/>
  <c r="HA25" i="1"/>
  <c r="GZ25" i="1"/>
  <c r="GY25" i="1"/>
  <c r="GV25" i="1"/>
  <c r="GU25" i="1"/>
  <c r="GT25" i="1"/>
  <c r="GS25" i="1"/>
  <c r="GP25" i="1"/>
  <c r="GO25" i="1"/>
  <c r="GN25" i="1"/>
  <c r="GM25" i="1"/>
  <c r="GJ25" i="1"/>
  <c r="GI25" i="1"/>
  <c r="GH25" i="1"/>
  <c r="GG25" i="1"/>
  <c r="GD25" i="1"/>
  <c r="GC25" i="1"/>
  <c r="GB25" i="1"/>
  <c r="GA25" i="1"/>
  <c r="FX25" i="1"/>
  <c r="FW25" i="1"/>
  <c r="FV25" i="1"/>
  <c r="FU25" i="1"/>
  <c r="FR25" i="1"/>
  <c r="FQ25" i="1"/>
  <c r="FP25" i="1"/>
  <c r="FO25" i="1"/>
  <c r="FL25" i="1"/>
  <c r="FK25" i="1"/>
  <c r="FJ25" i="1"/>
  <c r="FI25" i="1"/>
  <c r="FA25" i="1"/>
  <c r="FB25" i="1" s="1"/>
  <c r="EZ25" i="1"/>
  <c r="EU25" i="1"/>
  <c r="EV25" i="1" s="1"/>
  <c r="ET25" i="1"/>
  <c r="EM25" i="1"/>
  <c r="AG25" i="1"/>
  <c r="U25" i="1"/>
  <c r="I25" i="1"/>
  <c r="FF25" i="1" s="1"/>
  <c r="HT24" i="1"/>
  <c r="HS24" i="1"/>
  <c r="HR24" i="1"/>
  <c r="HQ24" i="1"/>
  <c r="HN24" i="1"/>
  <c r="HM24" i="1"/>
  <c r="HL24" i="1"/>
  <c r="HH24" i="1"/>
  <c r="HG24" i="1"/>
  <c r="HF24" i="1"/>
  <c r="HB24" i="1"/>
  <c r="HA24" i="1"/>
  <c r="GZ24" i="1"/>
  <c r="GV24" i="1"/>
  <c r="GU24" i="1"/>
  <c r="GT24" i="1"/>
  <c r="GP24" i="1"/>
  <c r="GO24" i="1"/>
  <c r="GN24" i="1"/>
  <c r="GJ24" i="1"/>
  <c r="GI24" i="1"/>
  <c r="GH24" i="1"/>
  <c r="GD24" i="1"/>
  <c r="GC24" i="1"/>
  <c r="GB24" i="1"/>
  <c r="FX24" i="1"/>
  <c r="FW24" i="1"/>
  <c r="FV24" i="1"/>
  <c r="FR24" i="1"/>
  <c r="FQ24" i="1"/>
  <c r="FP24" i="1"/>
  <c r="FL24" i="1"/>
  <c r="FK24" i="1"/>
  <c r="FJ24" i="1"/>
  <c r="FI24" i="1"/>
  <c r="FB24" i="1"/>
  <c r="EZ24" i="1"/>
  <c r="EV24" i="1"/>
  <c r="ET24" i="1"/>
  <c r="EO24" i="1"/>
  <c r="EM24" i="1"/>
  <c r="AG24" i="1"/>
  <c r="U24" i="1"/>
  <c r="I24" i="1"/>
  <c r="FF24" i="1" s="1"/>
  <c r="HT23" i="1"/>
  <c r="HS23" i="1"/>
  <c r="HR23" i="1"/>
  <c r="HN23" i="1"/>
  <c r="HM23" i="1"/>
  <c r="HL23" i="1"/>
  <c r="HH23" i="1"/>
  <c r="HG23" i="1"/>
  <c r="HF23" i="1"/>
  <c r="HB23" i="1"/>
  <c r="HA23" i="1"/>
  <c r="GZ23" i="1"/>
  <c r="GV23" i="1"/>
  <c r="GU23" i="1"/>
  <c r="GT23" i="1"/>
  <c r="GP23" i="1"/>
  <c r="GO23" i="1"/>
  <c r="GN23" i="1"/>
  <c r="GJ23" i="1"/>
  <c r="GI23" i="1"/>
  <c r="GH23" i="1"/>
  <c r="GD23" i="1"/>
  <c r="GC23" i="1"/>
  <c r="GB23" i="1"/>
  <c r="FX23" i="1"/>
  <c r="FW23" i="1"/>
  <c r="FV23" i="1"/>
  <c r="FR23" i="1"/>
  <c r="FQ23" i="1"/>
  <c r="FP23" i="1"/>
  <c r="FL23" i="1"/>
  <c r="FK23" i="1"/>
  <c r="FJ23" i="1"/>
  <c r="EZ23" i="1"/>
  <c r="ET23" i="1"/>
  <c r="EX28" i="1" s="1"/>
  <c r="EM23" i="1"/>
  <c r="AG23" i="1"/>
  <c r="U23" i="1"/>
  <c r="I23" i="1"/>
  <c r="FF23" i="1" s="1"/>
  <c r="HT22" i="1"/>
  <c r="HS22" i="1"/>
  <c r="HR22" i="1"/>
  <c r="HN22" i="1"/>
  <c r="HM22" i="1"/>
  <c r="HL22" i="1"/>
  <c r="HH22" i="1"/>
  <c r="HG22" i="1"/>
  <c r="HF22" i="1"/>
  <c r="HB22" i="1"/>
  <c r="HA22" i="1"/>
  <c r="GZ22" i="1"/>
  <c r="GV22" i="1"/>
  <c r="GU22" i="1"/>
  <c r="GT22" i="1"/>
  <c r="GP22" i="1"/>
  <c r="GO22" i="1"/>
  <c r="GN22" i="1"/>
  <c r="GJ22" i="1"/>
  <c r="GI22" i="1"/>
  <c r="GH22" i="1"/>
  <c r="GD22" i="1"/>
  <c r="GC22" i="1"/>
  <c r="GB22" i="1"/>
  <c r="FX22" i="1"/>
  <c r="FW22" i="1"/>
  <c r="FV22" i="1"/>
  <c r="FR22" i="1"/>
  <c r="FQ22" i="1"/>
  <c r="FP22" i="1"/>
  <c r="FL22" i="1"/>
  <c r="FK22" i="1"/>
  <c r="FJ22" i="1"/>
  <c r="EZ22" i="1"/>
  <c r="ET22" i="1"/>
  <c r="EY27" i="1" s="1"/>
  <c r="EM22" i="1"/>
  <c r="AG22" i="1"/>
  <c r="U22" i="1"/>
  <c r="I22" i="1"/>
  <c r="FF22" i="1" s="1"/>
  <c r="HT21" i="1"/>
  <c r="HS21" i="1"/>
  <c r="HR21" i="1"/>
  <c r="HN21" i="1"/>
  <c r="HM21" i="1"/>
  <c r="HL21" i="1"/>
  <c r="HH21" i="1"/>
  <c r="HG21" i="1"/>
  <c r="HF21" i="1"/>
  <c r="HB21" i="1"/>
  <c r="HA21" i="1"/>
  <c r="GZ21" i="1"/>
  <c r="GV21" i="1"/>
  <c r="GU21" i="1"/>
  <c r="GT21" i="1"/>
  <c r="GP21" i="1"/>
  <c r="GO21" i="1"/>
  <c r="GN21" i="1"/>
  <c r="GJ21" i="1"/>
  <c r="GI21" i="1"/>
  <c r="GH21" i="1"/>
  <c r="GD21" i="1"/>
  <c r="GC21" i="1"/>
  <c r="GB21" i="1"/>
  <c r="FX21" i="1"/>
  <c r="FW21" i="1"/>
  <c r="FV21" i="1"/>
  <c r="FR21" i="1"/>
  <c r="FQ21" i="1"/>
  <c r="FP21" i="1"/>
  <c r="FL21" i="1"/>
  <c r="FK21" i="1"/>
  <c r="FJ21" i="1"/>
  <c r="EZ21" i="1"/>
  <c r="ET21" i="1"/>
  <c r="EM21" i="1"/>
  <c r="AG21" i="1"/>
  <c r="U21" i="1"/>
  <c r="I21" i="1"/>
  <c r="FF21" i="1" s="1"/>
  <c r="HT20" i="1"/>
  <c r="HS20" i="1"/>
  <c r="HR20" i="1"/>
  <c r="HN20" i="1"/>
  <c r="HM20" i="1"/>
  <c r="HL20" i="1"/>
  <c r="HH20" i="1"/>
  <c r="HG20" i="1"/>
  <c r="HF20" i="1"/>
  <c r="HB20" i="1"/>
  <c r="HA20" i="1"/>
  <c r="GZ20" i="1"/>
  <c r="GV20" i="1"/>
  <c r="GU20" i="1"/>
  <c r="GT20" i="1"/>
  <c r="GP20" i="1"/>
  <c r="GO20" i="1"/>
  <c r="GN20" i="1"/>
  <c r="GJ20" i="1"/>
  <c r="GI20" i="1"/>
  <c r="GH20" i="1"/>
  <c r="GD20" i="1"/>
  <c r="GC20" i="1"/>
  <c r="GB20" i="1"/>
  <c r="FX20" i="1"/>
  <c r="FW20" i="1"/>
  <c r="FV20" i="1"/>
  <c r="FR20" i="1"/>
  <c r="FQ20" i="1"/>
  <c r="FP20" i="1"/>
  <c r="FL20" i="1"/>
  <c r="FK20" i="1"/>
  <c r="FJ20" i="1"/>
  <c r="EZ20" i="1"/>
  <c r="ET20" i="1"/>
  <c r="EM20" i="1"/>
  <c r="AG20" i="1"/>
  <c r="U20" i="1"/>
  <c r="I20" i="1"/>
  <c r="FF20" i="1" s="1"/>
  <c r="HT19" i="1"/>
  <c r="HS19" i="1"/>
  <c r="HR19" i="1"/>
  <c r="HN19" i="1"/>
  <c r="HM19" i="1"/>
  <c r="HL19" i="1"/>
  <c r="HH19" i="1"/>
  <c r="HG19" i="1"/>
  <c r="HF19" i="1"/>
  <c r="HB19" i="1"/>
  <c r="HA19" i="1"/>
  <c r="GZ19" i="1"/>
  <c r="GV19" i="1"/>
  <c r="GU19" i="1"/>
  <c r="GT19" i="1"/>
  <c r="GP19" i="1"/>
  <c r="GO19" i="1"/>
  <c r="GN19" i="1"/>
  <c r="GJ19" i="1"/>
  <c r="GI19" i="1"/>
  <c r="GH19" i="1"/>
  <c r="GD19" i="1"/>
  <c r="GC19" i="1"/>
  <c r="GB19" i="1"/>
  <c r="FX19" i="1"/>
  <c r="FW19" i="1"/>
  <c r="FV19" i="1"/>
  <c r="FR19" i="1"/>
  <c r="FQ19" i="1"/>
  <c r="FP19" i="1"/>
  <c r="FL19" i="1"/>
  <c r="FK19" i="1"/>
  <c r="FJ19" i="1"/>
  <c r="EZ19" i="1"/>
  <c r="ET19" i="1"/>
  <c r="EM19" i="1"/>
  <c r="AG19" i="1"/>
  <c r="U19" i="1"/>
  <c r="I19" i="1"/>
  <c r="FF19" i="1" s="1"/>
  <c r="HT18" i="1"/>
  <c r="HS18" i="1"/>
  <c r="HR18" i="1"/>
  <c r="HN18" i="1"/>
  <c r="HM18" i="1"/>
  <c r="HL18" i="1"/>
  <c r="HH18" i="1"/>
  <c r="HG18" i="1"/>
  <c r="HF18" i="1"/>
  <c r="HB18" i="1"/>
  <c r="HA18" i="1"/>
  <c r="GZ18" i="1"/>
  <c r="GV18" i="1"/>
  <c r="GU18" i="1"/>
  <c r="GT18" i="1"/>
  <c r="GP18" i="1"/>
  <c r="GO18" i="1"/>
  <c r="GN18" i="1"/>
  <c r="GJ18" i="1"/>
  <c r="GI18" i="1"/>
  <c r="GH18" i="1"/>
  <c r="GD18" i="1"/>
  <c r="GC18" i="1"/>
  <c r="GB18" i="1"/>
  <c r="FX18" i="1"/>
  <c r="FW18" i="1"/>
  <c r="FV18" i="1"/>
  <c r="FR18" i="1"/>
  <c r="FQ18" i="1"/>
  <c r="FP18" i="1"/>
  <c r="FL18" i="1"/>
  <c r="FK18" i="1"/>
  <c r="FJ18" i="1"/>
  <c r="EZ18" i="1"/>
  <c r="ET18" i="1"/>
  <c r="EM18" i="1"/>
  <c r="AG18" i="1"/>
  <c r="U18" i="1"/>
  <c r="I18" i="1"/>
  <c r="FF18" i="1" s="1"/>
  <c r="HT17" i="1"/>
  <c r="HS17" i="1"/>
  <c r="HR17" i="1"/>
  <c r="HN17" i="1"/>
  <c r="HM17" i="1"/>
  <c r="HL17" i="1"/>
  <c r="HH17" i="1"/>
  <c r="HG17" i="1"/>
  <c r="HF17" i="1"/>
  <c r="HB17" i="1"/>
  <c r="HA17" i="1"/>
  <c r="GZ17" i="1"/>
  <c r="GV17" i="1"/>
  <c r="GU17" i="1"/>
  <c r="GT17" i="1"/>
  <c r="GP17" i="1"/>
  <c r="GO17" i="1"/>
  <c r="GN17" i="1"/>
  <c r="GJ17" i="1"/>
  <c r="GI17" i="1"/>
  <c r="GH17" i="1"/>
  <c r="GD17" i="1"/>
  <c r="GC17" i="1"/>
  <c r="GB17" i="1"/>
  <c r="FX17" i="1"/>
  <c r="FW17" i="1"/>
  <c r="FV17" i="1"/>
  <c r="FR17" i="1"/>
  <c r="FQ17" i="1"/>
  <c r="FP17" i="1"/>
  <c r="FL17" i="1"/>
  <c r="FK17" i="1"/>
  <c r="FJ17" i="1"/>
  <c r="EZ17" i="1"/>
  <c r="ET17" i="1"/>
  <c r="EM17" i="1"/>
  <c r="AG17" i="1"/>
  <c r="U17" i="1"/>
  <c r="I17" i="1"/>
  <c r="FF17" i="1" s="1"/>
  <c r="HT16" i="1"/>
  <c r="HS16" i="1"/>
  <c r="HR16" i="1"/>
  <c r="HN16" i="1"/>
  <c r="HM16" i="1"/>
  <c r="HL16" i="1"/>
  <c r="HH16" i="1"/>
  <c r="HG16" i="1"/>
  <c r="HF16" i="1"/>
  <c r="HB16" i="1"/>
  <c r="HA16" i="1"/>
  <c r="GZ16" i="1"/>
  <c r="GV16" i="1"/>
  <c r="GU16" i="1"/>
  <c r="GT16" i="1"/>
  <c r="GP16" i="1"/>
  <c r="GO16" i="1"/>
  <c r="GN16" i="1"/>
  <c r="GJ16" i="1"/>
  <c r="GI16" i="1"/>
  <c r="GH16" i="1"/>
  <c r="GD16" i="1"/>
  <c r="GC16" i="1"/>
  <c r="GB16" i="1"/>
  <c r="FX16" i="1"/>
  <c r="FW16" i="1"/>
  <c r="FV16" i="1"/>
  <c r="FR16" i="1"/>
  <c r="FQ16" i="1"/>
  <c r="FP16" i="1"/>
  <c r="FL16" i="1"/>
  <c r="FK16" i="1"/>
  <c r="FJ16" i="1"/>
  <c r="EZ16" i="1"/>
  <c r="ET16" i="1"/>
  <c r="EM16" i="1"/>
  <c r="AG16" i="1"/>
  <c r="U16" i="1"/>
  <c r="I16" i="1"/>
  <c r="FF16" i="1" s="1"/>
  <c r="HT15" i="1"/>
  <c r="HS15" i="1"/>
  <c r="HR15" i="1"/>
  <c r="HN15" i="1"/>
  <c r="HM15" i="1"/>
  <c r="HL15" i="1"/>
  <c r="HH15" i="1"/>
  <c r="HG15" i="1"/>
  <c r="HF15" i="1"/>
  <c r="HB15" i="1"/>
  <c r="HA15" i="1"/>
  <c r="GZ15" i="1"/>
  <c r="GV15" i="1"/>
  <c r="GU15" i="1"/>
  <c r="GT15" i="1"/>
  <c r="GP15" i="1"/>
  <c r="GO15" i="1"/>
  <c r="GN15" i="1"/>
  <c r="GJ15" i="1"/>
  <c r="GI15" i="1"/>
  <c r="GH15" i="1"/>
  <c r="GD15" i="1"/>
  <c r="GC15" i="1"/>
  <c r="GB15" i="1"/>
  <c r="FX15" i="1"/>
  <c r="FW15" i="1"/>
  <c r="FV15" i="1"/>
  <c r="FR15" i="1"/>
  <c r="FQ15" i="1"/>
  <c r="FP15" i="1"/>
  <c r="FL15" i="1"/>
  <c r="FK15" i="1"/>
  <c r="FJ15" i="1"/>
  <c r="EZ15" i="1"/>
  <c r="ET15" i="1"/>
  <c r="EM15" i="1"/>
  <c r="AG15" i="1"/>
  <c r="U15" i="1"/>
  <c r="I15" i="1"/>
  <c r="FF15" i="1" s="1"/>
  <c r="HT14" i="1"/>
  <c r="HS14" i="1"/>
  <c r="HR14" i="1"/>
  <c r="HN14" i="1"/>
  <c r="HM14" i="1"/>
  <c r="HL14" i="1"/>
  <c r="HH14" i="1"/>
  <c r="HG14" i="1"/>
  <c r="HF14" i="1"/>
  <c r="HB14" i="1"/>
  <c r="HA14" i="1"/>
  <c r="GZ14" i="1"/>
  <c r="GV14" i="1"/>
  <c r="GU14" i="1"/>
  <c r="GT14" i="1"/>
  <c r="GP14" i="1"/>
  <c r="GO14" i="1"/>
  <c r="GN14" i="1"/>
  <c r="GJ14" i="1"/>
  <c r="GI14" i="1"/>
  <c r="GH14" i="1"/>
  <c r="GD14" i="1"/>
  <c r="GC14" i="1"/>
  <c r="GB14" i="1"/>
  <c r="FX14" i="1"/>
  <c r="FW14" i="1"/>
  <c r="FV14" i="1"/>
  <c r="FR14" i="1"/>
  <c r="FQ14" i="1"/>
  <c r="FP14" i="1"/>
  <c r="FL14" i="1"/>
  <c r="FK14" i="1"/>
  <c r="FJ14" i="1"/>
  <c r="EZ14" i="1"/>
  <c r="FD19" i="1" s="1"/>
  <c r="ET14" i="1"/>
  <c r="EM14" i="1"/>
  <c r="ER19" i="1" s="1"/>
  <c r="AG14" i="1"/>
  <c r="U14" i="1"/>
  <c r="I14" i="1"/>
  <c r="FF14" i="1" s="1"/>
  <c r="HT13" i="1"/>
  <c r="HS13" i="1"/>
  <c r="HR13" i="1"/>
  <c r="HN13" i="1"/>
  <c r="HM13" i="1"/>
  <c r="HL13" i="1"/>
  <c r="HH13" i="1"/>
  <c r="HG13" i="1"/>
  <c r="HF13" i="1"/>
  <c r="HB13" i="1"/>
  <c r="HA13" i="1"/>
  <c r="GZ13" i="1"/>
  <c r="GV13" i="1"/>
  <c r="GU13" i="1"/>
  <c r="GT13" i="1"/>
  <c r="GP13" i="1"/>
  <c r="GO13" i="1"/>
  <c r="GN13" i="1"/>
  <c r="GJ13" i="1"/>
  <c r="GI13" i="1"/>
  <c r="GH13" i="1"/>
  <c r="GD13" i="1"/>
  <c r="GC13" i="1"/>
  <c r="GB13" i="1"/>
  <c r="FX13" i="1"/>
  <c r="FW13" i="1"/>
  <c r="FV13" i="1"/>
  <c r="FR13" i="1"/>
  <c r="FQ13" i="1"/>
  <c r="FP13" i="1"/>
  <c r="FL13" i="1"/>
  <c r="FK13" i="1"/>
  <c r="FJ13" i="1"/>
  <c r="EZ13" i="1"/>
  <c r="ET13" i="1"/>
  <c r="EY18" i="1" s="1"/>
  <c r="EM13" i="1"/>
  <c r="AG13" i="1"/>
  <c r="U13" i="1"/>
  <c r="I13" i="1"/>
  <c r="FF13" i="1" s="1"/>
  <c r="HT12" i="1"/>
  <c r="HS12" i="1"/>
  <c r="HR12" i="1"/>
  <c r="HN12" i="1"/>
  <c r="HM12" i="1"/>
  <c r="HL12" i="1"/>
  <c r="HH12" i="1"/>
  <c r="HG12" i="1"/>
  <c r="HF12" i="1"/>
  <c r="HB12" i="1"/>
  <c r="HA12" i="1"/>
  <c r="GZ12" i="1"/>
  <c r="GV12" i="1"/>
  <c r="GU12" i="1"/>
  <c r="GT12" i="1"/>
  <c r="GP12" i="1"/>
  <c r="GO12" i="1"/>
  <c r="GN12" i="1"/>
  <c r="GJ12" i="1"/>
  <c r="GI12" i="1"/>
  <c r="GH12" i="1"/>
  <c r="GD12" i="1"/>
  <c r="GC12" i="1"/>
  <c r="GB12" i="1"/>
  <c r="FX12" i="1"/>
  <c r="FW12" i="1"/>
  <c r="FV12" i="1"/>
  <c r="FR12" i="1"/>
  <c r="FQ12" i="1"/>
  <c r="FP12" i="1"/>
  <c r="FL12" i="1"/>
  <c r="FK12" i="1"/>
  <c r="FJ12" i="1"/>
  <c r="EZ12" i="1"/>
  <c r="ET12" i="1"/>
  <c r="EM12" i="1"/>
  <c r="EP17" i="1" s="1"/>
  <c r="AG12" i="1"/>
  <c r="U12" i="1"/>
  <c r="I12" i="1"/>
  <c r="FF12" i="1" s="1"/>
  <c r="HT11" i="1"/>
  <c r="HS11" i="1"/>
  <c r="HR11" i="1"/>
  <c r="HN11" i="1"/>
  <c r="HM11" i="1"/>
  <c r="HL11" i="1"/>
  <c r="HH11" i="1"/>
  <c r="HG11" i="1"/>
  <c r="HF11" i="1"/>
  <c r="HB11" i="1"/>
  <c r="HA11" i="1"/>
  <c r="GZ11" i="1"/>
  <c r="GV11" i="1"/>
  <c r="GU11" i="1"/>
  <c r="GT11" i="1"/>
  <c r="GP11" i="1"/>
  <c r="GO11" i="1"/>
  <c r="GN11" i="1"/>
  <c r="GJ11" i="1"/>
  <c r="GI11" i="1"/>
  <c r="GH11" i="1"/>
  <c r="GD11" i="1"/>
  <c r="GC11" i="1"/>
  <c r="GB11" i="1"/>
  <c r="FX11" i="1"/>
  <c r="FW11" i="1"/>
  <c r="FV11" i="1"/>
  <c r="FR11" i="1"/>
  <c r="FQ11" i="1"/>
  <c r="FP11" i="1"/>
  <c r="FL11" i="1"/>
  <c r="FK11" i="1"/>
  <c r="FJ11" i="1"/>
  <c r="EZ11" i="1"/>
  <c r="ET11" i="1"/>
  <c r="EM11" i="1"/>
  <c r="AG11" i="1"/>
  <c r="U11" i="1"/>
  <c r="I11" i="1"/>
  <c r="FF11" i="1" s="1"/>
  <c r="HT10" i="1"/>
  <c r="HS10" i="1"/>
  <c r="HR10" i="1"/>
  <c r="HN10" i="1"/>
  <c r="HM10" i="1"/>
  <c r="HL10" i="1"/>
  <c r="HH10" i="1"/>
  <c r="HG10" i="1"/>
  <c r="HF10" i="1"/>
  <c r="HB10" i="1"/>
  <c r="HA10" i="1"/>
  <c r="GZ10" i="1"/>
  <c r="GV10" i="1"/>
  <c r="GU10" i="1"/>
  <c r="GT10" i="1"/>
  <c r="GP10" i="1"/>
  <c r="GO10" i="1"/>
  <c r="GN10" i="1"/>
  <c r="GJ10" i="1"/>
  <c r="GI10" i="1"/>
  <c r="GH10" i="1"/>
  <c r="GD10" i="1"/>
  <c r="GC10" i="1"/>
  <c r="GB10" i="1"/>
  <c r="FX10" i="1"/>
  <c r="FW10" i="1"/>
  <c r="FV10" i="1"/>
  <c r="FR10" i="1"/>
  <c r="FQ10" i="1"/>
  <c r="FP10" i="1"/>
  <c r="FL10" i="1"/>
  <c r="FK10" i="1"/>
  <c r="FJ10" i="1"/>
  <c r="EZ10" i="1"/>
  <c r="ET10" i="1"/>
  <c r="EM10" i="1"/>
  <c r="AG10" i="1"/>
  <c r="U10" i="1"/>
  <c r="I10" i="1"/>
  <c r="FF10" i="1" s="1"/>
  <c r="HT9" i="1"/>
  <c r="HS9" i="1"/>
  <c r="HR9" i="1"/>
  <c r="HN9" i="1"/>
  <c r="HM9" i="1"/>
  <c r="HL9" i="1"/>
  <c r="HH9" i="1"/>
  <c r="HG9" i="1"/>
  <c r="HF9" i="1"/>
  <c r="HB9" i="1"/>
  <c r="HA9" i="1"/>
  <c r="GZ9" i="1"/>
  <c r="GV9" i="1"/>
  <c r="GU9" i="1"/>
  <c r="GT9" i="1"/>
  <c r="GP9" i="1"/>
  <c r="GO9" i="1"/>
  <c r="GN9" i="1"/>
  <c r="GJ9" i="1"/>
  <c r="GI9" i="1"/>
  <c r="GH9" i="1"/>
  <c r="GD9" i="1"/>
  <c r="GC9" i="1"/>
  <c r="GB9" i="1"/>
  <c r="FX9" i="1"/>
  <c r="FW9" i="1"/>
  <c r="FV9" i="1"/>
  <c r="FR9" i="1"/>
  <c r="FQ9" i="1"/>
  <c r="FP9" i="1"/>
  <c r="FL9" i="1"/>
  <c r="FK9" i="1"/>
  <c r="FJ9" i="1"/>
  <c r="EZ9" i="1"/>
  <c r="ET9" i="1"/>
  <c r="EY9" i="1" s="1"/>
  <c r="EM9" i="1"/>
  <c r="AG9" i="1"/>
  <c r="U9" i="1"/>
  <c r="I9" i="1"/>
  <c r="FF9" i="1" s="1"/>
  <c r="HT8" i="1"/>
  <c r="HS8" i="1"/>
  <c r="HR8" i="1"/>
  <c r="HN8" i="1"/>
  <c r="HM8" i="1"/>
  <c r="HL8" i="1"/>
  <c r="HH8" i="1"/>
  <c r="HG8" i="1"/>
  <c r="HF8" i="1"/>
  <c r="HB8" i="1"/>
  <c r="HA8" i="1"/>
  <c r="GZ8" i="1"/>
  <c r="GV8" i="1"/>
  <c r="GU8" i="1"/>
  <c r="GT8" i="1"/>
  <c r="GP8" i="1"/>
  <c r="GO8" i="1"/>
  <c r="GN8" i="1"/>
  <c r="GJ8" i="1"/>
  <c r="GI8" i="1"/>
  <c r="GH8" i="1"/>
  <c r="GD8" i="1"/>
  <c r="GC8" i="1"/>
  <c r="GB8" i="1"/>
  <c r="FX8" i="1"/>
  <c r="FW8" i="1"/>
  <c r="FV8" i="1"/>
  <c r="FR8" i="1"/>
  <c r="FQ8" i="1"/>
  <c r="FP8" i="1"/>
  <c r="FL8" i="1"/>
  <c r="FK8" i="1"/>
  <c r="FJ8" i="1"/>
  <c r="EZ8" i="1"/>
  <c r="FC8" i="1" s="1"/>
  <c r="EX8" i="1"/>
  <c r="ET8" i="1"/>
  <c r="EY8" i="1" s="1"/>
  <c r="EM8" i="1"/>
  <c r="EP8" i="1" s="1"/>
  <c r="AG8" i="1"/>
  <c r="U8" i="1"/>
  <c r="I8" i="1"/>
  <c r="FF8" i="1" s="1"/>
  <c r="HT7" i="1"/>
  <c r="HS7" i="1"/>
  <c r="HR7" i="1"/>
  <c r="HN7" i="1"/>
  <c r="HM7" i="1"/>
  <c r="HL7" i="1"/>
  <c r="HH7" i="1"/>
  <c r="HG7" i="1"/>
  <c r="HF7" i="1"/>
  <c r="HB7" i="1"/>
  <c r="HA7" i="1"/>
  <c r="GZ7" i="1"/>
  <c r="GV7" i="1"/>
  <c r="GU7" i="1"/>
  <c r="GT7" i="1"/>
  <c r="GP7" i="1"/>
  <c r="GO7" i="1"/>
  <c r="GN7" i="1"/>
  <c r="GJ7" i="1"/>
  <c r="GI7" i="1"/>
  <c r="GH7" i="1"/>
  <c r="GD7" i="1"/>
  <c r="GC7" i="1"/>
  <c r="GB7" i="1"/>
  <c r="FX7" i="1"/>
  <c r="FW7" i="1"/>
  <c r="FV7" i="1"/>
  <c r="FR7" i="1"/>
  <c r="FQ7" i="1"/>
  <c r="FP7" i="1"/>
  <c r="FL7" i="1"/>
  <c r="FK7" i="1"/>
  <c r="FJ7" i="1"/>
  <c r="EZ7" i="1"/>
  <c r="FE7" i="1" s="1"/>
  <c r="EY7" i="1"/>
  <c r="ET7" i="1"/>
  <c r="EX7" i="1" s="1"/>
  <c r="EM7" i="1"/>
  <c r="EQ7" i="1" s="1"/>
  <c r="AG7" i="1"/>
  <c r="U7" i="1"/>
  <c r="I7" i="1"/>
  <c r="FF7" i="1" s="1"/>
  <c r="HT6" i="1"/>
  <c r="HS6" i="1"/>
  <c r="HR6" i="1"/>
  <c r="HN6" i="1"/>
  <c r="HM6" i="1"/>
  <c r="HL6" i="1"/>
  <c r="HH6" i="1"/>
  <c r="HG6" i="1"/>
  <c r="HF6" i="1"/>
  <c r="HB6" i="1"/>
  <c r="HA6" i="1"/>
  <c r="GZ6" i="1"/>
  <c r="GV6" i="1"/>
  <c r="GU6" i="1"/>
  <c r="GT6" i="1"/>
  <c r="GP6" i="1"/>
  <c r="GO6" i="1"/>
  <c r="GN6" i="1"/>
  <c r="GJ6" i="1"/>
  <c r="GI6" i="1"/>
  <c r="GH6" i="1"/>
  <c r="GD6" i="1"/>
  <c r="GC6" i="1"/>
  <c r="GB6" i="1"/>
  <c r="FX6" i="1"/>
  <c r="FW6" i="1"/>
  <c r="FV6" i="1"/>
  <c r="FR6" i="1"/>
  <c r="FQ6" i="1"/>
  <c r="FP6" i="1"/>
  <c r="FL6" i="1"/>
  <c r="FK6" i="1"/>
  <c r="FJ6" i="1"/>
  <c r="EZ6" i="1"/>
  <c r="ET6" i="1"/>
  <c r="EM6" i="1"/>
  <c r="ER6" i="1" s="1"/>
  <c r="AG6" i="1"/>
  <c r="U6" i="1"/>
  <c r="I6" i="1"/>
  <c r="FF6" i="1" s="1"/>
  <c r="HT5" i="1"/>
  <c r="HS5" i="1"/>
  <c r="HR5" i="1"/>
  <c r="HN5" i="1"/>
  <c r="HM5" i="1"/>
  <c r="HL5" i="1"/>
  <c r="HH5" i="1"/>
  <c r="HG5" i="1"/>
  <c r="HF5" i="1"/>
  <c r="HB5" i="1"/>
  <c r="HA5" i="1"/>
  <c r="GZ5" i="1"/>
  <c r="GV5" i="1"/>
  <c r="GU5" i="1"/>
  <c r="GT5" i="1"/>
  <c r="GP5" i="1"/>
  <c r="GO5" i="1"/>
  <c r="GN5" i="1"/>
  <c r="GJ5" i="1"/>
  <c r="GI5" i="1"/>
  <c r="GH5" i="1"/>
  <c r="GD5" i="1"/>
  <c r="GC5" i="1"/>
  <c r="GB5" i="1"/>
  <c r="FX5" i="1"/>
  <c r="FW5" i="1"/>
  <c r="FV5" i="1"/>
  <c r="FR5" i="1"/>
  <c r="FQ5" i="1"/>
  <c r="FP5" i="1"/>
  <c r="FL5" i="1"/>
  <c r="FK5" i="1"/>
  <c r="FJ5" i="1"/>
  <c r="EZ5" i="1"/>
  <c r="FC5" i="1" s="1"/>
  <c r="ET5" i="1"/>
  <c r="EX5" i="1" s="1"/>
  <c r="EM5" i="1"/>
  <c r="ER5" i="1" s="1"/>
  <c r="AG5" i="1"/>
  <c r="U5" i="1"/>
  <c r="I5" i="1"/>
  <c r="FF5" i="1" s="1"/>
  <c r="AI54" i="29" l="1"/>
  <c r="AJ53" i="29"/>
  <c r="AE68" i="26"/>
  <c r="AC69" i="26"/>
  <c r="AB69" i="26"/>
  <c r="AA77" i="26"/>
  <c r="AF69" i="26"/>
  <c r="E14" i="27"/>
  <c r="F14" i="27" s="1"/>
  <c r="L32" i="27" s="1"/>
  <c r="N28" i="13"/>
  <c r="N36" i="13"/>
  <c r="CK91" i="13"/>
  <c r="AZ97" i="13"/>
  <c r="H118" i="13"/>
  <c r="H120" i="13"/>
  <c r="CK75" i="13"/>
  <c r="C13" i="27"/>
  <c r="D13" i="27" s="1"/>
  <c r="G31" i="27" s="1"/>
  <c r="C15" i="27"/>
  <c r="D15" i="27" s="1"/>
  <c r="G33" i="27" s="1"/>
  <c r="S17" i="27"/>
  <c r="C19" i="27"/>
  <c r="D19" i="27" s="1"/>
  <c r="CK62" i="13"/>
  <c r="CK120" i="13"/>
  <c r="CK68" i="13"/>
  <c r="H101" i="13"/>
  <c r="E13" i="27"/>
  <c r="F13" i="27" s="1"/>
  <c r="L31" i="27" s="1"/>
  <c r="E15" i="27"/>
  <c r="F15" i="27" s="1"/>
  <c r="L33" i="27" s="1"/>
  <c r="E19" i="27"/>
  <c r="F19" i="27" s="1"/>
  <c r="C21" i="27"/>
  <c r="D21" i="27" s="1"/>
  <c r="AF68" i="26"/>
  <c r="H60" i="13"/>
  <c r="BP97" i="13"/>
  <c r="AZ89" i="13"/>
  <c r="BC91" i="13"/>
  <c r="AO120" i="35" s="1"/>
  <c r="CK109" i="13"/>
  <c r="CV119" i="13"/>
  <c r="H123" i="13"/>
  <c r="C18" i="27"/>
  <c r="D18" i="27" s="1"/>
  <c r="CA66" i="13"/>
  <c r="CK60" i="13"/>
  <c r="CK63" i="13"/>
  <c r="CK71" i="13"/>
  <c r="CK87" i="13"/>
  <c r="C12" i="27"/>
  <c r="D12" i="27" s="1"/>
  <c r="G30" i="27" s="1"/>
  <c r="C14" i="27"/>
  <c r="D14" i="27" s="1"/>
  <c r="G32" i="27" s="1"/>
  <c r="E21" i="27"/>
  <c r="F21" i="27" s="1"/>
  <c r="CA37" i="13"/>
  <c r="CA38" i="13"/>
  <c r="CK74" i="13"/>
  <c r="CK93" i="13"/>
  <c r="BP105" i="13"/>
  <c r="CK97" i="13"/>
  <c r="L37" i="13"/>
  <c r="CA39" i="13"/>
  <c r="H72" i="13"/>
  <c r="CK77" i="13"/>
  <c r="AU124" i="13"/>
  <c r="AF47" i="2"/>
  <c r="BN25" i="4"/>
  <c r="EY29" i="4"/>
  <c r="ET33" i="4"/>
  <c r="EZ33" i="4" s="1"/>
  <c r="BU25" i="4"/>
  <c r="DX25" i="4"/>
  <c r="ET43" i="4"/>
  <c r="EZ43" i="4" s="1"/>
  <c r="AQ6" i="4"/>
  <c r="AH50" i="2"/>
  <c r="AO14" i="4"/>
  <c r="AT41" i="2"/>
  <c r="AV41" i="2" s="1"/>
  <c r="AQ27" i="4"/>
  <c r="EV37" i="4"/>
  <c r="FB37" i="4" s="1"/>
  <c r="AF50" i="2"/>
  <c r="H55" i="13"/>
  <c r="N73" i="13"/>
  <c r="CA19" i="13"/>
  <c r="H58" i="13"/>
  <c r="BU98" i="13"/>
  <c r="K7" i="22"/>
  <c r="M7" i="22" s="1"/>
  <c r="J10" i="22"/>
  <c r="L22" i="13"/>
  <c r="N25" i="13"/>
  <c r="CA44" i="13"/>
  <c r="CA45" i="13"/>
  <c r="CA46" i="13"/>
  <c r="N56" i="13"/>
  <c r="N68" i="13"/>
  <c r="H73" i="13"/>
  <c r="P81" i="13"/>
  <c r="H83" i="13"/>
  <c r="BP95" i="13"/>
  <c r="CK96" i="13"/>
  <c r="AU100" i="13"/>
  <c r="H105" i="13"/>
  <c r="AZ105" i="13"/>
  <c r="AY119" i="13"/>
  <c r="CV123" i="13"/>
  <c r="N135" i="13"/>
  <c r="AU96" i="13"/>
  <c r="P20" i="22"/>
  <c r="L43" i="13"/>
  <c r="H61" i="13"/>
  <c r="CK66" i="13"/>
  <c r="H71" i="13"/>
  <c r="CV86" i="13"/>
  <c r="CK103" i="13"/>
  <c r="CV109" i="13"/>
  <c r="H110" i="13"/>
  <c r="CV125" i="13"/>
  <c r="CA25" i="13"/>
  <c r="CA16" i="13"/>
  <c r="CA15" i="13"/>
  <c r="N42" i="13"/>
  <c r="N43" i="13"/>
  <c r="N44" i="13"/>
  <c r="N75" i="13"/>
  <c r="N84" i="13"/>
  <c r="CK78" i="13"/>
  <c r="BU93" i="13"/>
  <c r="BC85" i="13"/>
  <c r="AO114" i="35" s="1"/>
  <c r="BV97" i="13"/>
  <c r="CV88" i="13"/>
  <c r="BE106" i="13"/>
  <c r="Q9" i="16" s="1"/>
  <c r="BD108" i="13"/>
  <c r="AR137" i="35" s="1"/>
  <c r="BC113" i="13"/>
  <c r="AO142" i="35" s="1"/>
  <c r="BP128" i="13"/>
  <c r="N136" i="13"/>
  <c r="CA62" i="13"/>
  <c r="H68" i="13"/>
  <c r="CA86" i="13"/>
  <c r="AZ86" i="13"/>
  <c r="CK55" i="13"/>
  <c r="J15" i="22"/>
  <c r="CA27" i="13"/>
  <c r="CA29" i="13"/>
  <c r="L49" i="13"/>
  <c r="N67" i="13"/>
  <c r="CK61" i="13"/>
  <c r="H64" i="13"/>
  <c r="H74" i="13"/>
  <c r="P88" i="13"/>
  <c r="BE85" i="13"/>
  <c r="P97" i="13"/>
  <c r="CV87" i="13"/>
  <c r="CK100" i="13"/>
  <c r="L61" i="13"/>
  <c r="T66" i="22"/>
  <c r="N128" i="13"/>
  <c r="H11" i="22"/>
  <c r="CA17" i="13"/>
  <c r="CA23" i="13"/>
  <c r="L29" i="13"/>
  <c r="CA30" i="13"/>
  <c r="CA31" i="13"/>
  <c r="N52" i="13"/>
  <c r="CA60" i="13"/>
  <c r="BV81" i="13"/>
  <c r="BC100" i="13"/>
  <c r="AO129" i="35" s="1"/>
  <c r="AU106" i="13"/>
  <c r="BV118" i="13"/>
  <c r="CK112" i="13"/>
  <c r="N125" i="13"/>
  <c r="AZ124" i="13"/>
  <c r="BH124" i="13"/>
  <c r="J37" i="15"/>
  <c r="CA21" i="13"/>
  <c r="CA53" i="13"/>
  <c r="DD90" i="13"/>
  <c r="BD119" i="35" s="1"/>
  <c r="AY119" i="35"/>
  <c r="DE90" i="13"/>
  <c r="BG119" i="35" s="1"/>
  <c r="BZ114" i="13"/>
  <c r="CH132" i="35"/>
  <c r="DC104" i="13"/>
  <c r="Q133" i="35" s="1"/>
  <c r="AY133" i="35"/>
  <c r="DD104" i="13"/>
  <c r="BD133" i="35" s="1"/>
  <c r="DE104" i="13"/>
  <c r="BG133" i="35" s="1"/>
  <c r="J6" i="22"/>
  <c r="N16" i="13"/>
  <c r="N19" i="13"/>
  <c r="N22" i="13"/>
  <c r="CA24" i="13"/>
  <c r="N29" i="13"/>
  <c r="L30" i="13"/>
  <c r="N37" i="13"/>
  <c r="L38" i="13"/>
  <c r="L53" i="13"/>
  <c r="L57" i="13"/>
  <c r="N61" i="13"/>
  <c r="L62" i="13"/>
  <c r="N65" i="13"/>
  <c r="H63" i="13"/>
  <c r="N76" i="13"/>
  <c r="L74" i="13"/>
  <c r="CK69" i="13"/>
  <c r="L84" i="13"/>
  <c r="H75" i="13"/>
  <c r="BZ88" i="13"/>
  <c r="DC82" i="13"/>
  <c r="Q111" i="35" s="1"/>
  <c r="AY111" i="35"/>
  <c r="DD82" i="13"/>
  <c r="BD111" i="35" s="1"/>
  <c r="DE82" i="13"/>
  <c r="BG111" i="35" s="1"/>
  <c r="AU83" i="13"/>
  <c r="CU86" i="13"/>
  <c r="AL114" i="35"/>
  <c r="BC89" i="13"/>
  <c r="AO118" i="35" s="1"/>
  <c r="AY121" i="35"/>
  <c r="DD92" i="13"/>
  <c r="BD121" i="35" s="1"/>
  <c r="DE92" i="13"/>
  <c r="BG121" i="35" s="1"/>
  <c r="BP103" i="13"/>
  <c r="DD93" i="13"/>
  <c r="BD122" i="35" s="1"/>
  <c r="AY122" i="35"/>
  <c r="DE93" i="13"/>
  <c r="BG122" i="35" s="1"/>
  <c r="BP104" i="13"/>
  <c r="AY125" i="35"/>
  <c r="DD96" i="13"/>
  <c r="BD125" i="35" s="1"/>
  <c r="DE96" i="13"/>
  <c r="BG125" i="35" s="1"/>
  <c r="CK99" i="13"/>
  <c r="AY128" i="35"/>
  <c r="DD99" i="13"/>
  <c r="BD128" i="35" s="1"/>
  <c r="DE99" i="13"/>
  <c r="BG128" i="35" s="1"/>
  <c r="H103" i="13"/>
  <c r="AY108" i="13"/>
  <c r="CK108" i="13"/>
  <c r="AU109" i="13"/>
  <c r="H111" i="13"/>
  <c r="CH140" i="35"/>
  <c r="H112" i="13"/>
  <c r="AY113" i="13"/>
  <c r="AY145" i="35"/>
  <c r="DE116" i="13"/>
  <c r="BG145" i="35" s="1"/>
  <c r="DD116" i="13"/>
  <c r="BD145" i="35" s="1"/>
  <c r="CV118" i="13"/>
  <c r="CK118" i="13"/>
  <c r="DE123" i="13"/>
  <c r="BG152" i="35" s="1"/>
  <c r="AY152" i="35"/>
  <c r="DD123" i="13"/>
  <c r="BD152" i="35" s="1"/>
  <c r="DD125" i="13"/>
  <c r="BD154" i="35" s="1"/>
  <c r="DE125" i="13"/>
  <c r="BG154" i="35" s="1"/>
  <c r="AY154" i="35"/>
  <c r="CV83" i="13"/>
  <c r="W111" i="35"/>
  <c r="CT95" i="13"/>
  <c r="AI124" i="35"/>
  <c r="CT115" i="13"/>
  <c r="AI144" i="35"/>
  <c r="F4" i="22"/>
  <c r="T5" i="22" s="1"/>
  <c r="V64" i="22"/>
  <c r="CA18" i="13"/>
  <c r="L21" i="13"/>
  <c r="L24" i="13"/>
  <c r="N30" i="13"/>
  <c r="L31" i="13"/>
  <c r="CA32" i="13"/>
  <c r="N38" i="13"/>
  <c r="CA40" i="13"/>
  <c r="N45" i="13"/>
  <c r="N46" i="13"/>
  <c r="CA47" i="13"/>
  <c r="CA48" i="13"/>
  <c r="N53" i="13"/>
  <c r="CA54" i="13"/>
  <c r="N57" i="13"/>
  <c r="CA58" i="13"/>
  <c r="N62" i="13"/>
  <c r="L63" i="13"/>
  <c r="CK57" i="13"/>
  <c r="L70" i="13"/>
  <c r="CK59" i="13"/>
  <c r="CK67" i="13"/>
  <c r="N80" i="13"/>
  <c r="L86" i="13"/>
  <c r="H77" i="13"/>
  <c r="AZ80" i="13"/>
  <c r="AT80" i="13"/>
  <c r="CK80" i="13"/>
  <c r="AY82" i="13"/>
  <c r="BP94" i="13"/>
  <c r="H86" i="13"/>
  <c r="BI86" i="13"/>
  <c r="BP98" i="13"/>
  <c r="CT87" i="13"/>
  <c r="AI116" i="35"/>
  <c r="CK88" i="13"/>
  <c r="AY117" i="35"/>
  <c r="DE88" i="13"/>
  <c r="BG117" i="35" s="1"/>
  <c r="DD88" i="13"/>
  <c r="BD117" i="35" s="1"/>
  <c r="BE89" i="13"/>
  <c r="CT89" i="13"/>
  <c r="AI118" i="35"/>
  <c r="CV91" i="13"/>
  <c r="AY120" i="35"/>
  <c r="DE91" i="13"/>
  <c r="BG120" i="35" s="1"/>
  <c r="DD91" i="13"/>
  <c r="BD120" i="35" s="1"/>
  <c r="AY91" i="13"/>
  <c r="AY92" i="13"/>
  <c r="N104" i="13"/>
  <c r="AY93" i="13"/>
  <c r="BH93" i="13"/>
  <c r="CR108" i="13"/>
  <c r="AU126" i="35"/>
  <c r="BC98" i="13"/>
  <c r="AO127" i="35" s="1"/>
  <c r="DD98" i="13"/>
  <c r="BD127" i="35" s="1"/>
  <c r="DE98" i="13"/>
  <c r="BG127" i="35" s="1"/>
  <c r="AY127" i="35"/>
  <c r="CT101" i="13"/>
  <c r="AI130" i="35"/>
  <c r="AY104" i="13"/>
  <c r="AY134" i="35"/>
  <c r="DD105" i="13"/>
  <c r="BD134" i="35" s="1"/>
  <c r="DE105" i="13"/>
  <c r="BG134" i="35" s="1"/>
  <c r="CK106" i="13"/>
  <c r="AY135" i="35"/>
  <c r="DD106" i="13"/>
  <c r="BD135" i="35" s="1"/>
  <c r="DE106" i="13"/>
  <c r="BG135" i="35" s="1"/>
  <c r="DD107" i="13"/>
  <c r="BD136" i="35" s="1"/>
  <c r="AY136" i="35"/>
  <c r="DE107" i="13"/>
  <c r="BG136" i="35" s="1"/>
  <c r="CT109" i="13"/>
  <c r="AI138" i="35"/>
  <c r="AU111" i="13"/>
  <c r="AZ113" i="13"/>
  <c r="CU114" i="13"/>
  <c r="AL142" i="35"/>
  <c r="CT114" i="13"/>
  <c r="AI143" i="35"/>
  <c r="N127" i="13"/>
  <c r="AY116" i="13"/>
  <c r="AZ117" i="13"/>
  <c r="BZ131" i="13"/>
  <c r="CH149" i="35"/>
  <c r="H121" i="13"/>
  <c r="BP132" i="13"/>
  <c r="DD122" i="13"/>
  <c r="BD151" i="35" s="1"/>
  <c r="DE122" i="13"/>
  <c r="BG151" i="35" s="1"/>
  <c r="AY151" i="35"/>
  <c r="N134" i="13"/>
  <c r="M13" i="15" s="1"/>
  <c r="CV126" i="13"/>
  <c r="CK65" i="13"/>
  <c r="BZ93" i="13"/>
  <c r="CH111" i="35"/>
  <c r="CA106" i="13"/>
  <c r="CK124" i="35"/>
  <c r="L15" i="13"/>
  <c r="N21" i="13"/>
  <c r="N24" i="13"/>
  <c r="N31" i="13"/>
  <c r="L32" i="13"/>
  <c r="L39" i="13"/>
  <c r="L47" i="13"/>
  <c r="L48" i="13"/>
  <c r="L54" i="13"/>
  <c r="L58" i="13"/>
  <c r="CA64" i="13"/>
  <c r="CA69" i="13"/>
  <c r="N70" i="13"/>
  <c r="CA71" i="13"/>
  <c r="L72" i="13"/>
  <c r="CA79" i="13"/>
  <c r="N82" i="13"/>
  <c r="CA85" i="13"/>
  <c r="L88" i="13"/>
  <c r="BZ90" i="13"/>
  <c r="P93" i="13"/>
  <c r="BC82" i="13"/>
  <c r="AO111" i="35" s="1"/>
  <c r="CA94" i="13"/>
  <c r="CK112" i="35"/>
  <c r="L96" i="13"/>
  <c r="AY115" i="35"/>
  <c r="DD86" i="13"/>
  <c r="BD115" i="35" s="1"/>
  <c r="DE86" i="13"/>
  <c r="BG115" i="35" s="1"/>
  <c r="AZ87" i="13"/>
  <c r="N102" i="13"/>
  <c r="CU92" i="13"/>
  <c r="AL120" i="35"/>
  <c r="BS104" i="13"/>
  <c r="AL122" i="35"/>
  <c r="CK95" i="13"/>
  <c r="AY124" i="35"/>
  <c r="DD95" i="13"/>
  <c r="BD124" i="35" s="1"/>
  <c r="DE95" i="13"/>
  <c r="BG124" i="35" s="1"/>
  <c r="AU97" i="13"/>
  <c r="BZ112" i="13"/>
  <c r="CH130" i="35"/>
  <c r="AY102" i="13"/>
  <c r="DD102" i="13"/>
  <c r="BD131" i="35" s="1"/>
  <c r="DE102" i="13"/>
  <c r="BG131" i="35" s="1"/>
  <c r="AY131" i="35"/>
  <c r="DE103" i="13"/>
  <c r="BG132" i="35" s="1"/>
  <c r="DD103" i="13"/>
  <c r="BD132" i="35" s="1"/>
  <c r="AY132" i="35"/>
  <c r="BV116" i="13"/>
  <c r="H109" i="13"/>
  <c r="CH138" i="35"/>
  <c r="BP120" i="13"/>
  <c r="DC111" i="13"/>
  <c r="Q140" i="35" s="1"/>
  <c r="DE111" i="13"/>
  <c r="BG140" i="35" s="1"/>
  <c r="AY140" i="35"/>
  <c r="DD111" i="13"/>
  <c r="BD140" i="35" s="1"/>
  <c r="BZ111" i="13"/>
  <c r="DC112" i="13"/>
  <c r="Q141" i="35" s="1"/>
  <c r="DE112" i="13"/>
  <c r="BG141" i="35" s="1"/>
  <c r="DD112" i="13"/>
  <c r="BD141" i="35" s="1"/>
  <c r="AY141" i="35"/>
  <c r="AY144" i="35"/>
  <c r="DE115" i="13"/>
  <c r="BG144" i="35" s="1"/>
  <c r="DD115" i="13"/>
  <c r="BD144" i="35" s="1"/>
  <c r="BZ129" i="13"/>
  <c r="CH147" i="35"/>
  <c r="BZ130" i="13"/>
  <c r="CH148" i="35"/>
  <c r="P134" i="13"/>
  <c r="O13" i="15" s="1"/>
  <c r="CR136" i="13"/>
  <c r="AU154" i="35"/>
  <c r="L19" i="13"/>
  <c r="CT86" i="13"/>
  <c r="AI115" i="35"/>
  <c r="CT91" i="13"/>
  <c r="AI120" i="35"/>
  <c r="BZ109" i="13"/>
  <c r="CH127" i="35"/>
  <c r="L43" i="16"/>
  <c r="N45" i="16" s="1"/>
  <c r="O45" i="16" s="1"/>
  <c r="CH135" i="35"/>
  <c r="N18" i="13"/>
  <c r="CA20" i="13"/>
  <c r="CA26" i="13"/>
  <c r="N32" i="13"/>
  <c r="L33" i="13"/>
  <c r="CA34" i="13"/>
  <c r="N39" i="13"/>
  <c r="N40" i="13"/>
  <c r="CA41" i="13"/>
  <c r="CA42" i="13"/>
  <c r="N47" i="13"/>
  <c r="N48" i="13"/>
  <c r="CA49" i="13"/>
  <c r="CA50" i="13"/>
  <c r="CA55" i="13"/>
  <c r="N58" i="13"/>
  <c r="CA59" i="13"/>
  <c r="CK53" i="13"/>
  <c r="N63" i="13"/>
  <c r="L77" i="13"/>
  <c r="CA87" i="13"/>
  <c r="L90" i="13"/>
  <c r="CK79" i="13"/>
  <c r="H81" i="13"/>
  <c r="CH110" i="35"/>
  <c r="CT85" i="13"/>
  <c r="AI114" i="35"/>
  <c r="AU89" i="13"/>
  <c r="AZ90" i="13"/>
  <c r="BP101" i="13"/>
  <c r="CV92" i="13"/>
  <c r="AU92" i="13"/>
  <c r="AU93" i="13"/>
  <c r="AY123" i="35"/>
  <c r="DD94" i="13"/>
  <c r="BD123" i="35" s="1"/>
  <c r="DE94" i="13"/>
  <c r="BG123" i="35" s="1"/>
  <c r="BZ94" i="13"/>
  <c r="N114" i="13"/>
  <c r="BS115" i="13"/>
  <c r="AL134" i="35"/>
  <c r="BS117" i="13"/>
  <c r="AL135" i="35"/>
  <c r="N122" i="13"/>
  <c r="CA125" i="13"/>
  <c r="CK143" i="35"/>
  <c r="CV117" i="13"/>
  <c r="CA128" i="13"/>
  <c r="CK146" i="35"/>
  <c r="DD121" i="13"/>
  <c r="BD150" i="35" s="1"/>
  <c r="AY150" i="35"/>
  <c r="DE121" i="13"/>
  <c r="BG150" i="35" s="1"/>
  <c r="P133" i="13"/>
  <c r="BZ135" i="13"/>
  <c r="CH153" i="35"/>
  <c r="AY155" i="35"/>
  <c r="DD126" i="13"/>
  <c r="BD155" i="35" s="1"/>
  <c r="DE126" i="13"/>
  <c r="BG155" i="35" s="1"/>
  <c r="BU97" i="13"/>
  <c r="P125" i="13"/>
  <c r="CR135" i="13"/>
  <c r="AU153" i="35"/>
  <c r="I4" i="22"/>
  <c r="W11" i="22" s="1"/>
  <c r="L17" i="13"/>
  <c r="L23" i="13"/>
  <c r="L26" i="13"/>
  <c r="N33" i="13"/>
  <c r="L34" i="13"/>
  <c r="L41" i="13"/>
  <c r="L42" i="13"/>
  <c r="L50" i="13"/>
  <c r="L55" i="13"/>
  <c r="CA65" i="13"/>
  <c r="CA63" i="13"/>
  <c r="L85" i="13"/>
  <c r="BZ87" i="13"/>
  <c r="CA91" i="13"/>
  <c r="DC81" i="13"/>
  <c r="Q110" i="35" s="1"/>
  <c r="BE81" i="13"/>
  <c r="BC81" i="13"/>
  <c r="AO110" i="35" s="1"/>
  <c r="BD81" i="13"/>
  <c r="AR110" i="35" s="1"/>
  <c r="DE81" i="13"/>
  <c r="BG110" i="35" s="1"/>
  <c r="DD81" i="13"/>
  <c r="BD110" i="35" s="1"/>
  <c r="AY110" i="35"/>
  <c r="CT82" i="13"/>
  <c r="AI111" i="35"/>
  <c r="BZ95" i="13"/>
  <c r="CH113" i="35"/>
  <c r="AU88" i="13"/>
  <c r="AY89" i="13"/>
  <c r="AY118" i="35"/>
  <c r="DD89" i="13"/>
  <c r="BD118" i="35" s="1"/>
  <c r="DE89" i="13"/>
  <c r="BG118" i="35" s="1"/>
  <c r="CK89" i="13"/>
  <c r="AZ91" i="13"/>
  <c r="AZ92" i="13"/>
  <c r="AZ93" i="13"/>
  <c r="CU96" i="13"/>
  <c r="AL124" i="35"/>
  <c r="BZ108" i="13"/>
  <c r="CH126" i="35"/>
  <c r="AZ98" i="13"/>
  <c r="P114" i="13"/>
  <c r="BC104" i="13"/>
  <c r="AO133" i="35" s="1"/>
  <c r="CK104" i="13"/>
  <c r="AU105" i="13"/>
  <c r="CV106" i="13"/>
  <c r="DC109" i="13"/>
  <c r="Q138" i="35" s="1"/>
  <c r="AY138" i="35"/>
  <c r="DD109" i="13"/>
  <c r="BD138" i="35" s="1"/>
  <c r="DE109" i="13"/>
  <c r="BG138" i="35" s="1"/>
  <c r="DC110" i="13"/>
  <c r="Q139" i="35" s="1"/>
  <c r="DD110" i="13"/>
  <c r="BD139" i="35" s="1"/>
  <c r="AY139" i="35"/>
  <c r="DE110" i="13"/>
  <c r="BG139" i="35" s="1"/>
  <c r="CR122" i="13"/>
  <c r="AU140" i="35"/>
  <c r="CV113" i="13"/>
  <c r="AU113" i="13"/>
  <c r="CT113" i="13"/>
  <c r="AI142" i="35"/>
  <c r="AZ114" i="13"/>
  <c r="BE116" i="13"/>
  <c r="BZ119" i="13"/>
  <c r="DE120" i="13"/>
  <c r="BG149" i="35" s="1"/>
  <c r="DD120" i="13"/>
  <c r="BD149" i="35" s="1"/>
  <c r="AY149" i="35"/>
  <c r="N132" i="13"/>
  <c r="AY121" i="13"/>
  <c r="BE122" i="13"/>
  <c r="BP134" i="13"/>
  <c r="AZ125" i="13"/>
  <c r="BH125" i="13"/>
  <c r="H107" i="13"/>
  <c r="CH136" i="35"/>
  <c r="CT111" i="13"/>
  <c r="AI140" i="35"/>
  <c r="V67" i="22"/>
  <c r="C12" i="22"/>
  <c r="N17" i="13"/>
  <c r="N20" i="13"/>
  <c r="N23" i="13"/>
  <c r="N26" i="13"/>
  <c r="L27" i="13"/>
  <c r="CA28" i="13"/>
  <c r="N34" i="13"/>
  <c r="L35" i="13"/>
  <c r="CA36" i="13"/>
  <c r="N41" i="13"/>
  <c r="CA43" i="13"/>
  <c r="N49" i="13"/>
  <c r="CA51" i="13"/>
  <c r="N55" i="13"/>
  <c r="N59" i="13"/>
  <c r="L60" i="13"/>
  <c r="H56" i="13"/>
  <c r="N69" i="13"/>
  <c r="L73" i="13"/>
  <c r="CK64" i="13"/>
  <c r="N81" i="13"/>
  <c r="CK70" i="13"/>
  <c r="L83" i="13"/>
  <c r="CK72" i="13"/>
  <c r="L87" i="13"/>
  <c r="BZ89" i="13"/>
  <c r="H80" i="13"/>
  <c r="CK81" i="13"/>
  <c r="DC83" i="13"/>
  <c r="Q112" i="35" s="1"/>
  <c r="AY112" i="35"/>
  <c r="DE83" i="13"/>
  <c r="BG112" i="35" s="1"/>
  <c r="DD83" i="13"/>
  <c r="BD112" i="35" s="1"/>
  <c r="CU84" i="13"/>
  <c r="AL112" i="35"/>
  <c r="H84" i="13"/>
  <c r="H85" i="13"/>
  <c r="CH114" i="35"/>
  <c r="AU85" i="13"/>
  <c r="AY116" i="35"/>
  <c r="DE87" i="13"/>
  <c r="BG116" i="35" s="1"/>
  <c r="DD87" i="13"/>
  <c r="BD116" i="35" s="1"/>
  <c r="AZ88" i="13"/>
  <c r="BD92" i="13"/>
  <c r="AR121" i="35" s="1"/>
  <c r="BD93" i="13"/>
  <c r="AR122" i="35" s="1"/>
  <c r="AU95" i="13"/>
  <c r="BE96" i="13"/>
  <c r="BZ110" i="13"/>
  <c r="CH128" i="35"/>
  <c r="DC100" i="13"/>
  <c r="Q129" i="35" s="1"/>
  <c r="DE100" i="13"/>
  <c r="BG129" i="35" s="1"/>
  <c r="AY129" i="35"/>
  <c r="DD100" i="13"/>
  <c r="BD129" i="35" s="1"/>
  <c r="AY130" i="35"/>
  <c r="DD101" i="13"/>
  <c r="BD130" i="35" s="1"/>
  <c r="DE101" i="13"/>
  <c r="BG130" i="35" s="1"/>
  <c r="BC102" i="13"/>
  <c r="AO131" i="35" s="1"/>
  <c r="CK102" i="13"/>
  <c r="AU103" i="13"/>
  <c r="AT104" i="13"/>
  <c r="K133" i="35" s="1"/>
  <c r="BD104" i="13"/>
  <c r="AR133" i="35" s="1"/>
  <c r="CK105" i="13"/>
  <c r="BC106" i="13"/>
  <c r="AO135" i="35" s="1"/>
  <c r="CT107" i="13"/>
  <c r="AI136" i="35"/>
  <c r="CV112" i="13"/>
  <c r="BE112" i="13"/>
  <c r="BZ121" i="13"/>
  <c r="CH142" i="35"/>
  <c r="BZ117" i="13"/>
  <c r="DD118" i="13"/>
  <c r="BD147" i="35" s="1"/>
  <c r="DE118" i="13"/>
  <c r="BG147" i="35" s="1"/>
  <c r="AY147" i="35"/>
  <c r="DE119" i="13"/>
  <c r="BG148" i="35" s="1"/>
  <c r="AY148" i="35"/>
  <c r="DD119" i="13"/>
  <c r="BD148" i="35" s="1"/>
  <c r="CA133" i="13"/>
  <c r="CK151" i="35"/>
  <c r="BZ134" i="13"/>
  <c r="CH152" i="35"/>
  <c r="BI123" i="13"/>
  <c r="DE124" i="13"/>
  <c r="BG153" i="35" s="1"/>
  <c r="AY153" i="35"/>
  <c r="DD124" i="13"/>
  <c r="BD153" i="35" s="1"/>
  <c r="CT93" i="13"/>
  <c r="AI122" i="35"/>
  <c r="C4" i="22"/>
  <c r="Q4" i="22" s="1"/>
  <c r="CA22" i="13"/>
  <c r="L25" i="13"/>
  <c r="N27" i="13"/>
  <c r="N35" i="13"/>
  <c r="L36" i="13"/>
  <c r="L51" i="13"/>
  <c r="L52" i="13"/>
  <c r="N60" i="13"/>
  <c r="CA61" i="13"/>
  <c r="H54" i="13"/>
  <c r="CB55" i="13" s="1"/>
  <c r="CK54" i="13"/>
  <c r="L66" i="13"/>
  <c r="H57" i="13"/>
  <c r="CA76" i="13"/>
  <c r="CA78" i="13"/>
  <c r="N83" i="13"/>
  <c r="CK76" i="13"/>
  <c r="H78" i="13"/>
  <c r="P91" i="13"/>
  <c r="CU83" i="13"/>
  <c r="T111" i="35"/>
  <c r="AN111" i="35" s="1"/>
  <c r="BI82" i="13"/>
  <c r="BV92" i="13"/>
  <c r="DC84" i="13"/>
  <c r="Q113" i="35" s="1"/>
  <c r="AY113" i="35"/>
  <c r="DD84" i="13"/>
  <c r="BD113" i="35" s="1"/>
  <c r="DE84" i="13"/>
  <c r="BG113" i="35" s="1"/>
  <c r="CT84" i="13"/>
  <c r="AI113" i="35"/>
  <c r="DC85" i="13"/>
  <c r="Q114" i="35" s="1"/>
  <c r="AY114" i="35"/>
  <c r="DD85" i="13"/>
  <c r="BD114" i="35" s="1"/>
  <c r="DE85" i="13"/>
  <c r="BG114" i="35" s="1"/>
  <c r="CK85" i="13"/>
  <c r="N98" i="13"/>
  <c r="BP99" i="13"/>
  <c r="CU90" i="13"/>
  <c r="AL118" i="35"/>
  <c r="BZ101" i="13"/>
  <c r="CH119" i="35"/>
  <c r="BE92" i="13"/>
  <c r="BE93" i="13"/>
  <c r="CV95" i="13"/>
  <c r="AT96" i="13"/>
  <c r="K125" i="35" s="1"/>
  <c r="L108" i="13"/>
  <c r="AY126" i="35"/>
  <c r="DD97" i="13"/>
  <c r="BD126" i="35" s="1"/>
  <c r="DE97" i="13"/>
  <c r="BG126" i="35" s="1"/>
  <c r="AU98" i="13"/>
  <c r="H99" i="13"/>
  <c r="CK101" i="13"/>
  <c r="BD102" i="13"/>
  <c r="AR131" i="35" s="1"/>
  <c r="AU104" i="13"/>
  <c r="BE104" i="13"/>
  <c r="CT104" i="13"/>
  <c r="AI133" i="35"/>
  <c r="BD106" i="13"/>
  <c r="AR135" i="35" s="1"/>
  <c r="DC108" i="13"/>
  <c r="Q137" i="35" s="1"/>
  <c r="AY137" i="35"/>
  <c r="DE108" i="13"/>
  <c r="BG137" i="35" s="1"/>
  <c r="DD108" i="13"/>
  <c r="BD137" i="35" s="1"/>
  <c r="CR120" i="13"/>
  <c r="AU138" i="35"/>
  <c r="CU110" i="13"/>
  <c r="AL138" i="35"/>
  <c r="CR121" i="13"/>
  <c r="AU139" i="35"/>
  <c r="BC111" i="13"/>
  <c r="AO140" i="35" s="1"/>
  <c r="DC113" i="13"/>
  <c r="Q142" i="35" s="1"/>
  <c r="DD113" i="13"/>
  <c r="BD142" i="35" s="1"/>
  <c r="AY142" i="35"/>
  <c r="DE113" i="13"/>
  <c r="BG142" i="35" s="1"/>
  <c r="AY143" i="35"/>
  <c r="DD114" i="13"/>
  <c r="BD143" i="35" s="1"/>
  <c r="DE114" i="13"/>
  <c r="BG143" i="35" s="1"/>
  <c r="BC115" i="13"/>
  <c r="AO144" i="35" s="1"/>
  <c r="BP127" i="13"/>
  <c r="AY146" i="35"/>
  <c r="DD117" i="13"/>
  <c r="BD146" i="35" s="1"/>
  <c r="DE117" i="13"/>
  <c r="BG146" i="35" s="1"/>
  <c r="N129" i="13"/>
  <c r="N130" i="13"/>
  <c r="CV121" i="13"/>
  <c r="BZ133" i="13"/>
  <c r="CH151" i="35"/>
  <c r="AU125" i="13"/>
  <c r="G17" i="16"/>
  <c r="R37" i="16"/>
  <c r="M37" i="16"/>
  <c r="G19" i="16"/>
  <c r="R27" i="15"/>
  <c r="R37" i="15"/>
  <c r="R27" i="16"/>
  <c r="H11" i="16"/>
  <c r="L44" i="13"/>
  <c r="N50" i="13"/>
  <c r="CA52" i="13"/>
  <c r="N54" i="13"/>
  <c r="L56" i="13"/>
  <c r="CA56" i="13"/>
  <c r="N71" i="13"/>
  <c r="BH85" i="13"/>
  <c r="N96" i="13"/>
  <c r="CU87" i="13"/>
  <c r="BS97" i="13"/>
  <c r="B27" i="16"/>
  <c r="D5" i="22"/>
  <c r="C13" i="22"/>
  <c r="BT4" i="13"/>
  <c r="CA70" i="13"/>
  <c r="CA75" i="13"/>
  <c r="N66" i="13"/>
  <c r="L67" i="13"/>
  <c r="CA80" i="13"/>
  <c r="CA84" i="13"/>
  <c r="CK73" i="13"/>
  <c r="BP92" i="13"/>
  <c r="CA98" i="13"/>
  <c r="BV87" i="13"/>
  <c r="BV91" i="13"/>
  <c r="DC94" i="13"/>
  <c r="Q123" i="35" s="1"/>
  <c r="L105" i="13"/>
  <c r="CK94" i="13"/>
  <c r="AY94" i="13"/>
  <c r="BE94" i="13"/>
  <c r="BD94" i="13"/>
  <c r="AR123" i="35" s="1"/>
  <c r="BC94" i="13"/>
  <c r="AO123" i="35" s="1"/>
  <c r="BZ106" i="13"/>
  <c r="H95" i="13"/>
  <c r="CU98" i="13"/>
  <c r="BS108" i="13"/>
  <c r="CU99" i="13"/>
  <c r="BS109" i="13"/>
  <c r="AU101" i="13"/>
  <c r="AZ101" i="13"/>
  <c r="CA104" i="13"/>
  <c r="B19" i="16"/>
  <c r="V49" i="22"/>
  <c r="D13" i="22"/>
  <c r="L46" i="13"/>
  <c r="CA57" i="13"/>
  <c r="N72" i="13"/>
  <c r="N78" i="13"/>
  <c r="CA67" i="13"/>
  <c r="L79" i="13"/>
  <c r="N87" i="13"/>
  <c r="L78" i="13"/>
  <c r="N91" i="13"/>
  <c r="AU82" i="13"/>
  <c r="AU84" i="13"/>
  <c r="AZ85" i="13"/>
  <c r="AU86" i="13"/>
  <c r="DC87" i="13"/>
  <c r="Q116" i="35" s="1"/>
  <c r="AY87" i="13"/>
  <c r="L98" i="13"/>
  <c r="BE87" i="13"/>
  <c r="BD87" i="13"/>
  <c r="AR116" i="35" s="1"/>
  <c r="BC87" i="13"/>
  <c r="AO116" i="35" s="1"/>
  <c r="AT87" i="13"/>
  <c r="K116" i="35" s="1"/>
  <c r="P99" i="13"/>
  <c r="BI88" i="13"/>
  <c r="CQ99" i="13"/>
  <c r="BV99" i="13"/>
  <c r="CA100" i="13"/>
  <c r="BV90" i="13"/>
  <c r="L94" i="13"/>
  <c r="CA108" i="13"/>
  <c r="H97" i="13"/>
  <c r="BI98" i="13"/>
  <c r="P109" i="13"/>
  <c r="AZ99" i="13"/>
  <c r="CA114" i="13"/>
  <c r="DC105" i="13"/>
  <c r="Q134" i="35" s="1"/>
  <c r="L11" i="16"/>
  <c r="BE105" i="13"/>
  <c r="Q11" i="16" s="1"/>
  <c r="BD105" i="13"/>
  <c r="AR134" i="35" s="1"/>
  <c r="BC105" i="13"/>
  <c r="AO134" i="35" s="1"/>
  <c r="AT105" i="13"/>
  <c r="K134" i="35" s="1"/>
  <c r="AY105" i="13"/>
  <c r="C11" i="22"/>
  <c r="N15" i="13"/>
  <c r="H59" i="13"/>
  <c r="CA77" i="13"/>
  <c r="L68" i="13"/>
  <c r="H69" i="13"/>
  <c r="CA81" i="13"/>
  <c r="CA82" i="13"/>
  <c r="CA83" i="13"/>
  <c r="N88" i="13"/>
  <c r="N89" i="13"/>
  <c r="CA93" i="13"/>
  <c r="BP93" i="13"/>
  <c r="AZ84" i="13"/>
  <c r="CR99" i="13"/>
  <c r="DC90" i="13"/>
  <c r="Q119" i="35" s="1"/>
  <c r="L101" i="13"/>
  <c r="AY90" i="13"/>
  <c r="BE90" i="13"/>
  <c r="BD90" i="13"/>
  <c r="AR119" i="35" s="1"/>
  <c r="BC90" i="13"/>
  <c r="AO119" i="35" s="1"/>
  <c r="AT90" i="13"/>
  <c r="K119" i="35" s="1"/>
  <c r="AU91" i="13"/>
  <c r="N92" i="13"/>
  <c r="CQ103" i="13"/>
  <c r="BV103" i="13"/>
  <c r="AU102" i="13"/>
  <c r="BP113" i="13"/>
  <c r="BS102" i="13"/>
  <c r="DC107" i="13"/>
  <c r="Q136" i="35" s="1"/>
  <c r="BE107" i="13"/>
  <c r="BC107" i="13"/>
  <c r="AO136" i="35" s="1"/>
  <c r="AT107" i="13"/>
  <c r="K136" i="35" s="1"/>
  <c r="AY107" i="13"/>
  <c r="BD107" i="13"/>
  <c r="AR136" i="35" s="1"/>
  <c r="CK107" i="13"/>
  <c r="CQ95" i="13"/>
  <c r="BV95" i="13"/>
  <c r="G5" i="22"/>
  <c r="C7" i="22"/>
  <c r="B9" i="22"/>
  <c r="D11" i="22"/>
  <c r="R11" i="22" s="1"/>
  <c r="CK56" i="13"/>
  <c r="N74" i="13"/>
  <c r="L75" i="13"/>
  <c r="L76" i="13"/>
  <c r="N79" i="13"/>
  <c r="CA68" i="13"/>
  <c r="L80" i="13"/>
  <c r="N86" i="13"/>
  <c r="N77" i="13"/>
  <c r="CA90" i="13"/>
  <c r="H79" i="13"/>
  <c r="N94" i="13"/>
  <c r="CA96" i="13"/>
  <c r="CU88" i="13"/>
  <c r="BS98" i="13"/>
  <c r="P103" i="13"/>
  <c r="BI92" i="13"/>
  <c r="CU95" i="13"/>
  <c r="BS105" i="13"/>
  <c r="BS100" i="13"/>
  <c r="C9" i="22"/>
  <c r="E11" i="22"/>
  <c r="S14" i="22" s="1"/>
  <c r="L16" i="13"/>
  <c r="L18" i="13"/>
  <c r="L20" i="13"/>
  <c r="L28" i="13"/>
  <c r="L40" i="13"/>
  <c r="L45" i="13"/>
  <c r="N51" i="13"/>
  <c r="L59" i="13"/>
  <c r="L64" i="13"/>
  <c r="L69" i="13"/>
  <c r="CA73" i="13"/>
  <c r="AU81" i="13"/>
  <c r="CQ93" i="13"/>
  <c r="CQ94" i="13"/>
  <c r="BV94" i="13"/>
  <c r="BV83" i="13"/>
  <c r="BV93" i="13"/>
  <c r="BV86" i="13"/>
  <c r="L89" i="13"/>
  <c r="CA89" i="13"/>
  <c r="CU91" i="13"/>
  <c r="BS101" i="13"/>
  <c r="AU94" i="13"/>
  <c r="BV96" i="13"/>
  <c r="CA109" i="13"/>
  <c r="N111" i="13"/>
  <c r="BH100" i="13"/>
  <c r="N113" i="13"/>
  <c r="BH102" i="13"/>
  <c r="F11" i="22"/>
  <c r="L71" i="13"/>
  <c r="L81" i="13"/>
  <c r="L82" i="13"/>
  <c r="CA72" i="13"/>
  <c r="N85" i="13"/>
  <c r="CA88" i="13"/>
  <c r="CA92" i="13"/>
  <c r="P94" i="13"/>
  <c r="P85" i="13"/>
  <c r="BI83" i="13"/>
  <c r="CT83" i="13"/>
  <c r="BU94" i="13"/>
  <c r="DC86" i="13"/>
  <c r="Q115" i="35" s="1"/>
  <c r="L97" i="13"/>
  <c r="CK86" i="13"/>
  <c r="AY86" i="13"/>
  <c r="BE86" i="13"/>
  <c r="BD86" i="13"/>
  <c r="AR115" i="35" s="1"/>
  <c r="BC86" i="13"/>
  <c r="AO115" i="35" s="1"/>
  <c r="AT86" i="13"/>
  <c r="K115" i="35" s="1"/>
  <c r="AU87" i="13"/>
  <c r="CA99" i="13"/>
  <c r="H88" i="13"/>
  <c r="CK90" i="13"/>
  <c r="CA103" i="13"/>
  <c r="H92" i="13"/>
  <c r="N93" i="13"/>
  <c r="CQ104" i="13"/>
  <c r="BV104" i="13"/>
  <c r="AZ94" i="13"/>
  <c r="P95" i="13"/>
  <c r="CR106" i="13"/>
  <c r="AZ95" i="13"/>
  <c r="BH96" i="13"/>
  <c r="N107" i="13"/>
  <c r="N106" i="13"/>
  <c r="M13" i="16" s="1"/>
  <c r="N100" i="13"/>
  <c r="CQ111" i="13"/>
  <c r="BV111" i="13"/>
  <c r="AZ103" i="13"/>
  <c r="CA74" i="13"/>
  <c r="N64" i="13"/>
  <c r="CB64" i="13"/>
  <c r="H67" i="13"/>
  <c r="N90" i="13"/>
  <c r="W110" i="35"/>
  <c r="CV82" i="13"/>
  <c r="AU90" i="13"/>
  <c r="CA102" i="13"/>
  <c r="P104" i="13"/>
  <c r="BI93" i="13"/>
  <c r="CU102" i="13"/>
  <c r="BS112" i="13"/>
  <c r="CU104" i="13"/>
  <c r="BS114" i="13"/>
  <c r="G43" i="16"/>
  <c r="I45" i="16" s="1"/>
  <c r="J45" i="16" s="1"/>
  <c r="H106" i="13"/>
  <c r="CA117" i="13"/>
  <c r="CA111" i="13"/>
  <c r="BP119" i="13"/>
  <c r="BP115" i="13"/>
  <c r="BP109" i="13"/>
  <c r="CT117" i="13"/>
  <c r="BU128" i="13"/>
  <c r="AU114" i="13"/>
  <c r="CQ92" i="13"/>
  <c r="AY81" i="13"/>
  <c r="CR93" i="13"/>
  <c r="P83" i="13"/>
  <c r="CR94" i="13"/>
  <c r="AZ83" i="13"/>
  <c r="BH83" i="13"/>
  <c r="CA95" i="13"/>
  <c r="P84" i="13"/>
  <c r="CR95" i="13"/>
  <c r="BD85" i="13"/>
  <c r="AR114" i="35" s="1"/>
  <c r="BZ98" i="13"/>
  <c r="BZ99" i="13"/>
  <c r="AY88" i="13"/>
  <c r="CT88" i="13"/>
  <c r="BU99" i="13"/>
  <c r="BD89" i="13"/>
  <c r="AR118" i="35" s="1"/>
  <c r="DC91" i="13"/>
  <c r="Q120" i="35" s="1"/>
  <c r="L102" i="13"/>
  <c r="AT91" i="13"/>
  <c r="K120" i="35" s="1"/>
  <c r="BZ91" i="13"/>
  <c r="BZ102" i="13"/>
  <c r="BZ103" i="13"/>
  <c r="P92" i="13"/>
  <c r="CR102" i="13"/>
  <c r="CR103" i="13"/>
  <c r="CR104" i="13"/>
  <c r="N105" i="13"/>
  <c r="BS94" i="13"/>
  <c r="BU95" i="13"/>
  <c r="BP110" i="13"/>
  <c r="CT99" i="13"/>
  <c r="BU110" i="13"/>
  <c r="BI100" i="13"/>
  <c r="P111" i="13"/>
  <c r="BS111" i="13"/>
  <c r="BU100" i="13"/>
  <c r="CQ113" i="13"/>
  <c r="BV113" i="13"/>
  <c r="N119" i="13"/>
  <c r="N120" i="13"/>
  <c r="N118" i="13"/>
  <c r="AZ111" i="13"/>
  <c r="CQ123" i="13"/>
  <c r="BV123" i="13"/>
  <c r="BV121" i="13"/>
  <c r="BV119" i="13"/>
  <c r="BV122" i="13"/>
  <c r="BV120" i="13"/>
  <c r="CU113" i="13"/>
  <c r="BS123" i="13"/>
  <c r="BS121" i="13"/>
  <c r="BS119" i="13"/>
  <c r="BZ128" i="13"/>
  <c r="H117" i="13"/>
  <c r="CR92" i="13"/>
  <c r="AZ81" i="13"/>
  <c r="AI110" i="35"/>
  <c r="CT81" i="13"/>
  <c r="CQ96" i="13"/>
  <c r="N97" i="13"/>
  <c r="P100" i="13"/>
  <c r="CQ100" i="13"/>
  <c r="BV100" i="13"/>
  <c r="N101" i="13"/>
  <c r="L91" i="13"/>
  <c r="CT92" i="13"/>
  <c r="BU103" i="13"/>
  <c r="BZ92" i="13"/>
  <c r="BZ104" i="13"/>
  <c r="P107" i="13"/>
  <c r="CQ107" i="13"/>
  <c r="BV107" i="13"/>
  <c r="BZ96" i="13"/>
  <c r="AZ100" i="13"/>
  <c r="BP112" i="13"/>
  <c r="P113" i="13"/>
  <c r="BI102" i="13"/>
  <c r="BU102" i="13"/>
  <c r="CQ115" i="13"/>
  <c r="BV115" i="13"/>
  <c r="CT110" i="13"/>
  <c r="BU121" i="13"/>
  <c r="DC114" i="13"/>
  <c r="Q143" i="35" s="1"/>
  <c r="BC114" i="13"/>
  <c r="AO143" i="35" s="1"/>
  <c r="AU80" i="13"/>
  <c r="AZ82" i="13"/>
  <c r="CR96" i="13"/>
  <c r="DC88" i="13"/>
  <c r="Q117" i="35" s="1"/>
  <c r="L99" i="13"/>
  <c r="CU89" i="13"/>
  <c r="BS99" i="13"/>
  <c r="BV88" i="13"/>
  <c r="P89" i="13"/>
  <c r="CR100" i="13"/>
  <c r="P105" i="13"/>
  <c r="CQ105" i="13"/>
  <c r="BV105" i="13"/>
  <c r="DC95" i="13"/>
  <c r="Q124" i="35" s="1"/>
  <c r="L106" i="13"/>
  <c r="M11" i="16" s="1"/>
  <c r="BD95" i="13"/>
  <c r="AR124" i="35" s="1"/>
  <c r="BC95" i="13"/>
  <c r="AO124" i="35" s="1"/>
  <c r="AT95" i="13"/>
  <c r="K124" i="35" s="1"/>
  <c r="BE95" i="13"/>
  <c r="CA107" i="13"/>
  <c r="P96" i="13"/>
  <c r="CR107" i="13"/>
  <c r="BI96" i="13"/>
  <c r="DC98" i="13"/>
  <c r="Q127" i="35" s="1"/>
  <c r="L109" i="13"/>
  <c r="AT98" i="13"/>
  <c r="K127" i="35" s="1"/>
  <c r="AY98" i="13"/>
  <c r="BE98" i="13"/>
  <c r="DC99" i="13"/>
  <c r="Q128" i="35" s="1"/>
  <c r="BE99" i="13"/>
  <c r="BD99" i="13"/>
  <c r="AR128" i="35" s="1"/>
  <c r="BC99" i="13"/>
  <c r="AO128" i="35" s="1"/>
  <c r="AT99" i="13"/>
  <c r="K128" i="35" s="1"/>
  <c r="AZ102" i="13"/>
  <c r="BP114" i="13"/>
  <c r="CT103" i="13"/>
  <c r="BU114" i="13"/>
  <c r="BI104" i="13"/>
  <c r="P115" i="13"/>
  <c r="CU106" i="13"/>
  <c r="G27" i="16"/>
  <c r="BS116" i="13"/>
  <c r="N115" i="13"/>
  <c r="H11" i="15"/>
  <c r="H82" i="13"/>
  <c r="BC83" i="13"/>
  <c r="AO112" i="35" s="1"/>
  <c r="CU85" i="13"/>
  <c r="BS95" i="13"/>
  <c r="BV84" i="13"/>
  <c r="AY85" i="13"/>
  <c r="BP96" i="13"/>
  <c r="CQ97" i="13"/>
  <c r="P98" i="13"/>
  <c r="CQ98" i="13"/>
  <c r="BV98" i="13"/>
  <c r="AT88" i="13"/>
  <c r="K117" i="35" s="1"/>
  <c r="CV89" i="13"/>
  <c r="BZ100" i="13"/>
  <c r="BP100" i="13"/>
  <c r="P101" i="13"/>
  <c r="CQ101" i="13"/>
  <c r="BV101" i="13"/>
  <c r="BE91" i="13"/>
  <c r="DC92" i="13"/>
  <c r="Q121" i="35" s="1"/>
  <c r="L103" i="13"/>
  <c r="CU93" i="13"/>
  <c r="BS103" i="13"/>
  <c r="DC93" i="13"/>
  <c r="Q122" i="35" s="1"/>
  <c r="L104" i="13"/>
  <c r="CU94" i="13"/>
  <c r="CA105" i="13"/>
  <c r="CR105" i="13"/>
  <c r="L95" i="13"/>
  <c r="BZ107" i="13"/>
  <c r="H96" i="13"/>
  <c r="AZ96" i="13"/>
  <c r="CU97" i="13"/>
  <c r="BS107" i="13"/>
  <c r="BS96" i="13"/>
  <c r="DC97" i="13"/>
  <c r="Q126" i="35" s="1"/>
  <c r="BD97" i="13"/>
  <c r="AR126" i="35" s="1"/>
  <c r="BC97" i="13"/>
  <c r="AO126" i="35" s="1"/>
  <c r="AT97" i="13"/>
  <c r="K126" i="35" s="1"/>
  <c r="BP108" i="13"/>
  <c r="CT97" i="13"/>
  <c r="BU108" i="13"/>
  <c r="N110" i="13"/>
  <c r="BV110" i="13"/>
  <c r="AY99" i="13"/>
  <c r="H100" i="13"/>
  <c r="DC101" i="13"/>
  <c r="Q130" i="35" s="1"/>
  <c r="L112" i="13"/>
  <c r="BE101" i="13"/>
  <c r="BD101" i="13"/>
  <c r="AR130" i="35" s="1"/>
  <c r="BC101" i="13"/>
  <c r="AO130" i="35" s="1"/>
  <c r="AT101" i="13"/>
  <c r="K130" i="35" s="1"/>
  <c r="CA113" i="13"/>
  <c r="AZ104" i="13"/>
  <c r="L13" i="16"/>
  <c r="N117" i="13"/>
  <c r="BH106" i="13"/>
  <c r="BS106" i="13"/>
  <c r="H27" i="16" s="1"/>
  <c r="AZ107" i="13"/>
  <c r="BP118" i="13"/>
  <c r="BP122" i="13"/>
  <c r="BP111" i="13"/>
  <c r="CA121" i="13"/>
  <c r="N116" i="13"/>
  <c r="CA119" i="13"/>
  <c r="AT81" i="13"/>
  <c r="K110" i="35" s="1"/>
  <c r="BI81" i="13"/>
  <c r="AT82" i="13"/>
  <c r="K111" i="35" s="1"/>
  <c r="BD82" i="13"/>
  <c r="AR111" i="35" s="1"/>
  <c r="AT83" i="13"/>
  <c r="K112" i="35" s="1"/>
  <c r="BD83" i="13"/>
  <c r="AR112" i="35" s="1"/>
  <c r="AT84" i="13"/>
  <c r="K113" i="35" s="1"/>
  <c r="CV85" i="13"/>
  <c r="CA97" i="13"/>
  <c r="P86" i="13"/>
  <c r="CR97" i="13"/>
  <c r="P87" i="13"/>
  <c r="CR98" i="13"/>
  <c r="N99" i="13"/>
  <c r="BC88" i="13"/>
  <c r="AO117" i="35" s="1"/>
  <c r="H89" i="13"/>
  <c r="P90" i="13"/>
  <c r="CR101" i="13"/>
  <c r="P102" i="13"/>
  <c r="CQ102" i="13"/>
  <c r="BV102" i="13"/>
  <c r="L92" i="13"/>
  <c r="AT92" i="13"/>
  <c r="K121" i="35" s="1"/>
  <c r="CV93" i="13"/>
  <c r="L93" i="13"/>
  <c r="AT93" i="13"/>
  <c r="K122" i="35" s="1"/>
  <c r="CV94" i="13"/>
  <c r="BZ105" i="13"/>
  <c r="CT94" i="13"/>
  <c r="BU105" i="13"/>
  <c r="BP106" i="13"/>
  <c r="C11" i="16" s="1"/>
  <c r="CV97" i="13"/>
  <c r="N108" i="13"/>
  <c r="N109" i="13"/>
  <c r="BH98" i="13"/>
  <c r="P110" i="13"/>
  <c r="AY101" i="13"/>
  <c r="DC103" i="13"/>
  <c r="Q132" i="35" s="1"/>
  <c r="BE103" i="13"/>
  <c r="BD103" i="13"/>
  <c r="AR132" i="35" s="1"/>
  <c r="BC103" i="13"/>
  <c r="AO132" i="35" s="1"/>
  <c r="AT103" i="13"/>
  <c r="K132" i="35" s="1"/>
  <c r="CA115" i="13"/>
  <c r="BU104" i="13"/>
  <c r="CQ117" i="13"/>
  <c r="BV117" i="13"/>
  <c r="Q17" i="16"/>
  <c r="S19" i="16" s="1"/>
  <c r="T19" i="16" s="1"/>
  <c r="BP107" i="13"/>
  <c r="L110" i="13"/>
  <c r="L111" i="13"/>
  <c r="BZ123" i="13"/>
  <c r="BZ124" i="13"/>
  <c r="P130" i="13"/>
  <c r="BI119" i="13"/>
  <c r="N121" i="13"/>
  <c r="CQ132" i="13"/>
  <c r="BV132" i="13"/>
  <c r="N123" i="13"/>
  <c r="P124" i="13"/>
  <c r="N95" i="13"/>
  <c r="BV85" i="13"/>
  <c r="BZ97" i="13"/>
  <c r="BD88" i="13"/>
  <c r="AR117" i="35" s="1"/>
  <c r="DC89" i="13"/>
  <c r="Q118" i="35" s="1"/>
  <c r="L100" i="13"/>
  <c r="BI89" i="13"/>
  <c r="BV89" i="13"/>
  <c r="CA101" i="13"/>
  <c r="CT90" i="13"/>
  <c r="BU101" i="13"/>
  <c r="BP102" i="13"/>
  <c r="N103" i="13"/>
  <c r="BU92" i="13"/>
  <c r="BS93" i="13"/>
  <c r="P106" i="13"/>
  <c r="O13" i="16" s="1"/>
  <c r="CQ106" i="13"/>
  <c r="BV106" i="13"/>
  <c r="DC96" i="13"/>
  <c r="Q125" i="35" s="1"/>
  <c r="L107" i="13"/>
  <c r="AY96" i="13"/>
  <c r="BC96" i="13"/>
  <c r="AO125" i="35" s="1"/>
  <c r="BU96" i="13"/>
  <c r="P108" i="13"/>
  <c r="CQ108" i="13"/>
  <c r="BV108" i="13"/>
  <c r="BI97" i="13"/>
  <c r="CQ109" i="13"/>
  <c r="BV109" i="13"/>
  <c r="CK98" i="13"/>
  <c r="AU99" i="13"/>
  <c r="CU100" i="13"/>
  <c r="BS110" i="13"/>
  <c r="BV114" i="13"/>
  <c r="AY103" i="13"/>
  <c r="Q45" i="16"/>
  <c r="B11" i="16"/>
  <c r="BP116" i="13"/>
  <c r="CT105" i="13"/>
  <c r="BU116" i="13"/>
  <c r="N13" i="16"/>
  <c r="P117" i="13"/>
  <c r="BI106" i="13"/>
  <c r="BU106" i="13"/>
  <c r="CT108" i="13"/>
  <c r="BU119" i="13"/>
  <c r="BU112" i="13"/>
  <c r="H113" i="13"/>
  <c r="BD114" i="13"/>
  <c r="AR143" i="35" s="1"/>
  <c r="P132" i="13"/>
  <c r="BI121" i="13"/>
  <c r="CV98" i="13"/>
  <c r="CR109" i="13"/>
  <c r="CV100" i="13"/>
  <c r="CR111" i="13"/>
  <c r="CV102" i="13"/>
  <c r="BZ113" i="13"/>
  <c r="CR113" i="13"/>
  <c r="CV104" i="13"/>
  <c r="BZ115" i="13"/>
  <c r="CR115" i="13"/>
  <c r="CR117" i="13"/>
  <c r="CA120" i="13"/>
  <c r="AZ109" i="13"/>
  <c r="BP121" i="13"/>
  <c r="P123" i="13"/>
  <c r="N124" i="13"/>
  <c r="CQ124" i="13"/>
  <c r="BV124" i="13"/>
  <c r="BU115" i="13"/>
  <c r="BC117" i="13"/>
  <c r="AO146" i="35" s="1"/>
  <c r="DC117" i="13"/>
  <c r="Q146" i="35" s="1"/>
  <c r="BD117" i="13"/>
  <c r="AR146" i="35" s="1"/>
  <c r="AY117" i="13"/>
  <c r="AU117" i="13"/>
  <c r="CT119" i="13"/>
  <c r="BU130" i="13"/>
  <c r="CT123" i="13"/>
  <c r="BU134" i="13"/>
  <c r="I45" i="15"/>
  <c r="J45" i="15" s="1"/>
  <c r="T27" i="16"/>
  <c r="CT96" i="13"/>
  <c r="BU107" i="13"/>
  <c r="H98" i="13"/>
  <c r="CT98" i="13"/>
  <c r="BU109" i="13"/>
  <c r="AY100" i="13"/>
  <c r="CT100" i="13"/>
  <c r="BU111" i="13"/>
  <c r="N112" i="13"/>
  <c r="H102" i="13"/>
  <c r="CT102" i="13"/>
  <c r="BU113" i="13"/>
  <c r="H104" i="13"/>
  <c r="AY106" i="13"/>
  <c r="B9" i="16"/>
  <c r="D11" i="16" s="1"/>
  <c r="E11" i="16" s="1"/>
  <c r="BP117" i="13"/>
  <c r="CT106" i="13"/>
  <c r="BU117" i="13"/>
  <c r="CA122" i="13"/>
  <c r="BH113" i="13"/>
  <c r="CA126" i="13"/>
  <c r="CR126" i="13"/>
  <c r="BZ127" i="13"/>
  <c r="H116" i="13"/>
  <c r="CT116" i="13"/>
  <c r="BU127" i="13"/>
  <c r="CU119" i="13"/>
  <c r="BS129" i="13"/>
  <c r="BZ118" i="13"/>
  <c r="AZ119" i="13"/>
  <c r="BP130" i="13"/>
  <c r="CT121" i="13"/>
  <c r="BU132" i="13"/>
  <c r="CA135" i="13"/>
  <c r="H124" i="13"/>
  <c r="CB135" i="13" s="1"/>
  <c r="AZ106" i="13"/>
  <c r="CR118" i="13"/>
  <c r="CU108" i="13"/>
  <c r="BS118" i="13"/>
  <c r="CR119" i="13"/>
  <c r="CA123" i="13"/>
  <c r="CT112" i="13"/>
  <c r="BU123" i="13"/>
  <c r="CR125" i="13"/>
  <c r="CV116" i="13"/>
  <c r="CA129" i="13"/>
  <c r="P118" i="13"/>
  <c r="CR129" i="13"/>
  <c r="BD119" i="13"/>
  <c r="AR148" i="35" s="1"/>
  <c r="DC119" i="13"/>
  <c r="Q148" i="35" s="1"/>
  <c r="CU121" i="13"/>
  <c r="BS131" i="13"/>
  <c r="BZ120" i="13"/>
  <c r="AU121" i="13"/>
  <c r="CK125" i="13"/>
  <c r="DC125" i="13"/>
  <c r="Q154" i="35" s="1"/>
  <c r="L136" i="13"/>
  <c r="BC125" i="13"/>
  <c r="AO154" i="35" s="1"/>
  <c r="O19" i="15"/>
  <c r="CA110" i="13"/>
  <c r="CQ110" i="13"/>
  <c r="CU101" i="13"/>
  <c r="CA112" i="13"/>
  <c r="P112" i="13"/>
  <c r="CQ112" i="13"/>
  <c r="BV112" i="13"/>
  <c r="DC102" i="13"/>
  <c r="Q131" i="35" s="1"/>
  <c r="L113" i="13"/>
  <c r="CU103" i="13"/>
  <c r="BS113" i="13"/>
  <c r="CQ114" i="13"/>
  <c r="CU105" i="13"/>
  <c r="CA116" i="13"/>
  <c r="G45" i="16"/>
  <c r="P116" i="13"/>
  <c r="CQ116" i="13"/>
  <c r="Q19" i="16"/>
  <c r="DC106" i="13"/>
  <c r="Q135" i="35" s="1"/>
  <c r="L9" i="16"/>
  <c r="N11" i="16" s="1"/>
  <c r="O11" i="16" s="1"/>
  <c r="CU107" i="13"/>
  <c r="G25" i="16"/>
  <c r="I27" i="16" s="1"/>
  <c r="J27" i="16" s="1"/>
  <c r="CA118" i="13"/>
  <c r="AU107" i="13"/>
  <c r="AU108" i="13"/>
  <c r="AZ108" i="13"/>
  <c r="BP123" i="13"/>
  <c r="CU115" i="13"/>
  <c r="BS125" i="13"/>
  <c r="H115" i="13"/>
  <c r="AU115" i="13"/>
  <c r="BH116" i="13"/>
  <c r="CA131" i="13"/>
  <c r="P120" i="13"/>
  <c r="CR131" i="13"/>
  <c r="BD121" i="13"/>
  <c r="AR150" i="35" s="1"/>
  <c r="DC121" i="13"/>
  <c r="Q150" i="35" s="1"/>
  <c r="L132" i="13"/>
  <c r="CU123" i="13"/>
  <c r="BS133" i="13"/>
  <c r="BZ122" i="13"/>
  <c r="AZ123" i="13"/>
  <c r="CV99" i="13"/>
  <c r="CR110" i="13"/>
  <c r="AT100" i="13"/>
  <c r="K129" i="35" s="1"/>
  <c r="CV101" i="13"/>
  <c r="CR112" i="13"/>
  <c r="AT102" i="13"/>
  <c r="K131" i="35" s="1"/>
  <c r="CV103" i="13"/>
  <c r="CR114" i="13"/>
  <c r="CV105" i="13"/>
  <c r="L45" i="16"/>
  <c r="BZ116" i="13"/>
  <c r="CR116" i="13"/>
  <c r="AT106" i="13"/>
  <c r="K135" i="35" s="1"/>
  <c r="CV107" i="13"/>
  <c r="AU110" i="13"/>
  <c r="AZ110" i="13"/>
  <c r="CA124" i="13"/>
  <c r="H114" i="13"/>
  <c r="BZ125" i="13"/>
  <c r="M45" i="15" s="1"/>
  <c r="CR128" i="13"/>
  <c r="CU118" i="13"/>
  <c r="BS128" i="13"/>
  <c r="CQ130" i="13"/>
  <c r="BV130" i="13"/>
  <c r="P122" i="13"/>
  <c r="CR133" i="13"/>
  <c r="DC123" i="13"/>
  <c r="Q152" i="35" s="1"/>
  <c r="L134" i="13"/>
  <c r="AT124" i="13"/>
  <c r="K153" i="35" s="1"/>
  <c r="DC124" i="13"/>
  <c r="Q153" i="35" s="1"/>
  <c r="L135" i="13"/>
  <c r="AY124" i="13"/>
  <c r="BC124" i="13"/>
  <c r="AO153" i="35" s="1"/>
  <c r="T37" i="15"/>
  <c r="CQ119" i="13"/>
  <c r="BE108" i="13"/>
  <c r="CQ121" i="13"/>
  <c r="BE110" i="13"/>
  <c r="CU112" i="13"/>
  <c r="CR123" i="13"/>
  <c r="AY112" i="13"/>
  <c r="CR124" i="13"/>
  <c r="CK113" i="13"/>
  <c r="CQ125" i="13"/>
  <c r="BH114" i="13"/>
  <c r="BZ126" i="13"/>
  <c r="CU116" i="13"/>
  <c r="BS126" i="13"/>
  <c r="BD116" i="13"/>
  <c r="AR145" i="35" s="1"/>
  <c r="DC116" i="13"/>
  <c r="Q145" i="35" s="1"/>
  <c r="AZ116" i="13"/>
  <c r="CK116" i="13"/>
  <c r="P128" i="13"/>
  <c r="CQ128" i="13"/>
  <c r="BV128" i="13"/>
  <c r="BH117" i="13"/>
  <c r="BU118" i="13"/>
  <c r="BH119" i="13"/>
  <c r="BU120" i="13"/>
  <c r="BH121" i="13"/>
  <c r="BU122" i="13"/>
  <c r="BU136" i="13"/>
  <c r="CT125" i="13"/>
  <c r="T37" i="16"/>
  <c r="CK122" i="13"/>
  <c r="CQ134" i="13"/>
  <c r="BV134" i="13"/>
  <c r="BS134" i="13"/>
  <c r="H27" i="15" s="1"/>
  <c r="CU124" i="13"/>
  <c r="BP124" i="13"/>
  <c r="BP135" i="13"/>
  <c r="G19" i="15"/>
  <c r="BU135" i="13"/>
  <c r="CT124" i="13"/>
  <c r="BI125" i="13"/>
  <c r="I27" i="15"/>
  <c r="J27" i="15" s="1"/>
  <c r="CV108" i="13"/>
  <c r="BD109" i="13"/>
  <c r="AR138" i="35" s="1"/>
  <c r="BD111" i="13"/>
  <c r="AR140" i="35" s="1"/>
  <c r="BC112" i="13"/>
  <c r="AO141" i="35" s="1"/>
  <c r="CV115" i="13"/>
  <c r="K5" i="22"/>
  <c r="M5" i="22" s="1"/>
  <c r="DC115" i="13"/>
  <c r="Q144" i="35" s="1"/>
  <c r="AZ115" i="13"/>
  <c r="CK115" i="13"/>
  <c r="P127" i="13"/>
  <c r="CQ127" i="13"/>
  <c r="BV127" i="13"/>
  <c r="BI116" i="13"/>
  <c r="BD118" i="13"/>
  <c r="AR147" i="35" s="1"/>
  <c r="DC118" i="13"/>
  <c r="Q147" i="35" s="1"/>
  <c r="AU118" i="13"/>
  <c r="BP129" i="13"/>
  <c r="CT118" i="13"/>
  <c r="BU129" i="13"/>
  <c r="CA130" i="13"/>
  <c r="P119" i="13"/>
  <c r="CR130" i="13"/>
  <c r="CU120" i="13"/>
  <c r="BS130" i="13"/>
  <c r="BD120" i="13"/>
  <c r="AR149" i="35" s="1"/>
  <c r="DC120" i="13"/>
  <c r="Q149" i="35" s="1"/>
  <c r="AU120" i="13"/>
  <c r="BP131" i="13"/>
  <c r="CT120" i="13"/>
  <c r="BU131" i="13"/>
  <c r="CA132" i="13"/>
  <c r="P121" i="13"/>
  <c r="CR132" i="13"/>
  <c r="CU122" i="13"/>
  <c r="BS132" i="13"/>
  <c r="BD122" i="13"/>
  <c r="AR151" i="35" s="1"/>
  <c r="DC122" i="13"/>
  <c r="Q151" i="35" s="1"/>
  <c r="L133" i="13"/>
  <c r="AZ122" i="13"/>
  <c r="BP133" i="13"/>
  <c r="CT122" i="13"/>
  <c r="BU133" i="13"/>
  <c r="CA134" i="13"/>
  <c r="H45" i="15" s="1"/>
  <c r="CR134" i="13"/>
  <c r="CV124" i="13"/>
  <c r="O5" i="16"/>
  <c r="N137" i="13"/>
  <c r="BH126" i="13"/>
  <c r="BY137" i="13" s="1"/>
  <c r="CU109" i="13"/>
  <c r="CQ120" i="13"/>
  <c r="BE109" i="13"/>
  <c r="CU111" i="13"/>
  <c r="CQ122" i="13"/>
  <c r="BE111" i="13"/>
  <c r="AU112" i="13"/>
  <c r="AT112" i="13"/>
  <c r="K141" i="35" s="1"/>
  <c r="BD112" i="13"/>
  <c r="AR141" i="35" s="1"/>
  <c r="AT113" i="13"/>
  <c r="K142" i="35" s="1"/>
  <c r="CV114" i="13"/>
  <c r="N126" i="13"/>
  <c r="CA127" i="13"/>
  <c r="CR127" i="13"/>
  <c r="CU117" i="13"/>
  <c r="BS127" i="13"/>
  <c r="BH118" i="13"/>
  <c r="CV120" i="13"/>
  <c r="N131" i="13"/>
  <c r="BH120" i="13"/>
  <c r="BZ132" i="13"/>
  <c r="CV122" i="13"/>
  <c r="N133" i="13"/>
  <c r="BH122" i="13"/>
  <c r="CQ135" i="13"/>
  <c r="BV135" i="13"/>
  <c r="BI124" i="13"/>
  <c r="BS124" i="13"/>
  <c r="CQ136" i="13"/>
  <c r="BV136" i="13"/>
  <c r="BS136" i="13"/>
  <c r="CU126" i="13"/>
  <c r="BV125" i="13"/>
  <c r="T27" i="15"/>
  <c r="O37" i="15"/>
  <c r="P137" i="13"/>
  <c r="BI126" i="13"/>
  <c r="BX137" i="13" s="1"/>
  <c r="DC126" i="13"/>
  <c r="Q155" i="35" s="1"/>
  <c r="L137" i="13"/>
  <c r="CQ118" i="13"/>
  <c r="BC108" i="13"/>
  <c r="AO137" i="35" s="1"/>
  <c r="AY109" i="13"/>
  <c r="BC110" i="13"/>
  <c r="AO139" i="35" s="1"/>
  <c r="AY111" i="13"/>
  <c r="CK111" i="13"/>
  <c r="BD113" i="13"/>
  <c r="AR142" i="35" s="1"/>
  <c r="P126" i="13"/>
  <c r="CQ126" i="13"/>
  <c r="BV126" i="13"/>
  <c r="BI115" i="13"/>
  <c r="BC116" i="13"/>
  <c r="AO145" i="35" s="1"/>
  <c r="CK117" i="13"/>
  <c r="P129" i="13"/>
  <c r="CQ129" i="13"/>
  <c r="BV129" i="13"/>
  <c r="AY118" i="13"/>
  <c r="CK119" i="13"/>
  <c r="P131" i="13"/>
  <c r="CQ131" i="13"/>
  <c r="BV131" i="13"/>
  <c r="AY120" i="13"/>
  <c r="BS120" i="13"/>
  <c r="CK121" i="13"/>
  <c r="BV133" i="13"/>
  <c r="CQ133" i="13"/>
  <c r="AY122" i="13"/>
  <c r="BS122" i="13"/>
  <c r="BH123" i="13"/>
  <c r="BS135" i="13"/>
  <c r="CU125" i="13"/>
  <c r="M37" i="15"/>
  <c r="O5" i="15"/>
  <c r="S19" i="15"/>
  <c r="T19" i="15" s="1"/>
  <c r="N45" i="15"/>
  <c r="O45" i="15" s="1"/>
  <c r="CK124" i="13"/>
  <c r="O37" i="16"/>
  <c r="X63" i="29"/>
  <c r="X64" i="29" s="1"/>
  <c r="W64" i="29"/>
  <c r="AI149" i="29"/>
  <c r="AI150" i="29" s="1"/>
  <c r="AI57" i="29"/>
  <c r="AI123" i="29"/>
  <c r="AI43" i="29"/>
  <c r="AI71" i="29"/>
  <c r="AV14" i="4"/>
  <c r="BH25" i="4"/>
  <c r="CA25" i="4"/>
  <c r="ET35" i="4"/>
  <c r="EZ35" i="4" s="1"/>
  <c r="ET40" i="4"/>
  <c r="EZ40" i="4" s="1"/>
  <c r="CB25" i="4"/>
  <c r="EY38" i="4"/>
  <c r="AQ20" i="4"/>
  <c r="EY36" i="4"/>
  <c r="EY31" i="4"/>
  <c r="ET41" i="4"/>
  <c r="EZ41" i="4" s="1"/>
  <c r="AV18" i="4"/>
  <c r="AO15" i="4"/>
  <c r="AX22" i="4"/>
  <c r="DE25" i="4"/>
  <c r="EY28" i="4"/>
  <c r="EW47" i="4"/>
  <c r="FC47" i="4" s="1"/>
  <c r="AO10" i="4"/>
  <c r="EW35" i="4"/>
  <c r="FC35" i="4" s="1"/>
  <c r="AP10" i="4"/>
  <c r="DK25" i="4"/>
  <c r="ET42" i="4"/>
  <c r="EZ42" i="4" s="1"/>
  <c r="AQ24" i="4"/>
  <c r="AW17" i="4"/>
  <c r="AX16" i="4"/>
  <c r="AV6" i="4"/>
  <c r="AW7" i="4"/>
  <c r="AQ9" i="4"/>
  <c r="AX21" i="4"/>
  <c r="AQ19" i="4"/>
  <c r="AO22" i="4"/>
  <c r="AP22" i="4"/>
  <c r="CG25" i="4"/>
  <c r="DL25" i="4"/>
  <c r="EW29" i="4"/>
  <c r="FC29" i="4" s="1"/>
  <c r="AH53" i="2"/>
  <c r="AQ5" i="4"/>
  <c r="AW6" i="4"/>
  <c r="AQ17" i="4"/>
  <c r="AP14" i="4"/>
  <c r="AQ25" i="4"/>
  <c r="EU32" i="4"/>
  <c r="FA32" i="4" s="1"/>
  <c r="EX30" i="4"/>
  <c r="EU41" i="4"/>
  <c r="FA41" i="4" s="1"/>
  <c r="EX42" i="4"/>
  <c r="EY47" i="4"/>
  <c r="AX6" i="4"/>
  <c r="AP13" i="4"/>
  <c r="AX9" i="4"/>
  <c r="AW10" i="4"/>
  <c r="AX23" i="4"/>
  <c r="AV25" i="4"/>
  <c r="AV15" i="4"/>
  <c r="AW25" i="4"/>
  <c r="BI25" i="4"/>
  <c r="BV25" i="4"/>
  <c r="CM25" i="4"/>
  <c r="DQ25" i="4"/>
  <c r="EU26" i="4"/>
  <c r="FA26" i="4" s="1"/>
  <c r="ET32" i="4"/>
  <c r="EZ32" i="4" s="1"/>
  <c r="ET34" i="4"/>
  <c r="EZ34" i="4" s="1"/>
  <c r="EW44" i="4"/>
  <c r="FC44" i="4" s="1"/>
  <c r="EV46" i="4"/>
  <c r="FB46" i="4" s="1"/>
  <c r="AV11" i="4"/>
  <c r="AQ11" i="4"/>
  <c r="AX10" i="4"/>
  <c r="AW15" i="4"/>
  <c r="AQ23" i="4"/>
  <c r="AO28" i="4"/>
  <c r="CN25" i="4"/>
  <c r="EW26" i="4"/>
  <c r="FC26" i="4" s="1"/>
  <c r="ET27" i="4"/>
  <c r="EZ27" i="4" s="1"/>
  <c r="AO6" i="4"/>
  <c r="AQ12" i="4"/>
  <c r="AV8" i="4"/>
  <c r="AQ15" i="4"/>
  <c r="AQ18" i="4"/>
  <c r="AW14" i="4"/>
  <c r="AQ26" i="4"/>
  <c r="AO23" i="4"/>
  <c r="DW25" i="4"/>
  <c r="EW33" i="4"/>
  <c r="FC33" i="4" s="1"/>
  <c r="EW34" i="4"/>
  <c r="FC34" i="4" s="1"/>
  <c r="EW38" i="4"/>
  <c r="FC38" i="4" s="1"/>
  <c r="EW42" i="4"/>
  <c r="FC42" i="4" s="1"/>
  <c r="AV7" i="4"/>
  <c r="AP9" i="4"/>
  <c r="AQ16" i="4"/>
  <c r="AV24" i="4"/>
  <c r="AP21" i="4"/>
  <c r="EV41" i="4"/>
  <c r="FB41" i="4" s="1"/>
  <c r="ET48" i="4"/>
  <c r="EZ48" i="4" s="1"/>
  <c r="AE27" i="6"/>
  <c r="BZ27" i="6"/>
  <c r="CF27" i="6" s="1"/>
  <c r="CB29" i="6"/>
  <c r="CH29" i="6" s="1"/>
  <c r="AE95" i="29"/>
  <c r="AD96" i="29"/>
  <c r="AF29" i="6"/>
  <c r="CD29" i="6"/>
  <c r="CB36" i="6"/>
  <c r="CH36" i="6" s="1"/>
  <c r="CB37" i="6"/>
  <c r="CH37" i="6" s="1"/>
  <c r="BZ39" i="6"/>
  <c r="CF39" i="6" s="1"/>
  <c r="AF37" i="6"/>
  <c r="CD33" i="6"/>
  <c r="CA40" i="6"/>
  <c r="CG40" i="6" s="1"/>
  <c r="AE39" i="6"/>
  <c r="CC34" i="6"/>
  <c r="BZ43" i="6"/>
  <c r="CF43" i="6" s="1"/>
  <c r="AF28" i="6"/>
  <c r="CD41" i="6"/>
  <c r="AB95" i="29"/>
  <c r="AB96" i="29" s="1"/>
  <c r="AA96" i="29"/>
  <c r="BN30" i="5"/>
  <c r="BT30" i="5" s="1"/>
  <c r="BI77" i="2"/>
  <c r="BK77" i="2" s="1"/>
  <c r="AH79" i="2"/>
  <c r="AF7" i="5"/>
  <c r="AH73" i="2"/>
  <c r="BN26" i="5"/>
  <c r="BT26" i="5" s="1"/>
  <c r="EP32" i="1"/>
  <c r="EW35" i="1"/>
  <c r="HX33" i="1"/>
  <c r="ID33" i="1" s="1"/>
  <c r="FC39" i="1"/>
  <c r="EX45" i="1"/>
  <c r="FE49" i="1"/>
  <c r="IC44" i="1"/>
  <c r="FE51" i="1"/>
  <c r="EY16" i="1"/>
  <c r="ER31" i="1"/>
  <c r="FC50" i="1"/>
  <c r="EW5" i="1"/>
  <c r="FD11" i="1"/>
  <c r="EQ8" i="1"/>
  <c r="ER14" i="1"/>
  <c r="ER26" i="1"/>
  <c r="EX33" i="1"/>
  <c r="EW34" i="1"/>
  <c r="ER38" i="1"/>
  <c r="EQ42" i="1"/>
  <c r="EY44" i="1"/>
  <c r="FD45" i="1"/>
  <c r="FE44" i="1"/>
  <c r="FE15" i="1"/>
  <c r="EY22" i="1"/>
  <c r="EY23" i="1"/>
  <c r="FE28" i="1"/>
  <c r="FD36" i="1"/>
  <c r="EW32" i="1"/>
  <c r="EX41" i="1"/>
  <c r="FE45" i="1"/>
  <c r="EQ52" i="1"/>
  <c r="EX51" i="1"/>
  <c r="FD33" i="1"/>
  <c r="FE37" i="1"/>
  <c r="ER51" i="1"/>
  <c r="FE14" i="1"/>
  <c r="HX32" i="1"/>
  <c r="ID32" i="1" s="1"/>
  <c r="FD41" i="1"/>
  <c r="HX36" i="1"/>
  <c r="ID36" i="1" s="1"/>
  <c r="EQ19" i="1"/>
  <c r="EY30" i="1"/>
  <c r="EP36" i="1"/>
  <c r="FC42" i="1"/>
  <c r="EY50" i="1"/>
  <c r="FC52" i="1"/>
  <c r="EQ27" i="1"/>
  <c r="FC34" i="1"/>
  <c r="EP38" i="1"/>
  <c r="EY41" i="1"/>
  <c r="EW44" i="1"/>
  <c r="EW45" i="1"/>
  <c r="EY10" i="1"/>
  <c r="EP9" i="1"/>
  <c r="FD16" i="1"/>
  <c r="EP12" i="1"/>
  <c r="FE31" i="1"/>
  <c r="ER37" i="1"/>
  <c r="EW33" i="1"/>
  <c r="EP44" i="1"/>
  <c r="EQ46" i="1"/>
  <c r="FC46" i="1"/>
  <c r="EP42" i="1"/>
  <c r="EY45" i="1"/>
  <c r="EP46" i="1"/>
  <c r="HX48" i="1"/>
  <c r="ID48" i="1" s="1"/>
  <c r="IC50" i="1"/>
  <c r="EY11" i="1"/>
  <c r="EQ9" i="1"/>
  <c r="EQ12" i="1"/>
  <c r="EQ29" i="1"/>
  <c r="FE35" i="1"/>
  <c r="EY36" i="1"/>
  <c r="EY33" i="1"/>
  <c r="EQ39" i="1"/>
  <c r="EP40" i="1"/>
  <c r="FC35" i="1"/>
  <c r="EP37" i="1"/>
  <c r="HX37" i="1"/>
  <c r="ID37" i="1" s="1"/>
  <c r="EW43" i="1"/>
  <c r="ER42" i="1"/>
  <c r="EP48" i="1"/>
  <c r="ER50" i="1"/>
  <c r="ER46" i="1"/>
  <c r="FE9" i="1"/>
  <c r="EY6" i="1"/>
  <c r="EX12" i="1"/>
  <c r="FD8" i="1"/>
  <c r="ER9" i="1"/>
  <c r="EY17" i="1"/>
  <c r="EP21" i="1"/>
  <c r="EP28" i="1"/>
  <c r="FC30" i="1"/>
  <c r="FE32" i="1"/>
  <c r="EX37" i="1"/>
  <c r="FC38" i="1"/>
  <c r="EW39" i="1"/>
  <c r="ER41" i="1"/>
  <c r="FC36" i="1"/>
  <c r="EX42" i="1"/>
  <c r="ER45" i="1"/>
  <c r="FC40" i="1"/>
  <c r="HX40" i="1"/>
  <c r="ID40" i="1" s="1"/>
  <c r="EP41" i="1"/>
  <c r="HX41" i="1"/>
  <c r="ID41" i="1" s="1"/>
  <c r="EW47" i="1"/>
  <c r="HX45" i="1"/>
  <c r="ID45" i="1" s="1"/>
  <c r="EW51" i="1"/>
  <c r="ER47" i="1"/>
  <c r="FE11" i="1"/>
  <c r="FC17" i="1"/>
  <c r="EP13" i="1"/>
  <c r="EX19" i="1"/>
  <c r="ER22" i="1"/>
  <c r="EQ23" i="1"/>
  <c r="EQ26" i="1"/>
  <c r="EY29" i="1"/>
  <c r="EP31" i="1"/>
  <c r="EX31" i="1"/>
  <c r="EQ38" i="1"/>
  <c r="FE36" i="1"/>
  <c r="ER39" i="1"/>
  <c r="FE40" i="1"/>
  <c r="EX46" i="1"/>
  <c r="FE41" i="1"/>
  <c r="ER49" i="1"/>
  <c r="EP45" i="1"/>
  <c r="EY52" i="1"/>
  <c r="ER52" i="1"/>
  <c r="ER35" i="1"/>
  <c r="EY38" i="1"/>
  <c r="FC12" i="1"/>
  <c r="EW16" i="1"/>
  <c r="EW13" i="1"/>
  <c r="FC9" i="1"/>
  <c r="ER15" i="1"/>
  <c r="EQ16" i="1"/>
  <c r="FD12" i="1"/>
  <c r="FC13" i="1"/>
  <c r="EX16" i="1"/>
  <c r="FD23" i="1"/>
  <c r="FD26" i="1"/>
  <c r="FC27" i="1"/>
  <c r="FE29" i="1"/>
  <c r="FD37" i="1"/>
  <c r="EX38" i="1"/>
  <c r="FE33" i="1"/>
  <c r="EY34" i="1"/>
  <c r="EY40" i="1"/>
  <c r="EW37" i="1"/>
  <c r="FE43" i="1"/>
  <c r="EY42" i="1"/>
  <c r="EY48" i="1"/>
  <c r="EY49" i="1"/>
  <c r="EY46" i="1"/>
  <c r="EX15" i="1"/>
  <c r="EW8" i="1"/>
  <c r="FD9" i="1"/>
  <c r="EY15" i="1"/>
  <c r="EQ11" i="1"/>
  <c r="FC24" i="1"/>
  <c r="FD20" i="1"/>
  <c r="ER28" i="1"/>
  <c r="EX29" i="1"/>
  <c r="FE39" i="1"/>
  <c r="EW36" i="1"/>
  <c r="EY37" i="1"/>
  <c r="EQ43" i="1"/>
  <c r="FD44" i="1"/>
  <c r="EW40" i="1"/>
  <c r="EW41" i="1"/>
  <c r="FE47" i="1"/>
  <c r="AF37" i="5"/>
  <c r="AF79" i="2"/>
  <c r="AD15" i="5"/>
  <c r="AE34" i="5"/>
  <c r="BS43" i="5"/>
  <c r="BS50" i="5"/>
  <c r="BQ30" i="5"/>
  <c r="BW30" i="5" s="1"/>
  <c r="X95" i="29"/>
  <c r="AD42" i="6"/>
  <c r="AE32" i="6"/>
  <c r="CA32" i="6"/>
  <c r="CG32" i="6" s="1"/>
  <c r="AD28" i="6"/>
  <c r="BZ28" i="6"/>
  <c r="CF28" i="6" s="1"/>
  <c r="AF40" i="6"/>
  <c r="CB41" i="6"/>
  <c r="CH41" i="6" s="1"/>
  <c r="CB45" i="6"/>
  <c r="CH45" i="6" s="1"/>
  <c r="BY48" i="6"/>
  <c r="CE48" i="6" s="1"/>
  <c r="CB28" i="6"/>
  <c r="CH28" i="6" s="1"/>
  <c r="AD32" i="6"/>
  <c r="AF39" i="6"/>
  <c r="AE31" i="6"/>
  <c r="CB31" i="6"/>
  <c r="CH31" i="6" s="1"/>
  <c r="AD27" i="6"/>
  <c r="CC28" i="6"/>
  <c r="AE35" i="6"/>
  <c r="AF32" i="6"/>
  <c r="CC32" i="6"/>
  <c r="AF35" i="6"/>
  <c r="AF41" i="6"/>
  <c r="AF45" i="6"/>
  <c r="CB40" i="6"/>
  <c r="CH40" i="6" s="1"/>
  <c r="BY44" i="6"/>
  <c r="CE44" i="6" s="1"/>
  <c r="BY49" i="6"/>
  <c r="CE49" i="6" s="1"/>
  <c r="CB35" i="6"/>
  <c r="CH35" i="6" s="1"/>
  <c r="CB32" i="6"/>
  <c r="CH32" i="6" s="1"/>
  <c r="BZ35" i="6"/>
  <c r="CF35" i="6" s="1"/>
  <c r="CA28" i="6"/>
  <c r="CG28" i="6" s="1"/>
  <c r="AF27" i="6"/>
  <c r="CB27" i="6"/>
  <c r="CH27" i="6" s="1"/>
  <c r="CB30" i="6"/>
  <c r="CH30" i="6" s="1"/>
  <c r="AF38" i="6"/>
  <c r="BZ33" i="6"/>
  <c r="CF33" i="6" s="1"/>
  <c r="CC36" i="6"/>
  <c r="CC40" i="6"/>
  <c r="CB44" i="6"/>
  <c r="CH44" i="6" s="1"/>
  <c r="CD39" i="6"/>
  <c r="AF43" i="6"/>
  <c r="CD43" i="6"/>
  <c r="AD26" i="6"/>
  <c r="BZ26" i="6"/>
  <c r="CF26" i="6" s="1"/>
  <c r="CD27" i="6"/>
  <c r="AF34" i="6"/>
  <c r="AD30" i="6"/>
  <c r="CC30" i="6"/>
  <c r="CA36" i="6"/>
  <c r="CG36" i="6" s="1"/>
  <c r="AF42" i="6"/>
  <c r="CD37" i="6"/>
  <c r="CB43" i="6"/>
  <c r="CH43" i="6" s="1"/>
  <c r="AF46" i="6"/>
  <c r="AT120" i="2" s="1"/>
  <c r="AV120" i="2" s="1"/>
  <c r="CB47" i="6"/>
  <c r="CH47" i="6" s="1"/>
  <c r="BY50" i="6"/>
  <c r="CE50" i="6" s="1"/>
  <c r="AD9" i="6"/>
  <c r="AE10" i="6"/>
  <c r="AF26" i="6"/>
  <c r="CB26" i="6"/>
  <c r="CH26" i="6" s="1"/>
  <c r="AF36" i="6"/>
  <c r="CB39" i="6"/>
  <c r="CH39" i="6" s="1"/>
  <c r="AE43" i="6"/>
  <c r="AE47" i="6"/>
  <c r="CC46" i="6"/>
  <c r="AF33" i="6"/>
  <c r="CA33" i="6"/>
  <c r="CG33" i="6" s="1"/>
  <c r="AD29" i="6"/>
  <c r="BZ29" i="6"/>
  <c r="CF29" i="6" s="1"/>
  <c r="BZ31" i="6"/>
  <c r="CF31" i="6" s="1"/>
  <c r="AE8" i="5"/>
  <c r="AF20" i="5"/>
  <c r="AF13" i="5"/>
  <c r="AD24" i="5"/>
  <c r="AF26" i="5"/>
  <c r="BQ26" i="5"/>
  <c r="BW26" i="5" s="1"/>
  <c r="AF46" i="5"/>
  <c r="AT87" i="2" s="1"/>
  <c r="AV87" i="2" s="1"/>
  <c r="BQ40" i="5"/>
  <c r="BW40" i="5" s="1"/>
  <c r="BN40" i="5"/>
  <c r="BT40" i="5" s="1"/>
  <c r="AD9" i="5"/>
  <c r="AF36" i="5"/>
  <c r="BQ36" i="5"/>
  <c r="BW36" i="5" s="1"/>
  <c r="BI91" i="2"/>
  <c r="BK91" i="2" s="1"/>
  <c r="AF41" i="5"/>
  <c r="AE9" i="5"/>
  <c r="AE15" i="5"/>
  <c r="BQ33" i="5"/>
  <c r="BW33" i="5" s="1"/>
  <c r="AD42" i="5"/>
  <c r="BN35" i="5"/>
  <c r="BT35" i="5" s="1"/>
  <c r="BQ41" i="5"/>
  <c r="BW41" i="5" s="1"/>
  <c r="BN41" i="5"/>
  <c r="BT41" i="5" s="1"/>
  <c r="AH85" i="2"/>
  <c r="AD16" i="5"/>
  <c r="AF9" i="5"/>
  <c r="AE21" i="5"/>
  <c r="AF27" i="5"/>
  <c r="AF28" i="5"/>
  <c r="AE29" i="5"/>
  <c r="AF30" i="5"/>
  <c r="AF31" i="5"/>
  <c r="AF32" i="5"/>
  <c r="AD28" i="5"/>
  <c r="AD34" i="5"/>
  <c r="AE35" i="5"/>
  <c r="AF38" i="5"/>
  <c r="BR31" i="5"/>
  <c r="BO37" i="5"/>
  <c r="BU37" i="5" s="1"/>
  <c r="AF35" i="5"/>
  <c r="BQ42" i="5"/>
  <c r="BW42" i="5" s="1"/>
  <c r="BQ43" i="5"/>
  <c r="BW43" i="5" s="1"/>
  <c r="AF22" i="5"/>
  <c r="AF39" i="5"/>
  <c r="AD47" i="5"/>
  <c r="AE48" i="5"/>
  <c r="AF76" i="2"/>
  <c r="AF17" i="5"/>
  <c r="AE43" i="5"/>
  <c r="AD11" i="5"/>
  <c r="BQ31" i="5"/>
  <c r="BW31" i="5" s="1"/>
  <c r="AF40" i="5"/>
  <c r="BQ35" i="5"/>
  <c r="BW35" i="5" s="1"/>
  <c r="BS32" i="5"/>
  <c r="BQ39" i="5"/>
  <c r="BW39" i="5" s="1"/>
  <c r="AF43" i="5"/>
  <c r="BN38" i="5"/>
  <c r="BT38" i="5" s="1"/>
  <c r="AF18" i="5"/>
  <c r="AE7" i="5"/>
  <c r="AF11" i="5"/>
  <c r="AF23" i="5"/>
  <c r="BO29" i="5"/>
  <c r="BU29" i="5" s="1"/>
  <c r="AF44" i="5"/>
  <c r="AF45" i="5"/>
  <c r="BP45" i="5"/>
  <c r="BV45" i="5" s="1"/>
  <c r="AF85" i="2"/>
  <c r="BI87" i="2"/>
  <c r="BK87" i="2" s="1"/>
  <c r="BQ46" i="5"/>
  <c r="BW46" i="5" s="1"/>
  <c r="BN45" i="5"/>
  <c r="BT45" i="5" s="1"/>
  <c r="BQ47" i="5"/>
  <c r="BW47" i="5" s="1"/>
  <c r="BN46" i="5"/>
  <c r="BT46" i="5" s="1"/>
  <c r="BS46" i="5"/>
  <c r="BQ44" i="5"/>
  <c r="BW44" i="5" s="1"/>
  <c r="BN48" i="5"/>
  <c r="BT48" i="5" s="1"/>
  <c r="AM98" i="9"/>
  <c r="AI102" i="9"/>
  <c r="AM106" i="9"/>
  <c r="AM110" i="9"/>
  <c r="AM118" i="9"/>
  <c r="AM126" i="9"/>
  <c r="AH94" i="9"/>
  <c r="AH96" i="9"/>
  <c r="AB97" i="9"/>
  <c r="AF101" i="9"/>
  <c r="AJ102" i="9"/>
  <c r="AM103" i="9"/>
  <c r="AH104" i="9"/>
  <c r="AB105" i="9"/>
  <c r="AM113" i="9"/>
  <c r="AF115" i="9"/>
  <c r="AM121" i="9"/>
  <c r="AF123" i="9"/>
  <c r="AM129" i="9"/>
  <c r="AF131" i="9"/>
  <c r="AM108" i="9"/>
  <c r="AH98" i="9"/>
  <c r="AI101" i="9"/>
  <c r="AH106" i="9"/>
  <c r="AB107" i="9"/>
  <c r="AM111" i="9"/>
  <c r="AM119" i="9"/>
  <c r="AM127" i="9"/>
  <c r="AM91" i="9"/>
  <c r="AM95" i="9"/>
  <c r="AM116" i="9"/>
  <c r="AF118" i="9"/>
  <c r="AF89" i="9"/>
  <c r="AF93" i="9"/>
  <c r="AI98" i="9"/>
  <c r="AF100" i="9"/>
  <c r="AH103" i="9"/>
  <c r="AM114" i="9"/>
  <c r="AM122" i="9"/>
  <c r="AF124" i="9"/>
  <c r="AM130" i="9"/>
  <c r="AH93" i="9"/>
  <c r="AH95" i="9"/>
  <c r="AH100" i="9"/>
  <c r="AB101" i="9"/>
  <c r="AI103" i="9"/>
  <c r="AM107" i="9"/>
  <c r="AH108" i="9"/>
  <c r="AM109" i="9"/>
  <c r="AM117" i="9"/>
  <c r="AM125" i="9"/>
  <c r="AF126" i="9"/>
  <c r="AI89" i="9"/>
  <c r="AI91" i="9"/>
  <c r="AI93" i="9"/>
  <c r="AI95" i="9"/>
  <c r="AH97" i="9"/>
  <c r="AH105" i="9"/>
  <c r="AI108" i="9"/>
  <c r="AD46" i="6"/>
  <c r="AT124" i="2" s="1"/>
  <c r="AV124" i="2" s="1"/>
  <c r="AF47" i="6"/>
  <c r="BZ47" i="6"/>
  <c r="CF47" i="6" s="1"/>
  <c r="CB48" i="6"/>
  <c r="CH48" i="6" s="1"/>
  <c r="AF10" i="6"/>
  <c r="AE26" i="6"/>
  <c r="BY26" i="6"/>
  <c r="CE26" i="6" s="1"/>
  <c r="CA27" i="6"/>
  <c r="CG27" i="6" s="1"/>
  <c r="AE30" i="6"/>
  <c r="BY30" i="6"/>
  <c r="CE30" i="6" s="1"/>
  <c r="CA31" i="6"/>
  <c r="CG31" i="6" s="1"/>
  <c r="AE34" i="6"/>
  <c r="BY34" i="6"/>
  <c r="CE34" i="6" s="1"/>
  <c r="CA35" i="6"/>
  <c r="CG35" i="6" s="1"/>
  <c r="AE38" i="6"/>
  <c r="BY38" i="6"/>
  <c r="CE38" i="6" s="1"/>
  <c r="CA39" i="6"/>
  <c r="CG39" i="6" s="1"/>
  <c r="AE42" i="6"/>
  <c r="BY42" i="6"/>
  <c r="CE42" i="6" s="1"/>
  <c r="CA43" i="6"/>
  <c r="CG43" i="6" s="1"/>
  <c r="AE46" i="6"/>
  <c r="AT122" i="2" s="1"/>
  <c r="AV122" i="2" s="1"/>
  <c r="BY46" i="6"/>
  <c r="CE46" i="6" s="1"/>
  <c r="CA47" i="6"/>
  <c r="CG47" i="6" s="1"/>
  <c r="CD28" i="6"/>
  <c r="AF30" i="6"/>
  <c r="BZ30" i="6"/>
  <c r="CF30" i="6" s="1"/>
  <c r="CD32" i="6"/>
  <c r="AD33" i="6"/>
  <c r="BZ34" i="6"/>
  <c r="CF34" i="6" s="1"/>
  <c r="CD36" i="6"/>
  <c r="AD37" i="6"/>
  <c r="BZ38" i="6"/>
  <c r="CF38" i="6" s="1"/>
  <c r="CD40" i="6"/>
  <c r="AD41" i="6"/>
  <c r="BZ42" i="6"/>
  <c r="CF42" i="6" s="1"/>
  <c r="AD45" i="6"/>
  <c r="BZ46" i="6"/>
  <c r="CF46" i="6" s="1"/>
  <c r="AE25" i="6"/>
  <c r="CA26" i="6"/>
  <c r="CG26" i="6" s="1"/>
  <c r="CC27" i="6"/>
  <c r="AE29" i="6"/>
  <c r="CA30" i="6"/>
  <c r="CG30" i="6" s="1"/>
  <c r="CC31" i="6"/>
  <c r="AE33" i="6"/>
  <c r="CA34" i="6"/>
  <c r="CG34" i="6" s="1"/>
  <c r="CC35" i="6"/>
  <c r="AE37" i="6"/>
  <c r="CA38" i="6"/>
  <c r="CG38" i="6" s="1"/>
  <c r="CC39" i="6"/>
  <c r="AE41" i="6"/>
  <c r="CA42" i="6"/>
  <c r="CG42" i="6" s="1"/>
  <c r="CC43" i="6"/>
  <c r="AE45" i="6"/>
  <c r="CA46" i="6"/>
  <c r="CG46" i="6" s="1"/>
  <c r="CD31" i="6"/>
  <c r="CB34" i="6"/>
  <c r="CH34" i="6" s="1"/>
  <c r="CD35" i="6"/>
  <c r="AD36" i="6"/>
  <c r="BZ37" i="6"/>
  <c r="CF37" i="6" s="1"/>
  <c r="CB38" i="6"/>
  <c r="CH38" i="6" s="1"/>
  <c r="AD40" i="6"/>
  <c r="BZ41" i="6"/>
  <c r="CF41" i="6" s="1"/>
  <c r="CB42" i="6"/>
  <c r="CH42" i="6" s="1"/>
  <c r="AD44" i="6"/>
  <c r="BZ45" i="6"/>
  <c r="CF45" i="6" s="1"/>
  <c r="CB46" i="6"/>
  <c r="CH46" i="6" s="1"/>
  <c r="AD48" i="6"/>
  <c r="AD8" i="6"/>
  <c r="AE28" i="6"/>
  <c r="CA29" i="6"/>
  <c r="CG29" i="6" s="1"/>
  <c r="AE36" i="6"/>
  <c r="CA37" i="6"/>
  <c r="CG37" i="6" s="1"/>
  <c r="AE40" i="6"/>
  <c r="CA41" i="6"/>
  <c r="CG41" i="6" s="1"/>
  <c r="AE44" i="6"/>
  <c r="CA45" i="6"/>
  <c r="CG45" i="6" s="1"/>
  <c r="AE48" i="6"/>
  <c r="AE8" i="6"/>
  <c r="AD31" i="6"/>
  <c r="BZ32" i="6"/>
  <c r="CF32" i="6" s="1"/>
  <c r="AD35" i="6"/>
  <c r="BZ36" i="6"/>
  <c r="CF36" i="6" s="1"/>
  <c r="AD39" i="6"/>
  <c r="BZ40" i="6"/>
  <c r="CF40" i="6" s="1"/>
  <c r="AD43" i="6"/>
  <c r="BZ44" i="6"/>
  <c r="CF44" i="6" s="1"/>
  <c r="AD47" i="6"/>
  <c r="BZ48" i="6"/>
  <c r="CF48" i="6" s="1"/>
  <c r="CC25" i="6"/>
  <c r="AQ21" i="4"/>
  <c r="AW24" i="4"/>
  <c r="AX27" i="4"/>
  <c r="AP28" i="4"/>
  <c r="EU28" i="4"/>
  <c r="FA28" i="4" s="1"/>
  <c r="EU31" i="4"/>
  <c r="FA31" i="4" s="1"/>
  <c r="EV32" i="4"/>
  <c r="FB32" i="4" s="1"/>
  <c r="EU36" i="4"/>
  <c r="FA36" i="4" s="1"/>
  <c r="EW37" i="4"/>
  <c r="FC37" i="4" s="1"/>
  <c r="EU45" i="4"/>
  <c r="FA45" i="4" s="1"/>
  <c r="EW46" i="4"/>
  <c r="FC46" i="4" s="1"/>
  <c r="AW18" i="4"/>
  <c r="AP7" i="4"/>
  <c r="AO8" i="4"/>
  <c r="AW11" i="4"/>
  <c r="AV12" i="4"/>
  <c r="AQ14" i="4"/>
  <c r="AP15" i="4"/>
  <c r="AO16" i="4"/>
  <c r="AX18" i="4"/>
  <c r="AW19" i="4"/>
  <c r="AV20" i="4"/>
  <c r="AQ22" i="4"/>
  <c r="AP23" i="4"/>
  <c r="AX24" i="4"/>
  <c r="AO25" i="4"/>
  <c r="AX25" i="4"/>
  <c r="CH25" i="4"/>
  <c r="DF25" i="4"/>
  <c r="DR25" i="4"/>
  <c r="EX26" i="4"/>
  <c r="AQ28" i="4"/>
  <c r="EV28" i="4"/>
  <c r="FB28" i="4" s="1"/>
  <c r="AO30" i="4"/>
  <c r="ET30" i="4"/>
  <c r="EZ30" i="4" s="1"/>
  <c r="EV31" i="4"/>
  <c r="FB31" i="4" s="1"/>
  <c r="EW32" i="4"/>
  <c r="FC32" i="4" s="1"/>
  <c r="EU35" i="4"/>
  <c r="FA35" i="4" s="1"/>
  <c r="EV36" i="4"/>
  <c r="FB36" i="4" s="1"/>
  <c r="EX37" i="4"/>
  <c r="ET39" i="4"/>
  <c r="EZ39" i="4" s="1"/>
  <c r="EU40" i="4"/>
  <c r="FA40" i="4" s="1"/>
  <c r="EW41" i="4"/>
  <c r="FC41" i="4" s="1"/>
  <c r="ET44" i="4"/>
  <c r="EZ44" i="4" s="1"/>
  <c r="EV45" i="4"/>
  <c r="FB45" i="4" s="1"/>
  <c r="ET49" i="4"/>
  <c r="EZ49" i="4" s="1"/>
  <c r="AX17" i="4"/>
  <c r="AV19" i="4"/>
  <c r="AV5" i="4"/>
  <c r="AQ7" i="4"/>
  <c r="AP8" i="4"/>
  <c r="AO9" i="4"/>
  <c r="AX11" i="4"/>
  <c r="AW12" i="4"/>
  <c r="AV13" i="4"/>
  <c r="AP16" i="4"/>
  <c r="AO17" i="4"/>
  <c r="AX19" i="4"/>
  <c r="AW20" i="4"/>
  <c r="AV21" i="4"/>
  <c r="AO24" i="4"/>
  <c r="AP25" i="4"/>
  <c r="EY26" i="4"/>
  <c r="AO27" i="4"/>
  <c r="EW28" i="4"/>
  <c r="FC28" i="4" s="1"/>
  <c r="AP30" i="4"/>
  <c r="EU30" i="4"/>
  <c r="FA30" i="4" s="1"/>
  <c r="EW31" i="4"/>
  <c r="FC31" i="4" s="1"/>
  <c r="EX32" i="4"/>
  <c r="EV35" i="4"/>
  <c r="FB35" i="4" s="1"/>
  <c r="EW36" i="4"/>
  <c r="FC36" i="4" s="1"/>
  <c r="EU39" i="4"/>
  <c r="FA39" i="4" s="1"/>
  <c r="EV40" i="4"/>
  <c r="FB40" i="4" s="1"/>
  <c r="EX41" i="4"/>
  <c r="EU44" i="4"/>
  <c r="FA44" i="4" s="1"/>
  <c r="EW45" i="4"/>
  <c r="FC45" i="4" s="1"/>
  <c r="AF53" i="2"/>
  <c r="AF44" i="2"/>
  <c r="AW5" i="4"/>
  <c r="AQ8" i="4"/>
  <c r="AX12" i="4"/>
  <c r="AW13" i="4"/>
  <c r="AP17" i="4"/>
  <c r="AO18" i="4"/>
  <c r="AX20" i="4"/>
  <c r="AW21" i="4"/>
  <c r="AV22" i="4"/>
  <c r="AP24" i="4"/>
  <c r="AP27" i="4"/>
  <c r="EU27" i="4"/>
  <c r="FA27" i="4" s="1"/>
  <c r="EX28" i="4"/>
  <c r="EV30" i="4"/>
  <c r="FB30" i="4" s="1"/>
  <c r="EU34" i="4"/>
  <c r="FA34" i="4" s="1"/>
  <c r="EX36" i="4"/>
  <c r="EV39" i="4"/>
  <c r="FB39" i="4" s="1"/>
  <c r="EW40" i="4"/>
  <c r="FC40" i="4" s="1"/>
  <c r="EU43" i="4"/>
  <c r="FA43" i="4" s="1"/>
  <c r="EV44" i="4"/>
  <c r="FB44" i="4" s="1"/>
  <c r="EU48" i="4"/>
  <c r="FA48" i="4" s="1"/>
  <c r="ET50" i="4"/>
  <c r="EZ50" i="4" s="1"/>
  <c r="AH44" i="2"/>
  <c r="AQ13" i="4"/>
  <c r="AO11" i="4"/>
  <c r="AP18" i="4"/>
  <c r="AO19" i="4"/>
  <c r="AW22" i="4"/>
  <c r="AV23" i="4"/>
  <c r="EV27" i="4"/>
  <c r="FB27" i="4" s="1"/>
  <c r="AO29" i="4"/>
  <c r="EW30" i="4"/>
  <c r="FC30" i="4" s="1"/>
  <c r="EV34" i="4"/>
  <c r="FB34" i="4" s="1"/>
  <c r="EU38" i="4"/>
  <c r="FA38" i="4" s="1"/>
  <c r="EW39" i="4"/>
  <c r="FC39" i="4" s="1"/>
  <c r="EV43" i="4"/>
  <c r="FB43" i="4" s="1"/>
  <c r="EY45" i="4"/>
  <c r="EU47" i="4"/>
  <c r="FA47" i="4" s="1"/>
  <c r="EV48" i="4"/>
  <c r="FB48" i="4" s="1"/>
  <c r="AV16" i="4"/>
  <c r="AP19" i="4"/>
  <c r="AO20" i="4"/>
  <c r="AW23" i="4"/>
  <c r="AO26" i="4"/>
  <c r="EW27" i="4"/>
  <c r="FC27" i="4" s="1"/>
  <c r="AP29" i="4"/>
  <c r="EU29" i="4"/>
  <c r="FA29" i="4" s="1"/>
  <c r="EU33" i="4"/>
  <c r="FA33" i="4" s="1"/>
  <c r="EV38" i="4"/>
  <c r="FB38" i="4" s="1"/>
  <c r="EU42" i="4"/>
  <c r="FA42" i="4" s="1"/>
  <c r="EW43" i="4"/>
  <c r="FC43" i="4" s="1"/>
  <c r="EV47" i="4"/>
  <c r="FB47" i="4" s="1"/>
  <c r="EW48" i="4"/>
  <c r="FC48" i="4" s="1"/>
  <c r="AO12" i="4"/>
  <c r="AO5" i="4"/>
  <c r="AX7" i="4"/>
  <c r="AW8" i="4"/>
  <c r="AV9" i="4"/>
  <c r="AP12" i="4"/>
  <c r="AO13" i="4"/>
  <c r="AW16" i="4"/>
  <c r="AV17" i="4"/>
  <c r="AP20" i="4"/>
  <c r="AO21" i="4"/>
  <c r="AP26" i="4"/>
  <c r="EX27" i="4"/>
  <c r="EV29" i="4"/>
  <c r="FB29" i="4" s="1"/>
  <c r="EV33" i="4"/>
  <c r="FB33" i="4" s="1"/>
  <c r="EU37" i="4"/>
  <c r="FA37" i="4" s="1"/>
  <c r="EV42" i="4"/>
  <c r="FB42" i="4" s="1"/>
  <c r="EU46" i="4"/>
  <c r="FA46" i="4" s="1"/>
  <c r="AP11" i="4"/>
  <c r="EV26" i="4"/>
  <c r="FB26" i="4" s="1"/>
  <c r="AG47" i="5"/>
  <c r="AG48" i="5" s="1"/>
  <c r="AE16" i="5"/>
  <c r="BP37" i="5"/>
  <c r="BV37" i="5" s="1"/>
  <c r="AE42" i="5"/>
  <c r="BO44" i="5"/>
  <c r="BU44" i="5" s="1"/>
  <c r="BQ45" i="5"/>
  <c r="BW45" i="5" s="1"/>
  <c r="AE47" i="5"/>
  <c r="AD6" i="5"/>
  <c r="AF8" i="5"/>
  <c r="AE11" i="5"/>
  <c r="AD14" i="5"/>
  <c r="AF16" i="5"/>
  <c r="AE19" i="5"/>
  <c r="AD22" i="5"/>
  <c r="AE24" i="5"/>
  <c r="BR26" i="5"/>
  <c r="AE28" i="5"/>
  <c r="BN28" i="5"/>
  <c r="BT28" i="5" s="1"/>
  <c r="BP29" i="5"/>
  <c r="BV29" i="5" s="1"/>
  <c r="BR30" i="5"/>
  <c r="BS31" i="5"/>
  <c r="AD32" i="5"/>
  <c r="AE33" i="5"/>
  <c r="AF34" i="5"/>
  <c r="BN34" i="5"/>
  <c r="BT34" i="5" s="1"/>
  <c r="BO35" i="5"/>
  <c r="BU35" i="5" s="1"/>
  <c r="BP36" i="5"/>
  <c r="BV36" i="5" s="1"/>
  <c r="BQ37" i="5"/>
  <c r="BW37" i="5" s="1"/>
  <c r="BR38" i="5"/>
  <c r="BS39" i="5"/>
  <c r="AD40" i="5"/>
  <c r="AE41" i="5"/>
  <c r="AF42" i="5"/>
  <c r="BN42" i="5"/>
  <c r="BT42" i="5" s="1"/>
  <c r="BO43" i="5"/>
  <c r="BU43" i="5" s="1"/>
  <c r="BP44" i="5"/>
  <c r="BV44" i="5" s="1"/>
  <c r="AD46" i="5"/>
  <c r="AT91" i="2" s="1"/>
  <c r="AV91" i="2" s="1"/>
  <c r="BI79" i="2"/>
  <c r="BK79" i="2" s="1"/>
  <c r="AF47" i="5"/>
  <c r="BN47" i="5"/>
  <c r="BT47" i="5" s="1"/>
  <c r="BO48" i="5"/>
  <c r="BU48" i="5" s="1"/>
  <c r="AH76" i="2"/>
  <c r="AE6" i="5"/>
  <c r="AE14" i="5"/>
  <c r="AD17" i="5"/>
  <c r="AF19" i="5"/>
  <c r="AE22" i="5"/>
  <c r="AF24" i="5"/>
  <c r="AD25" i="5"/>
  <c r="AD27" i="5"/>
  <c r="BO28" i="5"/>
  <c r="BU28" i="5" s="1"/>
  <c r="BQ29" i="5"/>
  <c r="BW29" i="5" s="1"/>
  <c r="AD31" i="5"/>
  <c r="AE32" i="5"/>
  <c r="AF33" i="5"/>
  <c r="BN33" i="5"/>
  <c r="BT33" i="5" s="1"/>
  <c r="BO34" i="5"/>
  <c r="BU34" i="5" s="1"/>
  <c r="BP35" i="5"/>
  <c r="BV35" i="5" s="1"/>
  <c r="BR37" i="5"/>
  <c r="AD39" i="5"/>
  <c r="AE40" i="5"/>
  <c r="BO42" i="5"/>
  <c r="BU42" i="5" s="1"/>
  <c r="BP43" i="5"/>
  <c r="BV43" i="5" s="1"/>
  <c r="AE46" i="5"/>
  <c r="AT89" i="2" s="1"/>
  <c r="AV89" i="2" s="1"/>
  <c r="BO47" i="5"/>
  <c r="BU47" i="5" s="1"/>
  <c r="BP48" i="5"/>
  <c r="BV48" i="5" s="1"/>
  <c r="AF29" i="5"/>
  <c r="AD33" i="5"/>
  <c r="AF6" i="5"/>
  <c r="AD12" i="5"/>
  <c r="AF14" i="5"/>
  <c r="AE17" i="5"/>
  <c r="AD20" i="5"/>
  <c r="AE25" i="5"/>
  <c r="AE27" i="5"/>
  <c r="BP28" i="5"/>
  <c r="BV28" i="5" s="1"/>
  <c r="BR29" i="5"/>
  <c r="AE31" i="5"/>
  <c r="BO33" i="5"/>
  <c r="BU33" i="5" s="1"/>
  <c r="BP34" i="5"/>
  <c r="BV34" i="5" s="1"/>
  <c r="BR36" i="5"/>
  <c r="BS37" i="5"/>
  <c r="AD38" i="5"/>
  <c r="AE39" i="5"/>
  <c r="BO41" i="5"/>
  <c r="BU41" i="5" s="1"/>
  <c r="BP42" i="5"/>
  <c r="BV42" i="5" s="1"/>
  <c r="AD45" i="5"/>
  <c r="BP47" i="5"/>
  <c r="BV47" i="5" s="1"/>
  <c r="BQ48" i="5"/>
  <c r="BW48" i="5" s="1"/>
  <c r="AT75" i="2"/>
  <c r="AV75" i="2" s="1"/>
  <c r="BQ38" i="5"/>
  <c r="BW38" i="5" s="1"/>
  <c r="AE12" i="5"/>
  <c r="AE20" i="5"/>
  <c r="AD23" i="5"/>
  <c r="AF25" i="5"/>
  <c r="AD26" i="5"/>
  <c r="BO27" i="5"/>
  <c r="BU27" i="5" s="1"/>
  <c r="BQ28" i="5"/>
  <c r="BW28" i="5" s="1"/>
  <c r="BS29" i="5"/>
  <c r="AD30" i="5"/>
  <c r="BO32" i="5"/>
  <c r="BU32" i="5" s="1"/>
  <c r="BP33" i="5"/>
  <c r="BV33" i="5" s="1"/>
  <c r="BR35" i="5"/>
  <c r="BS36" i="5"/>
  <c r="AD37" i="5"/>
  <c r="AE38" i="5"/>
  <c r="BO40" i="5"/>
  <c r="BU40" i="5" s="1"/>
  <c r="BP41" i="5"/>
  <c r="BV41" i="5" s="1"/>
  <c r="BS44" i="5"/>
  <c r="AE45" i="5"/>
  <c r="BO46" i="5"/>
  <c r="BU46" i="5" s="1"/>
  <c r="BN49" i="5"/>
  <c r="BT49" i="5" s="1"/>
  <c r="AD41" i="5"/>
  <c r="AF48" i="5"/>
  <c r="AD18" i="5"/>
  <c r="AE23" i="5"/>
  <c r="AE26" i="5"/>
  <c r="BP27" i="5"/>
  <c r="BV27" i="5" s="1"/>
  <c r="AE30" i="5"/>
  <c r="BO31" i="5"/>
  <c r="BU31" i="5" s="1"/>
  <c r="BP32" i="5"/>
  <c r="BV32" i="5" s="1"/>
  <c r="AD36" i="5"/>
  <c r="AE37" i="5"/>
  <c r="BO39" i="5"/>
  <c r="BU39" i="5" s="1"/>
  <c r="BP40" i="5"/>
  <c r="BV40" i="5" s="1"/>
  <c r="AD44" i="5"/>
  <c r="AT93" i="2"/>
  <c r="AV93" i="2" s="1"/>
  <c r="AF82" i="2"/>
  <c r="BP46" i="5"/>
  <c r="BV46" i="5" s="1"/>
  <c r="AD19" i="5"/>
  <c r="AF21" i="5"/>
  <c r="BO36" i="5"/>
  <c r="BU36" i="5" s="1"/>
  <c r="AD5" i="5"/>
  <c r="AE10" i="5"/>
  <c r="AD13" i="5"/>
  <c r="AE18" i="5"/>
  <c r="AD21" i="5"/>
  <c r="BO26" i="5"/>
  <c r="BU26" i="5" s="1"/>
  <c r="BQ27" i="5"/>
  <c r="BW27" i="5" s="1"/>
  <c r="AD29" i="5"/>
  <c r="BO30" i="5"/>
  <c r="BU30" i="5" s="1"/>
  <c r="BP31" i="5"/>
  <c r="BV31" i="5" s="1"/>
  <c r="BQ32" i="5"/>
  <c r="BW32" i="5" s="1"/>
  <c r="BR33" i="5"/>
  <c r="AD35" i="5"/>
  <c r="AE36" i="5"/>
  <c r="BO38" i="5"/>
  <c r="BU38" i="5" s="1"/>
  <c r="BP39" i="5"/>
  <c r="BV39" i="5" s="1"/>
  <c r="BR41" i="5"/>
  <c r="AD43" i="5"/>
  <c r="AE44" i="5"/>
  <c r="BO45" i="5"/>
  <c r="BU45" i="5" s="1"/>
  <c r="AD48" i="5"/>
  <c r="AH82" i="2"/>
  <c r="AE5" i="5"/>
  <c r="AF10" i="5"/>
  <c r="BP26" i="5"/>
  <c r="BV26" i="5" s="1"/>
  <c r="BP30" i="5"/>
  <c r="BV30" i="5" s="1"/>
  <c r="BR32" i="5"/>
  <c r="BR40" i="5"/>
  <c r="CK123" i="13"/>
  <c r="BC122" i="13"/>
  <c r="AO151" i="35" s="1"/>
  <c r="AT122" i="13"/>
  <c r="K151" i="35" s="1"/>
  <c r="BC121" i="13"/>
  <c r="AO150" i="35" s="1"/>
  <c r="AT121" i="13"/>
  <c r="K150" i="35" s="1"/>
  <c r="BC120" i="13"/>
  <c r="AO149" i="35" s="1"/>
  <c r="AT120" i="13"/>
  <c r="K149" i="35" s="1"/>
  <c r="BC119" i="13"/>
  <c r="AO148" i="35" s="1"/>
  <c r="AT119" i="13"/>
  <c r="K148" i="35" s="1"/>
  <c r="BC118" i="13"/>
  <c r="AO147" i="35" s="1"/>
  <c r="AT118" i="13"/>
  <c r="K147" i="35" s="1"/>
  <c r="AT117" i="13"/>
  <c r="K146" i="35" s="1"/>
  <c r="AT116" i="13"/>
  <c r="K145" i="35" s="1"/>
  <c r="L122" i="13"/>
  <c r="AU119" i="13"/>
  <c r="L121" i="13"/>
  <c r="AT115" i="13"/>
  <c r="K144" i="35" s="1"/>
  <c r="L115" i="13"/>
  <c r="BD115" i="13"/>
  <c r="AR144" i="35" s="1"/>
  <c r="BE115" i="13"/>
  <c r="AU116" i="13"/>
  <c r="AY114" i="13"/>
  <c r="CK114" i="13"/>
  <c r="L119" i="13"/>
  <c r="AZ120" i="13"/>
  <c r="AU122" i="13"/>
  <c r="AT114" i="13"/>
  <c r="K143" i="35" s="1"/>
  <c r="L117" i="13"/>
  <c r="AZ118" i="13"/>
  <c r="AZ121" i="13"/>
  <c r="BE114" i="13"/>
  <c r="AZ112" i="13"/>
  <c r="L114" i="13"/>
  <c r="L116" i="13"/>
  <c r="L118" i="13"/>
  <c r="L120" i="13"/>
  <c r="L123" i="13"/>
  <c r="AT123" i="13"/>
  <c r="K152" i="35" s="1"/>
  <c r="BD123" i="13"/>
  <c r="AR152" i="35" s="1"/>
  <c r="BE123" i="13"/>
  <c r="BC123" i="13"/>
  <c r="AO152" i="35" s="1"/>
  <c r="K13" i="22"/>
  <c r="M13" i="22" s="1"/>
  <c r="AY123" i="13"/>
  <c r="AU123" i="13"/>
  <c r="BD124" i="13"/>
  <c r="AR153" i="35" s="1"/>
  <c r="BE124" i="13"/>
  <c r="L124" i="13"/>
  <c r="BD125" i="13"/>
  <c r="AR154" i="35" s="1"/>
  <c r="BE125" i="13"/>
  <c r="AY125" i="13"/>
  <c r="L125" i="13"/>
  <c r="AT125" i="13"/>
  <c r="K154" i="35" s="1"/>
  <c r="N11" i="15"/>
  <c r="O11" i="15" s="1"/>
  <c r="CK126" i="13"/>
  <c r="L4" i="22"/>
  <c r="M4" i="22" s="1"/>
  <c r="L127" i="13"/>
  <c r="L131" i="13"/>
  <c r="M11" i="15" s="1"/>
  <c r="L129" i="13"/>
  <c r="L130" i="13"/>
  <c r="L128" i="13"/>
  <c r="L126" i="13"/>
  <c r="BE126" i="13"/>
  <c r="BC126" i="13"/>
  <c r="AO155" i="35" s="1"/>
  <c r="BD126" i="13"/>
  <c r="AR155" i="35" s="1"/>
  <c r="AT126" i="13"/>
  <c r="K155" i="35" s="1"/>
  <c r="AY126" i="13"/>
  <c r="BS21" i="29"/>
  <c r="Y126" i="29"/>
  <c r="BG21" i="29"/>
  <c r="DC24" i="29"/>
  <c r="AG142" i="29"/>
  <c r="EA24" i="29"/>
  <c r="EW9" i="1"/>
  <c r="EX24" i="1"/>
  <c r="EW24" i="1"/>
  <c r="ER7" i="1"/>
  <c r="EW6" i="1"/>
  <c r="ER8" i="1"/>
  <c r="FE8" i="1"/>
  <c r="EP10" i="1"/>
  <c r="FC10" i="1"/>
  <c r="EY12" i="1"/>
  <c r="EX13" i="1"/>
  <c r="EW14" i="1"/>
  <c r="EX20" i="1"/>
  <c r="ER16" i="1"/>
  <c r="FE16" i="1"/>
  <c r="EQ17" i="1"/>
  <c r="FD17" i="1"/>
  <c r="EP18" i="1"/>
  <c r="FC18" i="1"/>
  <c r="EP24" i="1"/>
  <c r="EW20" i="1"/>
  <c r="EP26" i="1"/>
  <c r="EX22" i="1"/>
  <c r="EX30" i="1"/>
  <c r="EW30" i="1"/>
  <c r="FC26" i="1"/>
  <c r="IB36" i="1"/>
  <c r="EY14" i="1"/>
  <c r="EX26" i="1"/>
  <c r="EW26" i="1"/>
  <c r="FE22" i="1"/>
  <c r="EY5" i="1"/>
  <c r="EX6" i="1"/>
  <c r="EW7" i="1"/>
  <c r="EQ10" i="1"/>
  <c r="FD10" i="1"/>
  <c r="EP11" i="1"/>
  <c r="FC11" i="1"/>
  <c r="EY13" i="1"/>
  <c r="EX14" i="1"/>
  <c r="EW15" i="1"/>
  <c r="EW21" i="1"/>
  <c r="ER17" i="1"/>
  <c r="FE17" i="1"/>
  <c r="EQ18" i="1"/>
  <c r="FD18" i="1"/>
  <c r="EP19" i="1"/>
  <c r="EY20" i="1"/>
  <c r="FE27" i="1"/>
  <c r="FD27" i="1"/>
  <c r="EW28" i="1"/>
  <c r="EW27" i="1"/>
  <c r="EY28" i="1"/>
  <c r="EY24" i="1"/>
  <c r="FE26" i="1"/>
  <c r="FC31" i="1"/>
  <c r="FE18" i="1"/>
  <c r="EY25" i="1"/>
  <c r="FC6" i="1"/>
  <c r="EX9" i="1"/>
  <c r="EW10" i="1"/>
  <c r="ER12" i="1"/>
  <c r="FE12" i="1"/>
  <c r="EQ13" i="1"/>
  <c r="FD13" i="1"/>
  <c r="EP14" i="1"/>
  <c r="FC14" i="1"/>
  <c r="ER20" i="1"/>
  <c r="EP20" i="1"/>
  <c r="FE20" i="1"/>
  <c r="FC20" i="1"/>
  <c r="EX17" i="1"/>
  <c r="EW18" i="1"/>
  <c r="EY21" i="1"/>
  <c r="ER27" i="1"/>
  <c r="EP27" i="1"/>
  <c r="EQ34" i="1"/>
  <c r="EQ31" i="1"/>
  <c r="EQ32" i="1"/>
  <c r="FC32" i="1"/>
  <c r="ER10" i="1"/>
  <c r="ER18" i="1"/>
  <c r="IB32" i="1"/>
  <c r="ER11" i="1"/>
  <c r="FD5" i="1"/>
  <c r="FE5" i="1"/>
  <c r="EQ6" i="1"/>
  <c r="FD6" i="1"/>
  <c r="EP7" i="1"/>
  <c r="FC7" i="1"/>
  <c r="EX10" i="1"/>
  <c r="EW11" i="1"/>
  <c r="ER13" i="1"/>
  <c r="FE13" i="1"/>
  <c r="EQ14" i="1"/>
  <c r="FD14" i="1"/>
  <c r="EP15" i="1"/>
  <c r="FC15" i="1"/>
  <c r="ER21" i="1"/>
  <c r="EQ21" i="1"/>
  <c r="FE21" i="1"/>
  <c r="FD21" i="1"/>
  <c r="EX18" i="1"/>
  <c r="FD24" i="1"/>
  <c r="EQ25" i="1"/>
  <c r="EQ24" i="1"/>
  <c r="FE24" i="1"/>
  <c r="EQ30" i="1"/>
  <c r="EQ28" i="1"/>
  <c r="EY26" i="1"/>
  <c r="EX27" i="1"/>
  <c r="ER33" i="1"/>
  <c r="EP30" i="1"/>
  <c r="EP33" i="1"/>
  <c r="EP34" i="1"/>
  <c r="FE10" i="1"/>
  <c r="EW23" i="1"/>
  <c r="EP5" i="1"/>
  <c r="EW17" i="1"/>
  <c r="EX23" i="1"/>
  <c r="EX21" i="1"/>
  <c r="EQ5" i="1"/>
  <c r="EP6" i="1"/>
  <c r="FE6" i="1"/>
  <c r="FD7" i="1"/>
  <c r="EX11" i="1"/>
  <c r="EW12" i="1"/>
  <c r="EQ15" i="1"/>
  <c r="FD15" i="1"/>
  <c r="EP16" i="1"/>
  <c r="FC16" i="1"/>
  <c r="EQ22" i="1"/>
  <c r="EP22" i="1"/>
  <c r="FD22" i="1"/>
  <c r="FC22" i="1"/>
  <c r="FC19" i="1"/>
  <c r="EQ20" i="1"/>
  <c r="FC21" i="1"/>
  <c r="ER24" i="1"/>
  <c r="EP25" i="1"/>
  <c r="FD32" i="1"/>
  <c r="FC29" i="1"/>
  <c r="FD30" i="1"/>
  <c r="IC27" i="1"/>
  <c r="HX27" i="1"/>
  <c r="ID27" i="1" s="1"/>
  <c r="FC28" i="1"/>
  <c r="FD29" i="1"/>
  <c r="ER30" i="1"/>
  <c r="ER34" i="1"/>
  <c r="FE25" i="1"/>
  <c r="FC25" i="1"/>
  <c r="EW19" i="1"/>
  <c r="EY19" i="1"/>
  <c r="EP23" i="1"/>
  <c r="ER23" i="1"/>
  <c r="FC23" i="1"/>
  <c r="FE23" i="1"/>
  <c r="FE19" i="1"/>
  <c r="EX25" i="1"/>
  <c r="EW22" i="1"/>
  <c r="ER25" i="1"/>
  <c r="FD25" i="1"/>
  <c r="HX26" i="1"/>
  <c r="IC26" i="1"/>
  <c r="ER29" i="1"/>
  <c r="FD34" i="1"/>
  <c r="EX35" i="1"/>
  <c r="EQ36" i="1"/>
  <c r="FD38" i="1"/>
  <c r="EX39" i="1"/>
  <c r="EQ40" i="1"/>
  <c r="FD42" i="1"/>
  <c r="EX43" i="1"/>
  <c r="EQ44" i="1"/>
  <c r="FD46" i="1"/>
  <c r="EX47" i="1"/>
  <c r="EQ48" i="1"/>
  <c r="FD50" i="1"/>
  <c r="FD52" i="1"/>
  <c r="FE30" i="1"/>
  <c r="HX30" i="1"/>
  <c r="ID30" i="1" s="1"/>
  <c r="EY31" i="1"/>
  <c r="ER32" i="1"/>
  <c r="FC33" i="1"/>
  <c r="FE34" i="1"/>
  <c r="HX34" i="1"/>
  <c r="ID34" i="1" s="1"/>
  <c r="EP35" i="1"/>
  <c r="EY35" i="1"/>
  <c r="ER36" i="1"/>
  <c r="FC37" i="1"/>
  <c r="EW38" i="1"/>
  <c r="FE38" i="1"/>
  <c r="HX38" i="1"/>
  <c r="ID38" i="1" s="1"/>
  <c r="EP39" i="1"/>
  <c r="EY39" i="1"/>
  <c r="ER40" i="1"/>
  <c r="FC41" i="1"/>
  <c r="EW42" i="1"/>
  <c r="FE42" i="1"/>
  <c r="HX42" i="1"/>
  <c r="ID42" i="1" s="1"/>
  <c r="EP43" i="1"/>
  <c r="EY43" i="1"/>
  <c r="ER44" i="1"/>
  <c r="FC45" i="1"/>
  <c r="EW46" i="1"/>
  <c r="FE46" i="1"/>
  <c r="HX46" i="1"/>
  <c r="ID46" i="1" s="1"/>
  <c r="EP47" i="1"/>
  <c r="EY47" i="1"/>
  <c r="ER48" i="1"/>
  <c r="FC49" i="1"/>
  <c r="HX49" i="1"/>
  <c r="ID49" i="1" s="1"/>
  <c r="EW50" i="1"/>
  <c r="FE50" i="1"/>
  <c r="EP51" i="1"/>
  <c r="EY51" i="1"/>
  <c r="FE52" i="1"/>
  <c r="EX34" i="1"/>
  <c r="FD49" i="1"/>
  <c r="EX50" i="1"/>
  <c r="EQ51" i="1"/>
  <c r="FC48" i="1"/>
  <c r="EW49" i="1"/>
  <c r="EP50" i="1"/>
  <c r="EW52" i="1"/>
  <c r="EW29" i="1"/>
  <c r="HY29" i="1"/>
  <c r="IE29" i="1" s="1"/>
  <c r="IC31" i="1"/>
  <c r="IC35" i="1"/>
  <c r="IC39" i="1"/>
  <c r="IC43" i="1"/>
  <c r="FD48" i="1"/>
  <c r="EX49" i="1"/>
  <c r="EQ50" i="1"/>
  <c r="EX52" i="1"/>
  <c r="FC47" i="1"/>
  <c r="EW48" i="1"/>
  <c r="EP49" i="1"/>
  <c r="FC51" i="1"/>
  <c r="EW25" i="1"/>
  <c r="HZ26" i="1"/>
  <c r="IF26" i="1" s="1"/>
  <c r="FD28" i="1"/>
  <c r="EP29" i="1"/>
  <c r="FD31" i="1"/>
  <c r="EX32" i="1"/>
  <c r="EQ33" i="1"/>
  <c r="FD35" i="1"/>
  <c r="EX36" i="1"/>
  <c r="EQ37" i="1"/>
  <c r="FD39" i="1"/>
  <c r="EX40" i="1"/>
  <c r="EQ41" i="1"/>
  <c r="FD43" i="1"/>
  <c r="EX44" i="1"/>
  <c r="EQ45" i="1"/>
  <c r="FD47" i="1"/>
  <c r="EX48" i="1"/>
  <c r="EQ49" i="1"/>
  <c r="FD51" i="1"/>
  <c r="EP52" i="1"/>
  <c r="IA26" i="1"/>
  <c r="IG26" i="1" s="1"/>
  <c r="HY28" i="1"/>
  <c r="IE28" i="1" s="1"/>
  <c r="IB29" i="1"/>
  <c r="IB33" i="1"/>
  <c r="IB37" i="1"/>
  <c r="AG139" i="29"/>
  <c r="AH139" i="29" s="1"/>
  <c r="AI24" i="29"/>
  <c r="AU24" i="29"/>
  <c r="CQ24" i="29"/>
  <c r="C86" i="26"/>
  <c r="G12" i="24"/>
  <c r="D81" i="26" s="1"/>
  <c r="AG13" i="24"/>
  <c r="F82" i="26" s="1"/>
  <c r="K11" i="24"/>
  <c r="K80" i="26" s="1"/>
  <c r="S8" i="24"/>
  <c r="P77" i="26" s="1"/>
  <c r="AL6" i="24"/>
  <c r="S6" i="24"/>
  <c r="O11" i="24"/>
  <c r="N80" i="26" s="1"/>
  <c r="O6" i="24"/>
  <c r="N75" i="26" s="1"/>
  <c r="J86" i="26"/>
  <c r="Y14" i="24"/>
  <c r="G83" i="26" s="1"/>
  <c r="S7" i="24"/>
  <c r="P76" i="26" s="1"/>
  <c r="G8" i="24"/>
  <c r="D77" i="26" s="1"/>
  <c r="AC10" i="24"/>
  <c r="E79" i="26" s="1"/>
  <c r="AC12" i="24"/>
  <c r="E81" i="26" s="1"/>
  <c r="G14" i="24"/>
  <c r="D83" i="26" s="1"/>
  <c r="M86" i="26"/>
  <c r="S9" i="24"/>
  <c r="P78" i="26" s="1"/>
  <c r="K13" i="24"/>
  <c r="K82" i="26" s="1"/>
  <c r="C89" i="26"/>
  <c r="O13" i="24"/>
  <c r="N82" i="26" s="1"/>
  <c r="J89" i="26"/>
  <c r="BP14" i="24"/>
  <c r="BO14" i="24" s="1"/>
  <c r="M89" i="26"/>
  <c r="O8" i="24"/>
  <c r="N77" i="26" s="1"/>
  <c r="K6" i="24"/>
  <c r="K75" i="26" s="1"/>
  <c r="K7" i="24"/>
  <c r="K76" i="26" s="1"/>
  <c r="C87" i="26"/>
  <c r="G9" i="24"/>
  <c r="D78" i="26" s="1"/>
  <c r="S10" i="24"/>
  <c r="P79" i="26" s="1"/>
  <c r="AG12" i="24"/>
  <c r="F81" i="26" s="1"/>
  <c r="C88" i="26"/>
  <c r="J88" i="26"/>
  <c r="AC11" i="24"/>
  <c r="E80" i="26" s="1"/>
  <c r="K12" i="24"/>
  <c r="K81" i="26" s="1"/>
  <c r="K89" i="26" s="1"/>
  <c r="AC13" i="24"/>
  <c r="E82" i="26" s="1"/>
  <c r="E89" i="26" s="1"/>
  <c r="M87" i="26"/>
  <c r="Y12" i="24"/>
  <c r="G81" i="26" s="1"/>
  <c r="O14" i="24"/>
  <c r="N83" i="26" s="1"/>
  <c r="AG14" i="24"/>
  <c r="F83" i="26" s="1"/>
  <c r="S14" i="24"/>
  <c r="P83" i="26" s="1"/>
  <c r="S12" i="24"/>
  <c r="P81" i="26" s="1"/>
  <c r="S13" i="24"/>
  <c r="P82" i="26" s="1"/>
  <c r="S11" i="24"/>
  <c r="P80" i="26" s="1"/>
  <c r="G6" i="24"/>
  <c r="D75" i="26" s="1"/>
  <c r="G7" i="24"/>
  <c r="D76" i="26" s="1"/>
  <c r="O10" i="24"/>
  <c r="N79" i="26" s="1"/>
  <c r="O9" i="24"/>
  <c r="N78" i="26" s="1"/>
  <c r="C12" i="24"/>
  <c r="H81" i="26" s="1"/>
  <c r="C13" i="24"/>
  <c r="H82" i="26" s="1"/>
  <c r="K10" i="24"/>
  <c r="K79" i="26" s="1"/>
  <c r="K9" i="24"/>
  <c r="K78" i="26" s="1"/>
  <c r="C14" i="24"/>
  <c r="H83" i="26" s="1"/>
  <c r="M88" i="26"/>
  <c r="M84" i="26"/>
  <c r="O7" i="24"/>
  <c r="N76" i="26" s="1"/>
  <c r="J84" i="26"/>
  <c r="J87" i="26"/>
  <c r="G10" i="24"/>
  <c r="D79" i="26" s="1"/>
  <c r="J85" i="26"/>
  <c r="K8" i="24"/>
  <c r="K77" i="26" s="1"/>
  <c r="O12" i="24"/>
  <c r="N81" i="26" s="1"/>
  <c r="C84" i="26"/>
  <c r="C85" i="26"/>
  <c r="M85" i="26"/>
  <c r="G13" i="24"/>
  <c r="D82" i="26" s="1"/>
  <c r="Y13" i="24"/>
  <c r="G82" i="26" s="1"/>
  <c r="K14" i="24"/>
  <c r="K83" i="26" s="1"/>
  <c r="AC14" i="24"/>
  <c r="E83" i="26" s="1"/>
  <c r="BE15" i="24"/>
  <c r="BD40" i="24" s="1"/>
  <c r="BE40" i="24" s="1"/>
  <c r="AU16" i="24"/>
  <c r="BD16" i="24" s="1"/>
  <c r="BA15" i="24"/>
  <c r="AP16" i="24"/>
  <c r="K13" i="12"/>
  <c r="M11" i="12"/>
  <c r="K11" i="12"/>
  <c r="K9" i="12"/>
  <c r="K12" i="12"/>
  <c r="M7" i="12"/>
  <c r="K7" i="12"/>
  <c r="F47" i="7"/>
  <c r="B53" i="7"/>
  <c r="B55" i="7"/>
  <c r="F13" i="7"/>
  <c r="F53" i="7" s="1"/>
  <c r="C53" i="7"/>
  <c r="C55" i="7"/>
  <c r="C29" i="7"/>
  <c r="C36" i="7" s="1"/>
  <c r="C39" i="7" s="1"/>
  <c r="AE126" i="29"/>
  <c r="C12" i="30"/>
  <c r="C11" i="30" s="1"/>
  <c r="W8" i="29"/>
  <c r="Z8" i="29"/>
  <c r="AC8" i="29"/>
  <c r="W40" i="29"/>
  <c r="AV26" i="4"/>
  <c r="AV27" i="4"/>
  <c r="AW26" i="4"/>
  <c r="AW27" i="4"/>
  <c r="AX26" i="4"/>
  <c r="AX44" i="4"/>
  <c r="AW44" i="4"/>
  <c r="AV44" i="4"/>
  <c r="AX48" i="4"/>
  <c r="AW48" i="4"/>
  <c r="AV48" i="4"/>
  <c r="AX43" i="4"/>
  <c r="AX40" i="4"/>
  <c r="AV42" i="4"/>
  <c r="AX42" i="4"/>
  <c r="AW42" i="4"/>
  <c r="AX47" i="4"/>
  <c r="AW37" i="4"/>
  <c r="AW46" i="4"/>
  <c r="AV46" i="4"/>
  <c r="AX46" i="4"/>
  <c r="AW41" i="4"/>
  <c r="AW45" i="4"/>
  <c r="AV45" i="4"/>
  <c r="AX45" i="4"/>
  <c r="AV38" i="4"/>
  <c r="AV29" i="4"/>
  <c r="AV30" i="4"/>
  <c r="AW34" i="4"/>
  <c r="AW38" i="4"/>
  <c r="AW28" i="4"/>
  <c r="AW29" i="4"/>
  <c r="AW30" i="4"/>
  <c r="AV31" i="4"/>
  <c r="AX34" i="4"/>
  <c r="AV35" i="4"/>
  <c r="AX38" i="4"/>
  <c r="AV39" i="4"/>
  <c r="AV43" i="4"/>
  <c r="AV47" i="4"/>
  <c r="AX28" i="4"/>
  <c r="AX29" i="4"/>
  <c r="AX30" i="4"/>
  <c r="AW31" i="4"/>
  <c r="AW35" i="4"/>
  <c r="AW39" i="4"/>
  <c r="AW43" i="4"/>
  <c r="AW47" i="4"/>
  <c r="AX31" i="4"/>
  <c r="AV32" i="4"/>
  <c r="AX35" i="4"/>
  <c r="AV36" i="4"/>
  <c r="AX39" i="4"/>
  <c r="AV40" i="4"/>
  <c r="AX41" i="4"/>
  <c r="AW32" i="4"/>
  <c r="AW36" i="4"/>
  <c r="AW40" i="4"/>
  <c r="AV34" i="4"/>
  <c r="AX37" i="4"/>
  <c r="AX32" i="4"/>
  <c r="AV33" i="4"/>
  <c r="AX36" i="4"/>
  <c r="AV37" i="4"/>
  <c r="AV41" i="4"/>
  <c r="AX33" i="4"/>
  <c r="AV28" i="4"/>
  <c r="AW33" i="4"/>
  <c r="N11" i="12"/>
  <c r="L6" i="12"/>
  <c r="M6" i="12"/>
  <c r="N6" i="12" s="1"/>
  <c r="L8" i="12"/>
  <c r="M8" i="12"/>
  <c r="L10" i="12"/>
  <c r="M10" i="12"/>
  <c r="L13" i="12"/>
  <c r="M13" i="12"/>
  <c r="M12" i="12"/>
  <c r="N12" i="12" s="1"/>
  <c r="L9" i="12"/>
  <c r="M9" i="12"/>
  <c r="L12" i="12"/>
  <c r="L7" i="12"/>
  <c r="L11" i="12"/>
  <c r="L5" i="12"/>
  <c r="Y52" i="22"/>
  <c r="AA52" i="22" s="1"/>
  <c r="M49" i="22"/>
  <c r="Y66" i="22"/>
  <c r="AA66" i="22" s="1"/>
  <c r="M64" i="22"/>
  <c r="V53" i="22"/>
  <c r="Y23" i="22"/>
  <c r="AA23" i="22" s="1"/>
  <c r="M19" i="22"/>
  <c r="Y4" i="22"/>
  <c r="X53" i="22"/>
  <c r="X67" i="22"/>
  <c r="U45" i="22"/>
  <c r="P67" i="22"/>
  <c r="R68" i="22"/>
  <c r="T58" i="22"/>
  <c r="P71" i="22"/>
  <c r="P65" i="22"/>
  <c r="X64" i="22"/>
  <c r="V34" i="22"/>
  <c r="X65" i="22"/>
  <c r="X66" i="22"/>
  <c r="P64" i="22"/>
  <c r="V35" i="22"/>
  <c r="V37" i="22"/>
  <c r="S19" i="22"/>
  <c r="T36" i="22"/>
  <c r="V72" i="22"/>
  <c r="W71" i="22"/>
  <c r="T37" i="22"/>
  <c r="T34" i="22"/>
  <c r="V65" i="22"/>
  <c r="Y49" i="22"/>
  <c r="AA49" i="22" s="1"/>
  <c r="R24" i="22"/>
  <c r="Y64" i="22"/>
  <c r="AA64" i="22" s="1"/>
  <c r="Q65" i="22"/>
  <c r="W35" i="22"/>
  <c r="W36" i="22"/>
  <c r="S27" i="22"/>
  <c r="Q60" i="22"/>
  <c r="Y60" i="22"/>
  <c r="P34" i="22"/>
  <c r="Q66" i="22"/>
  <c r="V26" i="22"/>
  <c r="V19" i="22"/>
  <c r="Q64" i="22"/>
  <c r="V20" i="22"/>
  <c r="Y65" i="22"/>
  <c r="AA65" i="22" s="1"/>
  <c r="U22" i="22"/>
  <c r="S50" i="22"/>
  <c r="U21" i="22"/>
  <c r="X38" i="22"/>
  <c r="P23" i="22"/>
  <c r="X20" i="22"/>
  <c r="V55" i="22"/>
  <c r="U19" i="22"/>
  <c r="X34" i="22"/>
  <c r="S51" i="22"/>
  <c r="U20" i="22"/>
  <c r="U41" i="22"/>
  <c r="P45" i="22"/>
  <c r="S49" i="22"/>
  <c r="P25" i="22"/>
  <c r="W49" i="22"/>
  <c r="U65" i="22"/>
  <c r="T67" i="22"/>
  <c r="R38" i="22"/>
  <c r="P70" i="22"/>
  <c r="X74" i="22"/>
  <c r="V41" i="22"/>
  <c r="R39" i="22"/>
  <c r="V9" i="22"/>
  <c r="X51" i="22"/>
  <c r="R36" i="22"/>
  <c r="Y22" i="22"/>
  <c r="AA22" i="22" s="1"/>
  <c r="S39" i="22"/>
  <c r="U40" i="22"/>
  <c r="Q71" i="22"/>
  <c r="Y73" i="22"/>
  <c r="AA73" i="22" s="1"/>
  <c r="W39" i="22"/>
  <c r="U25" i="22"/>
  <c r="S59" i="22"/>
  <c r="P7" i="22"/>
  <c r="V50" i="22"/>
  <c r="Q52" i="22"/>
  <c r="X23" i="22"/>
  <c r="Y27" i="22"/>
  <c r="AA27" i="22" s="1"/>
  <c r="W24" i="22"/>
  <c r="U55" i="22"/>
  <c r="V25" i="22"/>
  <c r="T56" i="22"/>
  <c r="Y19" i="22"/>
  <c r="AA19" i="22" s="1"/>
  <c r="R34" i="22"/>
  <c r="V5" i="22"/>
  <c r="X7" i="22"/>
  <c r="S52" i="22"/>
  <c r="S70" i="22"/>
  <c r="Q42" i="22"/>
  <c r="Y39" i="22"/>
  <c r="AA39" i="22" s="1"/>
  <c r="X25" i="22"/>
  <c r="V60" i="22"/>
  <c r="W54" i="22"/>
  <c r="T72" i="22"/>
  <c r="Y30" i="22"/>
  <c r="Q19" i="22"/>
  <c r="S35" i="22"/>
  <c r="R41" i="22"/>
  <c r="V71" i="22"/>
  <c r="T40" i="22"/>
  <c r="X56" i="22"/>
  <c r="T64" i="22"/>
  <c r="Q25" i="22"/>
  <c r="Q22" i="22"/>
  <c r="T65" i="22"/>
  <c r="X54" i="22"/>
  <c r="F51" i="7"/>
  <c r="D29" i="7"/>
  <c r="D36" i="7" s="1"/>
  <c r="D59" i="7" s="1"/>
  <c r="S34" i="22"/>
  <c r="P10" i="22"/>
  <c r="X10" i="22"/>
  <c r="S20" i="22"/>
  <c r="R50" i="22"/>
  <c r="S9" i="22"/>
  <c r="V6" i="22"/>
  <c r="Q51" i="22"/>
  <c r="V11" i="22"/>
  <c r="S22" i="22"/>
  <c r="U67" i="22"/>
  <c r="U37" i="22"/>
  <c r="Q23" i="22"/>
  <c r="R53" i="22"/>
  <c r="V68" i="22"/>
  <c r="X24" i="22"/>
  <c r="T69" i="22"/>
  <c r="Q56" i="22"/>
  <c r="V57" i="22"/>
  <c r="S28" i="22"/>
  <c r="R43" i="22"/>
  <c r="Q30" i="22"/>
  <c r="T45" i="22"/>
  <c r="R74" i="22"/>
  <c r="P43" i="22"/>
  <c r="X43" i="22"/>
  <c r="V30" i="22"/>
  <c r="T60" i="22"/>
  <c r="S4" i="22"/>
  <c r="T19" i="22"/>
  <c r="R49" i="22"/>
  <c r="W64" i="22"/>
  <c r="Q10" i="22"/>
  <c r="T20" i="22"/>
  <c r="R51" i="22"/>
  <c r="T22" i="22"/>
  <c r="W52" i="22"/>
  <c r="R23" i="22"/>
  <c r="U53" i="22"/>
  <c r="W68" i="22"/>
  <c r="P12" i="22"/>
  <c r="X12" i="22"/>
  <c r="P54" i="22"/>
  <c r="U69" i="22"/>
  <c r="Y25" i="22"/>
  <c r="AA25" i="22" s="1"/>
  <c r="W70" i="22"/>
  <c r="S56" i="22"/>
  <c r="X71" i="22"/>
  <c r="W57" i="22"/>
  <c r="S42" i="22"/>
  <c r="W28" i="22"/>
  <c r="V43" i="22"/>
  <c r="S73" i="22"/>
  <c r="Q38" i="22"/>
  <c r="Y38" i="22"/>
  <c r="AA38" i="22" s="1"/>
  <c r="W30" i="22"/>
  <c r="U59" i="22"/>
  <c r="T13" i="22"/>
  <c r="U34" i="22"/>
  <c r="R5" i="22"/>
  <c r="T50" i="22"/>
  <c r="R65" i="22"/>
  <c r="P35" i="22"/>
  <c r="X35" i="22"/>
  <c r="R21" i="22"/>
  <c r="U66" i="22"/>
  <c r="S36" i="22"/>
  <c r="X52" i="22"/>
  <c r="W67" i="22"/>
  <c r="X37" i="22"/>
  <c r="S23" i="22"/>
  <c r="P38" i="22"/>
  <c r="T54" i="22"/>
  <c r="Y69" i="22"/>
  <c r="AA69" i="22" s="1"/>
  <c r="R55" i="22"/>
  <c r="X70" i="22"/>
  <c r="Y71" i="22"/>
  <c r="AA71" i="22" s="1"/>
  <c r="R27" i="22"/>
  <c r="Y57" i="22"/>
  <c r="AA57" i="22" s="1"/>
  <c r="T42" i="22"/>
  <c r="P58" i="22"/>
  <c r="Q28" i="22"/>
  <c r="Y28" i="22"/>
  <c r="AA28" i="22" s="1"/>
  <c r="W53" i="22"/>
  <c r="T68" i="22"/>
  <c r="R42" i="22"/>
  <c r="P29" i="22"/>
  <c r="X29" i="22"/>
  <c r="V58" i="22"/>
  <c r="W4" i="22"/>
  <c r="S26" i="22"/>
  <c r="T27" i="22"/>
  <c r="R60" i="22"/>
  <c r="U72" i="22"/>
  <c r="S45" i="22"/>
  <c r="U8" i="22"/>
  <c r="S10" i="22"/>
  <c r="T23" i="22"/>
  <c r="V12" i="22"/>
  <c r="W19" i="22"/>
  <c r="U49" i="22"/>
  <c r="R64" i="22"/>
  <c r="W5" i="22"/>
  <c r="W20" i="22"/>
  <c r="W7" i="22"/>
  <c r="T21" i="22"/>
  <c r="W51" i="22"/>
  <c r="W66" i="22"/>
  <c r="U36" i="22"/>
  <c r="P52" i="22"/>
  <c r="P37" i="22"/>
  <c r="Y53" i="22"/>
  <c r="AA53" i="22" s="1"/>
  <c r="S38" i="22"/>
  <c r="P24" i="22"/>
  <c r="T26" i="22"/>
  <c r="Y56" i="22"/>
  <c r="AA56" i="22" s="1"/>
  <c r="S41" i="22"/>
  <c r="U27" i="22"/>
  <c r="X58" i="22"/>
  <c r="R29" i="22"/>
  <c r="U44" i="22"/>
  <c r="V75" i="22"/>
  <c r="T41" i="22"/>
  <c r="R26" i="22"/>
  <c r="P57" i="22"/>
  <c r="X57" i="22"/>
  <c r="P11" i="22"/>
  <c r="X11" i="22"/>
  <c r="Q20" i="22"/>
  <c r="P50" i="22"/>
  <c r="X50" i="22"/>
  <c r="V21" i="22"/>
  <c r="Y51" i="22"/>
  <c r="AA51" i="22" s="1"/>
  <c r="R52" i="22"/>
  <c r="W8" i="22"/>
  <c r="P53" i="22"/>
  <c r="U38" i="22"/>
  <c r="S24" i="22"/>
  <c r="Q69" i="22"/>
  <c r="V39" i="22"/>
  <c r="W40" i="22"/>
  <c r="W26" i="22"/>
  <c r="Q57" i="22"/>
  <c r="W72" i="22"/>
  <c r="V13" i="22"/>
  <c r="U73" i="22"/>
  <c r="W75" i="22"/>
  <c r="R19" i="22"/>
  <c r="P49" i="22"/>
  <c r="U64" i="22"/>
  <c r="R20" i="22"/>
  <c r="Q50" i="22"/>
  <c r="Y50" i="22"/>
  <c r="AA50" i="22" s="1"/>
  <c r="W65" i="22"/>
  <c r="U35" i="22"/>
  <c r="Q6" i="22"/>
  <c r="P51" i="22"/>
  <c r="P36" i="22"/>
  <c r="X36" i="22"/>
  <c r="R22" i="22"/>
  <c r="Q53" i="22"/>
  <c r="U68" i="22"/>
  <c r="W38" i="22"/>
  <c r="R69" i="22"/>
  <c r="R57" i="22"/>
  <c r="P42" i="22"/>
  <c r="W59" i="22"/>
  <c r="Q75" i="22"/>
  <c r="Y75" i="22"/>
  <c r="W44" i="22"/>
  <c r="U26" i="22"/>
  <c r="S60" i="22"/>
  <c r="P75" i="22"/>
  <c r="X75" i="22"/>
  <c r="H14" i="12" s="1"/>
  <c r="I14" i="12" s="1"/>
  <c r="V45" i="22"/>
  <c r="R4" i="22"/>
  <c r="P6" i="22"/>
  <c r="X6" i="22"/>
  <c r="V8" i="22"/>
  <c r="U9" i="22"/>
  <c r="Y11" i="22"/>
  <c r="W12" i="22"/>
  <c r="U13" i="22"/>
  <c r="W58" i="22"/>
  <c r="T73" i="22"/>
  <c r="Q43" i="22"/>
  <c r="Y43" i="22"/>
  <c r="AA43" i="22" s="1"/>
  <c r="Q29" i="22"/>
  <c r="Y29" i="22"/>
  <c r="AA29" i="22" s="1"/>
  <c r="V59" i="22"/>
  <c r="S74" i="22"/>
  <c r="P44" i="22"/>
  <c r="X44" i="22"/>
  <c r="S15" i="22"/>
  <c r="P30" i="22"/>
  <c r="X30" i="22"/>
  <c r="B14" i="12" s="1"/>
  <c r="C14" i="12" s="1"/>
  <c r="U60" i="22"/>
  <c r="R75" i="22"/>
  <c r="W45" i="22"/>
  <c r="U14" i="22"/>
  <c r="X45" i="22"/>
  <c r="D14" i="12" s="1"/>
  <c r="E14" i="12" s="1"/>
  <c r="T4" i="22"/>
  <c r="S5" i="22"/>
  <c r="R6" i="22"/>
  <c r="W21" i="22"/>
  <c r="V22" i="22"/>
  <c r="P8" i="22"/>
  <c r="X8" i="22"/>
  <c r="U23" i="22"/>
  <c r="W9" i="22"/>
  <c r="T24" i="22"/>
  <c r="Q54" i="22"/>
  <c r="Y54" i="22"/>
  <c r="AA54" i="22" s="1"/>
  <c r="V69" i="22"/>
  <c r="U10" i="22"/>
  <c r="R25" i="22"/>
  <c r="W55" i="22"/>
  <c r="T70" i="22"/>
  <c r="Q40" i="22"/>
  <c r="Y40" i="22"/>
  <c r="AA40" i="22" s="1"/>
  <c r="P26" i="22"/>
  <c r="X26" i="22"/>
  <c r="U56" i="22"/>
  <c r="R71" i="22"/>
  <c r="W41" i="22"/>
  <c r="V27" i="22"/>
  <c r="S57" i="22"/>
  <c r="P72" i="22"/>
  <c r="X72" i="22"/>
  <c r="U42" i="22"/>
  <c r="W13" i="22"/>
  <c r="T28" i="22"/>
  <c r="Q58" i="22"/>
  <c r="Y58" i="22"/>
  <c r="AA58" i="22" s="1"/>
  <c r="V73" i="22"/>
  <c r="S43" i="22"/>
  <c r="V14" i="22"/>
  <c r="S29" i="22"/>
  <c r="P59" i="22"/>
  <c r="X59" i="22"/>
  <c r="U74" i="22"/>
  <c r="R44" i="22"/>
  <c r="U15" i="22"/>
  <c r="R30" i="22"/>
  <c r="W60" i="22"/>
  <c r="T75" i="22"/>
  <c r="Q45" i="22"/>
  <c r="Y45" i="22"/>
  <c r="U4" i="22"/>
  <c r="Y20" i="22"/>
  <c r="AA20" i="22" s="1"/>
  <c r="S6" i="22"/>
  <c r="P21" i="22"/>
  <c r="X21" i="22"/>
  <c r="U51" i="22"/>
  <c r="R66" i="22"/>
  <c r="R7" i="22"/>
  <c r="W22" i="22"/>
  <c r="T52" i="22"/>
  <c r="Q67" i="22"/>
  <c r="Y67" i="22"/>
  <c r="AA67" i="22" s="1"/>
  <c r="Q8" i="22"/>
  <c r="V23" i="22"/>
  <c r="S53" i="22"/>
  <c r="P68" i="22"/>
  <c r="X68" i="22"/>
  <c r="P9" i="22"/>
  <c r="X9" i="22"/>
  <c r="U24" i="22"/>
  <c r="R54" i="22"/>
  <c r="W69" i="22"/>
  <c r="T39" i="22"/>
  <c r="V10" i="22"/>
  <c r="S25" i="22"/>
  <c r="P55" i="22"/>
  <c r="X55" i="22"/>
  <c r="U70" i="22"/>
  <c r="R40" i="22"/>
  <c r="Q26" i="22"/>
  <c r="Y26" i="22"/>
  <c r="AA26" i="22" s="1"/>
  <c r="V56" i="22"/>
  <c r="S71" i="22"/>
  <c r="P41" i="22"/>
  <c r="X41" i="22"/>
  <c r="R12" i="22"/>
  <c r="W27" i="22"/>
  <c r="T57" i="22"/>
  <c r="Q72" i="22"/>
  <c r="Y72" i="22"/>
  <c r="AA72" i="22" s="1"/>
  <c r="V42" i="22"/>
  <c r="P13" i="22"/>
  <c r="U28" i="22"/>
  <c r="R58" i="22"/>
  <c r="W73" i="22"/>
  <c r="T43" i="22"/>
  <c r="T29" i="22"/>
  <c r="Q59" i="22"/>
  <c r="Y59" i="22"/>
  <c r="AA59" i="22" s="1"/>
  <c r="V74" i="22"/>
  <c r="S44" i="22"/>
  <c r="V15" i="22"/>
  <c r="S30" i="22"/>
  <c r="P60" i="22"/>
  <c r="X60" i="22"/>
  <c r="F14" i="12" s="1"/>
  <c r="G14" i="12" s="1"/>
  <c r="U75" i="22"/>
  <c r="R45" i="22"/>
  <c r="U5" i="22"/>
  <c r="T6" i="22"/>
  <c r="Q21" i="22"/>
  <c r="Y21" i="22"/>
  <c r="AA21" i="22" s="1"/>
  <c r="V51" i="22"/>
  <c r="S66" i="22"/>
  <c r="S7" i="22"/>
  <c r="P22" i="22"/>
  <c r="X22" i="22"/>
  <c r="U52" i="22"/>
  <c r="R67" i="22"/>
  <c r="W37" i="22"/>
  <c r="R8" i="22"/>
  <c r="W23" i="22"/>
  <c r="T53" i="22"/>
  <c r="Q68" i="22"/>
  <c r="Y68" i="22"/>
  <c r="AA68" i="22" s="1"/>
  <c r="V38" i="22"/>
  <c r="Q9" i="22"/>
  <c r="V24" i="22"/>
  <c r="S54" i="22"/>
  <c r="P69" i="22"/>
  <c r="X69" i="22"/>
  <c r="U39" i="22"/>
  <c r="W10" i="22"/>
  <c r="T25" i="22"/>
  <c r="Q55" i="22"/>
  <c r="Y55" i="22"/>
  <c r="AA55" i="22" s="1"/>
  <c r="V70" i="22"/>
  <c r="S40" i="22"/>
  <c r="U11" i="22"/>
  <c r="W56" i="22"/>
  <c r="T71" i="22"/>
  <c r="Q41" i="22"/>
  <c r="Y41" i="22"/>
  <c r="AA41" i="22" s="1"/>
  <c r="P27" i="22"/>
  <c r="X27" i="22"/>
  <c r="U57" i="22"/>
  <c r="R72" i="22"/>
  <c r="W42" i="22"/>
  <c r="Y13" i="22"/>
  <c r="V28" i="22"/>
  <c r="S58" i="22"/>
  <c r="P73" i="22"/>
  <c r="X73" i="22"/>
  <c r="U43" i="22"/>
  <c r="P14" i="22"/>
  <c r="X14" i="22"/>
  <c r="U29" i="22"/>
  <c r="R59" i="22"/>
  <c r="W74" i="22"/>
  <c r="T44" i="22"/>
  <c r="W15" i="22"/>
  <c r="U6" i="22"/>
  <c r="T7" i="22"/>
  <c r="S8" i="22"/>
  <c r="R9" i="22"/>
  <c r="P15" i="22"/>
  <c r="U7" i="22"/>
  <c r="U12" i="22"/>
  <c r="Y42" i="22"/>
  <c r="AA42" i="22" s="1"/>
  <c r="S13" i="22"/>
  <c r="P28" i="22"/>
  <c r="X28" i="22"/>
  <c r="U58" i="22"/>
  <c r="R73" i="22"/>
  <c r="W43" i="22"/>
  <c r="W29" i="22"/>
  <c r="T59" i="22"/>
  <c r="Q74" i="22"/>
  <c r="Y74" i="22"/>
  <c r="AA74" i="22" s="1"/>
  <c r="V44" i="22"/>
  <c r="P5" i="22"/>
  <c r="X5" i="22"/>
  <c r="V7" i="22"/>
  <c r="R37" i="22"/>
  <c r="T9" i="22"/>
  <c r="Q24" i="22"/>
  <c r="Y24" i="22"/>
  <c r="AA24" i="22" s="1"/>
  <c r="V54" i="22"/>
  <c r="S69" i="22"/>
  <c r="P39" i="22"/>
  <c r="X39" i="22"/>
  <c r="R10" i="22"/>
  <c r="W25" i="22"/>
  <c r="T55" i="22"/>
  <c r="Q70" i="22"/>
  <c r="Y70" i="22"/>
  <c r="AA70" i="22" s="1"/>
  <c r="V40" i="22"/>
  <c r="V9" i="29"/>
  <c r="A85" i="29" s="1"/>
  <c r="V26" i="29" s="1"/>
  <c r="C19" i="30" s="1"/>
  <c r="F11" i="7"/>
  <c r="G10" i="7" s="1"/>
  <c r="E48" i="7"/>
  <c r="D58" i="7"/>
  <c r="C48" i="7"/>
  <c r="F43" i="7"/>
  <c r="F45" i="7"/>
  <c r="F50" i="7"/>
  <c r="F55" i="7"/>
  <c r="B29" i="7"/>
  <c r="B36" i="7" s="1"/>
  <c r="F52" i="7"/>
  <c r="F49" i="7"/>
  <c r="F58" i="7"/>
  <c r="F44" i="7"/>
  <c r="F46" i="7"/>
  <c r="BU124" i="13"/>
  <c r="BU125" i="13"/>
  <c r="BP126" i="13"/>
  <c r="BU126" i="13"/>
  <c r="B9" i="15"/>
  <c r="D11" i="15" s="1"/>
  <c r="E11" i="15" s="1"/>
  <c r="I19" i="16"/>
  <c r="J19" i="16" s="1"/>
  <c r="BP125" i="13"/>
  <c r="G17" i="15"/>
  <c r="I19" i="15" s="1"/>
  <c r="J19" i="15" s="1"/>
  <c r="AA101" i="29"/>
  <c r="AA102" i="29" s="1"/>
  <c r="X121" i="29"/>
  <c r="X117" i="29"/>
  <c r="Y117" i="29" s="1"/>
  <c r="Y118" i="29" s="1"/>
  <c r="AA115" i="29"/>
  <c r="AA116" i="29" s="1"/>
  <c r="AD121" i="29"/>
  <c r="AD113" i="29"/>
  <c r="AD114" i="29" s="1"/>
  <c r="AC112" i="29"/>
  <c r="Z114" i="29"/>
  <c r="AA119" i="29"/>
  <c r="AA107" i="29"/>
  <c r="X113" i="29"/>
  <c r="X114" i="29" s="1"/>
  <c r="X101" i="29"/>
  <c r="X102" i="29" s="1"/>
  <c r="Y8" i="29"/>
  <c r="W116" i="29"/>
  <c r="X4" i="29"/>
  <c r="AE69" i="29"/>
  <c r="AE70" i="29" s="1"/>
  <c r="AA69" i="29"/>
  <c r="AB69" i="29" s="1"/>
  <c r="AB70" i="29" s="1"/>
  <c r="AA65" i="29"/>
  <c r="AB65" i="29" s="1"/>
  <c r="AB66" i="29" s="1"/>
  <c r="AD65" i="29"/>
  <c r="AD66" i="29" s="1"/>
  <c r="Z56" i="29"/>
  <c r="W52" i="29"/>
  <c r="AB55" i="29"/>
  <c r="AB56" i="29" s="1"/>
  <c r="AA56" i="29"/>
  <c r="AD49" i="29"/>
  <c r="X55" i="29"/>
  <c r="X56" i="29" s="1"/>
  <c r="X52" i="29"/>
  <c r="AD35" i="29"/>
  <c r="AD36" i="29" s="1"/>
  <c r="AD41" i="29"/>
  <c r="W38" i="29"/>
  <c r="AE91" i="29"/>
  <c r="AE92" i="29" s="1"/>
  <c r="AA85" i="29"/>
  <c r="AA86" i="29" s="1"/>
  <c r="AB83" i="29"/>
  <c r="AB84" i="29" s="1"/>
  <c r="X85" i="29"/>
  <c r="Y85" i="29" s="1"/>
  <c r="Y86" i="29" s="1"/>
  <c r="Q22" i="2"/>
  <c r="Q19" i="2"/>
  <c r="Q10" i="2"/>
  <c r="CE21" i="29"/>
  <c r="CQ21" i="29"/>
  <c r="EA21" i="29"/>
  <c r="AI21" i="29"/>
  <c r="AU21" i="29"/>
  <c r="Q16" i="2"/>
  <c r="Q13" i="2"/>
  <c r="AA40" i="29"/>
  <c r="AB39" i="29"/>
  <c r="AB40" i="29" s="1"/>
  <c r="Z40" i="29"/>
  <c r="AF144" i="29"/>
  <c r="Z126" i="29"/>
  <c r="AE39" i="29"/>
  <c r="AD40" i="29"/>
  <c r="AE55" i="29"/>
  <c r="AD56" i="29"/>
  <c r="Y37" i="29"/>
  <c r="Y38" i="29" s="1"/>
  <c r="X38" i="29"/>
  <c r="X34" i="29" s="1"/>
  <c r="AB51" i="29"/>
  <c r="AB52" i="29" s="1"/>
  <c r="AA52" i="29"/>
  <c r="AB37" i="29"/>
  <c r="AB38" i="29" s="1"/>
  <c r="AA38" i="29"/>
  <c r="Y49" i="29"/>
  <c r="Y50" i="29" s="1"/>
  <c r="X50" i="29"/>
  <c r="AA5" i="29"/>
  <c r="Z4" i="29"/>
  <c r="Z3" i="29" s="1"/>
  <c r="Y35" i="29"/>
  <c r="Y36" i="29" s="1"/>
  <c r="X36" i="29"/>
  <c r="Y41" i="29"/>
  <c r="Y42" i="29" s="1"/>
  <c r="X42" i="29"/>
  <c r="Y4" i="29"/>
  <c r="AI20" i="29"/>
  <c r="EA20" i="29"/>
  <c r="DC21" i="29"/>
  <c r="BG24" i="29"/>
  <c r="AA35" i="29"/>
  <c r="AD37" i="29"/>
  <c r="Y39" i="29"/>
  <c r="Y40" i="29" s="1"/>
  <c r="AA41" i="29"/>
  <c r="AA49" i="29"/>
  <c r="AD51" i="29"/>
  <c r="Z106" i="29"/>
  <c r="AA105" i="29"/>
  <c r="AB109" i="29"/>
  <c r="AB110" i="29" s="1"/>
  <c r="Y111" i="29"/>
  <c r="Y112" i="29" s="1"/>
  <c r="AC120" i="29"/>
  <c r="AD119" i="29"/>
  <c r="Y101" i="29"/>
  <c r="Y102" i="29" s="1"/>
  <c r="V15" i="29"/>
  <c r="C24" i="30" s="1"/>
  <c r="AU20" i="29"/>
  <c r="BS24" i="29"/>
  <c r="W36" i="29"/>
  <c r="Z38" i="29"/>
  <c r="W50" i="29"/>
  <c r="Z52" i="29"/>
  <c r="AC56" i="29"/>
  <c r="AC48" i="29" s="1"/>
  <c r="AB103" i="29"/>
  <c r="AB104" i="29" s="1"/>
  <c r="AA104" i="29"/>
  <c r="Z122" i="29"/>
  <c r="AA121" i="29"/>
  <c r="BG20" i="29"/>
  <c r="CE24" i="29"/>
  <c r="AC40" i="29"/>
  <c r="AC34" i="29" s="1"/>
  <c r="W42" i="29"/>
  <c r="AA63" i="29"/>
  <c r="AA64" i="29" s="1"/>
  <c r="W82" i="29"/>
  <c r="X81" i="29"/>
  <c r="AE101" i="29"/>
  <c r="AD102" i="29"/>
  <c r="AC104" i="29"/>
  <c r="AD103" i="29"/>
  <c r="AE107" i="29"/>
  <c r="AE111" i="29"/>
  <c r="AD112" i="29"/>
  <c r="AB113" i="29"/>
  <c r="AB114" i="29" s="1"/>
  <c r="AA114" i="29"/>
  <c r="Y115" i="29"/>
  <c r="Y116" i="29" s="1"/>
  <c r="X116" i="29"/>
  <c r="Y105" i="29"/>
  <c r="Y106" i="29" s="1"/>
  <c r="X106" i="29"/>
  <c r="BS20" i="29"/>
  <c r="Y79" i="29"/>
  <c r="Y80" i="29" s="1"/>
  <c r="X80" i="29"/>
  <c r="CE20" i="29"/>
  <c r="AB77" i="29"/>
  <c r="AB78" i="29" s="1"/>
  <c r="AA78" i="29"/>
  <c r="Z80" i="29"/>
  <c r="AA79" i="29"/>
  <c r="Y89" i="29"/>
  <c r="Y90" i="29" s="1"/>
  <c r="X90" i="29"/>
  <c r="W92" i="29"/>
  <c r="X91" i="29"/>
  <c r="DO20" i="29"/>
  <c r="CQ20" i="29"/>
  <c r="Y67" i="29"/>
  <c r="Y68" i="29" s="1"/>
  <c r="X68" i="29"/>
  <c r="W70" i="29"/>
  <c r="X69" i="29"/>
  <c r="AC78" i="29"/>
  <c r="AD77" i="29"/>
  <c r="AE81" i="29"/>
  <c r="AB87" i="29"/>
  <c r="AB88" i="29" s="1"/>
  <c r="AA88" i="29"/>
  <c r="Z90" i="29"/>
  <c r="AA89" i="29"/>
  <c r="AB93" i="29"/>
  <c r="AB94" i="29" s="1"/>
  <c r="Z68" i="29"/>
  <c r="AA67" i="29"/>
  <c r="AE85" i="29"/>
  <c r="AD86" i="29"/>
  <c r="AC88" i="29"/>
  <c r="AD87" i="29"/>
  <c r="W108" i="29"/>
  <c r="X107" i="29"/>
  <c r="AE117" i="29"/>
  <c r="AD118" i="29"/>
  <c r="W68" i="29"/>
  <c r="Z78" i="29"/>
  <c r="W80" i="29"/>
  <c r="AC86" i="29"/>
  <c r="Z88" i="29"/>
  <c r="W90" i="29"/>
  <c r="AC102" i="29"/>
  <c r="Z104" i="29"/>
  <c r="W106" i="29"/>
  <c r="AC118" i="29"/>
  <c r="X65" i="29"/>
  <c r="AC82" i="29"/>
  <c r="AD83" i="29"/>
  <c r="Z84" i="29"/>
  <c r="AC92" i="29"/>
  <c r="AD93" i="29"/>
  <c r="Z94" i="29"/>
  <c r="AC108" i="29"/>
  <c r="AD109" i="29"/>
  <c r="Z110" i="29"/>
  <c r="AA111" i="29"/>
  <c r="W112" i="29"/>
  <c r="AC70" i="29"/>
  <c r="X77" i="29"/>
  <c r="X87" i="29"/>
  <c r="X103" i="29"/>
  <c r="AD115" i="29"/>
  <c r="AA117" i="29"/>
  <c r="X119" i="29"/>
  <c r="AD63" i="29"/>
  <c r="AD64" i="29" s="1"/>
  <c r="AD67" i="29"/>
  <c r="AD79" i="29"/>
  <c r="AA81" i="29"/>
  <c r="X83" i="29"/>
  <c r="AD89" i="29"/>
  <c r="AA91" i="29"/>
  <c r="X93" i="29"/>
  <c r="AD105" i="29"/>
  <c r="X109" i="29"/>
  <c r="AH142" i="29"/>
  <c r="AI141" i="29"/>
  <c r="AF133" i="29"/>
  <c r="AE134" i="29"/>
  <c r="AG135" i="29"/>
  <c r="AF136" i="29"/>
  <c r="AF132" i="29"/>
  <c r="AG131" i="29"/>
  <c r="AG129" i="29"/>
  <c r="AF130" i="29"/>
  <c r="AG145" i="29"/>
  <c r="AF146" i="29"/>
  <c r="AH137" i="29"/>
  <c r="AG138" i="29"/>
  <c r="AF127" i="29"/>
  <c r="AE128" i="29"/>
  <c r="AF126" i="29" s="1"/>
  <c r="AF148" i="29"/>
  <c r="AG147" i="29"/>
  <c r="AH143" i="29"/>
  <c r="AG144" i="29"/>
  <c r="E58" i="7"/>
  <c r="E39" i="7"/>
  <c r="E57" i="7"/>
  <c r="C56" i="7"/>
  <c r="AU30" i="29"/>
  <c r="E26" i="30" s="1"/>
  <c r="AU31" i="29"/>
  <c r="AI32" i="29"/>
  <c r="D25" i="30" s="1"/>
  <c r="AJ54" i="29" l="1"/>
  <c r="AK53" i="29"/>
  <c r="CB67" i="13"/>
  <c r="Y5" i="22"/>
  <c r="BY135" i="13"/>
  <c r="Y8" i="22"/>
  <c r="BY118" i="13"/>
  <c r="AB77" i="26"/>
  <c r="AA79" i="26"/>
  <c r="AF77" i="26"/>
  <c r="X15" i="22"/>
  <c r="AC77" i="26"/>
  <c r="AE69" i="26"/>
  <c r="AD69" i="26"/>
  <c r="Y63" i="29"/>
  <c r="Y64" i="29" s="1"/>
  <c r="AJ149" i="29"/>
  <c r="AK149" i="29" s="1"/>
  <c r="BX101" i="13"/>
  <c r="CB57" i="13"/>
  <c r="X13" i="22"/>
  <c r="T10" i="22"/>
  <c r="T8" i="22"/>
  <c r="W6" i="22"/>
  <c r="CB59" i="13"/>
  <c r="CB56" i="13"/>
  <c r="BY96" i="13"/>
  <c r="CB92" i="13"/>
  <c r="BR107" i="13"/>
  <c r="CB61" i="13"/>
  <c r="CB54" i="13"/>
  <c r="S11" i="22"/>
  <c r="CB118" i="13"/>
  <c r="T14" i="22"/>
  <c r="R14" i="22"/>
  <c r="BR96" i="13"/>
  <c r="Y15" i="22"/>
  <c r="S12" i="22"/>
  <c r="W14" i="22"/>
  <c r="Q7" i="22"/>
  <c r="J136" i="22"/>
  <c r="BY134" i="13"/>
  <c r="C27" i="15" s="1"/>
  <c r="BX127" i="13"/>
  <c r="BX105" i="13"/>
  <c r="CB80" i="13"/>
  <c r="CB58" i="13"/>
  <c r="Y7" i="22"/>
  <c r="C11" i="15"/>
  <c r="Y14" i="22"/>
  <c r="Y9" i="22"/>
  <c r="Y12" i="22"/>
  <c r="Q5" i="22"/>
  <c r="BR120" i="13"/>
  <c r="R15" i="22"/>
  <c r="BX134" i="13"/>
  <c r="BX135" i="13"/>
  <c r="BR114" i="13"/>
  <c r="CB107" i="13"/>
  <c r="BR104" i="13"/>
  <c r="CB116" i="13"/>
  <c r="CB84" i="13"/>
  <c r="BY131" i="13"/>
  <c r="R13" i="22"/>
  <c r="BX122" i="13"/>
  <c r="BY109" i="13"/>
  <c r="BY114" i="13"/>
  <c r="BY92" i="13"/>
  <c r="BY102" i="13"/>
  <c r="BX93" i="13"/>
  <c r="BX98" i="13"/>
  <c r="S11" i="16"/>
  <c r="T11" i="16" s="1"/>
  <c r="BR122" i="13"/>
  <c r="BY126" i="13"/>
  <c r="Y6" i="22"/>
  <c r="CB112" i="13"/>
  <c r="BY108" i="13"/>
  <c r="BX92" i="13"/>
  <c r="H19" i="15"/>
  <c r="BX131" i="13"/>
  <c r="BX116" i="13"/>
  <c r="BX106" i="13"/>
  <c r="C19" i="16" s="1"/>
  <c r="CB95" i="13"/>
  <c r="BY93" i="13"/>
  <c r="Y10" i="22"/>
  <c r="BY106" i="13"/>
  <c r="C27" i="16" s="1"/>
  <c r="BX130" i="13"/>
  <c r="BR111" i="13"/>
  <c r="BX110" i="13"/>
  <c r="BR110" i="13"/>
  <c r="CB71" i="13"/>
  <c r="BY97" i="13"/>
  <c r="Q14" i="22"/>
  <c r="CB60" i="13"/>
  <c r="BX102" i="13"/>
  <c r="BR103" i="13"/>
  <c r="BY124" i="13"/>
  <c r="BX123" i="13"/>
  <c r="CB111" i="13"/>
  <c r="CB133" i="13"/>
  <c r="BX129" i="13"/>
  <c r="BY113" i="13"/>
  <c r="BY112" i="13"/>
  <c r="CB96" i="13"/>
  <c r="CB82" i="13"/>
  <c r="CB83" i="13"/>
  <c r="BR98" i="13"/>
  <c r="BY105" i="13"/>
  <c r="CB91" i="13"/>
  <c r="CB85" i="13"/>
  <c r="CB77" i="13"/>
  <c r="T15" i="22"/>
  <c r="BR118" i="13"/>
  <c r="BR119" i="13"/>
  <c r="D19" i="15"/>
  <c r="E19" i="15" s="1"/>
  <c r="BX128" i="13"/>
  <c r="BX124" i="13"/>
  <c r="CB115" i="13"/>
  <c r="BX112" i="13"/>
  <c r="CB114" i="13"/>
  <c r="BR109" i="13"/>
  <c r="BR108" i="13"/>
  <c r="BX120" i="13"/>
  <c r="CB128" i="13"/>
  <c r="BX111" i="13"/>
  <c r="BY99" i="13"/>
  <c r="CB81" i="13"/>
  <c r="BR101" i="13"/>
  <c r="CB89" i="13"/>
  <c r="CB86" i="13"/>
  <c r="CB63" i="13"/>
  <c r="D27" i="15"/>
  <c r="E27" i="15" s="1"/>
  <c r="BX121" i="13"/>
  <c r="BX126" i="13"/>
  <c r="BY128" i="13"/>
  <c r="CB125" i="13"/>
  <c r="Q13" i="22"/>
  <c r="BR125" i="13"/>
  <c r="BR136" i="13"/>
  <c r="BR117" i="13"/>
  <c r="BY129" i="13"/>
  <c r="CB120" i="13"/>
  <c r="BX133" i="13"/>
  <c r="CB100" i="13"/>
  <c r="BY136" i="13"/>
  <c r="BR106" i="13"/>
  <c r="R11" i="16" s="1"/>
  <c r="CB131" i="13"/>
  <c r="BY119" i="13"/>
  <c r="BY111" i="13"/>
  <c r="CB62" i="13"/>
  <c r="BX109" i="13"/>
  <c r="BR105" i="13"/>
  <c r="CB88" i="13"/>
  <c r="CB72" i="13"/>
  <c r="CB69" i="13"/>
  <c r="Q11" i="22"/>
  <c r="BR121" i="13"/>
  <c r="Q15" i="22"/>
  <c r="T11" i="22"/>
  <c r="AA45" i="22"/>
  <c r="D15" i="12"/>
  <c r="G89" i="22"/>
  <c r="G84" i="22"/>
  <c r="G80" i="22"/>
  <c r="G88" i="22"/>
  <c r="G90" i="22"/>
  <c r="G86" i="22"/>
  <c r="G83" i="22"/>
  <c r="G82" i="22"/>
  <c r="G81" i="22"/>
  <c r="G87" i="22"/>
  <c r="G85" i="22"/>
  <c r="G91" i="22"/>
  <c r="Q12" i="22"/>
  <c r="AA30" i="22"/>
  <c r="B15" i="12"/>
  <c r="D81" i="22"/>
  <c r="D82" i="22"/>
  <c r="D88" i="22"/>
  <c r="D90" i="22"/>
  <c r="D89" i="22"/>
  <c r="D86" i="22"/>
  <c r="D85" i="22"/>
  <c r="D87" i="22"/>
  <c r="D91" i="22"/>
  <c r="D83" i="22"/>
  <c r="D80" i="22"/>
  <c r="D84" i="22"/>
  <c r="BR123" i="13"/>
  <c r="BR134" i="13"/>
  <c r="BR116" i="13"/>
  <c r="BR115" i="13"/>
  <c r="BY133" i="13"/>
  <c r="BY125" i="13"/>
  <c r="CB129" i="13"/>
  <c r="CB134" i="13"/>
  <c r="CB132" i="13"/>
  <c r="CB119" i="13"/>
  <c r="CB109" i="13"/>
  <c r="BR132" i="13"/>
  <c r="BY121" i="13"/>
  <c r="BX132" i="13"/>
  <c r="BX100" i="13"/>
  <c r="BY122" i="13"/>
  <c r="B25" i="16"/>
  <c r="D27" i="16" s="1"/>
  <c r="E27" i="16" s="1"/>
  <c r="BY117" i="13"/>
  <c r="BR102" i="13"/>
  <c r="BY104" i="13"/>
  <c r="CB87" i="13"/>
  <c r="BX119" i="13"/>
  <c r="BY110" i="13"/>
  <c r="BY115" i="13"/>
  <c r="BY107" i="13"/>
  <c r="BY103" i="13"/>
  <c r="CB103" i="13"/>
  <c r="CB101" i="13"/>
  <c r="CB102" i="13"/>
  <c r="BX103" i="13"/>
  <c r="CB76" i="13"/>
  <c r="CB108" i="13"/>
  <c r="BX99" i="13"/>
  <c r="H37" i="15"/>
  <c r="M45" i="16"/>
  <c r="S39" i="15"/>
  <c r="R19" i="15"/>
  <c r="H45" i="16"/>
  <c r="Q39" i="15"/>
  <c r="H37" i="16"/>
  <c r="S29" i="15"/>
  <c r="C19" i="15"/>
  <c r="R19" i="16"/>
  <c r="H19" i="16"/>
  <c r="Q29" i="15"/>
  <c r="BY98" i="13"/>
  <c r="BY101" i="13"/>
  <c r="CB73" i="13"/>
  <c r="S11" i="15"/>
  <c r="T11" i="15" s="1"/>
  <c r="BR137" i="13"/>
  <c r="BR113" i="13"/>
  <c r="BY132" i="13"/>
  <c r="CB121" i="13"/>
  <c r="CB127" i="13"/>
  <c r="CB113" i="13"/>
  <c r="BY94" i="13"/>
  <c r="BY120" i="13"/>
  <c r="BY95" i="13"/>
  <c r="BX94" i="13"/>
  <c r="CB110" i="13"/>
  <c r="CB90" i="13"/>
  <c r="CB70" i="13"/>
  <c r="BX96" i="13"/>
  <c r="CB75" i="13"/>
  <c r="CB74" i="13"/>
  <c r="CB117" i="13"/>
  <c r="Q43" i="16"/>
  <c r="S45" i="16" s="1"/>
  <c r="T45" i="16" s="1"/>
  <c r="CB94" i="13"/>
  <c r="CB126" i="13"/>
  <c r="BR135" i="13"/>
  <c r="S45" i="15"/>
  <c r="T45" i="15" s="1"/>
  <c r="BX136" i="13"/>
  <c r="BX125" i="13"/>
  <c r="B17" i="16"/>
  <c r="D19" i="16" s="1"/>
  <c r="E19" i="16" s="1"/>
  <c r="BX117" i="13"/>
  <c r="BX114" i="13"/>
  <c r="BR112" i="13"/>
  <c r="CB93" i="13"/>
  <c r="BX115" i="13"/>
  <c r="BR133" i="13"/>
  <c r="BX104" i="13"/>
  <c r="BR97" i="13"/>
  <c r="BR95" i="13"/>
  <c r="BX97" i="13"/>
  <c r="BR99" i="13"/>
  <c r="CB105" i="13"/>
  <c r="CB106" i="13"/>
  <c r="R45" i="16" s="1"/>
  <c r="CB104" i="13"/>
  <c r="BX95" i="13"/>
  <c r="CB66" i="13"/>
  <c r="CB68" i="13"/>
  <c r="CB99" i="13"/>
  <c r="CB98" i="13"/>
  <c r="T12" i="22"/>
  <c r="AA75" i="22"/>
  <c r="H15" i="12"/>
  <c r="F81" i="22"/>
  <c r="F84" i="22"/>
  <c r="F90" i="22"/>
  <c r="F85" i="22"/>
  <c r="F91" i="22"/>
  <c r="F82" i="22"/>
  <c r="F83" i="22"/>
  <c r="F86" i="22"/>
  <c r="F88" i="22"/>
  <c r="F80" i="22"/>
  <c r="F89" i="22"/>
  <c r="F87" i="22"/>
  <c r="BY130" i="13"/>
  <c r="BY127" i="13"/>
  <c r="CB130" i="13"/>
  <c r="BX118" i="13"/>
  <c r="CB124" i="13"/>
  <c r="CB123" i="13"/>
  <c r="BX108" i="13"/>
  <c r="BX107" i="13"/>
  <c r="CB122" i="13"/>
  <c r="BX113" i="13"/>
  <c r="BR100" i="13"/>
  <c r="BY123" i="13"/>
  <c r="CB78" i="13"/>
  <c r="BY100" i="13"/>
  <c r="CB97" i="13"/>
  <c r="BR93" i="13"/>
  <c r="BY116" i="13"/>
  <c r="BR94" i="13"/>
  <c r="CB79" i="13"/>
  <c r="CB65" i="13"/>
  <c r="AI44" i="29"/>
  <c r="AJ43" i="29"/>
  <c r="AJ71" i="29"/>
  <c r="AI72" i="29"/>
  <c r="AJ123" i="29"/>
  <c r="AI124" i="29"/>
  <c r="AI58" i="29"/>
  <c r="AJ57" i="29"/>
  <c r="Y95" i="29"/>
  <c r="Y96" i="29" s="1"/>
  <c r="Y7" i="29" s="1"/>
  <c r="X96" i="29"/>
  <c r="X7" i="29" s="1"/>
  <c r="AF95" i="29"/>
  <c r="AE96" i="29"/>
  <c r="AE7" i="29" s="1"/>
  <c r="HY44" i="1"/>
  <c r="IE44" i="1" s="1"/>
  <c r="HY45" i="1"/>
  <c r="IE45" i="1" s="1"/>
  <c r="HZ44" i="1"/>
  <c r="IF44" i="1" s="1"/>
  <c r="HZ46" i="1"/>
  <c r="IF46" i="1" s="1"/>
  <c r="IA27" i="1"/>
  <c r="IG27" i="1" s="1"/>
  <c r="IA28" i="1"/>
  <c r="IG28" i="1" s="1"/>
  <c r="HY27" i="1"/>
  <c r="IE27" i="1" s="1"/>
  <c r="HZ34" i="1"/>
  <c r="IF34" i="1" s="1"/>
  <c r="HY41" i="1"/>
  <c r="IE41" i="1" s="1"/>
  <c r="HY48" i="1"/>
  <c r="IE48" i="1" s="1"/>
  <c r="IA29" i="1"/>
  <c r="IG29" i="1" s="1"/>
  <c r="AG140" i="29"/>
  <c r="BR124" i="13"/>
  <c r="J14" i="12"/>
  <c r="K14" i="12" s="1"/>
  <c r="AA60" i="22"/>
  <c r="F15" i="12"/>
  <c r="E80" i="22"/>
  <c r="E86" i="22"/>
  <c r="E83" i="22"/>
  <c r="E88" i="22"/>
  <c r="E87" i="22"/>
  <c r="E89" i="22"/>
  <c r="E85" i="22"/>
  <c r="E91" i="22"/>
  <c r="E90" i="22"/>
  <c r="E81" i="22"/>
  <c r="E84" i="22"/>
  <c r="E82" i="22"/>
  <c r="Z4" i="22"/>
  <c r="H80" i="22" s="1"/>
  <c r="Z11" i="22"/>
  <c r="H87" i="22" s="1"/>
  <c r="Z7" i="22"/>
  <c r="H83" i="22" s="1"/>
  <c r="Z6" i="22"/>
  <c r="H82" i="22" s="1"/>
  <c r="Z15" i="22"/>
  <c r="H91" i="22" s="1"/>
  <c r="Z12" i="22"/>
  <c r="H88" i="22" s="1"/>
  <c r="Z10" i="22"/>
  <c r="H86" i="22" s="1"/>
  <c r="Z14" i="22"/>
  <c r="H90" i="22" s="1"/>
  <c r="Z13" i="22"/>
  <c r="H89" i="22" s="1"/>
  <c r="Z5" i="22"/>
  <c r="H81" i="22" s="1"/>
  <c r="Z9" i="22"/>
  <c r="H85" i="22" s="1"/>
  <c r="Z8" i="22"/>
  <c r="H84" i="22" s="1"/>
  <c r="BR130" i="13"/>
  <c r="BR129" i="13"/>
  <c r="BR131" i="13"/>
  <c r="R11" i="15" s="1"/>
  <c r="BR128" i="13"/>
  <c r="BR127" i="13"/>
  <c r="BR126" i="13"/>
  <c r="C15" i="30"/>
  <c r="C14" i="30" s="1"/>
  <c r="B59" i="7"/>
  <c r="B39" i="7"/>
  <c r="F29" i="7"/>
  <c r="F36" i="7" s="1"/>
  <c r="F57" i="7" s="1"/>
  <c r="F54" i="7"/>
  <c r="HY36" i="1"/>
  <c r="IE36" i="1" s="1"/>
  <c r="IA44" i="1"/>
  <c r="IG44" i="1" s="1"/>
  <c r="HZ45" i="1"/>
  <c r="IF45" i="1" s="1"/>
  <c r="IA39" i="1"/>
  <c r="IG39" i="1" s="1"/>
  <c r="HZ43" i="1"/>
  <c r="IF43" i="1" s="1"/>
  <c r="HZ40" i="1"/>
  <c r="IF40" i="1" s="1"/>
  <c r="HZ47" i="1"/>
  <c r="IF47" i="1" s="1"/>
  <c r="HY31" i="1"/>
  <c r="IE31" i="1" s="1"/>
  <c r="HY37" i="1"/>
  <c r="IE37" i="1" s="1"/>
  <c r="HY38" i="1"/>
  <c r="IE38" i="1" s="1"/>
  <c r="IA36" i="1"/>
  <c r="IG36" i="1" s="1"/>
  <c r="IA38" i="1"/>
  <c r="IG38" i="1" s="1"/>
  <c r="IA43" i="1"/>
  <c r="IG43" i="1" s="1"/>
  <c r="IA47" i="1"/>
  <c r="IG47" i="1" s="1"/>
  <c r="IA35" i="1"/>
  <c r="IG35" i="1" s="1"/>
  <c r="HY46" i="1"/>
  <c r="IE46" i="1" s="1"/>
  <c r="IA45" i="1"/>
  <c r="IG45" i="1" s="1"/>
  <c r="HY40" i="1"/>
  <c r="IE40" i="1" s="1"/>
  <c r="IA33" i="1"/>
  <c r="IG33" i="1" s="1"/>
  <c r="IA34" i="1"/>
  <c r="IG34" i="1" s="1"/>
  <c r="HY34" i="1"/>
  <c r="IE34" i="1" s="1"/>
  <c r="HY35" i="1"/>
  <c r="IE35" i="1" s="1"/>
  <c r="ID26" i="1"/>
  <c r="HZ27" i="1"/>
  <c r="IF27" i="1" s="1"/>
  <c r="HZ30" i="1"/>
  <c r="IF30" i="1" s="1"/>
  <c r="HZ29" i="1"/>
  <c r="IF29" i="1" s="1"/>
  <c r="HZ28" i="1"/>
  <c r="IF28" i="1" s="1"/>
  <c r="HY26" i="1"/>
  <c r="IE26" i="1" s="1"/>
  <c r="HZ42" i="1"/>
  <c r="IF42" i="1" s="1"/>
  <c r="IA46" i="1"/>
  <c r="IG46" i="1" s="1"/>
  <c r="HZ32" i="1"/>
  <c r="IF32" i="1" s="1"/>
  <c r="HY33" i="1"/>
  <c r="IE33" i="1" s="1"/>
  <c r="IA48" i="1"/>
  <c r="IG48" i="1" s="1"/>
  <c r="IA40" i="1"/>
  <c r="IG40" i="1" s="1"/>
  <c r="HZ48" i="1"/>
  <c r="IF48" i="1" s="1"/>
  <c r="HY32" i="1"/>
  <c r="IE32" i="1" s="1"/>
  <c r="IA31" i="1"/>
  <c r="IG31" i="1" s="1"/>
  <c r="HZ31" i="1"/>
  <c r="IF31" i="1" s="1"/>
  <c r="HZ33" i="1"/>
  <c r="IF33" i="1" s="1"/>
  <c r="HY42" i="1"/>
  <c r="IE42" i="1" s="1"/>
  <c r="HZ38" i="1"/>
  <c r="IF38" i="1" s="1"/>
  <c r="HZ37" i="1"/>
  <c r="IF37" i="1" s="1"/>
  <c r="IA37" i="1"/>
  <c r="IG37" i="1" s="1"/>
  <c r="IA30" i="1"/>
  <c r="IG30" i="1" s="1"/>
  <c r="HY30" i="1"/>
  <c r="IE30" i="1" s="1"/>
  <c r="HZ39" i="1"/>
  <c r="IF39" i="1" s="1"/>
  <c r="HZ35" i="1"/>
  <c r="IF35" i="1" s="1"/>
  <c r="HY39" i="1"/>
  <c r="IE39" i="1" s="1"/>
  <c r="IA32" i="1"/>
  <c r="IG32" i="1" s="1"/>
  <c r="HZ36" i="1"/>
  <c r="IF36" i="1" s="1"/>
  <c r="IA42" i="1"/>
  <c r="IG42" i="1" s="1"/>
  <c r="HY43" i="1"/>
  <c r="IE43" i="1" s="1"/>
  <c r="IA41" i="1"/>
  <c r="IG41" i="1" s="1"/>
  <c r="HY47" i="1"/>
  <c r="IE47" i="1" s="1"/>
  <c r="HZ41" i="1"/>
  <c r="IF41" i="1" s="1"/>
  <c r="C59" i="7"/>
  <c r="C57" i="7"/>
  <c r="AB115" i="29"/>
  <c r="AB116" i="29" s="1"/>
  <c r="AE65" i="29"/>
  <c r="AF65" i="29" s="1"/>
  <c r="AD8" i="29"/>
  <c r="W34" i="29"/>
  <c r="X118" i="29"/>
  <c r="F86" i="26"/>
  <c r="F89" i="26"/>
  <c r="D86" i="26"/>
  <c r="D87" i="26"/>
  <c r="E87" i="26"/>
  <c r="E85" i="26"/>
  <c r="N86" i="26"/>
  <c r="E88" i="26"/>
  <c r="F85" i="26"/>
  <c r="K85" i="26"/>
  <c r="G86" i="26"/>
  <c r="P87" i="26"/>
  <c r="K87" i="26"/>
  <c r="K88" i="26"/>
  <c r="P86" i="26"/>
  <c r="D89" i="26"/>
  <c r="T6" i="24"/>
  <c r="K84" i="26"/>
  <c r="E84" i="26"/>
  <c r="P88" i="26"/>
  <c r="P84" i="26"/>
  <c r="G85" i="26"/>
  <c r="G89" i="26"/>
  <c r="D85" i="26"/>
  <c r="H86" i="26"/>
  <c r="P89" i="26"/>
  <c r="P85" i="26"/>
  <c r="K86" i="26"/>
  <c r="H89" i="26"/>
  <c r="H85" i="26"/>
  <c r="N89" i="26"/>
  <c r="N85" i="26"/>
  <c r="E86" i="26"/>
  <c r="D84" i="26"/>
  <c r="N84" i="26"/>
  <c r="D88" i="26"/>
  <c r="N87" i="26"/>
  <c r="N88" i="26"/>
  <c r="BE16" i="24"/>
  <c r="BD41" i="24" s="1"/>
  <c r="BE41" i="24" s="1"/>
  <c r="AU17" i="24"/>
  <c r="BB16" i="24"/>
  <c r="BB41" i="24" s="1"/>
  <c r="BC41" i="24" s="1"/>
  <c r="BA16" i="24"/>
  <c r="AP17" i="24"/>
  <c r="N13" i="12"/>
  <c r="N10" i="12"/>
  <c r="N8" i="12"/>
  <c r="X86" i="29"/>
  <c r="D57" i="7"/>
  <c r="AB101" i="29"/>
  <c r="AB102" i="29" s="1"/>
  <c r="X100" i="29"/>
  <c r="Y113" i="29"/>
  <c r="Y114" i="29" s="1"/>
  <c r="AA70" i="29"/>
  <c r="Y55" i="29"/>
  <c r="Y56" i="29" s="1"/>
  <c r="Y48" i="29" s="1"/>
  <c r="AE35" i="29"/>
  <c r="AF35" i="29" s="1"/>
  <c r="AG35" i="29" s="1"/>
  <c r="AG36" i="29" s="1"/>
  <c r="D39" i="7"/>
  <c r="AB85" i="29"/>
  <c r="AB86" i="29" s="1"/>
  <c r="AE113" i="29"/>
  <c r="AE114" i="29" s="1"/>
  <c r="AF91" i="29"/>
  <c r="AF92" i="29" s="1"/>
  <c r="AF69" i="29"/>
  <c r="AG69" i="29" s="1"/>
  <c r="Z48" i="29"/>
  <c r="N9" i="12"/>
  <c r="N7" i="12"/>
  <c r="V10" i="29"/>
  <c r="V13" i="29" s="1"/>
  <c r="F48" i="7"/>
  <c r="G35" i="7"/>
  <c r="B57" i="7"/>
  <c r="X8" i="29"/>
  <c r="AA100" i="29"/>
  <c r="X122" i="29"/>
  <c r="Y121" i="29"/>
  <c r="Y122" i="29" s="1"/>
  <c r="AB107" i="29"/>
  <c r="AB108" i="29" s="1"/>
  <c r="AA108" i="29"/>
  <c r="AB119" i="29"/>
  <c r="AB120" i="29" s="1"/>
  <c r="AA120" i="29"/>
  <c r="AE8" i="29"/>
  <c r="AE121" i="29"/>
  <c r="AD122" i="29"/>
  <c r="AA66" i="29"/>
  <c r="AC7" i="29"/>
  <c r="AC9" i="29"/>
  <c r="W48" i="29"/>
  <c r="X48" i="29"/>
  <c r="X9" i="29" s="1"/>
  <c r="AD50" i="29"/>
  <c r="AE49" i="29"/>
  <c r="AD42" i="29"/>
  <c r="AE41" i="29"/>
  <c r="Y34" i="29"/>
  <c r="AB7" i="29"/>
  <c r="W7" i="29"/>
  <c r="AA34" i="29"/>
  <c r="Z34" i="29"/>
  <c r="AB34" i="29"/>
  <c r="X120" i="29"/>
  <c r="Y119" i="29"/>
  <c r="Y120" i="29" s="1"/>
  <c r="AE105" i="29"/>
  <c r="AD106" i="29"/>
  <c r="AA42" i="29"/>
  <c r="AB41" i="29"/>
  <c r="AB42" i="29" s="1"/>
  <c r="AB81" i="29"/>
  <c r="AB82" i="29" s="1"/>
  <c r="AA82" i="29"/>
  <c r="AD116" i="29"/>
  <c r="AE115" i="29"/>
  <c r="AD94" i="29"/>
  <c r="AE93" i="29"/>
  <c r="X108" i="29"/>
  <c r="Y107" i="29"/>
  <c r="Y108" i="29" s="1"/>
  <c r="AE79" i="29"/>
  <c r="AD80" i="29"/>
  <c r="AA112" i="29"/>
  <c r="AB111" i="29"/>
  <c r="AB112" i="29" s="1"/>
  <c r="AD88" i="29"/>
  <c r="AE87" i="29"/>
  <c r="X92" i="29"/>
  <c r="Y91" i="29"/>
  <c r="Y92" i="29" s="1"/>
  <c r="AE102" i="29"/>
  <c r="AF101" i="29"/>
  <c r="AD38" i="29"/>
  <c r="AD34" i="29" s="1"/>
  <c r="AE37" i="29"/>
  <c r="AD78" i="29"/>
  <c r="AE77" i="29"/>
  <c r="AE67" i="29"/>
  <c r="AD68" i="29"/>
  <c r="X104" i="29"/>
  <c r="Y103" i="29"/>
  <c r="Y104" i="29" s="1"/>
  <c r="AA90" i="29"/>
  <c r="AB89" i="29"/>
  <c r="AB90" i="29" s="1"/>
  <c r="X70" i="29"/>
  <c r="Y69" i="29"/>
  <c r="Y70" i="29" s="1"/>
  <c r="X82" i="29"/>
  <c r="Y81" i="29"/>
  <c r="Y82" i="29" s="1"/>
  <c r="Z7" i="29"/>
  <c r="AA122" i="29"/>
  <c r="AB121" i="29"/>
  <c r="AB122" i="29" s="1"/>
  <c r="AD120" i="29"/>
  <c r="AE119" i="29"/>
  <c r="AD52" i="29"/>
  <c r="AE51" i="29"/>
  <c r="AE56" i="29"/>
  <c r="AF55" i="29"/>
  <c r="Y83" i="29"/>
  <c r="Y84" i="29" s="1"/>
  <c r="X84" i="29"/>
  <c r="AA118" i="29"/>
  <c r="AB117" i="29"/>
  <c r="AB118" i="29" s="1"/>
  <c r="Y93" i="29"/>
  <c r="Y94" i="29" s="1"/>
  <c r="X94" i="29"/>
  <c r="AE63" i="29"/>
  <c r="AE64" i="29" s="1"/>
  <c r="AD110" i="29"/>
  <c r="AE109" i="29"/>
  <c r="AD84" i="29"/>
  <c r="AE83" i="29"/>
  <c r="AD100" i="29"/>
  <c r="AA7" i="29"/>
  <c r="AJ150" i="29"/>
  <c r="AE86" i="29"/>
  <c r="AF85" i="29"/>
  <c r="AF111" i="29"/>
  <c r="AE112" i="29"/>
  <c r="AB63" i="29"/>
  <c r="AB64" i="29" s="1"/>
  <c r="AA50" i="29"/>
  <c r="AA48" i="29" s="1"/>
  <c r="AB49" i="29"/>
  <c r="AB50" i="29" s="1"/>
  <c r="AB48" i="29" s="1"/>
  <c r="AA36" i="29"/>
  <c r="AB35" i="29"/>
  <c r="AB36" i="29" s="1"/>
  <c r="AD7" i="29"/>
  <c r="X66" i="29"/>
  <c r="Y65" i="29"/>
  <c r="Y66" i="29" s="1"/>
  <c r="AB91" i="29"/>
  <c r="AB92" i="29" s="1"/>
  <c r="AA92" i="29"/>
  <c r="AE89" i="29"/>
  <c r="AD90" i="29"/>
  <c r="AB8" i="29"/>
  <c r="AA8" i="29"/>
  <c r="X88" i="29"/>
  <c r="Y87" i="29"/>
  <c r="Y88" i="29" s="1"/>
  <c r="AA68" i="29"/>
  <c r="AB67" i="29"/>
  <c r="AB68" i="29" s="1"/>
  <c r="AA80" i="29"/>
  <c r="AB79" i="29"/>
  <c r="AB80" i="29" s="1"/>
  <c r="AE108" i="29"/>
  <c r="AF107" i="29"/>
  <c r="Y109" i="29"/>
  <c r="Y110" i="29" s="1"/>
  <c r="X110" i="29"/>
  <c r="X78" i="29"/>
  <c r="Y77" i="29"/>
  <c r="Y78" i="29" s="1"/>
  <c r="AE118" i="29"/>
  <c r="AF117" i="29"/>
  <c r="AE82" i="29"/>
  <c r="AF81" i="29"/>
  <c r="AD104" i="29"/>
  <c r="AE103" i="29"/>
  <c r="AA106" i="29"/>
  <c r="AB105" i="29"/>
  <c r="AB106" i="29" s="1"/>
  <c r="AB5" i="29"/>
  <c r="AA4" i="29"/>
  <c r="AE40" i="29"/>
  <c r="AF39" i="29"/>
  <c r="AI143" i="29"/>
  <c r="AH144" i="29"/>
  <c r="AH145" i="29"/>
  <c r="AG146" i="29"/>
  <c r="AH135" i="29"/>
  <c r="AG136" i="29"/>
  <c r="AG133" i="29"/>
  <c r="AF134" i="29"/>
  <c r="AJ141" i="29"/>
  <c r="AI142" i="29"/>
  <c r="AF128" i="29"/>
  <c r="AG126" i="29" s="1"/>
  <c r="AG127" i="29"/>
  <c r="AH129" i="29"/>
  <c r="AG130" i="29"/>
  <c r="AG148" i="29"/>
  <c r="AH147" i="29"/>
  <c r="AH131" i="29"/>
  <c r="AG132" i="29"/>
  <c r="AI137" i="29"/>
  <c r="AH138" i="29"/>
  <c r="AI139" i="29"/>
  <c r="AH140" i="29"/>
  <c r="AU32" i="29"/>
  <c r="E25" i="30" s="1"/>
  <c r="BG30" i="29"/>
  <c r="F26" i="30" s="1"/>
  <c r="E27" i="30"/>
  <c r="BG31" i="29"/>
  <c r="AK54" i="29" l="1"/>
  <c r="AL53" i="29"/>
  <c r="AB79" i="26"/>
  <c r="AF79" i="26"/>
  <c r="M14" i="12"/>
  <c r="L14" i="12"/>
  <c r="AC79" i="26"/>
  <c r="AE77" i="26"/>
  <c r="AD77" i="26"/>
  <c r="I15" i="12"/>
  <c r="I16" i="12"/>
  <c r="C15" i="12"/>
  <c r="C16" i="12"/>
  <c r="R45" i="15"/>
  <c r="E15" i="12"/>
  <c r="E16" i="12"/>
  <c r="AK57" i="29"/>
  <c r="AJ58" i="29"/>
  <c r="AJ124" i="29"/>
  <c r="AK123" i="29"/>
  <c r="AJ72" i="29"/>
  <c r="AK71" i="29"/>
  <c r="AJ44" i="29"/>
  <c r="AK43" i="29"/>
  <c r="AG95" i="29"/>
  <c r="AF96" i="29"/>
  <c r="AF7" i="29" s="1"/>
  <c r="AE100" i="29"/>
  <c r="AE66" i="29"/>
  <c r="AA12" i="22"/>
  <c r="AA10" i="22"/>
  <c r="AA15" i="22"/>
  <c r="G16" i="12"/>
  <c r="G15" i="12"/>
  <c r="J15" i="12"/>
  <c r="AA6" i="22"/>
  <c r="AA5" i="22"/>
  <c r="AA7" i="22"/>
  <c r="AA14" i="22"/>
  <c r="AA9" i="22"/>
  <c r="AA8" i="22"/>
  <c r="AA13" i="22"/>
  <c r="AA4" i="22"/>
  <c r="AA11" i="22"/>
  <c r="F59" i="7"/>
  <c r="F39" i="7"/>
  <c r="G36" i="7" s="1"/>
  <c r="W9" i="29"/>
  <c r="AF70" i="29"/>
  <c r="AF113" i="29"/>
  <c r="AG113" i="29" s="1"/>
  <c r="AU18" i="24"/>
  <c r="BE18" i="24" s="1"/>
  <c r="BD43" i="24" s="1"/>
  <c r="BE43" i="24" s="1"/>
  <c r="BD17" i="24"/>
  <c r="BE17" i="24"/>
  <c r="BD42" i="24" s="1"/>
  <c r="BE42" i="24" s="1"/>
  <c r="BA17" i="24"/>
  <c r="BB17" i="24"/>
  <c r="BB42" i="24" s="1"/>
  <c r="BC42" i="24" s="1"/>
  <c r="AP18" i="24"/>
  <c r="AF36" i="29"/>
  <c r="AH35" i="29"/>
  <c r="AH36" i="29" s="1"/>
  <c r="AE36" i="29"/>
  <c r="C21" i="30"/>
  <c r="Z9" i="29"/>
  <c r="AG91" i="29"/>
  <c r="AG92" i="29" s="1"/>
  <c r="N14" i="12"/>
  <c r="V27" i="29"/>
  <c r="C18" i="30" s="1"/>
  <c r="C20" i="30"/>
  <c r="Y100" i="29"/>
  <c r="AC100" i="29"/>
  <c r="AF121" i="29"/>
  <c r="AE122" i="29"/>
  <c r="AF8" i="29"/>
  <c r="AB100" i="29"/>
  <c r="Z100" i="29"/>
  <c r="AD48" i="29"/>
  <c r="AD9" i="29" s="1"/>
  <c r="Y9" i="29"/>
  <c r="AA9" i="29"/>
  <c r="AB9" i="29"/>
  <c r="AF49" i="29"/>
  <c r="AE50" i="29"/>
  <c r="AF41" i="29"/>
  <c r="AE42" i="29"/>
  <c r="AE104" i="29"/>
  <c r="AF103" i="29"/>
  <c r="AF112" i="29"/>
  <c r="AG111" i="29"/>
  <c r="AE84" i="29"/>
  <c r="AF83" i="29"/>
  <c r="AF89" i="29"/>
  <c r="AE90" i="29"/>
  <c r="AF86" i="29"/>
  <c r="AG85" i="29"/>
  <c r="AF66" i="29"/>
  <c r="AG65" i="29"/>
  <c r="AF56" i="29"/>
  <c r="AG55" i="29"/>
  <c r="AC5" i="29"/>
  <c r="AB4" i="29"/>
  <c r="AE110" i="29"/>
  <c r="AF109" i="29"/>
  <c r="AE94" i="29"/>
  <c r="AF93" i="29"/>
  <c r="AE78" i="29"/>
  <c r="AF77" i="29"/>
  <c r="AF102" i="29"/>
  <c r="AG101" i="29"/>
  <c r="AF82" i="29"/>
  <c r="AG81" i="29"/>
  <c r="AE52" i="29"/>
  <c r="AF51" i="29"/>
  <c r="AF67" i="29"/>
  <c r="AE68" i="29"/>
  <c r="AF118" i="29"/>
  <c r="AG117" i="29"/>
  <c r="AE120" i="29"/>
  <c r="AF119" i="29"/>
  <c r="AF79" i="29"/>
  <c r="AE80" i="29"/>
  <c r="AF115" i="29"/>
  <c r="AE116" i="29"/>
  <c r="AF40" i="29"/>
  <c r="AG39" i="29"/>
  <c r="AL149" i="29"/>
  <c r="AK150" i="29"/>
  <c r="AF63" i="29"/>
  <c r="AF64" i="29" s="1"/>
  <c r="AF105" i="29"/>
  <c r="AE106" i="29"/>
  <c r="AG70" i="29"/>
  <c r="AH69" i="29"/>
  <c r="AF108" i="29"/>
  <c r="AG107" i="29"/>
  <c r="AE38" i="29"/>
  <c r="AE34" i="29" s="1"/>
  <c r="AF37" i="29"/>
  <c r="AE88" i="29"/>
  <c r="AF87" i="29"/>
  <c r="AJ139" i="29"/>
  <c r="AI140" i="29"/>
  <c r="AI129" i="29"/>
  <c r="AH130" i="29"/>
  <c r="AG128" i="29"/>
  <c r="AH126" i="29" s="1"/>
  <c r="AH127" i="29"/>
  <c r="AI127" i="29" s="1"/>
  <c r="AI135" i="29"/>
  <c r="AH136" i="29"/>
  <c r="AI138" i="29"/>
  <c r="AJ137" i="29"/>
  <c r="AI131" i="29"/>
  <c r="AH132" i="29"/>
  <c r="AK141" i="29"/>
  <c r="AJ142" i="29"/>
  <c r="AI145" i="29"/>
  <c r="AH146" i="29"/>
  <c r="AI147" i="29"/>
  <c r="AH148" i="29"/>
  <c r="AH133" i="29"/>
  <c r="AG134" i="29"/>
  <c r="AI144" i="29"/>
  <c r="AJ143" i="29"/>
  <c r="BS30" i="29"/>
  <c r="G26" i="30" s="1"/>
  <c r="BG32" i="29"/>
  <c r="F25" i="30" s="1"/>
  <c r="F27" i="30"/>
  <c r="BS31" i="29"/>
  <c r="AL54" i="29" l="1"/>
  <c r="AM53" i="29"/>
  <c r="AE79" i="26"/>
  <c r="AD79" i="26"/>
  <c r="AL71" i="29"/>
  <c r="AK72" i="29"/>
  <c r="AK44" i="29"/>
  <c r="AL43" i="29"/>
  <c r="AL123" i="29"/>
  <c r="AK124" i="29"/>
  <c r="AK58" i="29"/>
  <c r="AL57" i="29"/>
  <c r="AH91" i="29"/>
  <c r="AH92" i="29" s="1"/>
  <c r="AH95" i="29"/>
  <c r="AG96" i="29"/>
  <c r="AG7" i="29" s="1"/>
  <c r="AF114" i="29"/>
  <c r="AI35" i="29"/>
  <c r="AI36" i="29" s="1"/>
  <c r="M15" i="12"/>
  <c r="K15" i="12"/>
  <c r="K16" i="12"/>
  <c r="L15" i="12"/>
  <c r="BD18" i="24"/>
  <c r="AU19" i="24"/>
  <c r="BB18" i="24"/>
  <c r="BB43" i="24" s="1"/>
  <c r="BC43" i="24" s="1"/>
  <c r="BA18" i="24"/>
  <c r="AP19" i="24"/>
  <c r="V28" i="29"/>
  <c r="C17" i="30" s="1"/>
  <c r="C31" i="30" s="1"/>
  <c r="C34" i="30" s="1"/>
  <c r="AE48" i="29"/>
  <c r="AE9" i="29" s="1"/>
  <c r="AF100" i="29"/>
  <c r="AG8" i="29"/>
  <c r="AF122" i="29"/>
  <c r="AG121" i="29"/>
  <c r="AG49" i="29"/>
  <c r="AF50" i="29"/>
  <c r="AF42" i="29"/>
  <c r="AG41" i="29"/>
  <c r="CE30" i="29"/>
  <c r="CQ30" i="29" s="1"/>
  <c r="AF104" i="29"/>
  <c r="AG103" i="29"/>
  <c r="AG105" i="29"/>
  <c r="AF106" i="29"/>
  <c r="AG82" i="29"/>
  <c r="AH81" i="29"/>
  <c r="AG86" i="29"/>
  <c r="AH85" i="29"/>
  <c r="AG83" i="29"/>
  <c r="AF84" i="29"/>
  <c r="AG115" i="29"/>
  <c r="AF116" i="29"/>
  <c r="AG102" i="29"/>
  <c r="AH101" i="29"/>
  <c r="AG112" i="29"/>
  <c r="AH111" i="29"/>
  <c r="AG93" i="29"/>
  <c r="AF94" i="29"/>
  <c r="AM149" i="29"/>
  <c r="AL150" i="29"/>
  <c r="AH65" i="29"/>
  <c r="AG66" i="29"/>
  <c r="AG118" i="29"/>
  <c r="AH117" i="29"/>
  <c r="AG108" i="29"/>
  <c r="AH107" i="29"/>
  <c r="AG67" i="29"/>
  <c r="AF68" i="29"/>
  <c r="AD5" i="29"/>
  <c r="AC4" i="29"/>
  <c r="AC3" i="29" s="1"/>
  <c r="AG89" i="29"/>
  <c r="AF90" i="29"/>
  <c r="AG63" i="29"/>
  <c r="AG64" i="29" s="1"/>
  <c r="AG79" i="29"/>
  <c r="AF80" i="29"/>
  <c r="AG51" i="29"/>
  <c r="AF52" i="29"/>
  <c r="AF78" i="29"/>
  <c r="AG77" i="29"/>
  <c r="AG56" i="29"/>
  <c r="AH55" i="29"/>
  <c r="AF120" i="29"/>
  <c r="AG119" i="29"/>
  <c r="AG114" i="29"/>
  <c r="AH113" i="29"/>
  <c r="AF88" i="29"/>
  <c r="AG87" i="29"/>
  <c r="AG40" i="29"/>
  <c r="AH39" i="29"/>
  <c r="AG109" i="29"/>
  <c r="AF110" i="29"/>
  <c r="AF38" i="29"/>
  <c r="AF34" i="29" s="1"/>
  <c r="AG37" i="29"/>
  <c r="AH70" i="29"/>
  <c r="AI69" i="29"/>
  <c r="AK143" i="29"/>
  <c r="AJ144" i="29"/>
  <c r="AL141" i="29"/>
  <c r="AK142" i="29"/>
  <c r="AJ147" i="29"/>
  <c r="AI148" i="29"/>
  <c r="AH128" i="29"/>
  <c r="AI126" i="29" s="1"/>
  <c r="AH134" i="29"/>
  <c r="AI133" i="29"/>
  <c r="AJ131" i="29"/>
  <c r="AI132" i="29"/>
  <c r="AK137" i="29"/>
  <c r="AJ138" i="29"/>
  <c r="AI130" i="29"/>
  <c r="AJ129" i="29"/>
  <c r="AI146" i="29"/>
  <c r="AJ145" i="29"/>
  <c r="AJ135" i="29"/>
  <c r="AI136" i="29"/>
  <c r="AK139" i="29"/>
  <c r="AJ140" i="29"/>
  <c r="C38" i="30"/>
  <c r="C45" i="30"/>
  <c r="G27" i="30"/>
  <c r="CE31" i="29"/>
  <c r="BS32" i="29"/>
  <c r="G25" i="30" s="1"/>
  <c r="AM54" i="29" l="1"/>
  <c r="AN53" i="29"/>
  <c r="AI91" i="29"/>
  <c r="AJ91" i="29" s="1"/>
  <c r="AL124" i="29"/>
  <c r="AM123" i="29"/>
  <c r="AM57" i="29"/>
  <c r="AL58" i="29"/>
  <c r="AL44" i="29"/>
  <c r="AM43" i="29"/>
  <c r="AM71" i="29"/>
  <c r="AL72" i="29"/>
  <c r="AH96" i="29"/>
  <c r="AH7" i="29" s="1"/>
  <c r="AI95" i="29"/>
  <c r="AJ35" i="29"/>
  <c r="AJ36" i="29" s="1"/>
  <c r="N16" i="12"/>
  <c r="N15" i="12"/>
  <c r="AF48" i="29"/>
  <c r="AF9" i="29" s="1"/>
  <c r="BD19" i="24"/>
  <c r="BE19" i="24"/>
  <c r="BD44" i="24" s="1"/>
  <c r="BE44" i="24" s="1"/>
  <c r="AU20" i="24"/>
  <c r="BA19" i="24"/>
  <c r="BB19" i="24"/>
  <c r="BB44" i="24" s="1"/>
  <c r="BC44" i="24" s="1"/>
  <c r="AP20" i="24"/>
  <c r="C32" i="30"/>
  <c r="C33" i="30" s="1"/>
  <c r="C35" i="30"/>
  <c r="AG122" i="29"/>
  <c r="AH121" i="29"/>
  <c r="AG100" i="29"/>
  <c r="AH8" i="29"/>
  <c r="AG50" i="29"/>
  <c r="AH49" i="29"/>
  <c r="AG42" i="29"/>
  <c r="AH41" i="29"/>
  <c r="H26" i="30"/>
  <c r="CE32" i="29"/>
  <c r="H25" i="30" s="1"/>
  <c r="AH119" i="29"/>
  <c r="AG120" i="29"/>
  <c r="AH86" i="29"/>
  <c r="AI85" i="29"/>
  <c r="AH66" i="29"/>
  <c r="AI65" i="29"/>
  <c r="AG80" i="29"/>
  <c r="AH79" i="29"/>
  <c r="AH82" i="29"/>
  <c r="AI81" i="29"/>
  <c r="AE5" i="29"/>
  <c r="AD4" i="29"/>
  <c r="AI70" i="29"/>
  <c r="AJ69" i="29"/>
  <c r="AI39" i="29"/>
  <c r="AH40" i="29"/>
  <c r="AH87" i="29"/>
  <c r="AG88" i="29"/>
  <c r="AH56" i="29"/>
  <c r="AI55" i="29"/>
  <c r="AG68" i="29"/>
  <c r="AH67" i="29"/>
  <c r="AM150" i="29"/>
  <c r="AN149" i="29"/>
  <c r="AH115" i="29"/>
  <c r="AG116" i="29"/>
  <c r="AH37" i="29"/>
  <c r="AG38" i="29"/>
  <c r="AG34" i="29" s="1"/>
  <c r="AH77" i="29"/>
  <c r="AG78" i="29"/>
  <c r="AH93" i="29"/>
  <c r="AG94" i="29"/>
  <c r="AH83" i="29"/>
  <c r="AG84" i="29"/>
  <c r="AH109" i="29"/>
  <c r="AG110" i="29"/>
  <c r="AH51" i="29"/>
  <c r="AG52" i="29"/>
  <c r="AH102" i="29"/>
  <c r="AI101" i="29"/>
  <c r="AH63" i="29"/>
  <c r="AH64" i="29" s="1"/>
  <c r="AH108" i="29"/>
  <c r="AI107" i="29"/>
  <c r="AG90" i="29"/>
  <c r="AH89" i="29"/>
  <c r="AH118" i="29"/>
  <c r="AI117" i="29"/>
  <c r="AH112" i="29"/>
  <c r="AI111" i="29"/>
  <c r="AH103" i="29"/>
  <c r="AG104" i="29"/>
  <c r="AH114" i="29"/>
  <c r="AI113" i="29"/>
  <c r="AG106" i="29"/>
  <c r="AH105" i="29"/>
  <c r="AK140" i="29"/>
  <c r="AL139" i="29"/>
  <c r="AK138" i="29"/>
  <c r="AL137" i="29"/>
  <c r="AI128" i="29"/>
  <c r="AJ126" i="29" s="1"/>
  <c r="AJ127" i="29"/>
  <c r="AK135" i="29"/>
  <c r="AJ136" i="29"/>
  <c r="AK147" i="29"/>
  <c r="AJ148" i="29"/>
  <c r="AJ146" i="29"/>
  <c r="AK145" i="29"/>
  <c r="AK131" i="29"/>
  <c r="AJ132" i="29"/>
  <c r="AL142" i="29"/>
  <c r="AM141" i="29"/>
  <c r="AK129" i="29"/>
  <c r="AJ130" i="29"/>
  <c r="AJ133" i="29"/>
  <c r="AI134" i="29"/>
  <c r="AK144" i="29"/>
  <c r="AL143" i="29"/>
  <c r="C49" i="30"/>
  <c r="C46" i="30"/>
  <c r="C47" i="30" s="1"/>
  <c r="C48" i="30"/>
  <c r="C41" i="30"/>
  <c r="C42" i="30"/>
  <c r="C39" i="30"/>
  <c r="C40" i="30" s="1"/>
  <c r="I26" i="30"/>
  <c r="DC30" i="29"/>
  <c r="H27" i="30"/>
  <c r="CQ31" i="29"/>
  <c r="AN54" i="29" l="1"/>
  <c r="AO53" i="29"/>
  <c r="AI92" i="29"/>
  <c r="AK35" i="29"/>
  <c r="AL35" i="29" s="1"/>
  <c r="AN71" i="29"/>
  <c r="AM72" i="29"/>
  <c r="AN43" i="29"/>
  <c r="AM44" i="29"/>
  <c r="AN57" i="29"/>
  <c r="AM58" i="29"/>
  <c r="AM124" i="29"/>
  <c r="AN123" i="29"/>
  <c r="AI96" i="29"/>
  <c r="AI7" i="29" s="1"/>
  <c r="D12" i="30" s="1"/>
  <c r="AJ95" i="29"/>
  <c r="AU21" i="24"/>
  <c r="BE20" i="24"/>
  <c r="BD45" i="24" s="1"/>
  <c r="BE45" i="24" s="1"/>
  <c r="BD20" i="24"/>
  <c r="BB20" i="24"/>
  <c r="BB45" i="24" s="1"/>
  <c r="BC45" i="24" s="1"/>
  <c r="BA20" i="24"/>
  <c r="AP21" i="24"/>
  <c r="AG48" i="29"/>
  <c r="AG9" i="29" s="1"/>
  <c r="AH100" i="29"/>
  <c r="AI8" i="29"/>
  <c r="D13" i="30" s="1"/>
  <c r="AH122" i="29"/>
  <c r="AI121" i="29"/>
  <c r="AH50" i="29"/>
  <c r="AI49" i="29"/>
  <c r="AH42" i="29"/>
  <c r="AI41" i="29"/>
  <c r="AJ101" i="29"/>
  <c r="AI102" i="29"/>
  <c r="AI112" i="29"/>
  <c r="AJ111" i="29"/>
  <c r="AO149" i="29"/>
  <c r="AN150" i="29"/>
  <c r="AJ92" i="29"/>
  <c r="AK91" i="29"/>
  <c r="AF5" i="29"/>
  <c r="AE4" i="29"/>
  <c r="AH84" i="29"/>
  <c r="AI83" i="29"/>
  <c r="AH116" i="29"/>
  <c r="AI115" i="29"/>
  <c r="AH88" i="29"/>
  <c r="AI87" i="29"/>
  <c r="AH94" i="29"/>
  <c r="AI93" i="29"/>
  <c r="AI82" i="29"/>
  <c r="AJ81" i="29"/>
  <c r="AI86" i="29"/>
  <c r="AJ85" i="29"/>
  <c r="AH104" i="29"/>
  <c r="AI103" i="29"/>
  <c r="AH106" i="29"/>
  <c r="AI105" i="29"/>
  <c r="AI118" i="29"/>
  <c r="AJ117" i="29"/>
  <c r="AH52" i="29"/>
  <c r="AI51" i="29"/>
  <c r="AH68" i="29"/>
  <c r="AI67" i="29"/>
  <c r="AJ107" i="29"/>
  <c r="AI108" i="29"/>
  <c r="AH78" i="29"/>
  <c r="AI77" i="29"/>
  <c r="AH80" i="29"/>
  <c r="AI79" i="29"/>
  <c r="AI114" i="29"/>
  <c r="AI22" i="29" s="1"/>
  <c r="AJ113" i="29"/>
  <c r="AH90" i="29"/>
  <c r="AI89" i="29"/>
  <c r="AH110" i="29"/>
  <c r="AI109" i="29"/>
  <c r="AJ55" i="29"/>
  <c r="AI56" i="29"/>
  <c r="AI40" i="29"/>
  <c r="AJ39" i="29"/>
  <c r="AH120" i="29"/>
  <c r="AI119" i="29"/>
  <c r="AI63" i="29"/>
  <c r="AI64" i="29" s="1"/>
  <c r="AH38" i="29"/>
  <c r="AH34" i="29" s="1"/>
  <c r="AI37" i="29"/>
  <c r="AJ70" i="29"/>
  <c r="AK69" i="29"/>
  <c r="AI66" i="29"/>
  <c r="AI12" i="29" s="1"/>
  <c r="D23" i="30" s="1"/>
  <c r="AJ65" i="29"/>
  <c r="AL131" i="29"/>
  <c r="AK132" i="29"/>
  <c r="AL135" i="29"/>
  <c r="AK136" i="29"/>
  <c r="AL145" i="29"/>
  <c r="AK146" i="29"/>
  <c r="AJ128" i="29"/>
  <c r="AK126" i="29" s="1"/>
  <c r="AK127" i="29"/>
  <c r="AM143" i="29"/>
  <c r="AL144" i="29"/>
  <c r="AJ134" i="29"/>
  <c r="AK133" i="29"/>
  <c r="AM137" i="29"/>
  <c r="AL138" i="29"/>
  <c r="AL129" i="29"/>
  <c r="AK130" i="29"/>
  <c r="AL147" i="29"/>
  <c r="AK148" i="29"/>
  <c r="AN141" i="29"/>
  <c r="AM142" i="29"/>
  <c r="AL140" i="29"/>
  <c r="AM139" i="29"/>
  <c r="J26" i="30"/>
  <c r="DO30" i="29"/>
  <c r="I27" i="30"/>
  <c r="DC31" i="29"/>
  <c r="DC32" i="29" s="1"/>
  <c r="J25" i="30" s="1"/>
  <c r="CQ32" i="29"/>
  <c r="I25" i="30" s="1"/>
  <c r="AO54" i="29" l="1"/>
  <c r="AP53" i="29"/>
  <c r="AK36" i="29"/>
  <c r="AO57" i="29"/>
  <c r="AN58" i="29"/>
  <c r="AN44" i="29"/>
  <c r="AO43" i="29"/>
  <c r="AO123" i="29"/>
  <c r="AN124" i="29"/>
  <c r="AN72" i="29"/>
  <c r="AO71" i="29"/>
  <c r="D11" i="30"/>
  <c r="AJ96" i="29"/>
  <c r="AJ7" i="29" s="1"/>
  <c r="AK95" i="29"/>
  <c r="BD21" i="24"/>
  <c r="AU22" i="24"/>
  <c r="BE21" i="24"/>
  <c r="BD46" i="24" s="1"/>
  <c r="BE46" i="24" s="1"/>
  <c r="BB21" i="24"/>
  <c r="BB46" i="24" s="1"/>
  <c r="BC46" i="24" s="1"/>
  <c r="BA21" i="24"/>
  <c r="AP22" i="24"/>
  <c r="AH48" i="29"/>
  <c r="AH9" i="29" s="1"/>
  <c r="AJ121" i="29"/>
  <c r="AI122" i="29"/>
  <c r="AI100" i="29"/>
  <c r="AI14" i="29" s="1"/>
  <c r="AI15" i="29" s="1"/>
  <c r="D24" i="30" s="1"/>
  <c r="AJ8" i="29"/>
  <c r="AJ49" i="29"/>
  <c r="AI50" i="29"/>
  <c r="AJ41" i="29"/>
  <c r="AI42" i="29"/>
  <c r="AK81" i="29"/>
  <c r="AJ82" i="29"/>
  <c r="AJ114" i="29"/>
  <c r="AK113" i="29"/>
  <c r="AJ67" i="29"/>
  <c r="AI68" i="29"/>
  <c r="AI94" i="29"/>
  <c r="AJ93" i="29"/>
  <c r="AJ83" i="29"/>
  <c r="AI84" i="29"/>
  <c r="AJ105" i="29"/>
  <c r="AI106" i="29"/>
  <c r="AP149" i="29"/>
  <c r="AO150" i="29"/>
  <c r="AI38" i="29"/>
  <c r="AI34" i="29" s="1"/>
  <c r="AJ37" i="29"/>
  <c r="AJ89" i="29"/>
  <c r="AI90" i="29"/>
  <c r="AJ115" i="29"/>
  <c r="AI116" i="29"/>
  <c r="AK39" i="29"/>
  <c r="AJ40" i="29"/>
  <c r="AJ108" i="29"/>
  <c r="AK107" i="29"/>
  <c r="AK55" i="29"/>
  <c r="AJ56" i="29"/>
  <c r="AJ79" i="29"/>
  <c r="AI80" i="29"/>
  <c r="AI52" i="29"/>
  <c r="AJ51" i="29"/>
  <c r="AI104" i="29"/>
  <c r="AJ103" i="29"/>
  <c r="AJ102" i="29"/>
  <c r="AK101" i="29"/>
  <c r="AK70" i="29"/>
  <c r="AL69" i="29"/>
  <c r="AJ63" i="29"/>
  <c r="AJ64" i="29" s="1"/>
  <c r="AI11" i="29"/>
  <c r="D22" i="30" s="1"/>
  <c r="AM35" i="29"/>
  <c r="AL36" i="29"/>
  <c r="AF4" i="29"/>
  <c r="AF3" i="29" s="1"/>
  <c r="AG5" i="29"/>
  <c r="AK111" i="29"/>
  <c r="AJ112" i="29"/>
  <c r="AJ109" i="29"/>
  <c r="AI110" i="29"/>
  <c r="AJ77" i="29"/>
  <c r="AI78" i="29"/>
  <c r="AJ118" i="29"/>
  <c r="AK117" i="29"/>
  <c r="AK85" i="29"/>
  <c r="AJ86" i="29"/>
  <c r="AI88" i="29"/>
  <c r="AJ87" i="29"/>
  <c r="AK92" i="29"/>
  <c r="AL91" i="29"/>
  <c r="AK65" i="29"/>
  <c r="AJ66" i="29"/>
  <c r="AI120" i="29"/>
  <c r="AJ119" i="29"/>
  <c r="AN137" i="29"/>
  <c r="AM138" i="29"/>
  <c r="AN139" i="29"/>
  <c r="AM140" i="29"/>
  <c r="AN142" i="29"/>
  <c r="AO141" i="29"/>
  <c r="AM145" i="29"/>
  <c r="AL146" i="29"/>
  <c r="AK128" i="29"/>
  <c r="AL126" i="29" s="1"/>
  <c r="AL127" i="29"/>
  <c r="AL133" i="29"/>
  <c r="AK134" i="29"/>
  <c r="AM135" i="29"/>
  <c r="AL136" i="29"/>
  <c r="AM147" i="29"/>
  <c r="AL148" i="29"/>
  <c r="AM129" i="29"/>
  <c r="AL130" i="29"/>
  <c r="AM144" i="29"/>
  <c r="AN143" i="29"/>
  <c r="AM131" i="29"/>
  <c r="AL132" i="29"/>
  <c r="J27" i="30"/>
  <c r="DO31" i="29"/>
  <c r="K26" i="30"/>
  <c r="EA30" i="29"/>
  <c r="AP54" i="29" l="1"/>
  <c r="AQ53" i="29"/>
  <c r="AO72" i="29"/>
  <c r="AP71" i="29"/>
  <c r="AP123" i="29"/>
  <c r="AO124" i="29"/>
  <c r="AO44" i="29"/>
  <c r="AP43" i="29"/>
  <c r="AO58" i="29"/>
  <c r="AP57" i="29"/>
  <c r="AK96" i="29"/>
  <c r="AK7" i="29" s="1"/>
  <c r="AL95" i="29"/>
  <c r="BE22" i="24"/>
  <c r="BD47" i="24" s="1"/>
  <c r="BE47" i="24" s="1"/>
  <c r="BD22" i="24"/>
  <c r="AU23" i="24"/>
  <c r="BB22" i="24"/>
  <c r="BB47" i="24" s="1"/>
  <c r="BC47" i="24" s="1"/>
  <c r="AP23" i="24"/>
  <c r="BA22" i="24"/>
  <c r="AI48" i="29"/>
  <c r="AI9" i="29" s="1"/>
  <c r="D16" i="30"/>
  <c r="AK8" i="29"/>
  <c r="AJ122" i="29"/>
  <c r="AK121" i="29"/>
  <c r="AK49" i="29"/>
  <c r="AJ50" i="29"/>
  <c r="AK41" i="29"/>
  <c r="AJ42" i="29"/>
  <c r="AJ100" i="29"/>
  <c r="AK115" i="29"/>
  <c r="AJ116" i="29"/>
  <c r="AJ106" i="29"/>
  <c r="AK105" i="29"/>
  <c r="AK67" i="29"/>
  <c r="AJ68" i="29"/>
  <c r="AJ110" i="29"/>
  <c r="AK109" i="29"/>
  <c r="AM36" i="29"/>
  <c r="AN35" i="29"/>
  <c r="AK114" i="29"/>
  <c r="AL113" i="29"/>
  <c r="AJ78" i="29"/>
  <c r="AK77" i="29"/>
  <c r="AJ84" i="29"/>
  <c r="AK83" i="29"/>
  <c r="AK86" i="29"/>
  <c r="AL85" i="29"/>
  <c r="AK63" i="29"/>
  <c r="AK64" i="29" s="1"/>
  <c r="AJ104" i="29"/>
  <c r="AK103" i="29"/>
  <c r="AL107" i="29"/>
  <c r="AK108" i="29"/>
  <c r="AJ38" i="29"/>
  <c r="AJ34" i="29" s="1"/>
  <c r="AK37" i="29"/>
  <c r="AJ94" i="29"/>
  <c r="AK93" i="29"/>
  <c r="AK87" i="29"/>
  <c r="AJ88" i="29"/>
  <c r="AJ90" i="29"/>
  <c r="AK89" i="29"/>
  <c r="AK118" i="29"/>
  <c r="AL117" i="29"/>
  <c r="AK79" i="29"/>
  <c r="AJ80" i="29"/>
  <c r="AJ120" i="29"/>
  <c r="AK119" i="29"/>
  <c r="AL55" i="29"/>
  <c r="AK56" i="29"/>
  <c r="AK66" i="29"/>
  <c r="AL65" i="29"/>
  <c r="AL111" i="29"/>
  <c r="AK112" i="29"/>
  <c r="AM69" i="29"/>
  <c r="AL70" i="29"/>
  <c r="AK51" i="29"/>
  <c r="AJ52" i="29"/>
  <c r="AL81" i="29"/>
  <c r="AK82" i="29"/>
  <c r="AK102" i="29"/>
  <c r="AL101" i="29"/>
  <c r="AL92" i="29"/>
  <c r="AM91" i="29"/>
  <c r="AH5" i="29"/>
  <c r="AG4" i="29"/>
  <c r="AK40" i="29"/>
  <c r="AL39" i="29"/>
  <c r="AQ149" i="29"/>
  <c r="AP150" i="29"/>
  <c r="AN131" i="29"/>
  <c r="AM132" i="29"/>
  <c r="AM136" i="29"/>
  <c r="AN135" i="29"/>
  <c r="AN138" i="29"/>
  <c r="AO137" i="29"/>
  <c r="AO143" i="29"/>
  <c r="AN144" i="29"/>
  <c r="AP141" i="29"/>
  <c r="AO142" i="29"/>
  <c r="AN147" i="29"/>
  <c r="AM148" i="29"/>
  <c r="AM133" i="29"/>
  <c r="AL134" i="29"/>
  <c r="AN145" i="29"/>
  <c r="AM146" i="29"/>
  <c r="AL128" i="29"/>
  <c r="AM126" i="29" s="1"/>
  <c r="AM127" i="29"/>
  <c r="AN129" i="29"/>
  <c r="AM130" i="29"/>
  <c r="AN140" i="29"/>
  <c r="AO139" i="29"/>
  <c r="K27" i="30"/>
  <c r="EA31" i="29"/>
  <c r="L27" i="30" s="1"/>
  <c r="DO32" i="29"/>
  <c r="K25" i="30" s="1"/>
  <c r="L26" i="30"/>
  <c r="AQ54" i="29" l="1"/>
  <c r="AR53" i="29"/>
  <c r="AP44" i="29"/>
  <c r="AQ43" i="29"/>
  <c r="AP58" i="29"/>
  <c r="AQ57" i="29"/>
  <c r="AQ123" i="29"/>
  <c r="AP124" i="29"/>
  <c r="AP72" i="29"/>
  <c r="AQ71" i="29"/>
  <c r="AL96" i="29"/>
  <c r="AL7" i="29" s="1"/>
  <c r="AM95" i="29"/>
  <c r="AU24" i="24"/>
  <c r="BE23" i="24"/>
  <c r="BD48" i="24" s="1"/>
  <c r="BE48" i="24" s="1"/>
  <c r="BD23" i="24"/>
  <c r="BB23" i="24"/>
  <c r="BB48" i="24" s="1"/>
  <c r="BC48" i="24" s="1"/>
  <c r="BA23" i="24"/>
  <c r="AP24" i="24"/>
  <c r="AJ48" i="29"/>
  <c r="AJ9" i="29" s="1"/>
  <c r="AL121" i="29"/>
  <c r="AK122" i="29"/>
  <c r="AL8" i="29"/>
  <c r="AK50" i="29"/>
  <c r="AL49" i="29"/>
  <c r="AL41" i="29"/>
  <c r="AK42" i="29"/>
  <c r="AK100" i="29"/>
  <c r="AL109" i="29"/>
  <c r="AK110" i="29"/>
  <c r="D15" i="30"/>
  <c r="D14" i="30" s="1"/>
  <c r="AI26" i="29"/>
  <c r="D19" i="30" s="1"/>
  <c r="AI10" i="29"/>
  <c r="AL66" i="29"/>
  <c r="AM65" i="29"/>
  <c r="AL93" i="29"/>
  <c r="AK94" i="29"/>
  <c r="AM111" i="29"/>
  <c r="AL112" i="29"/>
  <c r="AM81" i="29"/>
  <c r="AL82" i="29"/>
  <c r="AL79" i="29"/>
  <c r="AK80" i="29"/>
  <c r="AL63" i="29"/>
  <c r="AL64" i="29" s="1"/>
  <c r="AK78" i="29"/>
  <c r="AL77" i="29"/>
  <c r="AI5" i="29"/>
  <c r="AH4" i="29"/>
  <c r="AL118" i="29"/>
  <c r="AM117" i="29"/>
  <c r="AL37" i="29"/>
  <c r="AK38" i="29"/>
  <c r="AK34" i="29" s="1"/>
  <c r="AK68" i="29"/>
  <c r="AL67" i="29"/>
  <c r="AM92" i="29"/>
  <c r="AN91" i="29"/>
  <c r="AL51" i="29"/>
  <c r="AK52" i="29"/>
  <c r="AL56" i="29"/>
  <c r="AM55" i="29"/>
  <c r="AM85" i="29"/>
  <c r="AL86" i="29"/>
  <c r="AL114" i="29"/>
  <c r="AM113" i="29"/>
  <c r="AL105" i="29"/>
  <c r="AK106" i="29"/>
  <c r="AL89" i="29"/>
  <c r="AK90" i="29"/>
  <c r="AL87" i="29"/>
  <c r="AK88" i="29"/>
  <c r="AR149" i="29"/>
  <c r="AQ150" i="29"/>
  <c r="AN69" i="29"/>
  <c r="AM70" i="29"/>
  <c r="AL108" i="29"/>
  <c r="AM107" i="29"/>
  <c r="AK84" i="29"/>
  <c r="AL83" i="29"/>
  <c r="AN36" i="29"/>
  <c r="AO35" i="29"/>
  <c r="AM39" i="29"/>
  <c r="AL40" i="29"/>
  <c r="AM101" i="29"/>
  <c r="AL102" i="29"/>
  <c r="AL119" i="29"/>
  <c r="AK120" i="29"/>
  <c r="AK104" i="29"/>
  <c r="AL103" i="29"/>
  <c r="AL115" i="29"/>
  <c r="AK116" i="29"/>
  <c r="AP139" i="29"/>
  <c r="AO140" i="29"/>
  <c r="AN133" i="29"/>
  <c r="AM134" i="29"/>
  <c r="AO129" i="29"/>
  <c r="AN130" i="29"/>
  <c r="AN148" i="29"/>
  <c r="AO147" i="29"/>
  <c r="AP137" i="29"/>
  <c r="AO138" i="29"/>
  <c r="AM128" i="29"/>
  <c r="AN126" i="29" s="1"/>
  <c r="AN127" i="29"/>
  <c r="AO135" i="29"/>
  <c r="AN136" i="29"/>
  <c r="AP142" i="29"/>
  <c r="AQ141" i="29"/>
  <c r="AO145" i="29"/>
  <c r="AN146" i="29"/>
  <c r="AP143" i="29"/>
  <c r="AO144" i="29"/>
  <c r="AN132" i="29"/>
  <c r="AO131" i="29"/>
  <c r="EA32" i="29"/>
  <c r="L25" i="30" s="1"/>
  <c r="AR54" i="29" l="1"/>
  <c r="AS53" i="29"/>
  <c r="AQ72" i="29"/>
  <c r="AR71" i="29"/>
  <c r="AR123" i="29"/>
  <c r="AQ124" i="29"/>
  <c r="AQ58" i="29"/>
  <c r="AR57" i="29"/>
  <c r="AQ44" i="29"/>
  <c r="AR43" i="29"/>
  <c r="AM96" i="29"/>
  <c r="AM7" i="29" s="1"/>
  <c r="AN95" i="29"/>
  <c r="BE24" i="24"/>
  <c r="BD49" i="24" s="1"/>
  <c r="BE49" i="24" s="1"/>
  <c r="BD24" i="24"/>
  <c r="BB24" i="24"/>
  <c r="BB49" i="24" s="1"/>
  <c r="BC49" i="24" s="1"/>
  <c r="BA24" i="24"/>
  <c r="AK48" i="29"/>
  <c r="AK9" i="29" s="1"/>
  <c r="AM8" i="29"/>
  <c r="AM121" i="29"/>
  <c r="AL122" i="29"/>
  <c r="AM49" i="29"/>
  <c r="AL50" i="29"/>
  <c r="AM41" i="29"/>
  <c r="AL42" i="29"/>
  <c r="AL100" i="29"/>
  <c r="AM89" i="29"/>
  <c r="AL90" i="29"/>
  <c r="AN85" i="29"/>
  <c r="AM86" i="29"/>
  <c r="AL80" i="29"/>
  <c r="AM79" i="29"/>
  <c r="AM66" i="29"/>
  <c r="AN65" i="29"/>
  <c r="AM56" i="29"/>
  <c r="AN55" i="29"/>
  <c r="AM93" i="29"/>
  <c r="AL94" i="29"/>
  <c r="AM40" i="29"/>
  <c r="AN39" i="29"/>
  <c r="AM103" i="29"/>
  <c r="AL104" i="29"/>
  <c r="AP35" i="29"/>
  <c r="AO36" i="29"/>
  <c r="AL68" i="29"/>
  <c r="AM67" i="29"/>
  <c r="AM77" i="29"/>
  <c r="AL78" i="29"/>
  <c r="AN117" i="29"/>
  <c r="AM118" i="29"/>
  <c r="AL116" i="29"/>
  <c r="AM115" i="29"/>
  <c r="D21" i="30"/>
  <c r="AI13" i="29"/>
  <c r="AS149" i="29"/>
  <c r="AR150" i="29"/>
  <c r="AM105" i="29"/>
  <c r="AL106" i="29"/>
  <c r="AM51" i="29"/>
  <c r="AL52" i="29"/>
  <c r="AM112" i="29"/>
  <c r="AN111" i="29"/>
  <c r="AN107" i="29"/>
  <c r="AM108" i="29"/>
  <c r="AO69" i="29"/>
  <c r="AN70" i="29"/>
  <c r="AM82" i="29"/>
  <c r="AN81" i="29"/>
  <c r="AL84" i="29"/>
  <c r="AM83" i="29"/>
  <c r="AN113" i="29"/>
  <c r="AM114" i="29"/>
  <c r="AO91" i="29"/>
  <c r="AN92" i="29"/>
  <c r="AM63" i="29"/>
  <c r="AM64" i="29" s="1"/>
  <c r="AN101" i="29"/>
  <c r="AM102" i="29"/>
  <c r="D10" i="30"/>
  <c r="AJ5" i="29"/>
  <c r="AI4" i="29"/>
  <c r="AI3" i="29" s="1"/>
  <c r="AM119" i="29"/>
  <c r="AL120" i="29"/>
  <c r="AL88" i="29"/>
  <c r="AM87" i="29"/>
  <c r="AL38" i="29"/>
  <c r="AL34" i="29" s="1"/>
  <c r="AM37" i="29"/>
  <c r="AL110" i="29"/>
  <c r="AM109" i="29"/>
  <c r="AP145" i="29"/>
  <c r="AO146" i="29"/>
  <c r="AP135" i="29"/>
  <c r="AO136" i="29"/>
  <c r="AP129" i="29"/>
  <c r="AO130" i="29"/>
  <c r="AQ137" i="29"/>
  <c r="AP138" i="29"/>
  <c r="AN128" i="29"/>
  <c r="AO126" i="29" s="1"/>
  <c r="AO127" i="29"/>
  <c r="AQ143" i="29"/>
  <c r="AP144" i="29"/>
  <c r="AP131" i="29"/>
  <c r="AO132" i="29"/>
  <c r="AO133" i="29"/>
  <c r="AN134" i="29"/>
  <c r="AR141" i="29"/>
  <c r="AQ142" i="29"/>
  <c r="AO148" i="29"/>
  <c r="AP147" i="29"/>
  <c r="AQ139" i="29"/>
  <c r="AP140" i="29"/>
  <c r="AS54" i="29" l="1"/>
  <c r="AT53" i="29"/>
  <c r="AR58" i="29"/>
  <c r="AS57" i="29"/>
  <c r="AS43" i="29"/>
  <c r="AR44" i="29"/>
  <c r="AR124" i="29"/>
  <c r="AS123" i="29"/>
  <c r="AR72" i="29"/>
  <c r="AS71" i="29"/>
  <c r="AN96" i="29"/>
  <c r="AN7" i="29" s="1"/>
  <c r="AO95" i="29"/>
  <c r="AL48" i="29"/>
  <c r="AL9" i="29" s="1"/>
  <c r="AN121" i="29"/>
  <c r="AM122" i="29"/>
  <c r="AN8" i="29"/>
  <c r="AM50" i="29"/>
  <c r="AN49" i="29"/>
  <c r="AM42" i="29"/>
  <c r="AN41" i="29"/>
  <c r="AM100" i="29"/>
  <c r="AN89" i="29"/>
  <c r="AM90" i="29"/>
  <c r="AM116" i="29"/>
  <c r="AN115" i="29"/>
  <c r="AN93" i="29"/>
  <c r="AM94" i="29"/>
  <c r="AN79" i="29"/>
  <c r="AM80" i="29"/>
  <c r="AN109" i="29"/>
  <c r="AM110" i="29"/>
  <c r="AP91" i="29"/>
  <c r="AO92" i="29"/>
  <c r="AM52" i="29"/>
  <c r="AN51" i="29"/>
  <c r="AQ35" i="29"/>
  <c r="AP36" i="29"/>
  <c r="AK5" i="29"/>
  <c r="AJ4" i="29"/>
  <c r="AN37" i="29"/>
  <c r="AM38" i="29"/>
  <c r="AM34" i="29" s="1"/>
  <c r="D30" i="30"/>
  <c r="D44" i="30"/>
  <c r="D37" i="30"/>
  <c r="AN114" i="29"/>
  <c r="AO113" i="29"/>
  <c r="AO70" i="29"/>
  <c r="AP69" i="29"/>
  <c r="AM106" i="29"/>
  <c r="AN105" i="29"/>
  <c r="AO117" i="29"/>
  <c r="AN118" i="29"/>
  <c r="AN103" i="29"/>
  <c r="AM104" i="29"/>
  <c r="AM120" i="29"/>
  <c r="AN119" i="29"/>
  <c r="AM84" i="29"/>
  <c r="AN83" i="29"/>
  <c r="AO55" i="29"/>
  <c r="AN56" i="29"/>
  <c r="AM88" i="29"/>
  <c r="AN87" i="29"/>
  <c r="AO101" i="29"/>
  <c r="AN102" i="29"/>
  <c r="AN108" i="29"/>
  <c r="AO107" i="29"/>
  <c r="AT149" i="29"/>
  <c r="AS150" i="29"/>
  <c r="AM78" i="29"/>
  <c r="AN77" i="29"/>
  <c r="AN40" i="29"/>
  <c r="AO39" i="29"/>
  <c r="AN86" i="29"/>
  <c r="AO85" i="29"/>
  <c r="AN82" i="29"/>
  <c r="AO81" i="29"/>
  <c r="AO111" i="29"/>
  <c r="AN112" i="29"/>
  <c r="D20" i="30"/>
  <c r="AI27" i="29"/>
  <c r="AM68" i="29"/>
  <c r="AN67" i="29"/>
  <c r="AO65" i="29"/>
  <c r="AN66" i="29"/>
  <c r="AN63" i="29"/>
  <c r="AN64" i="29" s="1"/>
  <c r="AR139" i="29"/>
  <c r="AQ140" i="29"/>
  <c r="AQ131" i="29"/>
  <c r="AP132" i="29"/>
  <c r="AQ138" i="29"/>
  <c r="AR137" i="29"/>
  <c r="AQ147" i="29"/>
  <c r="AP148" i="29"/>
  <c r="AQ129" i="29"/>
  <c r="AP130" i="29"/>
  <c r="AQ144" i="29"/>
  <c r="AR143" i="29"/>
  <c r="AQ135" i="29"/>
  <c r="AP136" i="29"/>
  <c r="AS141" i="29"/>
  <c r="AR142" i="29"/>
  <c r="AO128" i="29"/>
  <c r="AP126" i="29" s="1"/>
  <c r="AP127" i="29"/>
  <c r="AP133" i="29"/>
  <c r="AO134" i="29"/>
  <c r="AQ145" i="29"/>
  <c r="AP146" i="29"/>
  <c r="AT54" i="29" l="1"/>
  <c r="AU53" i="29"/>
  <c r="AT123" i="29"/>
  <c r="AS124" i="29"/>
  <c r="AS44" i="29"/>
  <c r="AT43" i="29"/>
  <c r="AS72" i="29"/>
  <c r="AT71" i="29"/>
  <c r="AS58" i="29"/>
  <c r="AT57" i="29"/>
  <c r="AO96" i="29"/>
  <c r="AO7" i="29" s="1"/>
  <c r="AP95" i="29"/>
  <c r="AM48" i="29"/>
  <c r="AM9" i="29" s="1"/>
  <c r="AO8" i="29"/>
  <c r="AO121" i="29"/>
  <c r="AN122" i="29"/>
  <c r="AN50" i="29"/>
  <c r="AO49" i="29"/>
  <c r="AN42" i="29"/>
  <c r="AO41" i="29"/>
  <c r="AN100" i="29"/>
  <c r="AO82" i="29"/>
  <c r="AP81" i="29"/>
  <c r="AQ36" i="29"/>
  <c r="AR35" i="29"/>
  <c r="AO79" i="29"/>
  <c r="AN80" i="29"/>
  <c r="AP65" i="29"/>
  <c r="AO66" i="29"/>
  <c r="AU149" i="29"/>
  <c r="AT150" i="29"/>
  <c r="AN120" i="29"/>
  <c r="AO119" i="29"/>
  <c r="AO118" i="29"/>
  <c r="AP117" i="29"/>
  <c r="AN52" i="29"/>
  <c r="AO51" i="29"/>
  <c r="AO67" i="29"/>
  <c r="AN68" i="29"/>
  <c r="AP85" i="29"/>
  <c r="AO86" i="29"/>
  <c r="AP107" i="29"/>
  <c r="AO108" i="29"/>
  <c r="AO105" i="29"/>
  <c r="AN106" i="29"/>
  <c r="AO93" i="29"/>
  <c r="AN94" i="29"/>
  <c r="AN116" i="29"/>
  <c r="AO115" i="29"/>
  <c r="AI28" i="29"/>
  <c r="D17" i="30" s="1"/>
  <c r="D31" i="30" s="1"/>
  <c r="D18" i="30"/>
  <c r="AP39" i="29"/>
  <c r="AO40" i="29"/>
  <c r="AP70" i="29"/>
  <c r="AQ69" i="29"/>
  <c r="AN38" i="29"/>
  <c r="AN34" i="29" s="1"/>
  <c r="AO37" i="29"/>
  <c r="AP92" i="29"/>
  <c r="AQ91" i="29"/>
  <c r="AP111" i="29"/>
  <c r="AO112" i="29"/>
  <c r="AO102" i="29"/>
  <c r="AP101" i="29"/>
  <c r="AO56" i="29"/>
  <c r="AP55" i="29"/>
  <c r="AN104" i="29"/>
  <c r="AO103" i="29"/>
  <c r="AO63" i="29"/>
  <c r="AO64" i="29" s="1"/>
  <c r="AO77" i="29"/>
  <c r="AN78" i="29"/>
  <c r="AO87" i="29"/>
  <c r="AN88" i="29"/>
  <c r="AO83" i="29"/>
  <c r="AN84" i="29"/>
  <c r="AP113" i="29"/>
  <c r="AO114" i="29"/>
  <c r="AL5" i="29"/>
  <c r="AK4" i="29"/>
  <c r="AO109" i="29"/>
  <c r="AN110" i="29"/>
  <c r="AN90" i="29"/>
  <c r="AO89" i="29"/>
  <c r="AQ146" i="29"/>
  <c r="AR145" i="29"/>
  <c r="AR135" i="29"/>
  <c r="AQ136" i="29"/>
  <c r="AR147" i="29"/>
  <c r="AQ148" i="29"/>
  <c r="AS143" i="29"/>
  <c r="AR144" i="29"/>
  <c r="AS137" i="29"/>
  <c r="AR138" i="29"/>
  <c r="AP134" i="29"/>
  <c r="AQ133" i="29"/>
  <c r="AP128" i="29"/>
  <c r="AQ126" i="29" s="1"/>
  <c r="AQ127" i="29"/>
  <c r="AQ130" i="29"/>
  <c r="AR129" i="29"/>
  <c r="AR131" i="29"/>
  <c r="AQ132" i="29"/>
  <c r="AT141" i="29"/>
  <c r="AS142" i="29"/>
  <c r="AS139" i="29"/>
  <c r="AR140" i="29"/>
  <c r="AU54" i="29" l="1"/>
  <c r="AV53" i="29"/>
  <c r="AT72" i="29"/>
  <c r="AU71" i="29"/>
  <c r="AT58" i="29"/>
  <c r="AU57" i="29"/>
  <c r="AU43" i="29"/>
  <c r="AT44" i="29"/>
  <c r="AU123" i="29"/>
  <c r="AT124" i="29"/>
  <c r="AP96" i="29"/>
  <c r="AP7" i="29" s="1"/>
  <c r="AQ95" i="29"/>
  <c r="AN48" i="29"/>
  <c r="AN9" i="29" s="1"/>
  <c r="AO122" i="29"/>
  <c r="AP121" i="29"/>
  <c r="AP8" i="29"/>
  <c r="AO50" i="29"/>
  <c r="AP49" i="29"/>
  <c r="AP41" i="29"/>
  <c r="AO42" i="29"/>
  <c r="AO100" i="29"/>
  <c r="AQ113" i="29"/>
  <c r="AP114" i="29"/>
  <c r="AP63" i="29"/>
  <c r="AP64" i="29" s="1"/>
  <c r="AQ111" i="29"/>
  <c r="AP112" i="29"/>
  <c r="AP119" i="29"/>
  <c r="AO120" i="29"/>
  <c r="AO80" i="29"/>
  <c r="AP79" i="29"/>
  <c r="AP89" i="29"/>
  <c r="AO90" i="29"/>
  <c r="AO104" i="29"/>
  <c r="AP103" i="29"/>
  <c r="AQ92" i="29"/>
  <c r="AR91" i="29"/>
  <c r="AQ39" i="29"/>
  <c r="AP40" i="29"/>
  <c r="AQ85" i="29"/>
  <c r="AP86" i="29"/>
  <c r="AR36" i="29"/>
  <c r="AS35" i="29"/>
  <c r="AO84" i="29"/>
  <c r="AP83" i="29"/>
  <c r="D38" i="30"/>
  <c r="D45" i="30"/>
  <c r="AQ107" i="29"/>
  <c r="AP108" i="29"/>
  <c r="AQ55" i="29"/>
  <c r="AP56" i="29"/>
  <c r="AP37" i="29"/>
  <c r="AO38" i="29"/>
  <c r="AO34" i="29" s="1"/>
  <c r="D35" i="30"/>
  <c r="D32" i="30"/>
  <c r="D33" i="30" s="1"/>
  <c r="D34" i="30"/>
  <c r="AP93" i="29"/>
  <c r="AO94" i="29"/>
  <c r="AP67" i="29"/>
  <c r="AO68" i="29"/>
  <c r="AP109" i="29"/>
  <c r="AO110" i="29"/>
  <c r="AO88" i="29"/>
  <c r="AP87" i="29"/>
  <c r="AP115" i="29"/>
  <c r="AO116" i="29"/>
  <c r="AP51" i="29"/>
  <c r="AO52" i="29"/>
  <c r="AU150" i="29"/>
  <c r="AV149" i="29"/>
  <c r="AP102" i="29"/>
  <c r="AQ101" i="29"/>
  <c r="AQ70" i="29"/>
  <c r="AR69" i="29"/>
  <c r="AO106" i="29"/>
  <c r="AP105" i="29"/>
  <c r="AP82" i="29"/>
  <c r="AQ81" i="29"/>
  <c r="AM5" i="29"/>
  <c r="AL4" i="29"/>
  <c r="AL3" i="29" s="1"/>
  <c r="AO78" i="29"/>
  <c r="AP77" i="29"/>
  <c r="AP118" i="29"/>
  <c r="AQ117" i="29"/>
  <c r="AQ65" i="29"/>
  <c r="AP66" i="29"/>
  <c r="AS140" i="29"/>
  <c r="AT139" i="29"/>
  <c r="AS144" i="29"/>
  <c r="AT143" i="29"/>
  <c r="AS135" i="29"/>
  <c r="AR136" i="29"/>
  <c r="AQ128" i="29"/>
  <c r="AR126" i="29" s="1"/>
  <c r="AR127" i="29"/>
  <c r="AS147" i="29"/>
  <c r="AR148" i="29"/>
  <c r="AT142" i="29"/>
  <c r="AU141" i="29"/>
  <c r="AS129" i="29"/>
  <c r="AR130" i="29"/>
  <c r="AR133" i="29"/>
  <c r="AQ134" i="29"/>
  <c r="AR146" i="29"/>
  <c r="AS145" i="29"/>
  <c r="AS131" i="29"/>
  <c r="AR132" i="29"/>
  <c r="AS138" i="29"/>
  <c r="AT137" i="29"/>
  <c r="AV54" i="29" l="1"/>
  <c r="AW53" i="29"/>
  <c r="AV123" i="29"/>
  <c r="AU124" i="29"/>
  <c r="AU44" i="29"/>
  <c r="AV43" i="29"/>
  <c r="AU72" i="29"/>
  <c r="AV71" i="29"/>
  <c r="AU58" i="29"/>
  <c r="AV57" i="29"/>
  <c r="AQ96" i="29"/>
  <c r="AQ7" i="29" s="1"/>
  <c r="AR95" i="29"/>
  <c r="AO48" i="29"/>
  <c r="AO9" i="29" s="1"/>
  <c r="AQ8" i="29"/>
  <c r="AP122" i="29"/>
  <c r="AQ121" i="29"/>
  <c r="AQ49" i="29"/>
  <c r="AP50" i="29"/>
  <c r="AP42" i="29"/>
  <c r="AQ41" i="29"/>
  <c r="AP100" i="29"/>
  <c r="AR117" i="29"/>
  <c r="AQ118" i="29"/>
  <c r="AR81" i="29"/>
  <c r="AQ82" i="29"/>
  <c r="AQ115" i="29"/>
  <c r="AP116" i="29"/>
  <c r="AQ56" i="29"/>
  <c r="AR55" i="29"/>
  <c r="AN5" i="29"/>
  <c r="AM4" i="29"/>
  <c r="AQ103" i="29"/>
  <c r="AP104" i="29"/>
  <c r="AP88" i="29"/>
  <c r="AQ87" i="29"/>
  <c r="AQ93" i="29"/>
  <c r="AP94" i="29"/>
  <c r="AR101" i="29"/>
  <c r="AQ102" i="29"/>
  <c r="AQ108" i="29"/>
  <c r="AR107" i="29"/>
  <c r="AQ86" i="29"/>
  <c r="AR85" i="29"/>
  <c r="AP90" i="29"/>
  <c r="AQ89" i="29"/>
  <c r="AR111" i="29"/>
  <c r="AQ112" i="29"/>
  <c r="AP68" i="29"/>
  <c r="AQ67" i="29"/>
  <c r="AP106" i="29"/>
  <c r="AQ105" i="29"/>
  <c r="AW149" i="29"/>
  <c r="AV150" i="29"/>
  <c r="D49" i="30"/>
  <c r="D48" i="30"/>
  <c r="D46" i="30"/>
  <c r="D47" i="30" s="1"/>
  <c r="AP80" i="29"/>
  <c r="AQ79" i="29"/>
  <c r="AQ77" i="29"/>
  <c r="AP78" i="29"/>
  <c r="AQ109" i="29"/>
  <c r="AP110" i="29"/>
  <c r="D42" i="30"/>
  <c r="D41" i="30"/>
  <c r="D39" i="30"/>
  <c r="D40" i="30" s="1"/>
  <c r="AR39" i="29"/>
  <c r="AQ40" i="29"/>
  <c r="AQ63" i="29"/>
  <c r="AQ64" i="29" s="1"/>
  <c r="AR70" i="29"/>
  <c r="AS69" i="29"/>
  <c r="AQ83" i="29"/>
  <c r="AP84" i="29"/>
  <c r="AR92" i="29"/>
  <c r="AS91" i="29"/>
  <c r="AT35" i="29"/>
  <c r="AS36" i="29"/>
  <c r="AQ66" i="29"/>
  <c r="AR65" i="29"/>
  <c r="AQ51" i="29"/>
  <c r="AP52" i="29"/>
  <c r="AP38" i="29"/>
  <c r="AP34" i="29" s="1"/>
  <c r="AQ37" i="29"/>
  <c r="AQ119" i="29"/>
  <c r="AP120" i="29"/>
  <c r="AR113" i="29"/>
  <c r="AQ114" i="29"/>
  <c r="AT129" i="29"/>
  <c r="AS130" i="29"/>
  <c r="AV141" i="29"/>
  <c r="AU142" i="29"/>
  <c r="AR128" i="29"/>
  <c r="AS126" i="29" s="1"/>
  <c r="AS127" i="29"/>
  <c r="AT131" i="29"/>
  <c r="AS132" i="29"/>
  <c r="AT135" i="29"/>
  <c r="AS136" i="29"/>
  <c r="AU137" i="29"/>
  <c r="AT138" i="29"/>
  <c r="AT145" i="29"/>
  <c r="AS146" i="29"/>
  <c r="AU143" i="29"/>
  <c r="AT144" i="29"/>
  <c r="AT140" i="29"/>
  <c r="AU139" i="29"/>
  <c r="AT147" i="29"/>
  <c r="AS148" i="29"/>
  <c r="AR134" i="29"/>
  <c r="AS133" i="29"/>
  <c r="AW54" i="29" l="1"/>
  <c r="AX53" i="29"/>
  <c r="AW71" i="29"/>
  <c r="AV72" i="29"/>
  <c r="AV58" i="29"/>
  <c r="AW57" i="29"/>
  <c r="AV44" i="29"/>
  <c r="AW43" i="29"/>
  <c r="AV124" i="29"/>
  <c r="AW123" i="29"/>
  <c r="AR96" i="29"/>
  <c r="AR7" i="29" s="1"/>
  <c r="AS95" i="29"/>
  <c r="AP48" i="29"/>
  <c r="AP9" i="29" s="1"/>
  <c r="AQ122" i="29"/>
  <c r="AR121" i="29"/>
  <c r="AR8" i="29"/>
  <c r="AR49" i="29"/>
  <c r="AQ50" i="29"/>
  <c r="AQ42" i="29"/>
  <c r="AR41" i="29"/>
  <c r="AQ100" i="29"/>
  <c r="AQ120" i="29"/>
  <c r="AR119" i="29"/>
  <c r="AU35" i="29"/>
  <c r="AT36" i="29"/>
  <c r="AX149" i="29"/>
  <c r="AW150" i="29"/>
  <c r="AQ110" i="29"/>
  <c r="AR109" i="29"/>
  <c r="AR37" i="29"/>
  <c r="AQ38" i="29"/>
  <c r="AQ34" i="29" s="1"/>
  <c r="AS92" i="29"/>
  <c r="AT91" i="29"/>
  <c r="AR77" i="29"/>
  <c r="AQ78" i="29"/>
  <c r="AQ106" i="29"/>
  <c r="AR105" i="29"/>
  <c r="AS85" i="29"/>
  <c r="AR86" i="29"/>
  <c r="AS101" i="29"/>
  <c r="AR102" i="29"/>
  <c r="AQ104" i="29"/>
  <c r="AR103" i="29"/>
  <c r="AR63" i="29"/>
  <c r="AR64" i="29" s="1"/>
  <c r="AR40" i="29"/>
  <c r="AS39" i="29"/>
  <c r="AR79" i="29"/>
  <c r="AQ80" i="29"/>
  <c r="AS81" i="29"/>
  <c r="AR82" i="29"/>
  <c r="AQ68" i="29"/>
  <c r="AR67" i="29"/>
  <c r="AR108" i="29"/>
  <c r="AS107" i="29"/>
  <c r="AR93" i="29"/>
  <c r="AQ94" i="29"/>
  <c r="AO5" i="29"/>
  <c r="AN4" i="29"/>
  <c r="AR89" i="29"/>
  <c r="AQ90" i="29"/>
  <c r="AQ52" i="29"/>
  <c r="AR51" i="29"/>
  <c r="AQ84" i="29"/>
  <c r="AR83" i="29"/>
  <c r="AQ88" i="29"/>
  <c r="AR87" i="29"/>
  <c r="AR56" i="29"/>
  <c r="AS55" i="29"/>
  <c r="AR66" i="29"/>
  <c r="AS65" i="29"/>
  <c r="AT69" i="29"/>
  <c r="AS70" i="29"/>
  <c r="AQ116" i="29"/>
  <c r="AR115" i="29"/>
  <c r="AR114" i="29"/>
  <c r="AS113" i="29"/>
  <c r="AR112" i="29"/>
  <c r="AS111" i="29"/>
  <c r="AS117" i="29"/>
  <c r="AR118" i="29"/>
  <c r="AU144" i="29"/>
  <c r="AV143" i="29"/>
  <c r="AU131" i="29"/>
  <c r="AT132" i="29"/>
  <c r="AT133" i="29"/>
  <c r="AS134" i="29"/>
  <c r="AS128" i="29"/>
  <c r="AT126" i="29" s="1"/>
  <c r="AT127" i="29"/>
  <c r="AU129" i="29"/>
  <c r="AT130" i="29"/>
  <c r="AU145" i="29"/>
  <c r="AT146" i="29"/>
  <c r="AU135" i="29"/>
  <c r="AT136" i="29"/>
  <c r="AU147" i="29"/>
  <c r="AT148" i="29"/>
  <c r="AV137" i="29"/>
  <c r="AU138" i="29"/>
  <c r="AV142" i="29"/>
  <c r="AW141" i="29"/>
  <c r="AV139" i="29"/>
  <c r="AU140" i="29"/>
  <c r="AX54" i="29" l="1"/>
  <c r="AY53" i="29"/>
  <c r="AW44" i="29"/>
  <c r="AX43" i="29"/>
  <c r="AX123" i="29"/>
  <c r="AW124" i="29"/>
  <c r="AW58" i="29"/>
  <c r="AX57" i="29"/>
  <c r="AW72" i="29"/>
  <c r="AX71" i="29"/>
  <c r="AS96" i="29"/>
  <c r="AS7" i="29" s="1"/>
  <c r="AT95" i="29"/>
  <c r="AQ48" i="29"/>
  <c r="AQ9" i="29" s="1"/>
  <c r="AS8" i="29"/>
  <c r="AR122" i="29"/>
  <c r="AS121" i="29"/>
  <c r="AR50" i="29"/>
  <c r="AS49" i="29"/>
  <c r="AR42" i="29"/>
  <c r="AS41" i="29"/>
  <c r="AR100" i="29"/>
  <c r="AU69" i="29"/>
  <c r="AT70" i="29"/>
  <c r="AP5" i="29"/>
  <c r="AO4" i="29"/>
  <c r="AO3" i="29" s="1"/>
  <c r="AS103" i="29"/>
  <c r="AR104" i="29"/>
  <c r="AS112" i="29"/>
  <c r="AT111" i="29"/>
  <c r="AS66" i="29"/>
  <c r="AT65" i="29"/>
  <c r="AS51" i="29"/>
  <c r="AR52" i="29"/>
  <c r="AS82" i="29"/>
  <c r="AT81" i="29"/>
  <c r="AR78" i="29"/>
  <c r="AS77" i="29"/>
  <c r="AS93" i="29"/>
  <c r="AR94" i="29"/>
  <c r="AT92" i="29"/>
  <c r="AU91" i="29"/>
  <c r="AY149" i="29"/>
  <c r="AX150" i="29"/>
  <c r="AS114" i="29"/>
  <c r="AT113" i="29"/>
  <c r="AT55" i="29"/>
  <c r="AS56" i="29"/>
  <c r="AT107" i="29"/>
  <c r="AS108" i="29"/>
  <c r="AS79" i="29"/>
  <c r="AR80" i="29"/>
  <c r="AT101" i="29"/>
  <c r="AS102" i="29"/>
  <c r="AR84" i="29"/>
  <c r="AS83" i="29"/>
  <c r="AT117" i="29"/>
  <c r="AS118" i="29"/>
  <c r="AS89" i="29"/>
  <c r="AR90" i="29"/>
  <c r="AT39" i="29"/>
  <c r="AS40" i="29"/>
  <c r="AU36" i="29"/>
  <c r="AV35" i="29"/>
  <c r="AS115" i="29"/>
  <c r="AR116" i="29"/>
  <c r="AS87" i="29"/>
  <c r="AR88" i="29"/>
  <c r="AR68" i="29"/>
  <c r="AS67" i="29"/>
  <c r="AS86" i="29"/>
  <c r="AT85" i="29"/>
  <c r="AS37" i="29"/>
  <c r="AR38" i="29"/>
  <c r="AR34" i="29" s="1"/>
  <c r="AR120" i="29"/>
  <c r="AS119" i="29"/>
  <c r="AS63" i="29"/>
  <c r="AS64" i="29" s="1"/>
  <c r="AS105" i="29"/>
  <c r="AR106" i="29"/>
  <c r="AS109" i="29"/>
  <c r="AR110" i="29"/>
  <c r="AV140" i="29"/>
  <c r="AW139" i="29"/>
  <c r="AU136" i="29"/>
  <c r="AV135" i="29"/>
  <c r="AU133" i="29"/>
  <c r="AT134" i="29"/>
  <c r="AX141" i="29"/>
  <c r="AW142" i="29"/>
  <c r="AV145" i="29"/>
  <c r="AU146" i="29"/>
  <c r="AV131" i="29"/>
  <c r="AU132" i="29"/>
  <c r="AW143" i="29"/>
  <c r="AV144" i="29"/>
  <c r="AV129" i="29"/>
  <c r="AU130" i="29"/>
  <c r="AV138" i="29"/>
  <c r="AW137" i="29"/>
  <c r="AT128" i="29"/>
  <c r="AU126" i="29" s="1"/>
  <c r="AU127" i="29"/>
  <c r="AV147" i="29"/>
  <c r="AU148" i="29"/>
  <c r="AY54" i="29" l="1"/>
  <c r="AZ53" i="29"/>
  <c r="AX58" i="29"/>
  <c r="AY57" i="29"/>
  <c r="AX72" i="29"/>
  <c r="AY71" i="29"/>
  <c r="AX124" i="29"/>
  <c r="AY123" i="29"/>
  <c r="AY43" i="29"/>
  <c r="AX44" i="29"/>
  <c r="AT96" i="29"/>
  <c r="AT7" i="29" s="1"/>
  <c r="AU95" i="29"/>
  <c r="AR48" i="29"/>
  <c r="AR9" i="29" s="1"/>
  <c r="AS122" i="29"/>
  <c r="AT121" i="29"/>
  <c r="AT8" i="29"/>
  <c r="AS50" i="29"/>
  <c r="AT49" i="29"/>
  <c r="AT41" i="29"/>
  <c r="AS42" i="29"/>
  <c r="AS100" i="29"/>
  <c r="AT63" i="29"/>
  <c r="AT64" i="29" s="1"/>
  <c r="AS68" i="29"/>
  <c r="AT67" i="29"/>
  <c r="AV91" i="29"/>
  <c r="AU92" i="29"/>
  <c r="AU117" i="29"/>
  <c r="AT118" i="29"/>
  <c r="AT108" i="29"/>
  <c r="AU107" i="29"/>
  <c r="AT82" i="29"/>
  <c r="AU81" i="29"/>
  <c r="AT89" i="29"/>
  <c r="AS90" i="29"/>
  <c r="AZ149" i="29"/>
  <c r="AY150" i="29"/>
  <c r="AT112" i="29"/>
  <c r="AU111" i="29"/>
  <c r="AS120" i="29"/>
  <c r="AT119" i="29"/>
  <c r="AV36" i="29"/>
  <c r="AW35" i="29"/>
  <c r="AT83" i="29"/>
  <c r="AS84" i="29"/>
  <c r="AS104" i="29"/>
  <c r="AT103" i="29"/>
  <c r="AT115" i="29"/>
  <c r="AS116" i="29"/>
  <c r="AT79" i="29"/>
  <c r="AS80" i="29"/>
  <c r="AS78" i="29"/>
  <c r="AT77" i="29"/>
  <c r="AT56" i="29"/>
  <c r="AU55" i="29"/>
  <c r="AU113" i="29"/>
  <c r="AT114" i="29"/>
  <c r="AT93" i="29"/>
  <c r="AS94" i="29"/>
  <c r="AS52" i="29"/>
  <c r="AT51" i="29"/>
  <c r="AQ5" i="29"/>
  <c r="AP4" i="29"/>
  <c r="AS110" i="29"/>
  <c r="AT109" i="29"/>
  <c r="AS38" i="29"/>
  <c r="AS34" i="29" s="1"/>
  <c r="AT37" i="29"/>
  <c r="AS88" i="29"/>
  <c r="AT87" i="29"/>
  <c r="AT40" i="29"/>
  <c r="AU39" i="29"/>
  <c r="AU101" i="29"/>
  <c r="AT102" i="29"/>
  <c r="AT66" i="29"/>
  <c r="AU65" i="29"/>
  <c r="AS106" i="29"/>
  <c r="AT105" i="29"/>
  <c r="AT86" i="29"/>
  <c r="AU85" i="29"/>
  <c r="AU70" i="29"/>
  <c r="AV69" i="29"/>
  <c r="AW129" i="29"/>
  <c r="AV130" i="29"/>
  <c r="AX142" i="29"/>
  <c r="AY141" i="29"/>
  <c r="AV148" i="29"/>
  <c r="AW147" i="29"/>
  <c r="AX143" i="29"/>
  <c r="AW144" i="29"/>
  <c r="AV133" i="29"/>
  <c r="AU134" i="29"/>
  <c r="AU128" i="29"/>
  <c r="AV126" i="29" s="1"/>
  <c r="AV127" i="29"/>
  <c r="AW135" i="29"/>
  <c r="AV136" i="29"/>
  <c r="AV132" i="29"/>
  <c r="AW131" i="29"/>
  <c r="AX137" i="29"/>
  <c r="AW138" i="29"/>
  <c r="AX139" i="29"/>
  <c r="AW140" i="29"/>
  <c r="AW145" i="29"/>
  <c r="AV146" i="29"/>
  <c r="AZ54" i="29" l="1"/>
  <c r="BA53" i="29"/>
  <c r="AY124" i="29"/>
  <c r="AZ123" i="29"/>
  <c r="AY44" i="29"/>
  <c r="AZ43" i="29"/>
  <c r="AY72" i="29"/>
  <c r="AZ71" i="29"/>
  <c r="AY58" i="29"/>
  <c r="AZ57" i="29"/>
  <c r="AU96" i="29"/>
  <c r="AU7" i="29" s="1"/>
  <c r="E12" i="30" s="1"/>
  <c r="AV95" i="29"/>
  <c r="AU8" i="29"/>
  <c r="E13" i="30" s="1"/>
  <c r="AU121" i="29"/>
  <c r="AT122" i="29"/>
  <c r="AS48" i="29"/>
  <c r="AS9" i="29" s="1"/>
  <c r="AT50" i="29"/>
  <c r="AU49" i="29"/>
  <c r="AT42" i="29"/>
  <c r="AU41" i="29"/>
  <c r="AT100" i="29"/>
  <c r="AR5" i="29"/>
  <c r="AQ4" i="29"/>
  <c r="AW91" i="29"/>
  <c r="AV92" i="29"/>
  <c r="AU51" i="29"/>
  <c r="AT52" i="29"/>
  <c r="AU89" i="29"/>
  <c r="AT90" i="29"/>
  <c r="AU56" i="29"/>
  <c r="AV55" i="29"/>
  <c r="AW69" i="29"/>
  <c r="AV70" i="29"/>
  <c r="AU66" i="29"/>
  <c r="AU12" i="29" s="1"/>
  <c r="E23" i="30" s="1"/>
  <c r="AV65" i="29"/>
  <c r="AT38" i="29"/>
  <c r="AT34" i="29" s="1"/>
  <c r="AU37" i="29"/>
  <c r="AU77" i="29"/>
  <c r="AT78" i="29"/>
  <c r="AU112" i="29"/>
  <c r="AV111" i="29"/>
  <c r="AV107" i="29"/>
  <c r="AU108" i="29"/>
  <c r="AU119" i="29"/>
  <c r="AT120" i="29"/>
  <c r="AT84" i="29"/>
  <c r="AU83" i="29"/>
  <c r="AT68" i="29"/>
  <c r="AU67" i="29"/>
  <c r="AT104" i="29"/>
  <c r="AU103" i="29"/>
  <c r="AT94" i="29"/>
  <c r="AU93" i="29"/>
  <c r="AW36" i="29"/>
  <c r="AX35" i="29"/>
  <c r="AT116" i="29"/>
  <c r="AU115" i="29"/>
  <c r="AU105" i="29"/>
  <c r="AT106" i="29"/>
  <c r="AU82" i="29"/>
  <c r="AV81" i="29"/>
  <c r="AV101" i="29"/>
  <c r="AU102" i="29"/>
  <c r="AT110" i="29"/>
  <c r="AU109" i="29"/>
  <c r="AT80" i="29"/>
  <c r="AU79" i="29"/>
  <c r="BA149" i="29"/>
  <c r="AZ150" i="29"/>
  <c r="AV117" i="29"/>
  <c r="AU118" i="29"/>
  <c r="AU87" i="29"/>
  <c r="AT88" i="29"/>
  <c r="AU86" i="29"/>
  <c r="AV85" i="29"/>
  <c r="AV39" i="29"/>
  <c r="AU40" i="29"/>
  <c r="AU114" i="29"/>
  <c r="AU22" i="29" s="1"/>
  <c r="AV113" i="29"/>
  <c r="AU63" i="29"/>
  <c r="AU64" i="29" s="1"/>
  <c r="AW148" i="29"/>
  <c r="AX147" i="29"/>
  <c r="AX145" i="29"/>
  <c r="AW146" i="29"/>
  <c r="AX135" i="29"/>
  <c r="AW136" i="29"/>
  <c r="AV128" i="29"/>
  <c r="AW126" i="29" s="1"/>
  <c r="AW127" i="29"/>
  <c r="AZ141" i="29"/>
  <c r="AY142" i="29"/>
  <c r="AY139" i="29"/>
  <c r="AX140" i="29"/>
  <c r="AY143" i="29"/>
  <c r="AX144" i="29"/>
  <c r="AY137" i="29"/>
  <c r="AX138" i="29"/>
  <c r="AW133" i="29"/>
  <c r="AV134" i="29"/>
  <c r="AX129" i="29"/>
  <c r="AW130" i="29"/>
  <c r="AX131" i="29"/>
  <c r="AW132" i="29"/>
  <c r="BA54" i="29" l="1"/>
  <c r="BB53" i="29"/>
  <c r="AZ72" i="29"/>
  <c r="BA71" i="29"/>
  <c r="AZ58" i="29"/>
  <c r="BA57" i="29"/>
  <c r="BA43" i="29"/>
  <c r="AZ44" i="29"/>
  <c r="AZ124" i="29"/>
  <c r="BA123" i="29"/>
  <c r="E11" i="30"/>
  <c r="AV96" i="29"/>
  <c r="AV7" i="29" s="1"/>
  <c r="AW95" i="29"/>
  <c r="AT48" i="29"/>
  <c r="AT9" i="29" s="1"/>
  <c r="AV121" i="29"/>
  <c r="AU122" i="29"/>
  <c r="AV8" i="29"/>
  <c r="AU50" i="29"/>
  <c r="AV49" i="29"/>
  <c r="AU42" i="29"/>
  <c r="AV41" i="29"/>
  <c r="AU100" i="29"/>
  <c r="AU14" i="29" s="1"/>
  <c r="E16" i="30" s="1"/>
  <c r="AW65" i="29"/>
  <c r="AV66" i="29"/>
  <c r="AY35" i="29"/>
  <c r="AX36" i="29"/>
  <c r="AW111" i="29"/>
  <c r="AV112" i="29"/>
  <c r="AV115" i="29"/>
  <c r="AU116" i="29"/>
  <c r="AV108" i="29"/>
  <c r="AW107" i="29"/>
  <c r="AV40" i="29"/>
  <c r="AW39" i="29"/>
  <c r="BB149" i="29"/>
  <c r="BA150" i="29"/>
  <c r="AU84" i="29"/>
  <c r="AV83" i="29"/>
  <c r="AW70" i="29"/>
  <c r="AX69" i="29"/>
  <c r="AV51" i="29"/>
  <c r="AU52" i="29"/>
  <c r="AV63" i="29"/>
  <c r="AV64" i="29" s="1"/>
  <c r="AU11" i="29"/>
  <c r="E22" i="30" s="1"/>
  <c r="AV86" i="29"/>
  <c r="AW85" i="29"/>
  <c r="AV79" i="29"/>
  <c r="AU80" i="29"/>
  <c r="AW81" i="29"/>
  <c r="AV82" i="29"/>
  <c r="AV93" i="29"/>
  <c r="AU94" i="29"/>
  <c r="AV56" i="29"/>
  <c r="AW55" i="29"/>
  <c r="AW101" i="29"/>
  <c r="AV102" i="29"/>
  <c r="AU78" i="29"/>
  <c r="AV77" i="29"/>
  <c r="AW92" i="29"/>
  <c r="AX91" i="29"/>
  <c r="AW113" i="29"/>
  <c r="AV114" i="29"/>
  <c r="AV118" i="29"/>
  <c r="AW117" i="29"/>
  <c r="AU68" i="29"/>
  <c r="AV67" i="29"/>
  <c r="AU110" i="29"/>
  <c r="AV109" i="29"/>
  <c r="AV119" i="29"/>
  <c r="AU120" i="29"/>
  <c r="AU38" i="29"/>
  <c r="AU34" i="29" s="1"/>
  <c r="AV37" i="29"/>
  <c r="AV87" i="29"/>
  <c r="AU88" i="29"/>
  <c r="AU106" i="29"/>
  <c r="AV105" i="29"/>
  <c r="AV103" i="29"/>
  <c r="AU104" i="29"/>
  <c r="AU90" i="29"/>
  <c r="AV89" i="29"/>
  <c r="AS5" i="29"/>
  <c r="AR4" i="29"/>
  <c r="AR3" i="29" s="1"/>
  <c r="AY131" i="29"/>
  <c r="AX132" i="29"/>
  <c r="AY144" i="29"/>
  <c r="AZ143" i="29"/>
  <c r="AY129" i="29"/>
  <c r="AX130" i="29"/>
  <c r="AZ139" i="29"/>
  <c r="AY140" i="29"/>
  <c r="AY135" i="29"/>
  <c r="AX136" i="29"/>
  <c r="AX133" i="29"/>
  <c r="AW134" i="29"/>
  <c r="BA141" i="29"/>
  <c r="AZ142" i="29"/>
  <c r="AY145" i="29"/>
  <c r="AX146" i="29"/>
  <c r="AY147" i="29"/>
  <c r="AX148" i="29"/>
  <c r="AW128" i="29"/>
  <c r="AX126" i="29" s="1"/>
  <c r="AX127" i="29"/>
  <c r="AY138" i="29"/>
  <c r="AZ137" i="29"/>
  <c r="BB54" i="29" l="1"/>
  <c r="BC53" i="29"/>
  <c r="BA124" i="29"/>
  <c r="BB123" i="29"/>
  <c r="BA44" i="29"/>
  <c r="BB43" i="29"/>
  <c r="BA58" i="29"/>
  <c r="BB57" i="29"/>
  <c r="BB71" i="29"/>
  <c r="BA72" i="29"/>
  <c r="AW96" i="29"/>
  <c r="AW7" i="29" s="1"/>
  <c r="AX95" i="29"/>
  <c r="AW8" i="29"/>
  <c r="AW121" i="29"/>
  <c r="AV122" i="29"/>
  <c r="AU48" i="29"/>
  <c r="AU9" i="29" s="1"/>
  <c r="E15" i="30" s="1"/>
  <c r="E14" i="30" s="1"/>
  <c r="AV50" i="29"/>
  <c r="AW49" i="29"/>
  <c r="AV42" i="29"/>
  <c r="AW41" i="29"/>
  <c r="AU15" i="29"/>
  <c r="E24" i="30" s="1"/>
  <c r="AV100" i="29"/>
  <c r="AW109" i="29"/>
  <c r="AV110" i="29"/>
  <c r="AX111" i="29"/>
  <c r="AW112" i="29"/>
  <c r="AX101" i="29"/>
  <c r="AW102" i="29"/>
  <c r="AW79" i="29"/>
  <c r="AV80" i="29"/>
  <c r="AY69" i="29"/>
  <c r="AX70" i="29"/>
  <c r="AX39" i="29"/>
  <c r="AW40" i="29"/>
  <c r="AV106" i="29"/>
  <c r="AW105" i="29"/>
  <c r="AT5" i="29"/>
  <c r="AS4" i="29"/>
  <c r="AV88" i="29"/>
  <c r="AW87" i="29"/>
  <c r="AX55" i="29"/>
  <c r="AW56" i="29"/>
  <c r="AX85" i="29"/>
  <c r="AW86" i="29"/>
  <c r="AZ35" i="29"/>
  <c r="AY36" i="29"/>
  <c r="AV90" i="29"/>
  <c r="AW89" i="29"/>
  <c r="AX113" i="29"/>
  <c r="AW114" i="29"/>
  <c r="AV84" i="29"/>
  <c r="AW83" i="29"/>
  <c r="AX107" i="29"/>
  <c r="AW108" i="29"/>
  <c r="AW51" i="29"/>
  <c r="AV52" i="29"/>
  <c r="AW37" i="29"/>
  <c r="AV38" i="29"/>
  <c r="AV34" i="29" s="1"/>
  <c r="AW67" i="29"/>
  <c r="AV68" i="29"/>
  <c r="AY91" i="29"/>
  <c r="AX92" i="29"/>
  <c r="AW66" i="29"/>
  <c r="AX65" i="29"/>
  <c r="AV120" i="29"/>
  <c r="AW119" i="29"/>
  <c r="AW82" i="29"/>
  <c r="AX81" i="29"/>
  <c r="BC149" i="29"/>
  <c r="BB150" i="29"/>
  <c r="AW93" i="29"/>
  <c r="AV94" i="29"/>
  <c r="AW63" i="29"/>
  <c r="AW64" i="29" s="1"/>
  <c r="AV104" i="29"/>
  <c r="AW103" i="29"/>
  <c r="AX117" i="29"/>
  <c r="AW118" i="29"/>
  <c r="AW77" i="29"/>
  <c r="AV78" i="29"/>
  <c r="AW115" i="29"/>
  <c r="AV116" i="29"/>
  <c r="BB141" i="29"/>
  <c r="BA142" i="29"/>
  <c r="AY130" i="29"/>
  <c r="AZ129" i="29"/>
  <c r="AZ131" i="29"/>
  <c r="AY132" i="29"/>
  <c r="AX128" i="29"/>
  <c r="AY126" i="29" s="1"/>
  <c r="AY127" i="29"/>
  <c r="AY146" i="29"/>
  <c r="AZ145" i="29"/>
  <c r="BA137" i="29"/>
  <c r="AZ138" i="29"/>
  <c r="AX134" i="29"/>
  <c r="AY133" i="29"/>
  <c r="BA139" i="29"/>
  <c r="AZ140" i="29"/>
  <c r="BA143" i="29"/>
  <c r="AZ144" i="29"/>
  <c r="AZ147" i="29"/>
  <c r="AY148" i="29"/>
  <c r="AZ135" i="29"/>
  <c r="AY136" i="29"/>
  <c r="BC54" i="29" l="1"/>
  <c r="BD53" i="29"/>
  <c r="BB58" i="29"/>
  <c r="BC57" i="29"/>
  <c r="BC43" i="29"/>
  <c r="BB44" i="29"/>
  <c r="BB72" i="29"/>
  <c r="BC71" i="29"/>
  <c r="BC123" i="29"/>
  <c r="BB124" i="29"/>
  <c r="AX96" i="29"/>
  <c r="AX7" i="29" s="1"/>
  <c r="AY95" i="29"/>
  <c r="AV48" i="29"/>
  <c r="AV9" i="29" s="1"/>
  <c r="AW122" i="29"/>
  <c r="AX121" i="29"/>
  <c r="AX8" i="29"/>
  <c r="AW50" i="29"/>
  <c r="AX49" i="29"/>
  <c r="AW42" i="29"/>
  <c r="AX41" i="29"/>
  <c r="AU26" i="29"/>
  <c r="E19" i="30" s="1"/>
  <c r="AU10" i="29"/>
  <c r="E21" i="30" s="1"/>
  <c r="AW100" i="29"/>
  <c r="AW116" i="29"/>
  <c r="AX115" i="29"/>
  <c r="AY92" i="29"/>
  <c r="AZ91" i="29"/>
  <c r="AY107" i="29"/>
  <c r="AX108" i="29"/>
  <c r="AX40" i="29"/>
  <c r="AY39" i="29"/>
  <c r="AX82" i="29"/>
  <c r="AY81" i="29"/>
  <c r="AX83" i="29"/>
  <c r="AW84" i="29"/>
  <c r="AW88" i="29"/>
  <c r="AX87" i="29"/>
  <c r="AY111" i="29"/>
  <c r="AX112" i="29"/>
  <c r="AW78" i="29"/>
  <c r="AX77" i="29"/>
  <c r="AX63" i="29"/>
  <c r="AX64" i="29" s="1"/>
  <c r="AW68" i="29"/>
  <c r="AX67" i="29"/>
  <c r="BA35" i="29"/>
  <c r="AZ36" i="29"/>
  <c r="AZ69" i="29"/>
  <c r="AY70" i="29"/>
  <c r="AW120" i="29"/>
  <c r="AX119" i="29"/>
  <c r="AX109" i="29"/>
  <c r="AW110" i="29"/>
  <c r="AX118" i="29"/>
  <c r="AY117" i="29"/>
  <c r="AX93" i="29"/>
  <c r="AW94" i="29"/>
  <c r="AX37" i="29"/>
  <c r="AW38" i="29"/>
  <c r="AW34" i="29" s="1"/>
  <c r="AX114" i="29"/>
  <c r="AY113" i="29"/>
  <c r="AX86" i="29"/>
  <c r="AY85" i="29"/>
  <c r="AU5" i="29"/>
  <c r="AT4" i="29"/>
  <c r="AW80" i="29"/>
  <c r="AX79" i="29"/>
  <c r="AX103" i="29"/>
  <c r="AW104" i="29"/>
  <c r="AX66" i="29"/>
  <c r="AY65" i="29"/>
  <c r="AX89" i="29"/>
  <c r="AW90" i="29"/>
  <c r="AW106" i="29"/>
  <c r="AX105" i="29"/>
  <c r="BD149" i="29"/>
  <c r="BC150" i="29"/>
  <c r="AW52" i="29"/>
  <c r="AX51" i="29"/>
  <c r="AX56" i="29"/>
  <c r="AY55" i="29"/>
  <c r="AY101" i="29"/>
  <c r="AX102" i="29"/>
  <c r="BA138" i="29"/>
  <c r="BB137" i="29"/>
  <c r="BA135" i="29"/>
  <c r="AZ136" i="29"/>
  <c r="AZ133" i="29"/>
  <c r="AY134" i="29"/>
  <c r="AY128" i="29"/>
  <c r="AZ126" i="29" s="1"/>
  <c r="AZ127" i="29"/>
  <c r="BA131" i="29"/>
  <c r="AZ132" i="29"/>
  <c r="BA147" i="29"/>
  <c r="AZ148" i="29"/>
  <c r="BA129" i="29"/>
  <c r="AZ130" i="29"/>
  <c r="BA144" i="29"/>
  <c r="BB143" i="29"/>
  <c r="AZ146" i="29"/>
  <c r="BA145" i="29"/>
  <c r="BA140" i="29"/>
  <c r="BB139" i="29"/>
  <c r="BB142" i="29"/>
  <c r="BC141" i="29"/>
  <c r="BD54" i="29" l="1"/>
  <c r="BE53" i="29"/>
  <c r="BD123" i="29"/>
  <c r="BC124" i="29"/>
  <c r="BD71" i="29"/>
  <c r="BC72" i="29"/>
  <c r="BC44" i="29"/>
  <c r="BD43" i="29"/>
  <c r="BC58" i="29"/>
  <c r="BD57" i="29"/>
  <c r="AY96" i="29"/>
  <c r="AY7" i="29" s="1"/>
  <c r="AZ95" i="29"/>
  <c r="AW48" i="29"/>
  <c r="AW9" i="29" s="1"/>
  <c r="AY8" i="29"/>
  <c r="AY121" i="29"/>
  <c r="AX122" i="29"/>
  <c r="AX50" i="29"/>
  <c r="AY49" i="29"/>
  <c r="AX42" i="29"/>
  <c r="AY41" i="29"/>
  <c r="AX100" i="29"/>
  <c r="AU13" i="29"/>
  <c r="AU27" i="29" s="1"/>
  <c r="AZ101" i="29"/>
  <c r="AY102" i="29"/>
  <c r="AZ85" i="29"/>
  <c r="AY86" i="29"/>
  <c r="AZ117" i="29"/>
  <c r="AY118" i="29"/>
  <c r="AX78" i="29"/>
  <c r="AY77" i="29"/>
  <c r="AY82" i="29"/>
  <c r="AZ81" i="29"/>
  <c r="AZ92" i="29"/>
  <c r="BA91" i="29"/>
  <c r="AY56" i="29"/>
  <c r="AZ55" i="29"/>
  <c r="AX104" i="29"/>
  <c r="AY103" i="29"/>
  <c r="AZ70" i="29"/>
  <c r="BA69" i="29"/>
  <c r="AX106" i="29"/>
  <c r="AY105" i="29"/>
  <c r="AZ113" i="29"/>
  <c r="AY114" i="29"/>
  <c r="AY93" i="29"/>
  <c r="AX94" i="29"/>
  <c r="AX52" i="29"/>
  <c r="AY51" i="29"/>
  <c r="AY109" i="29"/>
  <c r="AX110" i="29"/>
  <c r="BB35" i="29"/>
  <c r="BA36" i="29"/>
  <c r="AZ111" i="29"/>
  <c r="AY112" i="29"/>
  <c r="AY83" i="29"/>
  <c r="AX84" i="29"/>
  <c r="AX80" i="29"/>
  <c r="AY79" i="29"/>
  <c r="AX120" i="29"/>
  <c r="AY119" i="29"/>
  <c r="AY67" i="29"/>
  <c r="AX68" i="29"/>
  <c r="AX88" i="29"/>
  <c r="AY87" i="29"/>
  <c r="AY40" i="29"/>
  <c r="AZ39" i="29"/>
  <c r="AZ107" i="29"/>
  <c r="AY108" i="29"/>
  <c r="AX90" i="29"/>
  <c r="AY89" i="29"/>
  <c r="AX38" i="29"/>
  <c r="AX34" i="29" s="1"/>
  <c r="AY37" i="29"/>
  <c r="AX116" i="29"/>
  <c r="AY115" i="29"/>
  <c r="E10" i="30"/>
  <c r="AV5" i="29"/>
  <c r="AU4" i="29"/>
  <c r="AU3" i="29" s="1"/>
  <c r="BD150" i="29"/>
  <c r="BE149" i="29"/>
  <c r="AZ65" i="29"/>
  <c r="AY66" i="29"/>
  <c r="AY63" i="29"/>
  <c r="AY64" i="29" s="1"/>
  <c r="BB129" i="29"/>
  <c r="BA130" i="29"/>
  <c r="BA133" i="29"/>
  <c r="AZ134" i="29"/>
  <c r="BB147" i="29"/>
  <c r="BA148" i="29"/>
  <c r="BB140" i="29"/>
  <c r="BC139" i="29"/>
  <c r="BB145" i="29"/>
  <c r="BA146" i="29"/>
  <c r="BB131" i="29"/>
  <c r="BA132" i="29"/>
  <c r="BB135" i="29"/>
  <c r="BA136" i="29"/>
  <c r="BC143" i="29"/>
  <c r="BB144" i="29"/>
  <c r="AZ128" i="29"/>
  <c r="BA126" i="29" s="1"/>
  <c r="BA127" i="29"/>
  <c r="BC137" i="29"/>
  <c r="BB138" i="29"/>
  <c r="BD141" i="29"/>
  <c r="BC142" i="29"/>
  <c r="BE54" i="29" l="1"/>
  <c r="BF53" i="29"/>
  <c r="BD44" i="29"/>
  <c r="BE43" i="29"/>
  <c r="BD58" i="29"/>
  <c r="BE57" i="29"/>
  <c r="BE71" i="29"/>
  <c r="BD72" i="29"/>
  <c r="BD124" i="29"/>
  <c r="BE123" i="29"/>
  <c r="AZ96" i="29"/>
  <c r="AZ7" i="29" s="1"/>
  <c r="BA95" i="29"/>
  <c r="AZ121" i="29"/>
  <c r="AY122" i="29"/>
  <c r="AZ8" i="29"/>
  <c r="AX48" i="29"/>
  <c r="AX9" i="29" s="1"/>
  <c r="AZ49" i="29"/>
  <c r="AY50" i="29"/>
  <c r="AZ41" i="29"/>
  <c r="AY42" i="29"/>
  <c r="E20" i="30"/>
  <c r="AY100" i="29"/>
  <c r="AZ83" i="29"/>
  <c r="AY84" i="29"/>
  <c r="AY110" i="29"/>
  <c r="AZ109" i="29"/>
  <c r="E18" i="30"/>
  <c r="AU28" i="29"/>
  <c r="E17" i="30" s="1"/>
  <c r="E31" i="30" s="1"/>
  <c r="BA55" i="29"/>
  <c r="AZ56" i="29"/>
  <c r="AZ63" i="29"/>
  <c r="AZ64" i="29" s="1"/>
  <c r="AW5" i="29"/>
  <c r="AV4" i="29"/>
  <c r="AY52" i="29"/>
  <c r="AZ51" i="29"/>
  <c r="AZ105" i="29"/>
  <c r="AY106" i="29"/>
  <c r="BA117" i="29"/>
  <c r="AZ118" i="29"/>
  <c r="E30" i="30"/>
  <c r="E44" i="30"/>
  <c r="E37" i="30"/>
  <c r="AZ108" i="29"/>
  <c r="BA107" i="29"/>
  <c r="AZ67" i="29"/>
  <c r="AY68" i="29"/>
  <c r="BA92" i="29"/>
  <c r="BB91" i="29"/>
  <c r="AY116" i="29"/>
  <c r="AZ115" i="29"/>
  <c r="AY120" i="29"/>
  <c r="AZ119" i="29"/>
  <c r="AZ86" i="29"/>
  <c r="BA85" i="29"/>
  <c r="AZ89" i="29"/>
  <c r="AY90" i="29"/>
  <c r="AZ87" i="29"/>
  <c r="AY88" i="29"/>
  <c r="AZ112" i="29"/>
  <c r="BA111" i="29"/>
  <c r="AY94" i="29"/>
  <c r="AZ93" i="29"/>
  <c r="BB69" i="29"/>
  <c r="BA70" i="29"/>
  <c r="AZ82" i="29"/>
  <c r="BA81" i="29"/>
  <c r="BA65" i="29"/>
  <c r="AZ66" i="29"/>
  <c r="AY38" i="29"/>
  <c r="AY34" i="29" s="1"/>
  <c r="AZ37" i="29"/>
  <c r="AZ40" i="29"/>
  <c r="BA39" i="29"/>
  <c r="AZ79" i="29"/>
  <c r="AY80" i="29"/>
  <c r="AZ102" i="29"/>
  <c r="BA101" i="29"/>
  <c r="BF149" i="29"/>
  <c r="BE150" i="29"/>
  <c r="BC35" i="29"/>
  <c r="BB36" i="29"/>
  <c r="AZ114" i="29"/>
  <c r="BA113" i="29"/>
  <c r="AY104" i="29"/>
  <c r="AZ103" i="29"/>
  <c r="AZ77" i="29"/>
  <c r="AY78" i="29"/>
  <c r="BD142" i="29"/>
  <c r="BE141" i="29"/>
  <c r="BC135" i="29"/>
  <c r="BB136" i="29"/>
  <c r="BC144" i="29"/>
  <c r="BD143" i="29"/>
  <c r="BD137" i="29"/>
  <c r="BC138" i="29"/>
  <c r="BC131" i="29"/>
  <c r="BB132" i="29"/>
  <c r="BC147" i="29"/>
  <c r="BB148" i="29"/>
  <c r="BC129" i="29"/>
  <c r="BB130" i="29"/>
  <c r="BA128" i="29"/>
  <c r="BB126" i="29" s="1"/>
  <c r="BB127" i="29"/>
  <c r="BC145" i="29"/>
  <c r="BB146" i="29"/>
  <c r="BB133" i="29"/>
  <c r="BA134" i="29"/>
  <c r="BC140" i="29"/>
  <c r="BD139" i="29"/>
  <c r="BF54" i="29" l="1"/>
  <c r="BG53" i="29"/>
  <c r="BE72" i="29"/>
  <c r="BF71" i="29"/>
  <c r="BE124" i="29"/>
  <c r="BF123" i="29"/>
  <c r="BE44" i="29"/>
  <c r="BF43" i="29"/>
  <c r="BF57" i="29"/>
  <c r="BE58" i="29"/>
  <c r="BA96" i="29"/>
  <c r="BA7" i="29" s="1"/>
  <c r="BB95" i="29"/>
  <c r="AY48" i="29"/>
  <c r="AY9" i="29" s="1"/>
  <c r="BA8" i="29"/>
  <c r="BA121" i="29"/>
  <c r="AZ122" i="29"/>
  <c r="BA49" i="29"/>
  <c r="AZ50" i="29"/>
  <c r="BA41" i="29"/>
  <c r="AZ42" i="29"/>
  <c r="AZ100" i="29"/>
  <c r="BA103" i="29"/>
  <c r="AZ104" i="29"/>
  <c r="BA66" i="29"/>
  <c r="BB65" i="29"/>
  <c r="BB111" i="29"/>
  <c r="BA112" i="29"/>
  <c r="AZ120" i="29"/>
  <c r="BA119" i="29"/>
  <c r="BB92" i="29"/>
  <c r="BC91" i="29"/>
  <c r="BA105" i="29"/>
  <c r="AZ106" i="29"/>
  <c r="BA56" i="29"/>
  <c r="BB55" i="29"/>
  <c r="BA114" i="29"/>
  <c r="BB113" i="29"/>
  <c r="BA51" i="29"/>
  <c r="AZ52" i="29"/>
  <c r="E35" i="30"/>
  <c r="E32" i="30"/>
  <c r="E33" i="30" s="1"/>
  <c r="E34" i="30"/>
  <c r="BB101" i="29"/>
  <c r="BA102" i="29"/>
  <c r="AZ80" i="29"/>
  <c r="BA79" i="29"/>
  <c r="BB81" i="29"/>
  <c r="BA82" i="29"/>
  <c r="E45" i="30"/>
  <c r="E38" i="30"/>
  <c r="BA40" i="29"/>
  <c r="BB39" i="29"/>
  <c r="BA87" i="29"/>
  <c r="AZ88" i="29"/>
  <c r="BA109" i="29"/>
  <c r="AZ110" i="29"/>
  <c r="BA108" i="29"/>
  <c r="BB107" i="29"/>
  <c r="BC36" i="29"/>
  <c r="BD35" i="29"/>
  <c r="BA115" i="29"/>
  <c r="AZ116" i="29"/>
  <c r="AX5" i="29"/>
  <c r="AW4" i="29"/>
  <c r="BA37" i="29"/>
  <c r="AZ38" i="29"/>
  <c r="AZ34" i="29" s="1"/>
  <c r="BC69" i="29"/>
  <c r="BB70" i="29"/>
  <c r="AZ90" i="29"/>
  <c r="BA89" i="29"/>
  <c r="AZ78" i="29"/>
  <c r="BA77" i="29"/>
  <c r="BG149" i="29"/>
  <c r="BF150" i="29"/>
  <c r="AZ94" i="29"/>
  <c r="BA93" i="29"/>
  <c r="BB85" i="29"/>
  <c r="BA86" i="29"/>
  <c r="AZ68" i="29"/>
  <c r="BA67" i="29"/>
  <c r="BB117" i="29"/>
  <c r="BA118" i="29"/>
  <c r="BA63" i="29"/>
  <c r="BA64" i="29" s="1"/>
  <c r="AZ84" i="29"/>
  <c r="BA83" i="29"/>
  <c r="BD145" i="29"/>
  <c r="BC146" i="29"/>
  <c r="BD129" i="29"/>
  <c r="BC130" i="29"/>
  <c r="BC136" i="29"/>
  <c r="BD135" i="29"/>
  <c r="BD140" i="29"/>
  <c r="BE139" i="29"/>
  <c r="BC133" i="29"/>
  <c r="BB134" i="29"/>
  <c r="BD147" i="29"/>
  <c r="BC148" i="29"/>
  <c r="BD131" i="29"/>
  <c r="BC132" i="29"/>
  <c r="BE143" i="29"/>
  <c r="BD144" i="29"/>
  <c r="BB128" i="29"/>
  <c r="BC126" i="29" s="1"/>
  <c r="BC127" i="29"/>
  <c r="BF141" i="29"/>
  <c r="BE142" i="29"/>
  <c r="BD138" i="29"/>
  <c r="BE137" i="29"/>
  <c r="BG54" i="29" l="1"/>
  <c r="BH53" i="29"/>
  <c r="BF58" i="29"/>
  <c r="BG57" i="29"/>
  <c r="BG43" i="29"/>
  <c r="BF44" i="29"/>
  <c r="BG123" i="29"/>
  <c r="BF124" i="29"/>
  <c r="BG71" i="29"/>
  <c r="BF72" i="29"/>
  <c r="BB96" i="29"/>
  <c r="BB7" i="29" s="1"/>
  <c r="BC95" i="29"/>
  <c r="AZ48" i="29"/>
  <c r="AZ9" i="29" s="1"/>
  <c r="BA122" i="29"/>
  <c r="BB121" i="29"/>
  <c r="BB8" i="29"/>
  <c r="BA50" i="29"/>
  <c r="BB49" i="29"/>
  <c r="BA42" i="29"/>
  <c r="BB41" i="29"/>
  <c r="BA100" i="29"/>
  <c r="BA94" i="29"/>
  <c r="BB93" i="29"/>
  <c r="BB102" i="29"/>
  <c r="BC101" i="29"/>
  <c r="BB56" i="29"/>
  <c r="BC55" i="29"/>
  <c r="BB63" i="29"/>
  <c r="BB64" i="29" s="1"/>
  <c r="BC70" i="29"/>
  <c r="BD69" i="29"/>
  <c r="BA110" i="29"/>
  <c r="BB109" i="29"/>
  <c r="BC111" i="29"/>
  <c r="BB112" i="29"/>
  <c r="BB86" i="29"/>
  <c r="BC85" i="29"/>
  <c r="BC117" i="29"/>
  <c r="BB118" i="29"/>
  <c r="BB66" i="29"/>
  <c r="BC65" i="29"/>
  <c r="BA68" i="29"/>
  <c r="BB67" i="29"/>
  <c r="BG150" i="29"/>
  <c r="BH149" i="29"/>
  <c r="BB37" i="29"/>
  <c r="BA38" i="29"/>
  <c r="BA34" i="29" s="1"/>
  <c r="BB115" i="29"/>
  <c r="BA116" i="29"/>
  <c r="BA88" i="29"/>
  <c r="BB87" i="29"/>
  <c r="BB105" i="29"/>
  <c r="BA106" i="29"/>
  <c r="AY5" i="29"/>
  <c r="AX4" i="29"/>
  <c r="AX3" i="29" s="1"/>
  <c r="BA78" i="29"/>
  <c r="BB77" i="29"/>
  <c r="BD36" i="29"/>
  <c r="BE35" i="29"/>
  <c r="BB40" i="29"/>
  <c r="BC39" i="29"/>
  <c r="BC81" i="29"/>
  <c r="BB82" i="29"/>
  <c r="BC92" i="29"/>
  <c r="BD91" i="29"/>
  <c r="E49" i="30"/>
  <c r="E46" i="30"/>
  <c r="E47" i="30" s="1"/>
  <c r="E48" i="30"/>
  <c r="BA84" i="29"/>
  <c r="BB83" i="29"/>
  <c r="BA80" i="29"/>
  <c r="BB79" i="29"/>
  <c r="BA52" i="29"/>
  <c r="BB51" i="29"/>
  <c r="BB89" i="29"/>
  <c r="BA90" i="29"/>
  <c r="BC107" i="29"/>
  <c r="BB108" i="29"/>
  <c r="E42" i="30"/>
  <c r="E41" i="30"/>
  <c r="E39" i="30"/>
  <c r="E40" i="30" s="1"/>
  <c r="BB114" i="29"/>
  <c r="BC113" i="29"/>
  <c r="BB119" i="29"/>
  <c r="BA120" i="29"/>
  <c r="BA104" i="29"/>
  <c r="BB103" i="29"/>
  <c r="BD132" i="29"/>
  <c r="BE131" i="29"/>
  <c r="BE135" i="29"/>
  <c r="BD136" i="29"/>
  <c r="BE140" i="29"/>
  <c r="BF139" i="29"/>
  <c r="BF142" i="29"/>
  <c r="BG141" i="29"/>
  <c r="BC128" i="29"/>
  <c r="BD126" i="29" s="1"/>
  <c r="BD127" i="29"/>
  <c r="BD148" i="29"/>
  <c r="BE147" i="29"/>
  <c r="BE129" i="29"/>
  <c r="BD130" i="29"/>
  <c r="BF137" i="29"/>
  <c r="BE138" i="29"/>
  <c r="BF143" i="29"/>
  <c r="BE144" i="29"/>
  <c r="BD133" i="29"/>
  <c r="BC134" i="29"/>
  <c r="BE145" i="29"/>
  <c r="BD146" i="29"/>
  <c r="BH54" i="29" l="1"/>
  <c r="BI53" i="29"/>
  <c r="BG72" i="29"/>
  <c r="BH71" i="29"/>
  <c r="BG124" i="29"/>
  <c r="BH123" i="29"/>
  <c r="BG44" i="29"/>
  <c r="BH43" i="29"/>
  <c r="BH57" i="29"/>
  <c r="BG58" i="29"/>
  <c r="BC96" i="29"/>
  <c r="BC7" i="29" s="1"/>
  <c r="BD95" i="29"/>
  <c r="BA48" i="29"/>
  <c r="BA9" i="29" s="1"/>
  <c r="BC8" i="29"/>
  <c r="BB122" i="29"/>
  <c r="BC121" i="29"/>
  <c r="BC49" i="29"/>
  <c r="BB50" i="29"/>
  <c r="BC41" i="29"/>
  <c r="BB42" i="29"/>
  <c r="BB100" i="29"/>
  <c r="BD113" i="29"/>
  <c r="BC114" i="29"/>
  <c r="BB90" i="29"/>
  <c r="BC89" i="29"/>
  <c r="BC40" i="29"/>
  <c r="BD39" i="29"/>
  <c r="BC63" i="29"/>
  <c r="BC64" i="29" s="1"/>
  <c r="BB120" i="29"/>
  <c r="BC119" i="29"/>
  <c r="BB116" i="29"/>
  <c r="BC115" i="29"/>
  <c r="BC51" i="29"/>
  <c r="BB52" i="29"/>
  <c r="AZ5" i="29"/>
  <c r="AY4" i="29"/>
  <c r="BC37" i="29"/>
  <c r="BB38" i="29"/>
  <c r="BB34" i="29" s="1"/>
  <c r="BC109" i="29"/>
  <c r="BB110" i="29"/>
  <c r="BC56" i="29"/>
  <c r="BD55" i="29"/>
  <c r="BE36" i="29"/>
  <c r="BF35" i="29"/>
  <c r="BI149" i="29"/>
  <c r="BH150" i="29"/>
  <c r="BD117" i="29"/>
  <c r="BC118" i="29"/>
  <c r="BD81" i="29"/>
  <c r="BC82" i="29"/>
  <c r="BB80" i="29"/>
  <c r="BC79" i="29"/>
  <c r="BE91" i="29"/>
  <c r="BD92" i="29"/>
  <c r="BB106" i="29"/>
  <c r="BC105" i="29"/>
  <c r="BD85" i="29"/>
  <c r="BC86" i="29"/>
  <c r="BD101" i="29"/>
  <c r="BC102" i="29"/>
  <c r="BC103" i="29"/>
  <c r="BB104" i="29"/>
  <c r="BC87" i="29"/>
  <c r="BB88" i="29"/>
  <c r="BC67" i="29"/>
  <c r="BB68" i="29"/>
  <c r="BC66" i="29"/>
  <c r="BD65" i="29"/>
  <c r="BD70" i="29"/>
  <c r="BE69" i="29"/>
  <c r="BB94" i="29"/>
  <c r="BC93" i="29"/>
  <c r="BD107" i="29"/>
  <c r="BC108" i="29"/>
  <c r="BB84" i="29"/>
  <c r="BC83" i="29"/>
  <c r="BB78" i="29"/>
  <c r="BC77" i="29"/>
  <c r="BD111" i="29"/>
  <c r="BC112" i="29"/>
  <c r="BF145" i="29"/>
  <c r="BE146" i="29"/>
  <c r="BF129" i="29"/>
  <c r="BE130" i="29"/>
  <c r="BE148" i="29"/>
  <c r="BF147" i="29"/>
  <c r="BG139" i="29"/>
  <c r="BF140" i="29"/>
  <c r="BE133" i="29"/>
  <c r="BD134" i="29"/>
  <c r="BF135" i="29"/>
  <c r="BE136" i="29"/>
  <c r="BD128" i="29"/>
  <c r="BE126" i="29" s="1"/>
  <c r="BE127" i="29"/>
  <c r="BG143" i="29"/>
  <c r="BF144" i="29"/>
  <c r="BH141" i="29"/>
  <c r="BG142" i="29"/>
  <c r="BF131" i="29"/>
  <c r="BE132" i="29"/>
  <c r="BG137" i="29"/>
  <c r="BF138" i="29"/>
  <c r="BI54" i="29" l="1"/>
  <c r="BJ53" i="29"/>
  <c r="BH58" i="29"/>
  <c r="BI57" i="29"/>
  <c r="BI43" i="29"/>
  <c r="BH44" i="29"/>
  <c r="BH72" i="29"/>
  <c r="BI71" i="29"/>
  <c r="BH124" i="29"/>
  <c r="BI123" i="29"/>
  <c r="BD96" i="29"/>
  <c r="BD7" i="29" s="1"/>
  <c r="BE95" i="29"/>
  <c r="BB48" i="29"/>
  <c r="BB9" i="29" s="1"/>
  <c r="BD121" i="29"/>
  <c r="BC122" i="29"/>
  <c r="BD8" i="29"/>
  <c r="BC50" i="29"/>
  <c r="BD49" i="29"/>
  <c r="BC42" i="29"/>
  <c r="BD41" i="29"/>
  <c r="BC100" i="29"/>
  <c r="BD86" i="29"/>
  <c r="BE85" i="29"/>
  <c r="BE81" i="29"/>
  <c r="BD82" i="29"/>
  <c r="BD51" i="29"/>
  <c r="BC52" i="29"/>
  <c r="BD66" i="29"/>
  <c r="BE65" i="29"/>
  <c r="BC106" i="29"/>
  <c r="BD105" i="29"/>
  <c r="BC116" i="29"/>
  <c r="BD115" i="29"/>
  <c r="BD40" i="29"/>
  <c r="BE39" i="29"/>
  <c r="BD56" i="29"/>
  <c r="BE55" i="29"/>
  <c r="BD108" i="29"/>
  <c r="BE107" i="29"/>
  <c r="BC104" i="29"/>
  <c r="BD103" i="29"/>
  <c r="BE117" i="29"/>
  <c r="BD118" i="29"/>
  <c r="BD109" i="29"/>
  <c r="BC110" i="29"/>
  <c r="BC84" i="29"/>
  <c r="BD83" i="29"/>
  <c r="BD93" i="29"/>
  <c r="BC94" i="29"/>
  <c r="BC120" i="29"/>
  <c r="BD119" i="29"/>
  <c r="BC90" i="29"/>
  <c r="BD89" i="29"/>
  <c r="BC88" i="29"/>
  <c r="BD87" i="29"/>
  <c r="BE111" i="29"/>
  <c r="BD112" i="29"/>
  <c r="BE101" i="29"/>
  <c r="BD102" i="29"/>
  <c r="BE92" i="29"/>
  <c r="BF91" i="29"/>
  <c r="BJ149" i="29"/>
  <c r="BI150" i="29"/>
  <c r="BC38" i="29"/>
  <c r="BC34" i="29" s="1"/>
  <c r="BD37" i="29"/>
  <c r="BD77" i="29"/>
  <c r="BC78" i="29"/>
  <c r="BE70" i="29"/>
  <c r="BF69" i="29"/>
  <c r="BC68" i="29"/>
  <c r="BD67" i="29"/>
  <c r="BC80" i="29"/>
  <c r="BD79" i="29"/>
  <c r="BF36" i="29"/>
  <c r="BG35" i="29"/>
  <c r="BA5" i="29"/>
  <c r="AZ4" i="29"/>
  <c r="BD63" i="29"/>
  <c r="BD64" i="29" s="1"/>
  <c r="BE113" i="29"/>
  <c r="BD114" i="29"/>
  <c r="BG138" i="29"/>
  <c r="BH137" i="29"/>
  <c r="BG144" i="29"/>
  <c r="BH143" i="29"/>
  <c r="BG140" i="29"/>
  <c r="BH139" i="29"/>
  <c r="BE128" i="29"/>
  <c r="BF126" i="29" s="1"/>
  <c r="BF127" i="29"/>
  <c r="BG147" i="29"/>
  <c r="BF148" i="29"/>
  <c r="BG131" i="29"/>
  <c r="BF132" i="29"/>
  <c r="BI141" i="29"/>
  <c r="BH142" i="29"/>
  <c r="BG135" i="29"/>
  <c r="BF136" i="29"/>
  <c r="BG129" i="29"/>
  <c r="BF130" i="29"/>
  <c r="BF133" i="29"/>
  <c r="BE134" i="29"/>
  <c r="BG145" i="29"/>
  <c r="BF146" i="29"/>
  <c r="BJ54" i="29" l="1"/>
  <c r="BK53" i="29"/>
  <c r="BI72" i="29"/>
  <c r="BJ71" i="29"/>
  <c r="BI124" i="29"/>
  <c r="BJ123" i="29"/>
  <c r="BI44" i="29"/>
  <c r="BJ43" i="29"/>
  <c r="BI58" i="29"/>
  <c r="BJ57" i="29"/>
  <c r="BE96" i="29"/>
  <c r="BE7" i="29" s="1"/>
  <c r="BF95" i="29"/>
  <c r="BC48" i="29"/>
  <c r="BC9" i="29" s="1"/>
  <c r="BD100" i="29"/>
  <c r="BE8" i="29"/>
  <c r="BE121" i="29"/>
  <c r="BD122" i="29"/>
  <c r="BE49" i="29"/>
  <c r="BD50" i="29"/>
  <c r="BD42" i="29"/>
  <c r="BE41" i="29"/>
  <c r="BF70" i="29"/>
  <c r="BG69" i="29"/>
  <c r="BF92" i="29"/>
  <c r="BG91" i="29"/>
  <c r="BD90" i="29"/>
  <c r="BE89" i="29"/>
  <c r="BE83" i="29"/>
  <c r="BD84" i="29"/>
  <c r="BE108" i="29"/>
  <c r="BF107" i="29"/>
  <c r="BE105" i="29"/>
  <c r="BD106" i="29"/>
  <c r="BJ150" i="29"/>
  <c r="BK149" i="29"/>
  <c r="BE51" i="29"/>
  <c r="BD52" i="29"/>
  <c r="BB5" i="29"/>
  <c r="BA4" i="29"/>
  <c r="BA3" i="29" s="1"/>
  <c r="BE93" i="29"/>
  <c r="BD94" i="29"/>
  <c r="BG36" i="29"/>
  <c r="BH35" i="29"/>
  <c r="BD120" i="29"/>
  <c r="BE119" i="29"/>
  <c r="BE56" i="29"/>
  <c r="BF55" i="29"/>
  <c r="BE66" i="29"/>
  <c r="BF65" i="29"/>
  <c r="BF113" i="29"/>
  <c r="BE114" i="29"/>
  <c r="BE77" i="29"/>
  <c r="BD78" i="29"/>
  <c r="BF101" i="29"/>
  <c r="BE102" i="29"/>
  <c r="BE109" i="29"/>
  <c r="BD110" i="29"/>
  <c r="BE82" i="29"/>
  <c r="BF81" i="29"/>
  <c r="BE79" i="29"/>
  <c r="BD80" i="29"/>
  <c r="BE37" i="29"/>
  <c r="BD38" i="29"/>
  <c r="BD34" i="29" s="1"/>
  <c r="BF39" i="29"/>
  <c r="BE40" i="29"/>
  <c r="BE86" i="29"/>
  <c r="BF85" i="29"/>
  <c r="BE63" i="29"/>
  <c r="BE64" i="29" s="1"/>
  <c r="BF111" i="29"/>
  <c r="BE112" i="29"/>
  <c r="BE118" i="29"/>
  <c r="BF117" i="29"/>
  <c r="BD68" i="29"/>
  <c r="BE67" i="29"/>
  <c r="BD88" i="29"/>
  <c r="BE87" i="29"/>
  <c r="BE103" i="29"/>
  <c r="BD104" i="29"/>
  <c r="BD116" i="29"/>
  <c r="BE115" i="29"/>
  <c r="BH135" i="29"/>
  <c r="BG136" i="29"/>
  <c r="BI139" i="29"/>
  <c r="BH140" i="29"/>
  <c r="BF134" i="29"/>
  <c r="BG133" i="29"/>
  <c r="BJ141" i="29"/>
  <c r="BI142" i="29"/>
  <c r="BF128" i="29"/>
  <c r="BG126" i="29" s="1"/>
  <c r="BG127" i="29"/>
  <c r="BI143" i="29"/>
  <c r="BH144" i="29"/>
  <c r="BH131" i="29"/>
  <c r="BG132" i="29"/>
  <c r="BI137" i="29"/>
  <c r="BH138" i="29"/>
  <c r="BG146" i="29"/>
  <c r="BH145" i="29"/>
  <c r="BG130" i="29"/>
  <c r="BH129" i="29"/>
  <c r="BH147" i="29"/>
  <c r="BG148" i="29"/>
  <c r="BK54" i="29" l="1"/>
  <c r="BL53" i="29"/>
  <c r="BK43" i="29"/>
  <c r="BJ44" i="29"/>
  <c r="BK57" i="29"/>
  <c r="BJ58" i="29"/>
  <c r="BJ124" i="29"/>
  <c r="BK123" i="29"/>
  <c r="BJ72" i="29"/>
  <c r="BK71" i="29"/>
  <c r="BF96" i="29"/>
  <c r="BF7" i="29" s="1"/>
  <c r="BG95" i="29"/>
  <c r="BD48" i="29"/>
  <c r="BD9" i="29" s="1"/>
  <c r="BE122" i="29"/>
  <c r="BF121" i="29"/>
  <c r="BF8" i="29"/>
  <c r="BE50" i="29"/>
  <c r="BF49" i="29"/>
  <c r="BE42" i="29"/>
  <c r="BF41" i="29"/>
  <c r="BE100" i="29"/>
  <c r="BF67" i="29"/>
  <c r="BE68" i="29"/>
  <c r="BE38" i="29"/>
  <c r="BE34" i="29" s="1"/>
  <c r="BF37" i="29"/>
  <c r="BG101" i="29"/>
  <c r="BF102" i="29"/>
  <c r="BE106" i="29"/>
  <c r="BF105" i="29"/>
  <c r="BF63" i="29"/>
  <c r="BF64" i="29" s="1"/>
  <c r="BF86" i="29"/>
  <c r="BG85" i="29"/>
  <c r="BE120" i="29"/>
  <c r="BF119" i="29"/>
  <c r="BC5" i="29"/>
  <c r="BB4" i="29"/>
  <c r="BG107" i="29"/>
  <c r="BF108" i="29"/>
  <c r="BH69" i="29"/>
  <c r="BG70" i="29"/>
  <c r="BE116" i="29"/>
  <c r="BF115" i="29"/>
  <c r="BE80" i="29"/>
  <c r="BF79" i="29"/>
  <c r="BF77" i="29"/>
  <c r="BE78" i="29"/>
  <c r="BG92" i="29"/>
  <c r="BH91" i="29"/>
  <c r="BG117" i="29"/>
  <c r="BF118" i="29"/>
  <c r="BG81" i="29"/>
  <c r="BF82" i="29"/>
  <c r="BE52" i="29"/>
  <c r="BF51" i="29"/>
  <c r="BE94" i="29"/>
  <c r="BF93" i="29"/>
  <c r="BF114" i="29"/>
  <c r="BG113" i="29"/>
  <c r="BH36" i="29"/>
  <c r="BI35" i="29"/>
  <c r="BL149" i="29"/>
  <c r="BK150" i="29"/>
  <c r="BE84" i="29"/>
  <c r="BF83" i="29"/>
  <c r="BG55" i="29"/>
  <c r="BF56" i="29"/>
  <c r="BE104" i="29"/>
  <c r="BF103" i="29"/>
  <c r="BF66" i="29"/>
  <c r="BG65" i="29"/>
  <c r="BF89" i="29"/>
  <c r="BE90" i="29"/>
  <c r="BE88" i="29"/>
  <c r="BF87" i="29"/>
  <c r="BG111" i="29"/>
  <c r="BF112" i="29"/>
  <c r="BF40" i="29"/>
  <c r="BG39" i="29"/>
  <c r="BF109" i="29"/>
  <c r="BE110" i="29"/>
  <c r="BI147" i="29"/>
  <c r="BH148" i="29"/>
  <c r="BI131" i="29"/>
  <c r="BH132" i="29"/>
  <c r="BJ142" i="29"/>
  <c r="BK141" i="29"/>
  <c r="BI129" i="29"/>
  <c r="BH130" i="29"/>
  <c r="BH133" i="29"/>
  <c r="BG134" i="29"/>
  <c r="BH146" i="29"/>
  <c r="BI145" i="29"/>
  <c r="BI144" i="29"/>
  <c r="BJ143" i="29"/>
  <c r="BI140" i="29"/>
  <c r="BJ139" i="29"/>
  <c r="BG128" i="29"/>
  <c r="BH126" i="29" s="1"/>
  <c r="BH127" i="29"/>
  <c r="BI138" i="29"/>
  <c r="BJ137" i="29"/>
  <c r="BI135" i="29"/>
  <c r="BH136" i="29"/>
  <c r="BL54" i="29" l="1"/>
  <c r="BM53" i="29"/>
  <c r="BK124" i="29"/>
  <c r="BL123" i="29"/>
  <c r="BK72" i="29"/>
  <c r="BL71" i="29"/>
  <c r="BK58" i="29"/>
  <c r="BL57" i="29"/>
  <c r="BK44" i="29"/>
  <c r="BL43" i="29"/>
  <c r="BG96" i="29"/>
  <c r="BG7" i="29" s="1"/>
  <c r="F12" i="30" s="1"/>
  <c r="BH95" i="29"/>
  <c r="BG8" i="29"/>
  <c r="F13" i="30" s="1"/>
  <c r="BG121" i="29"/>
  <c r="BF122" i="29"/>
  <c r="BE48" i="29"/>
  <c r="BE9" i="29" s="1"/>
  <c r="BF50" i="29"/>
  <c r="BG49" i="29"/>
  <c r="BF42" i="29"/>
  <c r="BG41" i="29"/>
  <c r="BF100" i="29"/>
  <c r="BM149" i="29"/>
  <c r="BL150" i="29"/>
  <c r="BG103" i="29"/>
  <c r="BF104" i="29"/>
  <c r="BI36" i="29"/>
  <c r="BJ35" i="29"/>
  <c r="BG118" i="29"/>
  <c r="BH117" i="29"/>
  <c r="BF116" i="29"/>
  <c r="BG115" i="29"/>
  <c r="BF120" i="29"/>
  <c r="BG119" i="29"/>
  <c r="BD5" i="29"/>
  <c r="BC4" i="29"/>
  <c r="BG112" i="29"/>
  <c r="BH111" i="29"/>
  <c r="BG51" i="29"/>
  <c r="BF52" i="29"/>
  <c r="BH92" i="29"/>
  <c r="BI91" i="29"/>
  <c r="BH101" i="29"/>
  <c r="BG102" i="29"/>
  <c r="BG87" i="29"/>
  <c r="BF88" i="29"/>
  <c r="BH113" i="29"/>
  <c r="BG114" i="29"/>
  <c r="BG22" i="29" s="1"/>
  <c r="BG86" i="29"/>
  <c r="BH85" i="29"/>
  <c r="BG37" i="29"/>
  <c r="BF38" i="29"/>
  <c r="BF34" i="29" s="1"/>
  <c r="BH55" i="29"/>
  <c r="BG56" i="29"/>
  <c r="BH70" i="29"/>
  <c r="BI69" i="29"/>
  <c r="BG83" i="29"/>
  <c r="BF84" i="29"/>
  <c r="BG82" i="29"/>
  <c r="BH81" i="29"/>
  <c r="BG109" i="29"/>
  <c r="BF110" i="29"/>
  <c r="BF90" i="29"/>
  <c r="BG89" i="29"/>
  <c r="BG93" i="29"/>
  <c r="BF94" i="29"/>
  <c r="BG77" i="29"/>
  <c r="BF78" i="29"/>
  <c r="BG108" i="29"/>
  <c r="BH107" i="29"/>
  <c r="BG63" i="29"/>
  <c r="BG64" i="29" s="1"/>
  <c r="BF68" i="29"/>
  <c r="BG67" i="29"/>
  <c r="BG40" i="29"/>
  <c r="BH39" i="29"/>
  <c r="BG66" i="29"/>
  <c r="BG12" i="29" s="1"/>
  <c r="F23" i="30" s="1"/>
  <c r="BH65" i="29"/>
  <c r="BF80" i="29"/>
  <c r="BG79" i="29"/>
  <c r="BF106" i="29"/>
  <c r="BG105" i="29"/>
  <c r="BJ135" i="29"/>
  <c r="BI136" i="29"/>
  <c r="BJ129" i="29"/>
  <c r="BI130" i="29"/>
  <c r="BK137" i="29"/>
  <c r="BJ138" i="29"/>
  <c r="BJ145" i="29"/>
  <c r="BI146" i="29"/>
  <c r="BL141" i="29"/>
  <c r="BK142" i="29"/>
  <c r="BK143" i="29"/>
  <c r="BJ144" i="29"/>
  <c r="BH128" i="29"/>
  <c r="BI126" i="29" s="1"/>
  <c r="BI127" i="29"/>
  <c r="BJ131" i="29"/>
  <c r="BI132" i="29"/>
  <c r="BJ140" i="29"/>
  <c r="BK139" i="29"/>
  <c r="BI133" i="29"/>
  <c r="BH134" i="29"/>
  <c r="BJ147" i="29"/>
  <c r="BI148" i="29"/>
  <c r="BM54" i="29" l="1"/>
  <c r="BN53" i="29"/>
  <c r="BL58" i="29"/>
  <c r="BM57" i="29"/>
  <c r="BL44" i="29"/>
  <c r="BM43" i="29"/>
  <c r="BL72" i="29"/>
  <c r="BM71" i="29"/>
  <c r="BM123" i="29"/>
  <c r="BL124" i="29"/>
  <c r="F11" i="30"/>
  <c r="BH96" i="29"/>
  <c r="BH7" i="29" s="1"/>
  <c r="BI95" i="29"/>
  <c r="BF48" i="29"/>
  <c r="BF9" i="29" s="1"/>
  <c r="BH121" i="29"/>
  <c r="BG122" i="29"/>
  <c r="BH8" i="29"/>
  <c r="BG50" i="29"/>
  <c r="BH49" i="29"/>
  <c r="BG42" i="29"/>
  <c r="BH41" i="29"/>
  <c r="BG100" i="29"/>
  <c r="BG14" i="29" s="1"/>
  <c r="F16" i="30" s="1"/>
  <c r="BH66" i="29"/>
  <c r="BI65" i="29"/>
  <c r="BI107" i="29"/>
  <c r="BH108" i="29"/>
  <c r="BG90" i="29"/>
  <c r="BH89" i="29"/>
  <c r="BI70" i="29"/>
  <c r="BJ69" i="29"/>
  <c r="BJ91" i="29"/>
  <c r="BI92" i="29"/>
  <c r="BI113" i="29"/>
  <c r="BH114" i="29"/>
  <c r="BG120" i="29"/>
  <c r="BH119" i="29"/>
  <c r="BK35" i="29"/>
  <c r="BJ36" i="29"/>
  <c r="BH40" i="29"/>
  <c r="BI39" i="29"/>
  <c r="BD4" i="29"/>
  <c r="BD3" i="29" s="1"/>
  <c r="BE5" i="29"/>
  <c r="BH105" i="29"/>
  <c r="BG106" i="29"/>
  <c r="BG78" i="29"/>
  <c r="BH77" i="29"/>
  <c r="BH109" i="29"/>
  <c r="BG110" i="29"/>
  <c r="BH56" i="29"/>
  <c r="BI55" i="29"/>
  <c r="BG88" i="29"/>
  <c r="BH87" i="29"/>
  <c r="BH51" i="29"/>
  <c r="BG52" i="29"/>
  <c r="BG116" i="29"/>
  <c r="BH115" i="29"/>
  <c r="BI101" i="29"/>
  <c r="BH102" i="29"/>
  <c r="BH67" i="29"/>
  <c r="BG68" i="29"/>
  <c r="BH82" i="29"/>
  <c r="BI81" i="29"/>
  <c r="BH112" i="29"/>
  <c r="BI111" i="29"/>
  <c r="BH103" i="29"/>
  <c r="BG104" i="29"/>
  <c r="BG94" i="29"/>
  <c r="BH93" i="29"/>
  <c r="BH79" i="29"/>
  <c r="BG80" i="29"/>
  <c r="BH37" i="29"/>
  <c r="BG38" i="29"/>
  <c r="BG34" i="29" s="1"/>
  <c r="BH118" i="29"/>
  <c r="BI117" i="29"/>
  <c r="BH83" i="29"/>
  <c r="BG84" i="29"/>
  <c r="BG11" i="29"/>
  <c r="F22" i="30" s="1"/>
  <c r="BH63" i="29"/>
  <c r="BH64" i="29" s="1"/>
  <c r="BI85" i="29"/>
  <c r="BH86" i="29"/>
  <c r="BN149" i="29"/>
  <c r="BM150" i="29"/>
  <c r="BK147" i="29"/>
  <c r="BJ148" i="29"/>
  <c r="BK145" i="29"/>
  <c r="BJ146" i="29"/>
  <c r="BI128" i="29"/>
  <c r="BJ126" i="29" s="1"/>
  <c r="BJ127" i="29"/>
  <c r="BL137" i="29"/>
  <c r="BK138" i="29"/>
  <c r="BK140" i="29"/>
  <c r="BL139" i="29"/>
  <c r="BK144" i="29"/>
  <c r="BL143" i="29"/>
  <c r="BK129" i="29"/>
  <c r="BJ130" i="29"/>
  <c r="BJ133" i="29"/>
  <c r="BI134" i="29"/>
  <c r="BK131" i="29"/>
  <c r="BJ132" i="29"/>
  <c r="BL142" i="29"/>
  <c r="BM141" i="29"/>
  <c r="BK135" i="29"/>
  <c r="BJ136" i="29"/>
  <c r="BN54" i="29" l="1"/>
  <c r="BO53" i="29"/>
  <c r="BN71" i="29"/>
  <c r="BM72" i="29"/>
  <c r="BM124" i="29"/>
  <c r="BN123" i="29"/>
  <c r="BM58" i="29"/>
  <c r="BN57" i="29"/>
  <c r="BM44" i="29"/>
  <c r="BN43" i="29"/>
  <c r="BI96" i="29"/>
  <c r="BI7" i="29" s="1"/>
  <c r="BJ95" i="29"/>
  <c r="BG48" i="29"/>
  <c r="BG9" i="29" s="1"/>
  <c r="BG10" i="29" s="1"/>
  <c r="BI8" i="29"/>
  <c r="BI121" i="29"/>
  <c r="BH122" i="29"/>
  <c r="BI49" i="29"/>
  <c r="BH50" i="29"/>
  <c r="BI41" i="29"/>
  <c r="BH42" i="29"/>
  <c r="BH100" i="29"/>
  <c r="BG15" i="29"/>
  <c r="F24" i="30" s="1"/>
  <c r="BJ101" i="29"/>
  <c r="BI102" i="29"/>
  <c r="BI114" i="29"/>
  <c r="BJ113" i="29"/>
  <c r="BI112" i="29"/>
  <c r="BJ111" i="29"/>
  <c r="BH84" i="29"/>
  <c r="BI83" i="29"/>
  <c r="BJ81" i="29"/>
  <c r="BI82" i="29"/>
  <c r="BI115" i="29"/>
  <c r="BH116" i="29"/>
  <c r="BI40" i="29"/>
  <c r="BJ39" i="29"/>
  <c r="BI37" i="29"/>
  <c r="BH38" i="29"/>
  <c r="BH34" i="29" s="1"/>
  <c r="BN150" i="29"/>
  <c r="BO149" i="29"/>
  <c r="BI118" i="29"/>
  <c r="BJ117" i="29"/>
  <c r="BI79" i="29"/>
  <c r="BH80" i="29"/>
  <c r="BI109" i="29"/>
  <c r="BH110" i="29"/>
  <c r="BJ107" i="29"/>
  <c r="BI108" i="29"/>
  <c r="BF5" i="29"/>
  <c r="BE4" i="29"/>
  <c r="BH94" i="29"/>
  <c r="BI93" i="29"/>
  <c r="BI77" i="29"/>
  <c r="BH78" i="29"/>
  <c r="BI66" i="29"/>
  <c r="BJ65" i="29"/>
  <c r="BI56" i="29"/>
  <c r="BJ55" i="29"/>
  <c r="BH52" i="29"/>
  <c r="BI51" i="29"/>
  <c r="BK36" i="29"/>
  <c r="BL35" i="29"/>
  <c r="BJ92" i="29"/>
  <c r="BK91" i="29"/>
  <c r="BI86" i="29"/>
  <c r="BJ85" i="29"/>
  <c r="BI87" i="29"/>
  <c r="BH88" i="29"/>
  <c r="BH120" i="29"/>
  <c r="BI119" i="29"/>
  <c r="BK69" i="29"/>
  <c r="BJ70" i="29"/>
  <c r="BI89" i="29"/>
  <c r="BH90" i="29"/>
  <c r="BI63" i="29"/>
  <c r="BI64" i="29" s="1"/>
  <c r="BI103" i="29"/>
  <c r="BH104" i="29"/>
  <c r="BI67" i="29"/>
  <c r="BH68" i="29"/>
  <c r="BH106" i="29"/>
  <c r="BI105" i="29"/>
  <c r="BK136" i="29"/>
  <c r="BL135" i="29"/>
  <c r="BM143" i="29"/>
  <c r="BL144" i="29"/>
  <c r="BL129" i="29"/>
  <c r="BK130" i="29"/>
  <c r="BL145" i="29"/>
  <c r="BK146" i="29"/>
  <c r="BL140" i="29"/>
  <c r="BM139" i="29"/>
  <c r="BL131" i="29"/>
  <c r="BK132" i="29"/>
  <c r="BN141" i="29"/>
  <c r="BM142" i="29"/>
  <c r="BJ128" i="29"/>
  <c r="BK126" i="29" s="1"/>
  <c r="BK127" i="29"/>
  <c r="BK133" i="29"/>
  <c r="BJ134" i="29"/>
  <c r="BL138" i="29"/>
  <c r="BM137" i="29"/>
  <c r="BL147" i="29"/>
  <c r="BK148" i="29"/>
  <c r="BO54" i="29" l="1"/>
  <c r="BP53" i="29"/>
  <c r="BN58" i="29"/>
  <c r="BO57" i="29"/>
  <c r="BN44" i="29"/>
  <c r="BO43" i="29"/>
  <c r="BN124" i="29"/>
  <c r="BO123" i="29"/>
  <c r="BN72" i="29"/>
  <c r="BO71" i="29"/>
  <c r="BJ96" i="29"/>
  <c r="BJ7" i="29" s="1"/>
  <c r="BK95" i="29"/>
  <c r="BH48" i="29"/>
  <c r="BH9" i="29" s="1"/>
  <c r="BI122" i="29"/>
  <c r="BJ121" i="29"/>
  <c r="BJ8" i="29"/>
  <c r="BI50" i="29"/>
  <c r="BJ49" i="29"/>
  <c r="BJ41" i="29"/>
  <c r="BI42" i="29"/>
  <c r="F15" i="30"/>
  <c r="F14" i="30" s="1"/>
  <c r="BG26" i="29"/>
  <c r="F19" i="30" s="1"/>
  <c r="BI100" i="29"/>
  <c r="BJ63" i="29"/>
  <c r="BJ64" i="29" s="1"/>
  <c r="BI88" i="29"/>
  <c r="BJ87" i="29"/>
  <c r="BI80" i="29"/>
  <c r="BJ79" i="29"/>
  <c r="BJ105" i="29"/>
  <c r="BI106" i="29"/>
  <c r="BJ86" i="29"/>
  <c r="BK85" i="29"/>
  <c r="BJ77" i="29"/>
  <c r="BI78" i="29"/>
  <c r="BJ118" i="29"/>
  <c r="BK117" i="29"/>
  <c r="BJ40" i="29"/>
  <c r="BK39" i="29"/>
  <c r="BK111" i="29"/>
  <c r="BJ112" i="29"/>
  <c r="BJ89" i="29"/>
  <c r="BI90" i="29"/>
  <c r="BG5" i="29"/>
  <c r="BF4" i="29"/>
  <c r="BL91" i="29"/>
  <c r="BK92" i="29"/>
  <c r="F21" i="30"/>
  <c r="BG13" i="29"/>
  <c r="BP149" i="29"/>
  <c r="BO150" i="29"/>
  <c r="BJ114" i="29"/>
  <c r="BK113" i="29"/>
  <c r="BJ67" i="29"/>
  <c r="BI68" i="29"/>
  <c r="BL69" i="29"/>
  <c r="BK70" i="29"/>
  <c r="BJ56" i="29"/>
  <c r="BK55" i="29"/>
  <c r="BJ108" i="29"/>
  <c r="BK107" i="29"/>
  <c r="BJ115" i="29"/>
  <c r="BI116" i="29"/>
  <c r="BI120" i="29"/>
  <c r="BJ119" i="29"/>
  <c r="BL36" i="29"/>
  <c r="BM35" i="29"/>
  <c r="BJ103" i="29"/>
  <c r="BI104" i="29"/>
  <c r="BJ66" i="29"/>
  <c r="BK65" i="29"/>
  <c r="BJ109" i="29"/>
  <c r="BI110" i="29"/>
  <c r="BJ37" i="29"/>
  <c r="BI38" i="29"/>
  <c r="BI34" i="29" s="1"/>
  <c r="BJ82" i="29"/>
  <c r="BK81" i="29"/>
  <c r="BK101" i="29"/>
  <c r="BJ102" i="29"/>
  <c r="BI52" i="29"/>
  <c r="BJ51" i="29"/>
  <c r="BI94" i="29"/>
  <c r="BJ93" i="29"/>
  <c r="BJ83" i="29"/>
  <c r="BI84" i="29"/>
  <c r="BL148" i="29"/>
  <c r="BM147" i="29"/>
  <c r="BN142" i="29"/>
  <c r="BO141" i="29"/>
  <c r="BM145" i="29"/>
  <c r="BL146" i="29"/>
  <c r="BM129" i="29"/>
  <c r="BL130" i="29"/>
  <c r="BN137" i="29"/>
  <c r="BM138" i="29"/>
  <c r="BL133" i="29"/>
  <c r="BK134" i="29"/>
  <c r="BL132" i="29"/>
  <c r="BM131" i="29"/>
  <c r="BN143" i="29"/>
  <c r="BM144" i="29"/>
  <c r="BK128" i="29"/>
  <c r="BL126" i="29" s="1"/>
  <c r="BL127" i="29"/>
  <c r="BM140" i="29"/>
  <c r="BN139" i="29"/>
  <c r="BL136" i="29"/>
  <c r="BM135" i="29"/>
  <c r="BP54" i="29" l="1"/>
  <c r="BQ53" i="29"/>
  <c r="BP123" i="29"/>
  <c r="BO124" i="29"/>
  <c r="BO44" i="29"/>
  <c r="BP43" i="29"/>
  <c r="BO58" i="29"/>
  <c r="BP57" i="29"/>
  <c r="BP71" i="29"/>
  <c r="BO72" i="29"/>
  <c r="BK96" i="29"/>
  <c r="BK7" i="29" s="1"/>
  <c r="BL95" i="29"/>
  <c r="BK8" i="29"/>
  <c r="BJ122" i="29"/>
  <c r="BK121" i="29"/>
  <c r="BI48" i="29"/>
  <c r="BI9" i="29" s="1"/>
  <c r="BK49" i="29"/>
  <c r="BJ50" i="29"/>
  <c r="BJ42" i="29"/>
  <c r="BK41" i="29"/>
  <c r="BJ100" i="29"/>
  <c r="BN35" i="29"/>
  <c r="BM36" i="29"/>
  <c r="BK114" i="29"/>
  <c r="BL113" i="29"/>
  <c r="BK40" i="29"/>
  <c r="BL39" i="29"/>
  <c r="BJ84" i="29"/>
  <c r="BK83" i="29"/>
  <c r="BK102" i="29"/>
  <c r="BL101" i="29"/>
  <c r="BK66" i="29"/>
  <c r="BL65" i="29"/>
  <c r="BL92" i="29"/>
  <c r="BM91" i="29"/>
  <c r="BJ106" i="29"/>
  <c r="BK105" i="29"/>
  <c r="BL81" i="29"/>
  <c r="BK82" i="29"/>
  <c r="BK119" i="29"/>
  <c r="BJ120" i="29"/>
  <c r="BL55" i="29"/>
  <c r="BK56" i="29"/>
  <c r="BL117" i="29"/>
  <c r="BK118" i="29"/>
  <c r="BJ80" i="29"/>
  <c r="BK79" i="29"/>
  <c r="BP150" i="29"/>
  <c r="BQ149" i="29"/>
  <c r="F10" i="30"/>
  <c r="BH5" i="29"/>
  <c r="BG4" i="29"/>
  <c r="BG3" i="29" s="1"/>
  <c r="BK93" i="29"/>
  <c r="BJ94" i="29"/>
  <c r="BJ104" i="29"/>
  <c r="BK103" i="29"/>
  <c r="F20" i="30"/>
  <c r="BG27" i="29"/>
  <c r="BK87" i="29"/>
  <c r="BJ88" i="29"/>
  <c r="BJ38" i="29"/>
  <c r="BJ34" i="29" s="1"/>
  <c r="BK37" i="29"/>
  <c r="BJ116" i="29"/>
  <c r="BK115" i="29"/>
  <c r="BM69" i="29"/>
  <c r="BL70" i="29"/>
  <c r="BJ90" i="29"/>
  <c r="BK89" i="29"/>
  <c r="BK77" i="29"/>
  <c r="BJ78" i="29"/>
  <c r="BJ52" i="29"/>
  <c r="BK51" i="29"/>
  <c r="BK108" i="29"/>
  <c r="BL107" i="29"/>
  <c r="BL85" i="29"/>
  <c r="BK86" i="29"/>
  <c r="BJ110" i="29"/>
  <c r="BK109" i="29"/>
  <c r="BK67" i="29"/>
  <c r="BJ68" i="29"/>
  <c r="BL111" i="29"/>
  <c r="BK112" i="29"/>
  <c r="BK63" i="29"/>
  <c r="BK64" i="29" s="1"/>
  <c r="BN131" i="29"/>
  <c r="BM132" i="29"/>
  <c r="BO139" i="29"/>
  <c r="BN140" i="29"/>
  <c r="BM133" i="29"/>
  <c r="BL134" i="29"/>
  <c r="BN145" i="29"/>
  <c r="BM146" i="29"/>
  <c r="BP141" i="29"/>
  <c r="BO142" i="29"/>
  <c r="BO137" i="29"/>
  <c r="BN138" i="29"/>
  <c r="BN135" i="29"/>
  <c r="BM136" i="29"/>
  <c r="BM148" i="29"/>
  <c r="BN147" i="29"/>
  <c r="BL128" i="29"/>
  <c r="BM126" i="29" s="1"/>
  <c r="BM127" i="29"/>
  <c r="BO143" i="29"/>
  <c r="BN144" i="29"/>
  <c r="BN129" i="29"/>
  <c r="BM130" i="29"/>
  <c r="BQ54" i="29" l="1"/>
  <c r="BR53" i="29"/>
  <c r="BP58" i="29"/>
  <c r="BQ57" i="29"/>
  <c r="BP72" i="29"/>
  <c r="BQ71" i="29"/>
  <c r="BP44" i="29"/>
  <c r="BQ43" i="29"/>
  <c r="BQ123" i="29"/>
  <c r="BP124" i="29"/>
  <c r="BL96" i="29"/>
  <c r="BL7" i="29" s="1"/>
  <c r="BM95" i="29"/>
  <c r="BJ48" i="29"/>
  <c r="BJ9" i="29" s="1"/>
  <c r="BK122" i="29"/>
  <c r="BL121" i="29"/>
  <c r="BL8" i="29"/>
  <c r="BK50" i="29"/>
  <c r="BL49" i="29"/>
  <c r="BK42" i="29"/>
  <c r="BL41" i="29"/>
  <c r="BK100" i="29"/>
  <c r="BL63" i="29"/>
  <c r="BL64" i="29" s="1"/>
  <c r="BM70" i="29"/>
  <c r="BN69" i="29"/>
  <c r="F30" i="30"/>
  <c r="F44" i="30"/>
  <c r="F37" i="30"/>
  <c r="BM117" i="29"/>
  <c r="BL118" i="29"/>
  <c r="BK52" i="29"/>
  <c r="BL51" i="29"/>
  <c r="BK116" i="29"/>
  <c r="BL115" i="29"/>
  <c r="BL103" i="29"/>
  <c r="BK104" i="29"/>
  <c r="BR149" i="29"/>
  <c r="BQ150" i="29"/>
  <c r="BM92" i="29"/>
  <c r="BN91" i="29"/>
  <c r="BL40" i="29"/>
  <c r="BM39" i="29"/>
  <c r="BL86" i="29"/>
  <c r="BM85" i="29"/>
  <c r="BL56" i="29"/>
  <c r="BM55" i="29"/>
  <c r="BM111" i="29"/>
  <c r="BL112" i="29"/>
  <c r="BK38" i="29"/>
  <c r="BK34" i="29" s="1"/>
  <c r="BL37" i="29"/>
  <c r="BL66" i="29"/>
  <c r="BM65" i="29"/>
  <c r="BL114" i="29"/>
  <c r="BM113" i="29"/>
  <c r="BK78" i="29"/>
  <c r="BL77" i="29"/>
  <c r="BL119" i="29"/>
  <c r="BK120" i="29"/>
  <c r="BK68" i="29"/>
  <c r="BL67" i="29"/>
  <c r="BL108" i="29"/>
  <c r="BM107" i="29"/>
  <c r="BL89" i="29"/>
  <c r="BK90" i="29"/>
  <c r="BL93" i="29"/>
  <c r="BK94" i="29"/>
  <c r="BL79" i="29"/>
  <c r="BK80" i="29"/>
  <c r="BL102" i="29"/>
  <c r="BM101" i="29"/>
  <c r="BK88" i="29"/>
  <c r="BL87" i="29"/>
  <c r="BL82" i="29"/>
  <c r="BM81" i="29"/>
  <c r="BN36" i="29"/>
  <c r="BO35" i="29"/>
  <c r="BK110" i="29"/>
  <c r="BL109" i="29"/>
  <c r="F18" i="30"/>
  <c r="BG28" i="29"/>
  <c r="F17" i="30" s="1"/>
  <c r="F31" i="30" s="1"/>
  <c r="BI5" i="29"/>
  <c r="BH4" i="29"/>
  <c r="BK106" i="29"/>
  <c r="BL105" i="29"/>
  <c r="BK84" i="29"/>
  <c r="BL83" i="29"/>
  <c r="BO129" i="29"/>
  <c r="BN130" i="29"/>
  <c r="BO135" i="29"/>
  <c r="BN136" i="29"/>
  <c r="BN133" i="29"/>
  <c r="BM134" i="29"/>
  <c r="BO144" i="29"/>
  <c r="BP143" i="29"/>
  <c r="BO138" i="29"/>
  <c r="BP137" i="29"/>
  <c r="BO140" i="29"/>
  <c r="BP139" i="29"/>
  <c r="BM128" i="29"/>
  <c r="BN126" i="29" s="1"/>
  <c r="BN127" i="29"/>
  <c r="BQ141" i="29"/>
  <c r="BP142" i="29"/>
  <c r="BO147" i="29"/>
  <c r="BN148" i="29"/>
  <c r="BO145" i="29"/>
  <c r="BN146" i="29"/>
  <c r="BO131" i="29"/>
  <c r="BN132" i="29"/>
  <c r="BR54" i="29" l="1"/>
  <c r="BS53" i="29"/>
  <c r="BR43" i="29"/>
  <c r="BQ44" i="29"/>
  <c r="BQ124" i="29"/>
  <c r="BR123" i="29"/>
  <c r="BQ58" i="29"/>
  <c r="BR57" i="29"/>
  <c r="BQ72" i="29"/>
  <c r="BR71" i="29"/>
  <c r="BM96" i="29"/>
  <c r="BM7" i="29" s="1"/>
  <c r="BN95" i="29"/>
  <c r="BM8" i="29"/>
  <c r="BM121" i="29"/>
  <c r="BL122" i="29"/>
  <c r="BK48" i="29"/>
  <c r="BK9" i="29" s="1"/>
  <c r="BM49" i="29"/>
  <c r="BL50" i="29"/>
  <c r="BL42" i="29"/>
  <c r="BM41" i="29"/>
  <c r="BL100" i="29"/>
  <c r="BL88" i="29"/>
  <c r="BM87" i="29"/>
  <c r="BN65" i="29"/>
  <c r="BM66" i="29"/>
  <c r="BN85" i="29"/>
  <c r="BM86" i="29"/>
  <c r="BL106" i="29"/>
  <c r="BM105" i="29"/>
  <c r="BL110" i="29"/>
  <c r="BM109" i="29"/>
  <c r="BM89" i="29"/>
  <c r="BL90" i="29"/>
  <c r="BL104" i="29"/>
  <c r="BM103" i="29"/>
  <c r="BM102" i="29"/>
  <c r="BN101" i="29"/>
  <c r="BN107" i="29"/>
  <c r="BM108" i="29"/>
  <c r="BM77" i="29"/>
  <c r="BL78" i="29"/>
  <c r="BM37" i="29"/>
  <c r="BL38" i="29"/>
  <c r="BL34" i="29" s="1"/>
  <c r="BM40" i="29"/>
  <c r="BN39" i="29"/>
  <c r="BM115" i="29"/>
  <c r="BL116" i="29"/>
  <c r="BO36" i="29"/>
  <c r="BP35" i="29"/>
  <c r="BO69" i="29"/>
  <c r="BN70" i="29"/>
  <c r="BJ5" i="29"/>
  <c r="BI4" i="29"/>
  <c r="BL68" i="29"/>
  <c r="BM67" i="29"/>
  <c r="BO91" i="29"/>
  <c r="BN92" i="29"/>
  <c r="BM51" i="29"/>
  <c r="BL52" i="29"/>
  <c r="F35" i="30"/>
  <c r="F32" i="30"/>
  <c r="F33" i="30" s="1"/>
  <c r="F34" i="30"/>
  <c r="BL80" i="29"/>
  <c r="BM79" i="29"/>
  <c r="BM112" i="29"/>
  <c r="BN111" i="29"/>
  <c r="F38" i="30"/>
  <c r="F45" i="30"/>
  <c r="BN81" i="29"/>
  <c r="BM82" i="29"/>
  <c r="BN113" i="29"/>
  <c r="BM114" i="29"/>
  <c r="BM56" i="29"/>
  <c r="BN55" i="29"/>
  <c r="BM63" i="29"/>
  <c r="BM64" i="29" s="1"/>
  <c r="BL84" i="29"/>
  <c r="BM83" i="29"/>
  <c r="BM93" i="29"/>
  <c r="BL94" i="29"/>
  <c r="BM119" i="29"/>
  <c r="BL120" i="29"/>
  <c r="BS149" i="29"/>
  <c r="BR150" i="29"/>
  <c r="BM118" i="29"/>
  <c r="BN117" i="29"/>
  <c r="BP131" i="29"/>
  <c r="BO132" i="29"/>
  <c r="BR141" i="29"/>
  <c r="BQ142" i="29"/>
  <c r="BN128" i="29"/>
  <c r="BO126" i="29" s="1"/>
  <c r="BO127" i="29"/>
  <c r="BN134" i="29"/>
  <c r="BO133" i="29"/>
  <c r="BQ139" i="29"/>
  <c r="BP140" i="29"/>
  <c r="BP147" i="29"/>
  <c r="BO148" i="29"/>
  <c r="BO136" i="29"/>
  <c r="BP135" i="29"/>
  <c r="BQ143" i="29"/>
  <c r="BP144" i="29"/>
  <c r="BQ137" i="29"/>
  <c r="BP138" i="29"/>
  <c r="BO146" i="29"/>
  <c r="BP145" i="29"/>
  <c r="BO130" i="29"/>
  <c r="BP129" i="29"/>
  <c r="BS54" i="29" l="1"/>
  <c r="BT53" i="29"/>
  <c r="BS57" i="29"/>
  <c r="BR58" i="29"/>
  <c r="BR72" i="29"/>
  <c r="BS71" i="29"/>
  <c r="BR124" i="29"/>
  <c r="BS123" i="29"/>
  <c r="BS43" i="29"/>
  <c r="BR44" i="29"/>
  <c r="BN96" i="29"/>
  <c r="BN7" i="29" s="1"/>
  <c r="BO95" i="29"/>
  <c r="BL48" i="29"/>
  <c r="BL9" i="29" s="1"/>
  <c r="BM122" i="29"/>
  <c r="BN121" i="29"/>
  <c r="BN8" i="29"/>
  <c r="BM50" i="29"/>
  <c r="BN49" i="29"/>
  <c r="BM42" i="29"/>
  <c r="BN41" i="29"/>
  <c r="BM100" i="29"/>
  <c r="BN82" i="29"/>
  <c r="BO81" i="29"/>
  <c r="BP36" i="29"/>
  <c r="BQ35" i="29"/>
  <c r="BT149" i="29"/>
  <c r="BS150" i="29"/>
  <c r="F49" i="30"/>
  <c r="F46" i="30"/>
  <c r="F47" i="30" s="1"/>
  <c r="F48" i="30"/>
  <c r="BN67" i="29"/>
  <c r="BM68" i="29"/>
  <c r="BN77" i="29"/>
  <c r="BM78" i="29"/>
  <c r="BN89" i="29"/>
  <c r="BM90" i="29"/>
  <c r="BN66" i="29"/>
  <c r="BO65" i="29"/>
  <c r="BN63" i="29"/>
  <c r="BN64" i="29" s="1"/>
  <c r="F42" i="30"/>
  <c r="F41" i="30"/>
  <c r="F39" i="30"/>
  <c r="F40" i="30" s="1"/>
  <c r="BM110" i="29"/>
  <c r="BN109" i="29"/>
  <c r="BM120" i="29"/>
  <c r="BN119" i="29"/>
  <c r="BN56" i="29"/>
  <c r="BO55" i="29"/>
  <c r="BN115" i="29"/>
  <c r="BM116" i="29"/>
  <c r="BN108" i="29"/>
  <c r="BO107" i="29"/>
  <c r="BN112" i="29"/>
  <c r="BO111" i="29"/>
  <c r="BM52" i="29"/>
  <c r="BN51" i="29"/>
  <c r="BK5" i="29"/>
  <c r="BJ4" i="29"/>
  <c r="BJ3" i="29" s="1"/>
  <c r="BN40" i="29"/>
  <c r="BO39" i="29"/>
  <c r="BO101" i="29"/>
  <c r="BN102" i="29"/>
  <c r="BM106" i="29"/>
  <c r="BN105" i="29"/>
  <c r="BM88" i="29"/>
  <c r="BN87" i="29"/>
  <c r="BM94" i="29"/>
  <c r="BN93" i="29"/>
  <c r="BN118" i="29"/>
  <c r="BO117" i="29"/>
  <c r="BO113" i="29"/>
  <c r="BN114" i="29"/>
  <c r="BN79" i="29"/>
  <c r="BM80" i="29"/>
  <c r="BO92" i="29"/>
  <c r="BP91" i="29"/>
  <c r="BO70" i="29"/>
  <c r="BP69" i="29"/>
  <c r="BM104" i="29"/>
  <c r="BN103" i="29"/>
  <c r="BN83" i="29"/>
  <c r="BM84" i="29"/>
  <c r="BM38" i="29"/>
  <c r="BM34" i="29" s="1"/>
  <c r="BN37" i="29"/>
  <c r="BN86" i="29"/>
  <c r="BO85" i="29"/>
  <c r="BQ144" i="29"/>
  <c r="BR143" i="29"/>
  <c r="BQ135" i="29"/>
  <c r="BP136" i="29"/>
  <c r="BO128" i="29"/>
  <c r="BP126" i="29" s="1"/>
  <c r="BP127" i="29"/>
  <c r="BP146" i="29"/>
  <c r="BQ145" i="29"/>
  <c r="BP133" i="29"/>
  <c r="BO134" i="29"/>
  <c r="BQ147" i="29"/>
  <c r="BP148" i="29"/>
  <c r="BR142" i="29"/>
  <c r="BS141" i="29"/>
  <c r="BQ129" i="29"/>
  <c r="BP130" i="29"/>
  <c r="BQ138" i="29"/>
  <c r="BR137" i="29"/>
  <c r="BQ140" i="29"/>
  <c r="BR139" i="29"/>
  <c r="BQ131" i="29"/>
  <c r="BP132" i="29"/>
  <c r="BT54" i="29" l="1"/>
  <c r="BU53" i="29"/>
  <c r="BT123" i="29"/>
  <c r="BS124" i="29"/>
  <c r="BS44" i="29"/>
  <c r="BT43" i="29"/>
  <c r="BS72" i="29"/>
  <c r="BT71" i="29"/>
  <c r="BS58" i="29"/>
  <c r="BT57" i="29"/>
  <c r="BO96" i="29"/>
  <c r="BO7" i="29" s="1"/>
  <c r="BP95" i="29"/>
  <c r="BO8" i="29"/>
  <c r="BO121" i="29"/>
  <c r="BN122" i="29"/>
  <c r="BM48" i="29"/>
  <c r="BM9" i="29" s="1"/>
  <c r="BO49" i="29"/>
  <c r="BN50" i="29"/>
  <c r="BN42" i="29"/>
  <c r="BO41" i="29"/>
  <c r="BN100" i="29"/>
  <c r="BO86" i="29"/>
  <c r="BP85" i="29"/>
  <c r="BP113" i="29"/>
  <c r="BO114" i="29"/>
  <c r="BO105" i="29"/>
  <c r="BN106" i="29"/>
  <c r="BN52" i="29"/>
  <c r="BO51" i="29"/>
  <c r="BP55" i="29"/>
  <c r="BO56" i="29"/>
  <c r="BN90" i="29"/>
  <c r="BO89" i="29"/>
  <c r="BP70" i="29"/>
  <c r="BQ69" i="29"/>
  <c r="BO118" i="29"/>
  <c r="BP117" i="29"/>
  <c r="BU149" i="29"/>
  <c r="BT150" i="29"/>
  <c r="BN38" i="29"/>
  <c r="BN34" i="29" s="1"/>
  <c r="BO37" i="29"/>
  <c r="BO112" i="29"/>
  <c r="BP111" i="29"/>
  <c r="BN120" i="29"/>
  <c r="BO119" i="29"/>
  <c r="BN78" i="29"/>
  <c r="BO77" i="29"/>
  <c r="BQ36" i="29"/>
  <c r="BR35" i="29"/>
  <c r="BP92" i="29"/>
  <c r="BQ91" i="29"/>
  <c r="BO102" i="29"/>
  <c r="BP101" i="29"/>
  <c r="BO93" i="29"/>
  <c r="BN94" i="29"/>
  <c r="BP39" i="29"/>
  <c r="BO40" i="29"/>
  <c r="BP107" i="29"/>
  <c r="BO108" i="29"/>
  <c r="BO63" i="29"/>
  <c r="BO64" i="29" s="1"/>
  <c r="BN68" i="29"/>
  <c r="BO67" i="29"/>
  <c r="BO83" i="29"/>
  <c r="BN84" i="29"/>
  <c r="BO66" i="29"/>
  <c r="BP65" i="29"/>
  <c r="BN80" i="29"/>
  <c r="BO79" i="29"/>
  <c r="BO87" i="29"/>
  <c r="BN88" i="29"/>
  <c r="BO109" i="29"/>
  <c r="BN110" i="29"/>
  <c r="BO82" i="29"/>
  <c r="BP81" i="29"/>
  <c r="BN104" i="29"/>
  <c r="BO103" i="29"/>
  <c r="BL5" i="29"/>
  <c r="BK4" i="29"/>
  <c r="BN116" i="29"/>
  <c r="BO115" i="29"/>
  <c r="BR131" i="29"/>
  <c r="BQ132" i="29"/>
  <c r="BR140" i="29"/>
  <c r="BS139" i="29"/>
  <c r="BP128" i="29"/>
  <c r="BQ126" i="29" s="1"/>
  <c r="BQ127" i="29"/>
  <c r="BR145" i="29"/>
  <c r="BQ146" i="29"/>
  <c r="BT141" i="29"/>
  <c r="BS142" i="29"/>
  <c r="BS137" i="29"/>
  <c r="BR138" i="29"/>
  <c r="BR135" i="29"/>
  <c r="BQ136" i="29"/>
  <c r="BS143" i="29"/>
  <c r="BR144" i="29"/>
  <c r="BR147" i="29"/>
  <c r="BQ148" i="29"/>
  <c r="BR129" i="29"/>
  <c r="BQ130" i="29"/>
  <c r="BQ133" i="29"/>
  <c r="BP134" i="29"/>
  <c r="BU54" i="29" l="1"/>
  <c r="BV53" i="29"/>
  <c r="BT72" i="29"/>
  <c r="BU71" i="29"/>
  <c r="BT44" i="29"/>
  <c r="BU43" i="29"/>
  <c r="BT58" i="29"/>
  <c r="BU57" i="29"/>
  <c r="BU123" i="29"/>
  <c r="BT124" i="29"/>
  <c r="BP96" i="29"/>
  <c r="BP7" i="29" s="1"/>
  <c r="BQ95" i="29"/>
  <c r="BP121" i="29"/>
  <c r="BO122" i="29"/>
  <c r="BP8" i="29"/>
  <c r="BN48" i="29"/>
  <c r="BN9" i="29" s="1"/>
  <c r="BP49" i="29"/>
  <c r="BO50" i="29"/>
  <c r="BP41" i="29"/>
  <c r="BO42" i="29"/>
  <c r="BO100" i="29"/>
  <c r="BP87" i="29"/>
  <c r="BO88" i="29"/>
  <c r="BQ92" i="29"/>
  <c r="BR91" i="29"/>
  <c r="BP112" i="29"/>
  <c r="BQ111" i="29"/>
  <c r="BQ117" i="29"/>
  <c r="BP118" i="29"/>
  <c r="BP51" i="29"/>
  <c r="BO52" i="29"/>
  <c r="BP56" i="29"/>
  <c r="BQ55" i="29"/>
  <c r="BO80" i="29"/>
  <c r="BP79" i="29"/>
  <c r="BP83" i="29"/>
  <c r="BO84" i="29"/>
  <c r="BQ107" i="29"/>
  <c r="BP108" i="29"/>
  <c r="BP103" i="29"/>
  <c r="BO104" i="29"/>
  <c r="BO68" i="29"/>
  <c r="BP67" i="29"/>
  <c r="BR36" i="29"/>
  <c r="BS35" i="29"/>
  <c r="BQ70" i="29"/>
  <c r="BR69" i="29"/>
  <c r="BQ81" i="29"/>
  <c r="BP82" i="29"/>
  <c r="BQ39" i="29"/>
  <c r="BP40" i="29"/>
  <c r="BO106" i="29"/>
  <c r="BP105" i="29"/>
  <c r="BP63" i="29"/>
  <c r="BP64" i="29" s="1"/>
  <c r="BO78" i="29"/>
  <c r="BP77" i="29"/>
  <c r="BP89" i="29"/>
  <c r="BO90" i="29"/>
  <c r="BO38" i="29"/>
  <c r="BO34" i="29" s="1"/>
  <c r="BP37" i="29"/>
  <c r="BO94" i="29"/>
  <c r="BP93" i="29"/>
  <c r="BP114" i="29"/>
  <c r="BQ113" i="29"/>
  <c r="BO116" i="29"/>
  <c r="BP115" i="29"/>
  <c r="BM5" i="29"/>
  <c r="BL4" i="29"/>
  <c r="BP109" i="29"/>
  <c r="BO110" i="29"/>
  <c r="BQ65" i="29"/>
  <c r="BP66" i="29"/>
  <c r="BP102" i="29"/>
  <c r="BQ101" i="29"/>
  <c r="BO120" i="29"/>
  <c r="BP119" i="29"/>
  <c r="BV149" i="29"/>
  <c r="BU150" i="29"/>
  <c r="BP86" i="29"/>
  <c r="BQ85" i="29"/>
  <c r="BR133" i="29"/>
  <c r="BQ134" i="29"/>
  <c r="BS135" i="29"/>
  <c r="BR136" i="29"/>
  <c r="BS145" i="29"/>
  <c r="BR146" i="29"/>
  <c r="BQ128" i="29"/>
  <c r="BR126" i="29" s="1"/>
  <c r="BR127" i="29"/>
  <c r="BS140" i="29"/>
  <c r="BT139" i="29"/>
  <c r="BS129" i="29"/>
  <c r="BR130" i="29"/>
  <c r="BS147" i="29"/>
  <c r="BR148" i="29"/>
  <c r="BT137" i="29"/>
  <c r="BS138" i="29"/>
  <c r="BS144" i="29"/>
  <c r="BT143" i="29"/>
  <c r="BT142" i="29"/>
  <c r="BU141" i="29"/>
  <c r="BS131" i="29"/>
  <c r="BR132" i="29"/>
  <c r="BV54" i="29" l="1"/>
  <c r="BW53" i="29"/>
  <c r="BV123" i="29"/>
  <c r="BU124" i="29"/>
  <c r="BU58" i="29"/>
  <c r="BV57" i="29"/>
  <c r="BV71" i="29"/>
  <c r="BU72" i="29"/>
  <c r="BU44" i="29"/>
  <c r="BV43" i="29"/>
  <c r="BQ96" i="29"/>
  <c r="BQ7" i="29" s="1"/>
  <c r="BR95" i="29"/>
  <c r="BQ8" i="29"/>
  <c r="BP122" i="29"/>
  <c r="BQ121" i="29"/>
  <c r="BO48" i="29"/>
  <c r="BO9" i="29" s="1"/>
  <c r="BQ49" i="29"/>
  <c r="BP50" i="29"/>
  <c r="BP42" i="29"/>
  <c r="BQ41" i="29"/>
  <c r="BP100" i="29"/>
  <c r="BP120" i="29"/>
  <c r="BQ119" i="29"/>
  <c r="BQ109" i="29"/>
  <c r="BP110" i="29"/>
  <c r="BQ63" i="29"/>
  <c r="BQ64" i="29" s="1"/>
  <c r="BQ82" i="29"/>
  <c r="BR81" i="29"/>
  <c r="BR117" i="29"/>
  <c r="BQ118" i="29"/>
  <c r="BR101" i="29"/>
  <c r="BQ102" i="29"/>
  <c r="BP38" i="29"/>
  <c r="BP34" i="29" s="1"/>
  <c r="BQ37" i="29"/>
  <c r="BS69" i="29"/>
  <c r="BR70" i="29"/>
  <c r="BP104" i="29"/>
  <c r="BQ103" i="29"/>
  <c r="BQ112" i="29"/>
  <c r="BR111" i="29"/>
  <c r="BN5" i="29"/>
  <c r="BM4" i="29"/>
  <c r="BM3" i="29" s="1"/>
  <c r="BQ56" i="29"/>
  <c r="BR55" i="29"/>
  <c r="BR85" i="29"/>
  <c r="BQ86" i="29"/>
  <c r="BQ115" i="29"/>
  <c r="BP116" i="29"/>
  <c r="BQ105" i="29"/>
  <c r="BP106" i="29"/>
  <c r="BS36" i="29"/>
  <c r="BT35" i="29"/>
  <c r="BR107" i="29"/>
  <c r="BQ108" i="29"/>
  <c r="BR92" i="29"/>
  <c r="BS91" i="29"/>
  <c r="BQ93" i="29"/>
  <c r="BP94" i="29"/>
  <c r="BP90" i="29"/>
  <c r="BQ89" i="29"/>
  <c r="BQ114" i="29"/>
  <c r="BR113" i="29"/>
  <c r="BQ77" i="29"/>
  <c r="BP78" i="29"/>
  <c r="BQ67" i="29"/>
  <c r="BP68" i="29"/>
  <c r="BP84" i="29"/>
  <c r="BQ83" i="29"/>
  <c r="BW149" i="29"/>
  <c r="BV150" i="29"/>
  <c r="BQ66" i="29"/>
  <c r="BR65" i="29"/>
  <c r="BR39" i="29"/>
  <c r="BQ40" i="29"/>
  <c r="BP80" i="29"/>
  <c r="BQ79" i="29"/>
  <c r="BQ51" i="29"/>
  <c r="BP52" i="29"/>
  <c r="BQ87" i="29"/>
  <c r="BP88" i="29"/>
  <c r="BT147" i="29"/>
  <c r="BS148" i="29"/>
  <c r="BT129" i="29"/>
  <c r="BS130" i="29"/>
  <c r="BT145" i="29"/>
  <c r="BS146" i="29"/>
  <c r="BR128" i="29"/>
  <c r="BS126" i="29" s="1"/>
  <c r="BS127" i="29"/>
  <c r="BU143" i="29"/>
  <c r="BT144" i="29"/>
  <c r="BT140" i="29"/>
  <c r="BU139" i="29"/>
  <c r="BV141" i="29"/>
  <c r="BU142" i="29"/>
  <c r="BS136" i="29"/>
  <c r="BT135" i="29"/>
  <c r="BT131" i="29"/>
  <c r="BS132" i="29"/>
  <c r="BT138" i="29"/>
  <c r="BU137" i="29"/>
  <c r="BS133" i="29"/>
  <c r="BR134" i="29"/>
  <c r="BW54" i="29" l="1"/>
  <c r="BX53" i="29"/>
  <c r="BW71" i="29"/>
  <c r="BV72" i="29"/>
  <c r="BW43" i="29"/>
  <c r="BV44" i="29"/>
  <c r="BV58" i="29"/>
  <c r="BW57" i="29"/>
  <c r="BV124" i="29"/>
  <c r="BW123" i="29"/>
  <c r="BR96" i="29"/>
  <c r="BR7" i="29" s="1"/>
  <c r="BS95" i="29"/>
  <c r="BP48" i="29"/>
  <c r="BP9" i="29" s="1"/>
  <c r="BQ122" i="29"/>
  <c r="BR121" i="29"/>
  <c r="BR8" i="29"/>
  <c r="BR49" i="29"/>
  <c r="BQ50" i="29"/>
  <c r="BQ42" i="29"/>
  <c r="BR41" i="29"/>
  <c r="BQ100" i="29"/>
  <c r="BS81" i="29"/>
  <c r="BR82" i="29"/>
  <c r="BR83" i="29"/>
  <c r="BQ84" i="29"/>
  <c r="BR86" i="29"/>
  <c r="BS85" i="29"/>
  <c r="BR37" i="29"/>
  <c r="BQ38" i="29"/>
  <c r="BQ34" i="29" s="1"/>
  <c r="BR40" i="29"/>
  <c r="BS39" i="29"/>
  <c r="BR56" i="29"/>
  <c r="BS55" i="29"/>
  <c r="BR66" i="29"/>
  <c r="BS65" i="29"/>
  <c r="BQ68" i="29"/>
  <c r="BR67" i="29"/>
  <c r="BR93" i="29"/>
  <c r="BQ94" i="29"/>
  <c r="BQ106" i="29"/>
  <c r="BR105" i="29"/>
  <c r="BR103" i="29"/>
  <c r="BQ104" i="29"/>
  <c r="BR63" i="29"/>
  <c r="BR64" i="29" s="1"/>
  <c r="BQ88" i="29"/>
  <c r="BR87" i="29"/>
  <c r="BS92" i="29"/>
  <c r="BT91" i="29"/>
  <c r="BR102" i="29"/>
  <c r="BS101" i="29"/>
  <c r="BR77" i="29"/>
  <c r="BQ78" i="29"/>
  <c r="BQ116" i="29"/>
  <c r="BR115" i="29"/>
  <c r="BO5" i="29"/>
  <c r="BN4" i="29"/>
  <c r="BR109" i="29"/>
  <c r="BQ110" i="29"/>
  <c r="BQ90" i="29"/>
  <c r="BR89" i="29"/>
  <c r="BR51" i="29"/>
  <c r="BQ52" i="29"/>
  <c r="BX149" i="29"/>
  <c r="BW150" i="29"/>
  <c r="BR114" i="29"/>
  <c r="BS113" i="29"/>
  <c r="BT69" i="29"/>
  <c r="BS70" i="29"/>
  <c r="BS117" i="29"/>
  <c r="BR118" i="29"/>
  <c r="BQ120" i="29"/>
  <c r="BR119" i="29"/>
  <c r="BT36" i="29"/>
  <c r="BU35" i="29"/>
  <c r="BR79" i="29"/>
  <c r="BQ80" i="29"/>
  <c r="BR108" i="29"/>
  <c r="BS107" i="29"/>
  <c r="BR112" i="29"/>
  <c r="BS111" i="29"/>
  <c r="BT133" i="29"/>
  <c r="BS134" i="29"/>
  <c r="BV142" i="29"/>
  <c r="BW141" i="29"/>
  <c r="BU145" i="29"/>
  <c r="BT146" i="29"/>
  <c r="BU138" i="29"/>
  <c r="BV137" i="29"/>
  <c r="BU140" i="29"/>
  <c r="BV139" i="29"/>
  <c r="BT136" i="29"/>
  <c r="BU135" i="29"/>
  <c r="BU129" i="29"/>
  <c r="BT130" i="29"/>
  <c r="BT127" i="29"/>
  <c r="BS128" i="29"/>
  <c r="BT126" i="29" s="1"/>
  <c r="BT132" i="29"/>
  <c r="BU131" i="29"/>
  <c r="BV143" i="29"/>
  <c r="BU144" i="29"/>
  <c r="BT148" i="29"/>
  <c r="BU147" i="29"/>
  <c r="BX54" i="29" l="1"/>
  <c r="BY53" i="29"/>
  <c r="BW58" i="29"/>
  <c r="BX57" i="29"/>
  <c r="BW44" i="29"/>
  <c r="BX43" i="29"/>
  <c r="BW124" i="29"/>
  <c r="BX123" i="29"/>
  <c r="BW72" i="29"/>
  <c r="BX71" i="29"/>
  <c r="BS96" i="29"/>
  <c r="BS7" i="29" s="1"/>
  <c r="G12" i="30" s="1"/>
  <c r="BT95" i="29"/>
  <c r="BQ48" i="29"/>
  <c r="BQ9" i="29" s="1"/>
  <c r="BS8" i="29"/>
  <c r="G13" i="30" s="1"/>
  <c r="BS121" i="29"/>
  <c r="BR122" i="29"/>
  <c r="BS49" i="29"/>
  <c r="BR50" i="29"/>
  <c r="BR42" i="29"/>
  <c r="BS41" i="29"/>
  <c r="BR100" i="29"/>
  <c r="BT107" i="29"/>
  <c r="BS108" i="29"/>
  <c r="BS115" i="29"/>
  <c r="BR116" i="29"/>
  <c r="BR88" i="29"/>
  <c r="BS87" i="29"/>
  <c r="BS86" i="29"/>
  <c r="BT85" i="29"/>
  <c r="BT117" i="29"/>
  <c r="BS118" i="29"/>
  <c r="BS51" i="29"/>
  <c r="BR52" i="29"/>
  <c r="BT55" i="29"/>
  <c r="BS56" i="29"/>
  <c r="BR90" i="29"/>
  <c r="BS89" i="29"/>
  <c r="BR94" i="29"/>
  <c r="BS93" i="29"/>
  <c r="BR80" i="29"/>
  <c r="BS79" i="29"/>
  <c r="BT70" i="29"/>
  <c r="BU69" i="29"/>
  <c r="BS77" i="29"/>
  <c r="BR78" i="29"/>
  <c r="BS63" i="29"/>
  <c r="BS64" i="29" s="1"/>
  <c r="BR68" i="29"/>
  <c r="BS67" i="29"/>
  <c r="BS40" i="29"/>
  <c r="BT39" i="29"/>
  <c r="BR84" i="29"/>
  <c r="BS83" i="29"/>
  <c r="BS112" i="29"/>
  <c r="BT111" i="29"/>
  <c r="BV35" i="29"/>
  <c r="BU36" i="29"/>
  <c r="BT113" i="29"/>
  <c r="BS114" i="29"/>
  <c r="BS22" i="29" s="1"/>
  <c r="BT101" i="29"/>
  <c r="BS102" i="29"/>
  <c r="BS66" i="29"/>
  <c r="BS12" i="29" s="1"/>
  <c r="G23" i="30" s="1"/>
  <c r="BT65" i="29"/>
  <c r="BS82" i="29"/>
  <c r="BT81" i="29"/>
  <c r="BR110" i="29"/>
  <c r="BS109" i="29"/>
  <c r="BR120" i="29"/>
  <c r="BS119" i="29"/>
  <c r="BU91" i="29"/>
  <c r="BT92" i="29"/>
  <c r="BS103" i="29"/>
  <c r="BR104" i="29"/>
  <c r="BS37" i="29"/>
  <c r="BR38" i="29"/>
  <c r="BR34" i="29" s="1"/>
  <c r="BY149" i="29"/>
  <c r="BX150" i="29"/>
  <c r="BP5" i="29"/>
  <c r="BO4" i="29"/>
  <c r="BS105" i="29"/>
  <c r="BR106" i="29"/>
  <c r="BW137" i="29"/>
  <c r="BV138" i="29"/>
  <c r="BW143" i="29"/>
  <c r="BV144" i="29"/>
  <c r="BV129" i="29"/>
  <c r="BU130" i="29"/>
  <c r="BV145" i="29"/>
  <c r="BU146" i="29"/>
  <c r="BV131" i="29"/>
  <c r="BU132" i="29"/>
  <c r="BU136" i="29"/>
  <c r="BV135" i="29"/>
  <c r="BX141" i="29"/>
  <c r="BW142" i="29"/>
  <c r="BU148" i="29"/>
  <c r="BV147" i="29"/>
  <c r="BV140" i="29"/>
  <c r="BW139" i="29"/>
  <c r="BT128" i="29"/>
  <c r="BU126" i="29" s="1"/>
  <c r="BU127" i="29"/>
  <c r="BU133" i="29"/>
  <c r="BT134" i="29"/>
  <c r="BY54" i="29" l="1"/>
  <c r="BZ53" i="29"/>
  <c r="BX72" i="29"/>
  <c r="BY71" i="29"/>
  <c r="BY123" i="29"/>
  <c r="BX124" i="29"/>
  <c r="BX44" i="29"/>
  <c r="BY43" i="29"/>
  <c r="BX58" i="29"/>
  <c r="BY57" i="29"/>
  <c r="G11" i="30"/>
  <c r="BT96" i="29"/>
  <c r="BT7" i="29" s="1"/>
  <c r="BU95" i="29"/>
  <c r="BR48" i="29"/>
  <c r="BR9" i="29" s="1"/>
  <c r="BT121" i="29"/>
  <c r="BS122" i="29"/>
  <c r="BT8" i="29"/>
  <c r="BT49" i="29"/>
  <c r="BS50" i="29"/>
  <c r="BT41" i="29"/>
  <c r="BS42" i="29"/>
  <c r="BS100" i="29"/>
  <c r="BS14" i="29" s="1"/>
  <c r="G16" i="30" s="1"/>
  <c r="BS104" i="29"/>
  <c r="BT103" i="29"/>
  <c r="BT40" i="29"/>
  <c r="BU39" i="29"/>
  <c r="BV69" i="29"/>
  <c r="BU70" i="29"/>
  <c r="BT105" i="29"/>
  <c r="BS106" i="29"/>
  <c r="BU81" i="29"/>
  <c r="BT82" i="29"/>
  <c r="BT114" i="29"/>
  <c r="BU113" i="29"/>
  <c r="BT56" i="29"/>
  <c r="BU55" i="29"/>
  <c r="BQ5" i="29"/>
  <c r="BP4" i="29"/>
  <c r="BP3" i="29" s="1"/>
  <c r="BU92" i="29"/>
  <c r="BV91" i="29"/>
  <c r="BS68" i="29"/>
  <c r="BT67" i="29"/>
  <c r="BS80" i="29"/>
  <c r="BT79" i="29"/>
  <c r="BT87" i="29"/>
  <c r="BS88" i="29"/>
  <c r="BS120" i="29"/>
  <c r="BT119" i="29"/>
  <c r="BT66" i="29"/>
  <c r="BU65" i="29"/>
  <c r="BV36" i="29"/>
  <c r="BW35" i="29"/>
  <c r="BT51" i="29"/>
  <c r="BS52" i="29"/>
  <c r="BZ149" i="29"/>
  <c r="BY150" i="29"/>
  <c r="BT112" i="29"/>
  <c r="BU111" i="29"/>
  <c r="BT93" i="29"/>
  <c r="BS94" i="29"/>
  <c r="BT63" i="29"/>
  <c r="BT64" i="29" s="1"/>
  <c r="BS11" i="29"/>
  <c r="G22" i="30" s="1"/>
  <c r="BU117" i="29"/>
  <c r="BT118" i="29"/>
  <c r="BS116" i="29"/>
  <c r="BT115" i="29"/>
  <c r="BT37" i="29"/>
  <c r="BS38" i="29"/>
  <c r="BS34" i="29" s="1"/>
  <c r="BS84" i="29"/>
  <c r="BT83" i="29"/>
  <c r="BS90" i="29"/>
  <c r="BT89" i="29"/>
  <c r="BU85" i="29"/>
  <c r="BT86" i="29"/>
  <c r="BT109" i="29"/>
  <c r="BS110" i="29"/>
  <c r="BU101" i="29"/>
  <c r="BT102" i="29"/>
  <c r="BS78" i="29"/>
  <c r="BT77" i="29"/>
  <c r="BT108" i="29"/>
  <c r="BU107" i="29"/>
  <c r="BV133" i="29"/>
  <c r="BU134" i="29"/>
  <c r="BY141" i="29"/>
  <c r="BX142" i="29"/>
  <c r="BW129" i="29"/>
  <c r="BV130" i="29"/>
  <c r="BV136" i="29"/>
  <c r="BW135" i="29"/>
  <c r="BW144" i="29"/>
  <c r="BX143" i="29"/>
  <c r="BW140" i="29"/>
  <c r="BX139" i="29"/>
  <c r="BU128" i="29"/>
  <c r="BV126" i="29" s="1"/>
  <c r="BV127" i="29"/>
  <c r="BW131" i="29"/>
  <c r="BV132" i="29"/>
  <c r="BW138" i="29"/>
  <c r="BX137" i="29"/>
  <c r="BW147" i="29"/>
  <c r="BV148" i="29"/>
  <c r="BW145" i="29"/>
  <c r="BV146" i="29"/>
  <c r="BZ54" i="29" l="1"/>
  <c r="CA53" i="29"/>
  <c r="BY44" i="29"/>
  <c r="BZ43" i="29"/>
  <c r="BZ123" i="29"/>
  <c r="BY124" i="29"/>
  <c r="BY72" i="29"/>
  <c r="BZ71" i="29"/>
  <c r="BY58" i="29"/>
  <c r="BZ57" i="29"/>
  <c r="BU96" i="29"/>
  <c r="BU7" i="29" s="1"/>
  <c r="BV95" i="29"/>
  <c r="BS48" i="29"/>
  <c r="BS9" i="29" s="1"/>
  <c r="G15" i="30" s="1"/>
  <c r="G14" i="30" s="1"/>
  <c r="BU8" i="29"/>
  <c r="BT100" i="29"/>
  <c r="BT122" i="29"/>
  <c r="BU121" i="29"/>
  <c r="BU49" i="29"/>
  <c r="BT50" i="29"/>
  <c r="BT42" i="29"/>
  <c r="BU41" i="29"/>
  <c r="BS15" i="29"/>
  <c r="G24" i="30" s="1"/>
  <c r="BU108" i="29"/>
  <c r="BV107" i="29"/>
  <c r="BU37" i="29"/>
  <c r="BT38" i="29"/>
  <c r="BT34" i="29" s="1"/>
  <c r="BW91" i="29"/>
  <c r="BV92" i="29"/>
  <c r="BV113" i="29"/>
  <c r="BU114" i="29"/>
  <c r="BW69" i="29"/>
  <c r="BV70" i="29"/>
  <c r="BV85" i="29"/>
  <c r="BU86" i="29"/>
  <c r="BU115" i="29"/>
  <c r="BT116" i="29"/>
  <c r="BU40" i="29"/>
  <c r="BV39" i="29"/>
  <c r="BU77" i="29"/>
  <c r="BT78" i="29"/>
  <c r="BT90" i="29"/>
  <c r="BU89" i="29"/>
  <c r="BT94" i="29"/>
  <c r="BU93" i="29"/>
  <c r="BU51" i="29"/>
  <c r="BT52" i="29"/>
  <c r="BU87" i="29"/>
  <c r="BT88" i="29"/>
  <c r="BV111" i="29"/>
  <c r="BU112" i="29"/>
  <c r="BW36" i="29"/>
  <c r="BX35" i="29"/>
  <c r="BR5" i="29"/>
  <c r="BQ4" i="29"/>
  <c r="BU82" i="29"/>
  <c r="BV81" i="29"/>
  <c r="BT104" i="29"/>
  <c r="BU103" i="29"/>
  <c r="BU83" i="29"/>
  <c r="BT84" i="29"/>
  <c r="BV117" i="29"/>
  <c r="BU118" i="29"/>
  <c r="BU79" i="29"/>
  <c r="BT80" i="29"/>
  <c r="BT120" i="29"/>
  <c r="BU119" i="29"/>
  <c r="BV101" i="29"/>
  <c r="BU102" i="29"/>
  <c r="BU66" i="29"/>
  <c r="BV65" i="29"/>
  <c r="BU105" i="29"/>
  <c r="BT106" i="29"/>
  <c r="BU109" i="29"/>
  <c r="BT110" i="29"/>
  <c r="BU63" i="29"/>
  <c r="BU64" i="29" s="1"/>
  <c r="CA149" i="29"/>
  <c r="BZ150" i="29"/>
  <c r="BT68" i="29"/>
  <c r="BU67" i="29"/>
  <c r="BU56" i="29"/>
  <c r="BV55" i="29"/>
  <c r="BX131" i="29"/>
  <c r="BW132" i="29"/>
  <c r="BV128" i="29"/>
  <c r="BW126" i="29" s="1"/>
  <c r="BW127" i="29"/>
  <c r="BW146" i="29"/>
  <c r="BX145" i="29"/>
  <c r="BW130" i="29"/>
  <c r="BX129" i="29"/>
  <c r="BX140" i="29"/>
  <c r="BY139" i="29"/>
  <c r="BW136" i="29"/>
  <c r="BX135" i="29"/>
  <c r="BX147" i="29"/>
  <c r="BW148" i="29"/>
  <c r="BZ141" i="29"/>
  <c r="BY142" i="29"/>
  <c r="BY137" i="29"/>
  <c r="BX138" i="29"/>
  <c r="BY143" i="29"/>
  <c r="BX144" i="29"/>
  <c r="BV134" i="29"/>
  <c r="BW133" i="29"/>
  <c r="CA54" i="29" l="1"/>
  <c r="CB53" i="29"/>
  <c r="CA57" i="29"/>
  <c r="BZ58" i="29"/>
  <c r="BZ72" i="29"/>
  <c r="CA71" i="29"/>
  <c r="BZ124" i="29"/>
  <c r="CA123" i="29"/>
  <c r="BZ44" i="29"/>
  <c r="CA43" i="29"/>
  <c r="BV96" i="29"/>
  <c r="BV7" i="29" s="1"/>
  <c r="BW95" i="29"/>
  <c r="BT48" i="29"/>
  <c r="BT9" i="29" s="1"/>
  <c r="BS10" i="29"/>
  <c r="G21" i="30" s="1"/>
  <c r="BS26" i="29"/>
  <c r="G19" i="30" s="1"/>
  <c r="BV121" i="29"/>
  <c r="BU122" i="29"/>
  <c r="BV8" i="29"/>
  <c r="BU50" i="29"/>
  <c r="BV49" i="29"/>
  <c r="BU42" i="29"/>
  <c r="BV41" i="29"/>
  <c r="BU100" i="29"/>
  <c r="BV63" i="29"/>
  <c r="BV64" i="29" s="1"/>
  <c r="BU88" i="29"/>
  <c r="BV87" i="29"/>
  <c r="BV77" i="29"/>
  <c r="BU78" i="29"/>
  <c r="BW70" i="29"/>
  <c r="BX69" i="29"/>
  <c r="BW55" i="29"/>
  <c r="BV56" i="29"/>
  <c r="BW101" i="29"/>
  <c r="BV102" i="29"/>
  <c r="BV118" i="29"/>
  <c r="BW117" i="29"/>
  <c r="BV40" i="29"/>
  <c r="BW39" i="29"/>
  <c r="BU110" i="29"/>
  <c r="BV109" i="29"/>
  <c r="BU120" i="29"/>
  <c r="BV119" i="29"/>
  <c r="BS5" i="29"/>
  <c r="BR4" i="29"/>
  <c r="BV51" i="29"/>
  <c r="BU52" i="29"/>
  <c r="BW113" i="29"/>
  <c r="BV114" i="29"/>
  <c r="BV37" i="29"/>
  <c r="BU38" i="29"/>
  <c r="BU34" i="29" s="1"/>
  <c r="BV67" i="29"/>
  <c r="BU68" i="29"/>
  <c r="BU84" i="29"/>
  <c r="BV83" i="29"/>
  <c r="BX36" i="29"/>
  <c r="BY35" i="29"/>
  <c r="BV93" i="29"/>
  <c r="BU94" i="29"/>
  <c r="BV108" i="29"/>
  <c r="BW107" i="29"/>
  <c r="BU106" i="29"/>
  <c r="BV105" i="29"/>
  <c r="BU116" i="29"/>
  <c r="BV115" i="29"/>
  <c r="BW92" i="29"/>
  <c r="BX91" i="29"/>
  <c r="BV103" i="29"/>
  <c r="BU104" i="29"/>
  <c r="BV89" i="29"/>
  <c r="BU90" i="29"/>
  <c r="CA150" i="29"/>
  <c r="CB149" i="29"/>
  <c r="BV66" i="29"/>
  <c r="BW65" i="29"/>
  <c r="BV112" i="29"/>
  <c r="BW111" i="29"/>
  <c r="BV86" i="29"/>
  <c r="BW85" i="29"/>
  <c r="BV79" i="29"/>
  <c r="BU80" i="29"/>
  <c r="BW81" i="29"/>
  <c r="BV82" i="29"/>
  <c r="BY147" i="29"/>
  <c r="BX148" i="29"/>
  <c r="BX136" i="29"/>
  <c r="BY135" i="29"/>
  <c r="BW128" i="29"/>
  <c r="BX126" i="29" s="1"/>
  <c r="BX127" i="29"/>
  <c r="BY140" i="29"/>
  <c r="BZ139" i="29"/>
  <c r="BY138" i="29"/>
  <c r="BZ137" i="29"/>
  <c r="BY131" i="29"/>
  <c r="BX132" i="29"/>
  <c r="BX146" i="29"/>
  <c r="BY145" i="29"/>
  <c r="BY129" i="29"/>
  <c r="BX130" i="29"/>
  <c r="BX133" i="29"/>
  <c r="BW134" i="29"/>
  <c r="BY144" i="29"/>
  <c r="BZ143" i="29"/>
  <c r="BZ142" i="29"/>
  <c r="CA141" i="29"/>
  <c r="CB54" i="29" l="1"/>
  <c r="CC53" i="29"/>
  <c r="CA44" i="29"/>
  <c r="CB43" i="29"/>
  <c r="CB123" i="29"/>
  <c r="CA124" i="29"/>
  <c r="CA72" i="29"/>
  <c r="CB71" i="29"/>
  <c r="CB57" i="29"/>
  <c r="CA58" i="29"/>
  <c r="BW96" i="29"/>
  <c r="BW7" i="29" s="1"/>
  <c r="BX95" i="29"/>
  <c r="BU48" i="29"/>
  <c r="BU9" i="29" s="1"/>
  <c r="BS13" i="29"/>
  <c r="G20" i="30" s="1"/>
  <c r="BW8" i="29"/>
  <c r="BW121" i="29"/>
  <c r="BV122" i="29"/>
  <c r="BV50" i="29"/>
  <c r="BW49" i="29"/>
  <c r="BW41" i="29"/>
  <c r="BV42" i="29"/>
  <c r="BV100" i="29"/>
  <c r="CB150" i="29"/>
  <c r="CC149" i="29"/>
  <c r="BV52" i="29"/>
  <c r="BW51" i="29"/>
  <c r="BY91" i="29"/>
  <c r="BX92" i="29"/>
  <c r="BW108" i="29"/>
  <c r="BX107" i="29"/>
  <c r="BX117" i="29"/>
  <c r="BW118" i="29"/>
  <c r="BX85" i="29"/>
  <c r="BW86" i="29"/>
  <c r="BV68" i="29"/>
  <c r="BW67" i="29"/>
  <c r="G10" i="30"/>
  <c r="BT5" i="29"/>
  <c r="BS4" i="29"/>
  <c r="BS3" i="29" s="1"/>
  <c r="BW77" i="29"/>
  <c r="BV78" i="29"/>
  <c r="BW82" i="29"/>
  <c r="BX81" i="29"/>
  <c r="BW115" i="29"/>
  <c r="BV116" i="29"/>
  <c r="BW119" i="29"/>
  <c r="BV120" i="29"/>
  <c r="BV88" i="29"/>
  <c r="BW87" i="29"/>
  <c r="BW112" i="29"/>
  <c r="BX111" i="29"/>
  <c r="BW93" i="29"/>
  <c r="BV94" i="29"/>
  <c r="BW37" i="29"/>
  <c r="BV38" i="29"/>
  <c r="BV34" i="29" s="1"/>
  <c r="BX101" i="29"/>
  <c r="BW102" i="29"/>
  <c r="BW79" i="29"/>
  <c r="BV80" i="29"/>
  <c r="BV90" i="29"/>
  <c r="BW89" i="29"/>
  <c r="BZ35" i="29"/>
  <c r="BY36" i="29"/>
  <c r="BV110" i="29"/>
  <c r="BW109" i="29"/>
  <c r="BX65" i="29"/>
  <c r="BW66" i="29"/>
  <c r="BX113" i="29"/>
  <c r="BW114" i="29"/>
  <c r="BX55" i="29"/>
  <c r="BW56" i="29"/>
  <c r="BV104" i="29"/>
  <c r="BW103" i="29"/>
  <c r="BV106" i="29"/>
  <c r="BW105" i="29"/>
  <c r="BV84" i="29"/>
  <c r="BW83" i="29"/>
  <c r="BW40" i="29"/>
  <c r="BX39" i="29"/>
  <c r="BX70" i="29"/>
  <c r="BY69" i="29"/>
  <c r="BW63" i="29"/>
  <c r="BW64" i="29" s="1"/>
  <c r="BZ129" i="29"/>
  <c r="BY130" i="29"/>
  <c r="CB141" i="29"/>
  <c r="CA142" i="29"/>
  <c r="BZ145" i="29"/>
  <c r="BY146" i="29"/>
  <c r="BX128" i="29"/>
  <c r="BY126" i="29" s="1"/>
  <c r="BY127" i="29"/>
  <c r="CA143" i="29"/>
  <c r="BZ144" i="29"/>
  <c r="BZ135" i="29"/>
  <c r="BY136" i="29"/>
  <c r="BZ140" i="29"/>
  <c r="CA139" i="29"/>
  <c r="BZ131" i="29"/>
  <c r="BY132" i="29"/>
  <c r="CA137" i="29"/>
  <c r="BZ138" i="29"/>
  <c r="BY133" i="29"/>
  <c r="BX134" i="29"/>
  <c r="BZ147" i="29"/>
  <c r="BY148" i="29"/>
  <c r="CC54" i="29" l="1"/>
  <c r="CD53" i="29"/>
  <c r="CB72" i="29"/>
  <c r="CC71" i="29"/>
  <c r="CC57" i="29"/>
  <c r="CB58" i="29"/>
  <c r="CB124" i="29"/>
  <c r="CC123" i="29"/>
  <c r="CB44" i="29"/>
  <c r="CC43" i="29"/>
  <c r="BX96" i="29"/>
  <c r="BX7" i="29" s="1"/>
  <c r="BY95" i="29"/>
  <c r="BV48" i="29"/>
  <c r="BV9" i="29" s="1"/>
  <c r="BS27" i="29"/>
  <c r="G18" i="30" s="1"/>
  <c r="BX121" i="29"/>
  <c r="BW122" i="29"/>
  <c r="BX8" i="29"/>
  <c r="BX49" i="29"/>
  <c r="BW50" i="29"/>
  <c r="BW42" i="29"/>
  <c r="BX41" i="29"/>
  <c r="BW100" i="29"/>
  <c r="BX51" i="29"/>
  <c r="BW52" i="29"/>
  <c r="BW78" i="29"/>
  <c r="BX77" i="29"/>
  <c r="BX63" i="29"/>
  <c r="BX64" i="29" s="1"/>
  <c r="BX105" i="29"/>
  <c r="BW106" i="29"/>
  <c r="BW38" i="29"/>
  <c r="BW34" i="29" s="1"/>
  <c r="BX37" i="29"/>
  <c r="BY85" i="29"/>
  <c r="BX86" i="29"/>
  <c r="BZ69" i="29"/>
  <c r="BY70" i="29"/>
  <c r="BW90" i="29"/>
  <c r="BX89" i="29"/>
  <c r="BW120" i="29"/>
  <c r="BX119" i="29"/>
  <c r="BT4" i="29"/>
  <c r="BU5" i="29"/>
  <c r="CD149" i="29"/>
  <c r="CC150" i="29"/>
  <c r="BX103" i="29"/>
  <c r="BW104" i="29"/>
  <c r="BY65" i="29"/>
  <c r="BX66" i="29"/>
  <c r="BW94" i="29"/>
  <c r="BX93" i="29"/>
  <c r="G30" i="30"/>
  <c r="G44" i="30"/>
  <c r="G37" i="30"/>
  <c r="BY117" i="29"/>
  <c r="BX118" i="29"/>
  <c r="BY39" i="29"/>
  <c r="BX40" i="29"/>
  <c r="BX109" i="29"/>
  <c r="BW110" i="29"/>
  <c r="BY111" i="29"/>
  <c r="BX112" i="29"/>
  <c r="BW116" i="29"/>
  <c r="BX115" i="29"/>
  <c r="BX67" i="29"/>
  <c r="BW68" i="29"/>
  <c r="BX108" i="29"/>
  <c r="BY107" i="29"/>
  <c r="BX114" i="29"/>
  <c r="BY113" i="29"/>
  <c r="BW80" i="29"/>
  <c r="BX79" i="29"/>
  <c r="BX82" i="29"/>
  <c r="BY81" i="29"/>
  <c r="BY55" i="29"/>
  <c r="BX56" i="29"/>
  <c r="BW88" i="29"/>
  <c r="BX87" i="29"/>
  <c r="BX83" i="29"/>
  <c r="BW84" i="29"/>
  <c r="BZ36" i="29"/>
  <c r="CA35" i="29"/>
  <c r="BX102" i="29"/>
  <c r="BY101" i="29"/>
  <c r="BZ91" i="29"/>
  <c r="BY92" i="29"/>
  <c r="CA147" i="29"/>
  <c r="BZ148" i="29"/>
  <c r="CA145" i="29"/>
  <c r="BZ146" i="29"/>
  <c r="CA140" i="29"/>
  <c r="CB139" i="29"/>
  <c r="BZ133" i="29"/>
  <c r="BY134" i="29"/>
  <c r="BZ136" i="29"/>
  <c r="CA135" i="29"/>
  <c r="CB142" i="29"/>
  <c r="CC141" i="29"/>
  <c r="CB137" i="29"/>
  <c r="CA138" i="29"/>
  <c r="CA144" i="29"/>
  <c r="CB143" i="29"/>
  <c r="CA129" i="29"/>
  <c r="BZ130" i="29"/>
  <c r="BY128" i="29"/>
  <c r="BZ126" i="29" s="1"/>
  <c r="BZ127" i="29"/>
  <c r="CA131" i="29"/>
  <c r="BZ132" i="29"/>
  <c r="CD54" i="29" l="1"/>
  <c r="CE53" i="29"/>
  <c r="CD123" i="29"/>
  <c r="CC124" i="29"/>
  <c r="CD57" i="29"/>
  <c r="CC58" i="29"/>
  <c r="CC44" i="29"/>
  <c r="CD43" i="29"/>
  <c r="CC72" i="29"/>
  <c r="CD71" i="29"/>
  <c r="BY96" i="29"/>
  <c r="BY7" i="29" s="1"/>
  <c r="BZ95" i="29"/>
  <c r="BS28" i="29"/>
  <c r="G17" i="30" s="1"/>
  <c r="G31" i="30" s="1"/>
  <c r="G35" i="30" s="1"/>
  <c r="BY121" i="29"/>
  <c r="BX122" i="29"/>
  <c r="BY8" i="29"/>
  <c r="BW48" i="29"/>
  <c r="BW9" i="29" s="1"/>
  <c r="BY49" i="29"/>
  <c r="BX50" i="29"/>
  <c r="BY41" i="29"/>
  <c r="BX42" i="29"/>
  <c r="BX100" i="29"/>
  <c r="BZ92" i="29"/>
  <c r="CA91" i="29"/>
  <c r="G38" i="30"/>
  <c r="G45" i="30"/>
  <c r="BY82" i="29"/>
  <c r="BZ81" i="29"/>
  <c r="BY105" i="29"/>
  <c r="BX106" i="29"/>
  <c r="BZ101" i="29"/>
  <c r="BY102" i="29"/>
  <c r="BY87" i="29"/>
  <c r="BX88" i="29"/>
  <c r="BX68" i="29"/>
  <c r="BY67" i="29"/>
  <c r="BY40" i="29"/>
  <c r="BZ39" i="29"/>
  <c r="BX120" i="29"/>
  <c r="BY119" i="29"/>
  <c r="BY109" i="29"/>
  <c r="BX110" i="29"/>
  <c r="BX80" i="29"/>
  <c r="BY79" i="29"/>
  <c r="BX116" i="29"/>
  <c r="BY115" i="29"/>
  <c r="BY66" i="29"/>
  <c r="BZ65" i="29"/>
  <c r="BY63" i="29"/>
  <c r="BY64" i="29" s="1"/>
  <c r="BX94" i="29"/>
  <c r="BY93" i="29"/>
  <c r="CA36" i="29"/>
  <c r="CB35" i="29"/>
  <c r="BY118" i="29"/>
  <c r="BZ117" i="29"/>
  <c r="BX90" i="29"/>
  <c r="BY89" i="29"/>
  <c r="BZ85" i="29"/>
  <c r="BY86" i="29"/>
  <c r="BX78" i="29"/>
  <c r="BY77" i="29"/>
  <c r="BY114" i="29"/>
  <c r="BZ113" i="29"/>
  <c r="BY103" i="29"/>
  <c r="BX104" i="29"/>
  <c r="BY37" i="29"/>
  <c r="BX38" i="29"/>
  <c r="BX34" i="29" s="1"/>
  <c r="BV5" i="29"/>
  <c r="BU4" i="29"/>
  <c r="BZ55" i="29"/>
  <c r="BY56" i="29"/>
  <c r="BY112" i="29"/>
  <c r="BZ111" i="29"/>
  <c r="BY83" i="29"/>
  <c r="BX84" i="29"/>
  <c r="BZ107" i="29"/>
  <c r="BY108" i="29"/>
  <c r="CE149" i="29"/>
  <c r="CD150" i="29"/>
  <c r="BZ70" i="29"/>
  <c r="CA69" i="29"/>
  <c r="BX52" i="29"/>
  <c r="BY51" i="29"/>
  <c r="CA133" i="29"/>
  <c r="BZ134" i="29"/>
  <c r="CB140" i="29"/>
  <c r="CC139" i="29"/>
  <c r="CB131" i="29"/>
  <c r="CA132" i="29"/>
  <c r="CB138" i="29"/>
  <c r="CC137" i="29"/>
  <c r="BZ128" i="29"/>
  <c r="CA126" i="29" s="1"/>
  <c r="CA127" i="29"/>
  <c r="CD141" i="29"/>
  <c r="CC142" i="29"/>
  <c r="CB145" i="29"/>
  <c r="CA146" i="29"/>
  <c r="CC143" i="29"/>
  <c r="CB144" i="29"/>
  <c r="CA136" i="29"/>
  <c r="CB135" i="29"/>
  <c r="CB129" i="29"/>
  <c r="CA130" i="29"/>
  <c r="CB147" i="29"/>
  <c r="CA148" i="29"/>
  <c r="CE54" i="29" l="1"/>
  <c r="CF53" i="29"/>
  <c r="CD44" i="29"/>
  <c r="CE43" i="29"/>
  <c r="CD58" i="29"/>
  <c r="CE57" i="29"/>
  <c r="CE71" i="29"/>
  <c r="CD72" i="29"/>
  <c r="CE123" i="29"/>
  <c r="CD124" i="29"/>
  <c r="BZ96" i="29"/>
  <c r="BZ7" i="29" s="1"/>
  <c r="CA95" i="29"/>
  <c r="BX48" i="29"/>
  <c r="BX9" i="29" s="1"/>
  <c r="G34" i="30"/>
  <c r="G32" i="30"/>
  <c r="G33" i="30" s="1"/>
  <c r="BZ8" i="29"/>
  <c r="BZ121" i="29"/>
  <c r="BY122" i="29"/>
  <c r="BY50" i="29"/>
  <c r="BZ49" i="29"/>
  <c r="BZ41" i="29"/>
  <c r="BY42" i="29"/>
  <c r="BY100" i="29"/>
  <c r="CA101" i="29"/>
  <c r="BZ102" i="29"/>
  <c r="CB91" i="29"/>
  <c r="CA92" i="29"/>
  <c r="G42" i="30"/>
  <c r="G41" i="30"/>
  <c r="G39" i="30"/>
  <c r="G40" i="30" s="1"/>
  <c r="BY38" i="29"/>
  <c r="BY34" i="29" s="1"/>
  <c r="BZ37" i="29"/>
  <c r="BZ40" i="29"/>
  <c r="CA39" i="29"/>
  <c r="CE150" i="29"/>
  <c r="CF149" i="29"/>
  <c r="BY94" i="29"/>
  <c r="BZ93" i="29"/>
  <c r="BZ79" i="29"/>
  <c r="BY80" i="29"/>
  <c r="BZ105" i="29"/>
  <c r="BY106" i="29"/>
  <c r="BW5" i="29"/>
  <c r="BV4" i="29"/>
  <c r="BV3" i="29" s="1"/>
  <c r="BY120" i="29"/>
  <c r="BZ119" i="29"/>
  <c r="CB36" i="29"/>
  <c r="CC35" i="29"/>
  <c r="BZ56" i="29"/>
  <c r="CA55" i="29"/>
  <c r="BY104" i="29"/>
  <c r="BZ103" i="29"/>
  <c r="BZ86" i="29"/>
  <c r="CA85" i="29"/>
  <c r="BY68" i="29"/>
  <c r="BZ67" i="29"/>
  <c r="BY78" i="29"/>
  <c r="BZ77" i="29"/>
  <c r="BZ108" i="29"/>
  <c r="CA107" i="29"/>
  <c r="BZ114" i="29"/>
  <c r="CA113" i="29"/>
  <c r="BY90" i="29"/>
  <c r="BZ89" i="29"/>
  <c r="BZ82" i="29"/>
  <c r="CA81" i="29"/>
  <c r="BZ115" i="29"/>
  <c r="BY116" i="29"/>
  <c r="BY52" i="29"/>
  <c r="BZ51" i="29"/>
  <c r="BZ63" i="29"/>
  <c r="BZ64" i="29" s="1"/>
  <c r="CB69" i="29"/>
  <c r="CA70" i="29"/>
  <c r="CA111" i="29"/>
  <c r="BZ112" i="29"/>
  <c r="BZ83" i="29"/>
  <c r="BY84" i="29"/>
  <c r="CA117" i="29"/>
  <c r="BZ118" i="29"/>
  <c r="CA65" i="29"/>
  <c r="BZ66" i="29"/>
  <c r="BZ109" i="29"/>
  <c r="BY110" i="29"/>
  <c r="BY88" i="29"/>
  <c r="BZ87" i="29"/>
  <c r="G49" i="30"/>
  <c r="G46" i="30"/>
  <c r="G47" i="30" s="1"/>
  <c r="G48" i="30"/>
  <c r="CB148" i="29"/>
  <c r="CC147" i="29"/>
  <c r="CC145" i="29"/>
  <c r="CB146" i="29"/>
  <c r="CB132" i="29"/>
  <c r="CC131" i="29"/>
  <c r="CC140" i="29"/>
  <c r="CD139" i="29"/>
  <c r="CC129" i="29"/>
  <c r="CB130" i="29"/>
  <c r="CD142" i="29"/>
  <c r="CE141" i="29"/>
  <c r="CB136" i="29"/>
  <c r="CC135" i="29"/>
  <c r="CA128" i="29"/>
  <c r="CB126" i="29" s="1"/>
  <c r="CB127" i="29"/>
  <c r="CB133" i="29"/>
  <c r="CA134" i="29"/>
  <c r="CD137" i="29"/>
  <c r="CC138" i="29"/>
  <c r="CD143" i="29"/>
  <c r="CC144" i="29"/>
  <c r="CF54" i="29" l="1"/>
  <c r="CG53" i="29"/>
  <c r="CE124" i="29"/>
  <c r="CF123" i="29"/>
  <c r="CE72" i="29"/>
  <c r="CF71" i="29"/>
  <c r="CF57" i="29"/>
  <c r="CE58" i="29"/>
  <c r="CE44" i="29"/>
  <c r="CF43" i="29"/>
  <c r="CA96" i="29"/>
  <c r="CA7" i="29" s="1"/>
  <c r="CB95" i="29"/>
  <c r="BY48" i="29"/>
  <c r="BY9" i="29" s="1"/>
  <c r="BZ122" i="29"/>
  <c r="CA121" i="29"/>
  <c r="CA8" i="29"/>
  <c r="BZ50" i="29"/>
  <c r="CA49" i="29"/>
  <c r="BZ42" i="29"/>
  <c r="CA41" i="29"/>
  <c r="BZ100" i="29"/>
  <c r="CA66" i="29"/>
  <c r="CB65" i="29"/>
  <c r="BZ88" i="29"/>
  <c r="CA87" i="29"/>
  <c r="CA63" i="29"/>
  <c r="CA64" i="29" s="1"/>
  <c r="BX5" i="29"/>
  <c r="BW4" i="29"/>
  <c r="BZ84" i="29"/>
  <c r="CA83" i="29"/>
  <c r="BZ52" i="29"/>
  <c r="CA51" i="29"/>
  <c r="CA114" i="29"/>
  <c r="CB113" i="29"/>
  <c r="CA56" i="29"/>
  <c r="CB55" i="29"/>
  <c r="CG149" i="29"/>
  <c r="CF150" i="29"/>
  <c r="CB81" i="29"/>
  <c r="CA82" i="29"/>
  <c r="CA109" i="29"/>
  <c r="BZ110" i="29"/>
  <c r="CA67" i="29"/>
  <c r="BZ68" i="29"/>
  <c r="CC36" i="29"/>
  <c r="CD35" i="29"/>
  <c r="CA112" i="29"/>
  <c r="CB111" i="29"/>
  <c r="CA115" i="29"/>
  <c r="BZ116" i="29"/>
  <c r="CA105" i="29"/>
  <c r="BZ106" i="29"/>
  <c r="CA119" i="29"/>
  <c r="BZ120" i="29"/>
  <c r="CA40" i="29"/>
  <c r="CB39" i="29"/>
  <c r="CB92" i="29"/>
  <c r="CC91" i="29"/>
  <c r="CA86" i="29"/>
  <c r="CB85" i="29"/>
  <c r="CC69" i="29"/>
  <c r="CB70" i="29"/>
  <c r="BZ80" i="29"/>
  <c r="CA79" i="29"/>
  <c r="CB107" i="29"/>
  <c r="CA108" i="29"/>
  <c r="CB117" i="29"/>
  <c r="CA118" i="29"/>
  <c r="BZ90" i="29"/>
  <c r="CA89" i="29"/>
  <c r="CA77" i="29"/>
  <c r="BZ78" i="29"/>
  <c r="CA103" i="29"/>
  <c r="BZ104" i="29"/>
  <c r="CA93" i="29"/>
  <c r="BZ94" i="29"/>
  <c r="BZ38" i="29"/>
  <c r="BZ34" i="29" s="1"/>
  <c r="CA37" i="29"/>
  <c r="CB101" i="29"/>
  <c r="CA102" i="29"/>
  <c r="CC136" i="29"/>
  <c r="CD135" i="29"/>
  <c r="CD131" i="29"/>
  <c r="CC132" i="29"/>
  <c r="CF141" i="29"/>
  <c r="CE142" i="29"/>
  <c r="CE137" i="29"/>
  <c r="CD138" i="29"/>
  <c r="CD145" i="29"/>
  <c r="CC146" i="29"/>
  <c r="CE139" i="29"/>
  <c r="CD140" i="29"/>
  <c r="CC148" i="29"/>
  <c r="CD147" i="29"/>
  <c r="CB128" i="29"/>
  <c r="CC126" i="29" s="1"/>
  <c r="CC127" i="29"/>
  <c r="CE143" i="29"/>
  <c r="CD144" i="29"/>
  <c r="CC133" i="29"/>
  <c r="CB134" i="29"/>
  <c r="CD129" i="29"/>
  <c r="CC130" i="29"/>
  <c r="CG54" i="29" l="1"/>
  <c r="CH53" i="29"/>
  <c r="CF44" i="29"/>
  <c r="CG43" i="29"/>
  <c r="CF58" i="29"/>
  <c r="CG57" i="29"/>
  <c r="CF72" i="29"/>
  <c r="CG71" i="29"/>
  <c r="CG123" i="29"/>
  <c r="CF124" i="29"/>
  <c r="CB96" i="29"/>
  <c r="CB7" i="29" s="1"/>
  <c r="CC95" i="29"/>
  <c r="BZ48" i="29"/>
  <c r="BZ9" i="29" s="1"/>
  <c r="CB8" i="29"/>
  <c r="CB121" i="29"/>
  <c r="CA122" i="29"/>
  <c r="CA50" i="29"/>
  <c r="CB49" i="29"/>
  <c r="CA42" i="29"/>
  <c r="CB41" i="29"/>
  <c r="CA100" i="29"/>
  <c r="CD69" i="29"/>
  <c r="CC70" i="29"/>
  <c r="CA120" i="29"/>
  <c r="CB119" i="29"/>
  <c r="CA110" i="29"/>
  <c r="CB109" i="29"/>
  <c r="CB56" i="29"/>
  <c r="CC55" i="29"/>
  <c r="CB93" i="29"/>
  <c r="CA94" i="29"/>
  <c r="CB118" i="29"/>
  <c r="CC117" i="29"/>
  <c r="CB86" i="29"/>
  <c r="CC85" i="29"/>
  <c r="CD36" i="29"/>
  <c r="CE35" i="29"/>
  <c r="BY5" i="29"/>
  <c r="BX4" i="29"/>
  <c r="CC81" i="29"/>
  <c r="CB82" i="29"/>
  <c r="CC113" i="29"/>
  <c r="CB114" i="29"/>
  <c r="CB63" i="29"/>
  <c r="CB64" i="29" s="1"/>
  <c r="CB103" i="29"/>
  <c r="CA104" i="29"/>
  <c r="CB108" i="29"/>
  <c r="CC107" i="29"/>
  <c r="CD91" i="29"/>
  <c r="CC92" i="29"/>
  <c r="CB105" i="29"/>
  <c r="CA106" i="29"/>
  <c r="CA68" i="29"/>
  <c r="CB67" i="29"/>
  <c r="CB51" i="29"/>
  <c r="CA52" i="29"/>
  <c r="CA88" i="29"/>
  <c r="CB87" i="29"/>
  <c r="CC101" i="29"/>
  <c r="CB102" i="29"/>
  <c r="CB77" i="29"/>
  <c r="CA78" i="29"/>
  <c r="CA80" i="29"/>
  <c r="CB79" i="29"/>
  <c r="CB40" i="29"/>
  <c r="CC39" i="29"/>
  <c r="CB37" i="29"/>
  <c r="CA38" i="29"/>
  <c r="CA34" i="29" s="1"/>
  <c r="CA90" i="29"/>
  <c r="CB89" i="29"/>
  <c r="CA116" i="29"/>
  <c r="CB115" i="29"/>
  <c r="CH149" i="29"/>
  <c r="CG150" i="29"/>
  <c r="CA84" i="29"/>
  <c r="CB83" i="29"/>
  <c r="CB66" i="29"/>
  <c r="CC65" i="29"/>
  <c r="CB112" i="29"/>
  <c r="CC111" i="29"/>
  <c r="CE129" i="29"/>
  <c r="CD130" i="29"/>
  <c r="CD133" i="29"/>
  <c r="CC134" i="29"/>
  <c r="CE140" i="29"/>
  <c r="CF139" i="29"/>
  <c r="CG141" i="29"/>
  <c r="CF142" i="29"/>
  <c r="CE147" i="29"/>
  <c r="CD148" i="29"/>
  <c r="CE144" i="29"/>
  <c r="CF143" i="29"/>
  <c r="CE145" i="29"/>
  <c r="CD146" i="29"/>
  <c r="CE131" i="29"/>
  <c r="CD132" i="29"/>
  <c r="CC128" i="29"/>
  <c r="CD126" i="29" s="1"/>
  <c r="CD127" i="29"/>
  <c r="CD136" i="29"/>
  <c r="CE135" i="29"/>
  <c r="CE138" i="29"/>
  <c r="CF137" i="29"/>
  <c r="CH54" i="29" l="1"/>
  <c r="CI53" i="29"/>
  <c r="CH123" i="29"/>
  <c r="CG124" i="29"/>
  <c r="CG72" i="29"/>
  <c r="CH71" i="29"/>
  <c r="CG44" i="29"/>
  <c r="CH43" i="29"/>
  <c r="CG58" i="29"/>
  <c r="CH57" i="29"/>
  <c r="CC96" i="29"/>
  <c r="CC7" i="29" s="1"/>
  <c r="CD95" i="29"/>
  <c r="CA48" i="29"/>
  <c r="CA9" i="29" s="1"/>
  <c r="CC121" i="29"/>
  <c r="CB122" i="29"/>
  <c r="CC8" i="29"/>
  <c r="CC49" i="29"/>
  <c r="CB50" i="29"/>
  <c r="CB42" i="29"/>
  <c r="CC41" i="29"/>
  <c r="CB100" i="29"/>
  <c r="CB78" i="29"/>
  <c r="CC77" i="29"/>
  <c r="CE91" i="29"/>
  <c r="CD92" i="29"/>
  <c r="CC114" i="29"/>
  <c r="CD113" i="29"/>
  <c r="CI149" i="29"/>
  <c r="CH150" i="29"/>
  <c r="CB68" i="29"/>
  <c r="CC67" i="29"/>
  <c r="CC108" i="29"/>
  <c r="CD107" i="29"/>
  <c r="CC86" i="29"/>
  <c r="CD85" i="29"/>
  <c r="CC109" i="29"/>
  <c r="CB110" i="29"/>
  <c r="CB38" i="29"/>
  <c r="CB34" i="29" s="1"/>
  <c r="CC37" i="29"/>
  <c r="CE36" i="29"/>
  <c r="CF35" i="29"/>
  <c r="CD111" i="29"/>
  <c r="CC112" i="29"/>
  <c r="CB116" i="29"/>
  <c r="CC115" i="29"/>
  <c r="CD101" i="29"/>
  <c r="CC102" i="29"/>
  <c r="CC82" i="29"/>
  <c r="CD81" i="29"/>
  <c r="CD55" i="29"/>
  <c r="CC56" i="29"/>
  <c r="CC40" i="29"/>
  <c r="CD39" i="29"/>
  <c r="CC87" i="29"/>
  <c r="CB88" i="29"/>
  <c r="CD117" i="29"/>
  <c r="CC118" i="29"/>
  <c r="CC119" i="29"/>
  <c r="CB120" i="29"/>
  <c r="CD65" i="29"/>
  <c r="CC66" i="29"/>
  <c r="CB90" i="29"/>
  <c r="CC89" i="29"/>
  <c r="CB106" i="29"/>
  <c r="CC105" i="29"/>
  <c r="CB104" i="29"/>
  <c r="CC103" i="29"/>
  <c r="CC79" i="29"/>
  <c r="CB80" i="29"/>
  <c r="CB84" i="29"/>
  <c r="CC83" i="29"/>
  <c r="CC51" i="29"/>
  <c r="CB52" i="29"/>
  <c r="CC63" i="29"/>
  <c r="CC64" i="29" s="1"/>
  <c r="BZ5" i="29"/>
  <c r="BY4" i="29"/>
  <c r="BY3" i="29" s="1"/>
  <c r="CC93" i="29"/>
  <c r="CB94" i="29"/>
  <c r="CD70" i="29"/>
  <c r="CE69" i="29"/>
  <c r="CE146" i="29"/>
  <c r="CF145" i="29"/>
  <c r="CE136" i="29"/>
  <c r="CF135" i="29"/>
  <c r="CG143" i="29"/>
  <c r="CF144" i="29"/>
  <c r="CD134" i="29"/>
  <c r="CE133" i="29"/>
  <c r="CF140" i="29"/>
  <c r="CG139" i="29"/>
  <c r="CD128" i="29"/>
  <c r="CE126" i="29" s="1"/>
  <c r="CE127" i="29"/>
  <c r="CG137" i="29"/>
  <c r="CF138" i="29"/>
  <c r="CF147" i="29"/>
  <c r="CE148" i="29"/>
  <c r="CF131" i="29"/>
  <c r="CE132" i="29"/>
  <c r="CH141" i="29"/>
  <c r="CG142" i="29"/>
  <c r="CE130" i="29"/>
  <c r="CF129" i="29"/>
  <c r="CI54" i="29" l="1"/>
  <c r="CJ53" i="29"/>
  <c r="CI57" i="29"/>
  <c r="CH58" i="29"/>
  <c r="CI43" i="29"/>
  <c r="CH44" i="29"/>
  <c r="CI71" i="29"/>
  <c r="CH72" i="29"/>
  <c r="CH124" i="29"/>
  <c r="CI123" i="29"/>
  <c r="CD96" i="29"/>
  <c r="CD7" i="29" s="1"/>
  <c r="CE95" i="29"/>
  <c r="CB48" i="29"/>
  <c r="CB9" i="29" s="1"/>
  <c r="CD8" i="29"/>
  <c r="CC100" i="29"/>
  <c r="CC122" i="29"/>
  <c r="CD121" i="29"/>
  <c r="CD49" i="29"/>
  <c r="CC50" i="29"/>
  <c r="CD41" i="29"/>
  <c r="CC42" i="29"/>
  <c r="CA5" i="29"/>
  <c r="BZ4" i="29"/>
  <c r="CD82" i="29"/>
  <c r="CE81" i="29"/>
  <c r="CG35" i="29"/>
  <c r="CF36" i="29"/>
  <c r="CE107" i="29"/>
  <c r="CD108" i="29"/>
  <c r="CJ149" i="29"/>
  <c r="CI150" i="29"/>
  <c r="CD63" i="29"/>
  <c r="CD64" i="29" s="1"/>
  <c r="CD79" i="29"/>
  <c r="CC80" i="29"/>
  <c r="CE65" i="29"/>
  <c r="CD66" i="29"/>
  <c r="CD114" i="29"/>
  <c r="CE113" i="29"/>
  <c r="CD103" i="29"/>
  <c r="CC104" i="29"/>
  <c r="CC38" i="29"/>
  <c r="CC34" i="29" s="1"/>
  <c r="CD37" i="29"/>
  <c r="CD67" i="29"/>
  <c r="CC68" i="29"/>
  <c r="CF69" i="29"/>
  <c r="CE70" i="29"/>
  <c r="CC88" i="29"/>
  <c r="CD87" i="29"/>
  <c r="CE101" i="29"/>
  <c r="CD102" i="29"/>
  <c r="CD51" i="29"/>
  <c r="CC52" i="29"/>
  <c r="CC106" i="29"/>
  <c r="CD105" i="29"/>
  <c r="CD40" i="29"/>
  <c r="CE39" i="29"/>
  <c r="CD115" i="29"/>
  <c r="CC116" i="29"/>
  <c r="CF91" i="29"/>
  <c r="CE92" i="29"/>
  <c r="CD83" i="29"/>
  <c r="CC84" i="29"/>
  <c r="CD119" i="29"/>
  <c r="CC120" i="29"/>
  <c r="CD109" i="29"/>
  <c r="CC110" i="29"/>
  <c r="CC94" i="29"/>
  <c r="CD93" i="29"/>
  <c r="CC90" i="29"/>
  <c r="CD89" i="29"/>
  <c r="CE85" i="29"/>
  <c r="CD86" i="29"/>
  <c r="CC78" i="29"/>
  <c r="CD77" i="29"/>
  <c r="CE117" i="29"/>
  <c r="CD118" i="29"/>
  <c r="CD56" i="29"/>
  <c r="CE55" i="29"/>
  <c r="CD112" i="29"/>
  <c r="CE111" i="29"/>
  <c r="CG147" i="29"/>
  <c r="CF148" i="29"/>
  <c r="CH142" i="29"/>
  <c r="CI141" i="29"/>
  <c r="CG138" i="29"/>
  <c r="CH137" i="29"/>
  <c r="CG144" i="29"/>
  <c r="CH143" i="29"/>
  <c r="CE128" i="29"/>
  <c r="CF126" i="29" s="1"/>
  <c r="CF127" i="29"/>
  <c r="CG135" i="29"/>
  <c r="CF136" i="29"/>
  <c r="CF133" i="29"/>
  <c r="CE134" i="29"/>
  <c r="CG131" i="29"/>
  <c r="CF132" i="29"/>
  <c r="CG129" i="29"/>
  <c r="CF130" i="29"/>
  <c r="CG140" i="29"/>
  <c r="CH139" i="29"/>
  <c r="CF146" i="29"/>
  <c r="CG145" i="29"/>
  <c r="CJ54" i="29" l="1"/>
  <c r="CK53" i="29"/>
  <c r="CI72" i="29"/>
  <c r="CJ71" i="29"/>
  <c r="CI44" i="29"/>
  <c r="CJ43" i="29"/>
  <c r="CJ123" i="29"/>
  <c r="CI124" i="29"/>
  <c r="CI58" i="29"/>
  <c r="CJ57" i="29"/>
  <c r="CE96" i="29"/>
  <c r="CE7" i="29" s="1"/>
  <c r="H12" i="30" s="1"/>
  <c r="CF95" i="29"/>
  <c r="CC48" i="29"/>
  <c r="CC9" i="29" s="1"/>
  <c r="CE121" i="29"/>
  <c r="CD122" i="29"/>
  <c r="CE8" i="29"/>
  <c r="H13" i="30" s="1"/>
  <c r="CD50" i="29"/>
  <c r="CE49" i="29"/>
  <c r="CD42" i="29"/>
  <c r="CE41" i="29"/>
  <c r="CD100" i="29"/>
  <c r="CD116" i="29"/>
  <c r="CE115" i="29"/>
  <c r="CE89" i="29"/>
  <c r="CD90" i="29"/>
  <c r="CD106" i="29"/>
  <c r="CE105" i="29"/>
  <c r="CE118" i="29"/>
  <c r="CF117" i="29"/>
  <c r="CD84" i="29"/>
  <c r="CE83" i="29"/>
  <c r="CE66" i="29"/>
  <c r="CE12" i="29" s="1"/>
  <c r="H23" i="30" s="1"/>
  <c r="CF65" i="29"/>
  <c r="CE108" i="29"/>
  <c r="CF107" i="29"/>
  <c r="CD78" i="29"/>
  <c r="CE77" i="29"/>
  <c r="CE93" i="29"/>
  <c r="CD94" i="29"/>
  <c r="CF92" i="29"/>
  <c r="CG91" i="29"/>
  <c r="CE51" i="29"/>
  <c r="CD52" i="29"/>
  <c r="CF70" i="29"/>
  <c r="CG69" i="29"/>
  <c r="CD104" i="29"/>
  <c r="CE103" i="29"/>
  <c r="CE79" i="29"/>
  <c r="CD80" i="29"/>
  <c r="CG36" i="29"/>
  <c r="CH35" i="29"/>
  <c r="CF101" i="29"/>
  <c r="CE102" i="29"/>
  <c r="CE112" i="29"/>
  <c r="CF111" i="29"/>
  <c r="CF113" i="29"/>
  <c r="CE114" i="29"/>
  <c r="CE22" i="29" s="1"/>
  <c r="CF81" i="29"/>
  <c r="CE82" i="29"/>
  <c r="CD68" i="29"/>
  <c r="CE67" i="29"/>
  <c r="CE63" i="29"/>
  <c r="CE64" i="29" s="1"/>
  <c r="CE109" i="29"/>
  <c r="CD110" i="29"/>
  <c r="CE56" i="29"/>
  <c r="CF55" i="29"/>
  <c r="CE40" i="29"/>
  <c r="CF39" i="29"/>
  <c r="CE87" i="29"/>
  <c r="CD88" i="29"/>
  <c r="CE37" i="29"/>
  <c r="CD38" i="29"/>
  <c r="CD34" i="29" s="1"/>
  <c r="CF85" i="29"/>
  <c r="CE86" i="29"/>
  <c r="CE119" i="29"/>
  <c r="CD120" i="29"/>
  <c r="CK149" i="29"/>
  <c r="CJ150" i="29"/>
  <c r="CB5" i="29"/>
  <c r="CA4" i="29"/>
  <c r="CH131" i="29"/>
  <c r="CG132" i="29"/>
  <c r="CH145" i="29"/>
  <c r="CG146" i="29"/>
  <c r="CI137" i="29"/>
  <c r="CH138" i="29"/>
  <c r="CG133" i="29"/>
  <c r="CF134" i="29"/>
  <c r="CH140" i="29"/>
  <c r="CI139" i="29"/>
  <c r="CJ141" i="29"/>
  <c r="CI142" i="29"/>
  <c r="CH135" i="29"/>
  <c r="CG136" i="29"/>
  <c r="CI143" i="29"/>
  <c r="CH144" i="29"/>
  <c r="CF128" i="29"/>
  <c r="CG126" i="29" s="1"/>
  <c r="CG127" i="29"/>
  <c r="CH129" i="29"/>
  <c r="CG130" i="29"/>
  <c r="CH147" i="29"/>
  <c r="CG148" i="29"/>
  <c r="CK54" i="29" l="1"/>
  <c r="CL53" i="29"/>
  <c r="CJ124" i="29"/>
  <c r="CK123" i="29"/>
  <c r="CJ44" i="29"/>
  <c r="CK43" i="29"/>
  <c r="CK71" i="29"/>
  <c r="CJ72" i="29"/>
  <c r="CJ58" i="29"/>
  <c r="CK57" i="29"/>
  <c r="H11" i="30"/>
  <c r="CF96" i="29"/>
  <c r="CF7" i="29" s="1"/>
  <c r="CG95" i="29"/>
  <c r="CD48" i="29"/>
  <c r="CD9" i="29" s="1"/>
  <c r="CF8" i="29"/>
  <c r="CF121" i="29"/>
  <c r="CE122" i="29"/>
  <c r="CF49" i="29"/>
  <c r="CE50" i="29"/>
  <c r="CF41" i="29"/>
  <c r="CE42" i="29"/>
  <c r="CE100" i="29"/>
  <c r="CE14" i="29" s="1"/>
  <c r="H16" i="30" s="1"/>
  <c r="CE88" i="29"/>
  <c r="CF87" i="29"/>
  <c r="CH91" i="29"/>
  <c r="CG92" i="29"/>
  <c r="CG65" i="29"/>
  <c r="CF66" i="29"/>
  <c r="CF40" i="29"/>
  <c r="CG39" i="29"/>
  <c r="CF67" i="29"/>
  <c r="CE68" i="29"/>
  <c r="CE80" i="29"/>
  <c r="CF79" i="29"/>
  <c r="CF105" i="29"/>
  <c r="CE106" i="29"/>
  <c r="CL149" i="29"/>
  <c r="CK150" i="29"/>
  <c r="CE11" i="29"/>
  <c r="H22" i="30" s="1"/>
  <c r="CF63" i="29"/>
  <c r="CF64" i="29" s="1"/>
  <c r="CE120" i="29"/>
  <c r="CF119" i="29"/>
  <c r="CF112" i="29"/>
  <c r="CG111" i="29"/>
  <c r="CF103" i="29"/>
  <c r="CE104" i="29"/>
  <c r="CE52" i="29"/>
  <c r="CF51" i="29"/>
  <c r="CF56" i="29"/>
  <c r="CG55" i="29"/>
  <c r="CF93" i="29"/>
  <c r="CE94" i="29"/>
  <c r="CB4" i="29"/>
  <c r="CB3" i="29" s="1"/>
  <c r="CC5" i="29"/>
  <c r="CG85" i="29"/>
  <c r="CF86" i="29"/>
  <c r="CG81" i="29"/>
  <c r="CF82" i="29"/>
  <c r="CH69" i="29"/>
  <c r="CG70" i="29"/>
  <c r="CF77" i="29"/>
  <c r="CE78" i="29"/>
  <c r="CF83" i="29"/>
  <c r="CE84" i="29"/>
  <c r="CE90" i="29"/>
  <c r="CF89" i="29"/>
  <c r="CF102" i="29"/>
  <c r="CG101" i="29"/>
  <c r="CF115" i="29"/>
  <c r="CE116" i="29"/>
  <c r="CE38" i="29"/>
  <c r="CE34" i="29" s="1"/>
  <c r="CF37" i="29"/>
  <c r="CF109" i="29"/>
  <c r="CE110" i="29"/>
  <c r="CF114" i="29"/>
  <c r="CG113" i="29"/>
  <c r="CI35" i="29"/>
  <c r="CH36" i="29"/>
  <c r="CG107" i="29"/>
  <c r="CF108" i="29"/>
  <c r="CF118" i="29"/>
  <c r="CG117" i="29"/>
  <c r="CI147" i="29"/>
  <c r="CH148" i="29"/>
  <c r="CH136" i="29"/>
  <c r="CI135" i="29"/>
  <c r="CJ137" i="29"/>
  <c r="CI138" i="29"/>
  <c r="CI129" i="29"/>
  <c r="CH130" i="29"/>
  <c r="CJ142" i="29"/>
  <c r="CK141" i="29"/>
  <c r="CI145" i="29"/>
  <c r="CH146" i="29"/>
  <c r="CH127" i="29"/>
  <c r="CG128" i="29"/>
  <c r="CH126" i="29" s="1"/>
  <c r="CI140" i="29"/>
  <c r="CJ139" i="29"/>
  <c r="CI131" i="29"/>
  <c r="CH132" i="29"/>
  <c r="CI144" i="29"/>
  <c r="CJ143" i="29"/>
  <c r="CH133" i="29"/>
  <c r="CG134" i="29"/>
  <c r="CL54" i="29" l="1"/>
  <c r="CM53" i="29"/>
  <c r="CL71" i="29"/>
  <c r="CK72" i="29"/>
  <c r="CK58" i="29"/>
  <c r="CL57" i="29"/>
  <c r="CK44" i="29"/>
  <c r="CL43" i="29"/>
  <c r="CK124" i="29"/>
  <c r="CL123" i="29"/>
  <c r="CG96" i="29"/>
  <c r="CG7" i="29" s="1"/>
  <c r="CH95" i="29"/>
  <c r="CE48" i="29"/>
  <c r="CE9" i="29" s="1"/>
  <c r="CF122" i="29"/>
  <c r="CG121" i="29"/>
  <c r="CG8" i="29"/>
  <c r="CG49" i="29"/>
  <c r="CF50" i="29"/>
  <c r="CF42" i="29"/>
  <c r="CG41" i="29"/>
  <c r="CE15" i="29"/>
  <c r="H24" i="30" s="1"/>
  <c r="CF100" i="29"/>
  <c r="CH113" i="29"/>
  <c r="CG114" i="29"/>
  <c r="CG102" i="29"/>
  <c r="CH101" i="29"/>
  <c r="CG63" i="29"/>
  <c r="CG64" i="29" s="1"/>
  <c r="CF80" i="29"/>
  <c r="CG79" i="29"/>
  <c r="CG118" i="29"/>
  <c r="CH117" i="29"/>
  <c r="CI69" i="29"/>
  <c r="CH70" i="29"/>
  <c r="CH92" i="29"/>
  <c r="CI91" i="29"/>
  <c r="CF90" i="29"/>
  <c r="CG89" i="29"/>
  <c r="CF110" i="29"/>
  <c r="CG109" i="29"/>
  <c r="CF104" i="29"/>
  <c r="CG103" i="29"/>
  <c r="CF68" i="29"/>
  <c r="CG67" i="29"/>
  <c r="CH107" i="29"/>
  <c r="CG108" i="29"/>
  <c r="CF38" i="29"/>
  <c r="CF34" i="29" s="1"/>
  <c r="CG37" i="29"/>
  <c r="CH81" i="29"/>
  <c r="CG82" i="29"/>
  <c r="CG93" i="29"/>
  <c r="CF94" i="29"/>
  <c r="CH111" i="29"/>
  <c r="CG112" i="29"/>
  <c r="CG40" i="29"/>
  <c r="CH39" i="29"/>
  <c r="CF88" i="29"/>
  <c r="CG87" i="29"/>
  <c r="CF84" i="29"/>
  <c r="CG83" i="29"/>
  <c r="CG56" i="29"/>
  <c r="CH55" i="29"/>
  <c r="CL150" i="29"/>
  <c r="CM149" i="29"/>
  <c r="CH85" i="29"/>
  <c r="CG86" i="29"/>
  <c r="CF120" i="29"/>
  <c r="CG119" i="29"/>
  <c r="CI36" i="29"/>
  <c r="CJ35" i="29"/>
  <c r="CF116" i="29"/>
  <c r="CG115" i="29"/>
  <c r="CF78" i="29"/>
  <c r="CG77" i="29"/>
  <c r="CD5" i="29"/>
  <c r="CC4" i="29"/>
  <c r="CF52" i="29"/>
  <c r="CG51" i="29"/>
  <c r="CF106" i="29"/>
  <c r="CG105" i="29"/>
  <c r="CH65" i="29"/>
  <c r="CG66" i="29"/>
  <c r="CJ129" i="29"/>
  <c r="CI130" i="29"/>
  <c r="CI133" i="29"/>
  <c r="CH134" i="29"/>
  <c r="CH128" i="29"/>
  <c r="CI126" i="29" s="1"/>
  <c r="CI127" i="29"/>
  <c r="CJ138" i="29"/>
  <c r="CK137" i="29"/>
  <c r="CK143" i="29"/>
  <c r="CJ144" i="29"/>
  <c r="CI136" i="29"/>
  <c r="CJ135" i="29"/>
  <c r="CJ145" i="29"/>
  <c r="CI146" i="29"/>
  <c r="CJ140" i="29"/>
  <c r="CK139" i="29"/>
  <c r="CL141" i="29"/>
  <c r="CK142" i="29"/>
  <c r="CJ131" i="29"/>
  <c r="CI132" i="29"/>
  <c r="CJ147" i="29"/>
  <c r="CI148" i="29"/>
  <c r="CM54" i="29" l="1"/>
  <c r="CN53" i="29"/>
  <c r="CL124" i="29"/>
  <c r="CM123" i="29"/>
  <c r="CL44" i="29"/>
  <c r="CM43" i="29"/>
  <c r="CM57" i="29"/>
  <c r="CL58" i="29"/>
  <c r="CM71" i="29"/>
  <c r="CL72" i="29"/>
  <c r="CH96" i="29"/>
  <c r="CH7" i="29" s="1"/>
  <c r="CI95" i="29"/>
  <c r="CF48" i="29"/>
  <c r="CF9" i="29" s="1"/>
  <c r="CH8" i="29"/>
  <c r="CG122" i="29"/>
  <c r="CH121" i="29"/>
  <c r="CH49" i="29"/>
  <c r="CG50" i="29"/>
  <c r="CG42" i="29"/>
  <c r="CH41" i="29"/>
  <c r="CG100" i="29"/>
  <c r="CI111" i="29"/>
  <c r="CH112" i="29"/>
  <c r="CI107" i="29"/>
  <c r="CH108" i="29"/>
  <c r="CG120" i="29"/>
  <c r="CH119" i="29"/>
  <c r="CH83" i="29"/>
  <c r="CG84" i="29"/>
  <c r="CG68" i="29"/>
  <c r="CH67" i="29"/>
  <c r="CE5" i="29"/>
  <c r="CD4" i="29"/>
  <c r="CH93" i="29"/>
  <c r="CG94" i="29"/>
  <c r="CH63" i="29"/>
  <c r="CH64" i="29" s="1"/>
  <c r="CG78" i="29"/>
  <c r="CH77" i="29"/>
  <c r="CG88" i="29"/>
  <c r="CH87" i="29"/>
  <c r="CG104" i="29"/>
  <c r="CH103" i="29"/>
  <c r="CJ69" i="29"/>
  <c r="CI70" i="29"/>
  <c r="CE26" i="29"/>
  <c r="CE10" i="29"/>
  <c r="H15" i="30"/>
  <c r="H14" i="30" s="1"/>
  <c r="CI65" i="29"/>
  <c r="CH66" i="29"/>
  <c r="CI85" i="29"/>
  <c r="CH86" i="29"/>
  <c r="CI81" i="29"/>
  <c r="CH82" i="29"/>
  <c r="CH102" i="29"/>
  <c r="CI101" i="29"/>
  <c r="CG106" i="29"/>
  <c r="CH105" i="29"/>
  <c r="CG116" i="29"/>
  <c r="CH115" i="29"/>
  <c r="CN149" i="29"/>
  <c r="CM150" i="29"/>
  <c r="CH40" i="29"/>
  <c r="CI39" i="29"/>
  <c r="CG38" i="29"/>
  <c r="CG34" i="29" s="1"/>
  <c r="CH37" i="29"/>
  <c r="CH109" i="29"/>
  <c r="CG110" i="29"/>
  <c r="CH89" i="29"/>
  <c r="CG90" i="29"/>
  <c r="CH118" i="29"/>
  <c r="CI117" i="29"/>
  <c r="CG52" i="29"/>
  <c r="CH51" i="29"/>
  <c r="CJ36" i="29"/>
  <c r="CK35" i="29"/>
  <c r="CH56" i="29"/>
  <c r="CI55" i="29"/>
  <c r="CJ91" i="29"/>
  <c r="CI92" i="29"/>
  <c r="CG80" i="29"/>
  <c r="CH79" i="29"/>
  <c r="CI113" i="29"/>
  <c r="CH114" i="29"/>
  <c r="CK145" i="29"/>
  <c r="CJ146" i="29"/>
  <c r="CJ136" i="29"/>
  <c r="CK135" i="29"/>
  <c r="CJ132" i="29"/>
  <c r="CK131" i="29"/>
  <c r="CJ133" i="29"/>
  <c r="CI134" i="29"/>
  <c r="CJ127" i="29"/>
  <c r="CI128" i="29"/>
  <c r="CJ126" i="29" s="1"/>
  <c r="CL142" i="29"/>
  <c r="CM141" i="29"/>
  <c r="CL143" i="29"/>
  <c r="CK144" i="29"/>
  <c r="CK129" i="29"/>
  <c r="CJ130" i="29"/>
  <c r="CJ148" i="29"/>
  <c r="CK147" i="29"/>
  <c r="CK140" i="29"/>
  <c r="CL139" i="29"/>
  <c r="CK138" i="29"/>
  <c r="CL137" i="29"/>
  <c r="CN54" i="29" l="1"/>
  <c r="CO53" i="29"/>
  <c r="CN71" i="29"/>
  <c r="CM72" i="29"/>
  <c r="CM58" i="29"/>
  <c r="CN57" i="29"/>
  <c r="CM124" i="29"/>
  <c r="CN123" i="29"/>
  <c r="CM44" i="29"/>
  <c r="CN43" i="29"/>
  <c r="CI96" i="29"/>
  <c r="CI7" i="29" s="1"/>
  <c r="CJ95" i="29"/>
  <c r="CG48" i="29"/>
  <c r="CG9" i="29" s="1"/>
  <c r="CH122" i="29"/>
  <c r="CI121" i="29"/>
  <c r="CI8" i="29"/>
  <c r="CI49" i="29"/>
  <c r="CH50" i="29"/>
  <c r="CI41" i="29"/>
  <c r="CH42" i="29"/>
  <c r="CH100" i="29"/>
  <c r="CJ117" i="29"/>
  <c r="CI118" i="29"/>
  <c r="CI40" i="29"/>
  <c r="CJ39" i="29"/>
  <c r="CJ101" i="29"/>
  <c r="CI102" i="29"/>
  <c r="CI103" i="29"/>
  <c r="CH104" i="29"/>
  <c r="CJ55" i="29"/>
  <c r="CI56" i="29"/>
  <c r="CJ65" i="29"/>
  <c r="CI66" i="29"/>
  <c r="CI93" i="29"/>
  <c r="CH94" i="29"/>
  <c r="CH84" i="29"/>
  <c r="CI83" i="29"/>
  <c r="CJ113" i="29"/>
  <c r="CI114" i="29"/>
  <c r="CI87" i="29"/>
  <c r="CH88" i="29"/>
  <c r="CH120" i="29"/>
  <c r="CI119" i="29"/>
  <c r="CI79" i="29"/>
  <c r="CH80" i="29"/>
  <c r="CK36" i="29"/>
  <c r="CL35" i="29"/>
  <c r="CH90" i="29"/>
  <c r="CI89" i="29"/>
  <c r="CO149" i="29"/>
  <c r="CN150" i="29"/>
  <c r="CE13" i="29"/>
  <c r="H21" i="30"/>
  <c r="H10" i="30"/>
  <c r="CF5" i="29"/>
  <c r="CE4" i="29"/>
  <c r="CE3" i="29" s="1"/>
  <c r="CH116" i="29"/>
  <c r="CI115" i="29"/>
  <c r="H19" i="30"/>
  <c r="CI77" i="29"/>
  <c r="CH78" i="29"/>
  <c r="CI51" i="29"/>
  <c r="CH52" i="29"/>
  <c r="CI109" i="29"/>
  <c r="CH110" i="29"/>
  <c r="CJ81" i="29"/>
  <c r="CI82" i="29"/>
  <c r="CJ107" i="29"/>
  <c r="CI108" i="29"/>
  <c r="CJ92" i="29"/>
  <c r="CK91" i="29"/>
  <c r="CI37" i="29"/>
  <c r="CH38" i="29"/>
  <c r="CH34" i="29" s="1"/>
  <c r="CH106" i="29"/>
  <c r="CI105" i="29"/>
  <c r="CJ70" i="29"/>
  <c r="CK69" i="29"/>
  <c r="CI67" i="29"/>
  <c r="CH68" i="29"/>
  <c r="CI86" i="29"/>
  <c r="CJ85" i="29"/>
  <c r="CI63" i="29"/>
  <c r="CI64" i="29" s="1"/>
  <c r="CJ111" i="29"/>
  <c r="CI112" i="29"/>
  <c r="CL129" i="29"/>
  <c r="CK130" i="29"/>
  <c r="CK133" i="29"/>
  <c r="CJ134" i="29"/>
  <c r="CM137" i="29"/>
  <c r="CL138" i="29"/>
  <c r="CL131" i="29"/>
  <c r="CK132" i="29"/>
  <c r="CM143" i="29"/>
  <c r="CL144" i="29"/>
  <c r="CM139" i="29"/>
  <c r="CL140" i="29"/>
  <c r="CN141" i="29"/>
  <c r="CM142" i="29"/>
  <c r="CK136" i="29"/>
  <c r="CL135" i="29"/>
  <c r="CK148" i="29"/>
  <c r="CL147" i="29"/>
  <c r="CK127" i="29"/>
  <c r="CJ128" i="29"/>
  <c r="CK126" i="29" s="1"/>
  <c r="CL145" i="29"/>
  <c r="CK146" i="29"/>
  <c r="CO54" i="29" l="1"/>
  <c r="CP53" i="29"/>
  <c r="CO123" i="29"/>
  <c r="CN124" i="29"/>
  <c r="CN44" i="29"/>
  <c r="CO43" i="29"/>
  <c r="CO57" i="29"/>
  <c r="CN58" i="29"/>
  <c r="CO71" i="29"/>
  <c r="CN72" i="29"/>
  <c r="CJ96" i="29"/>
  <c r="CJ7" i="29" s="1"/>
  <c r="CK95" i="29"/>
  <c r="CH48" i="29"/>
  <c r="CH9" i="29" s="1"/>
  <c r="CJ8" i="29"/>
  <c r="CJ121" i="29"/>
  <c r="CI122" i="29"/>
  <c r="CI50" i="29"/>
  <c r="CJ49" i="29"/>
  <c r="CI42" i="29"/>
  <c r="CJ41" i="29"/>
  <c r="CI100" i="29"/>
  <c r="H20" i="30"/>
  <c r="CE27" i="29"/>
  <c r="CJ112" i="29"/>
  <c r="CK111" i="29"/>
  <c r="CI68" i="29"/>
  <c r="CJ67" i="29"/>
  <c r="CJ109" i="29"/>
  <c r="CI110" i="29"/>
  <c r="CP149" i="29"/>
  <c r="CO150" i="29"/>
  <c r="CK70" i="29"/>
  <c r="CL69" i="29"/>
  <c r="CJ89" i="29"/>
  <c r="CI90" i="29"/>
  <c r="CJ103" i="29"/>
  <c r="CI104" i="29"/>
  <c r="CJ63" i="29"/>
  <c r="CJ64" i="29" s="1"/>
  <c r="CJ108" i="29"/>
  <c r="CK107" i="29"/>
  <c r="CI52" i="29"/>
  <c r="CJ51" i="29"/>
  <c r="CG5" i="29"/>
  <c r="CF4" i="29"/>
  <c r="CI88" i="29"/>
  <c r="CJ87" i="29"/>
  <c r="CJ93" i="29"/>
  <c r="CI94" i="29"/>
  <c r="CJ86" i="29"/>
  <c r="CK85" i="29"/>
  <c r="CJ105" i="29"/>
  <c r="CI106" i="29"/>
  <c r="H44" i="30"/>
  <c r="H37" i="30"/>
  <c r="H30" i="30"/>
  <c r="CL36" i="29"/>
  <c r="CM35" i="29"/>
  <c r="CK101" i="29"/>
  <c r="CJ102" i="29"/>
  <c r="CJ77" i="29"/>
  <c r="CI78" i="29"/>
  <c r="CJ66" i="29"/>
  <c r="CK65" i="29"/>
  <c r="CJ40" i="29"/>
  <c r="CK39" i="29"/>
  <c r="CI38" i="29"/>
  <c r="CI34" i="29" s="1"/>
  <c r="CJ37" i="29"/>
  <c r="CK81" i="29"/>
  <c r="CJ82" i="29"/>
  <c r="CI80" i="29"/>
  <c r="CJ79" i="29"/>
  <c r="CK113" i="29"/>
  <c r="CJ114" i="29"/>
  <c r="CK92" i="29"/>
  <c r="CL91" i="29"/>
  <c r="CI116" i="29"/>
  <c r="CJ115" i="29"/>
  <c r="CI120" i="29"/>
  <c r="CJ119" i="29"/>
  <c r="CI84" i="29"/>
  <c r="CJ83" i="29"/>
  <c r="CJ56" i="29"/>
  <c r="CK55" i="29"/>
  <c r="CK117" i="29"/>
  <c r="CJ118" i="29"/>
  <c r="CM145" i="29"/>
  <c r="CL146" i="29"/>
  <c r="CO141" i="29"/>
  <c r="CN142" i="29"/>
  <c r="CM138" i="29"/>
  <c r="CN137" i="29"/>
  <c r="CL127" i="29"/>
  <c r="CK128" i="29"/>
  <c r="CL126" i="29" s="1"/>
  <c r="CM140" i="29"/>
  <c r="CN139" i="29"/>
  <c r="CL133" i="29"/>
  <c r="CK134" i="29"/>
  <c r="CM147" i="29"/>
  <c r="CL148" i="29"/>
  <c r="CM144" i="29"/>
  <c r="CN143" i="29"/>
  <c r="CM129" i="29"/>
  <c r="CL130" i="29"/>
  <c r="CL136" i="29"/>
  <c r="CM135" i="29"/>
  <c r="CM131" i="29"/>
  <c r="CL132" i="29"/>
  <c r="CP54" i="29" l="1"/>
  <c r="CQ53" i="29"/>
  <c r="CP71" i="29"/>
  <c r="CO72" i="29"/>
  <c r="CO58" i="29"/>
  <c r="CP57" i="29"/>
  <c r="CO44" i="29"/>
  <c r="CP43" i="29"/>
  <c r="CP123" i="29"/>
  <c r="CO124" i="29"/>
  <c r="CK96" i="29"/>
  <c r="CK7" i="29" s="1"/>
  <c r="CL95" i="29"/>
  <c r="CI48" i="29"/>
  <c r="CI9" i="29" s="1"/>
  <c r="CK121" i="29"/>
  <c r="CJ122" i="29"/>
  <c r="CK8" i="29"/>
  <c r="CJ50" i="29"/>
  <c r="CK49" i="29"/>
  <c r="CJ42" i="29"/>
  <c r="CK41" i="29"/>
  <c r="CJ100" i="29"/>
  <c r="CM91" i="29"/>
  <c r="CL92" i="29"/>
  <c r="CJ52" i="29"/>
  <c r="CK51" i="29"/>
  <c r="CK109" i="29"/>
  <c r="CJ110" i="29"/>
  <c r="CJ84" i="29"/>
  <c r="CK83" i="29"/>
  <c r="CJ90" i="29"/>
  <c r="CK89" i="29"/>
  <c r="CK67" i="29"/>
  <c r="CJ68" i="29"/>
  <c r="CJ104" i="29"/>
  <c r="CK103" i="29"/>
  <c r="CL113" i="29"/>
  <c r="CK114" i="29"/>
  <c r="CK77" i="29"/>
  <c r="CJ78" i="29"/>
  <c r="CK108" i="29"/>
  <c r="CL107" i="29"/>
  <c r="CJ120" i="29"/>
  <c r="CK119" i="29"/>
  <c r="CJ80" i="29"/>
  <c r="CK79" i="29"/>
  <c r="CK40" i="29"/>
  <c r="CL39" i="29"/>
  <c r="CK93" i="29"/>
  <c r="CJ94" i="29"/>
  <c r="CL70" i="29"/>
  <c r="CM69" i="29"/>
  <c r="CL111" i="29"/>
  <c r="CK112" i="29"/>
  <c r="CH5" i="29"/>
  <c r="CG4" i="29"/>
  <c r="CJ88" i="29"/>
  <c r="CK87" i="29"/>
  <c r="CK56" i="29"/>
  <c r="CL55" i="29"/>
  <c r="CK86" i="29"/>
  <c r="CL85" i="29"/>
  <c r="CJ116" i="29"/>
  <c r="CK115" i="29"/>
  <c r="CL65" i="29"/>
  <c r="CK66" i="29"/>
  <c r="CK63" i="29"/>
  <c r="CK64" i="29" s="1"/>
  <c r="H18" i="30"/>
  <c r="CE28" i="29"/>
  <c r="H17" i="30" s="1"/>
  <c r="H31" i="30" s="1"/>
  <c r="CK37" i="29"/>
  <c r="CJ38" i="29"/>
  <c r="CJ34" i="29" s="1"/>
  <c r="CM36" i="29"/>
  <c r="CN35" i="29"/>
  <c r="CL117" i="29"/>
  <c r="CK118" i="29"/>
  <c r="CL81" i="29"/>
  <c r="CK82" i="29"/>
  <c r="CL101" i="29"/>
  <c r="CK102" i="29"/>
  <c r="CK105" i="29"/>
  <c r="CJ106" i="29"/>
  <c r="CQ149" i="29"/>
  <c r="CP150" i="29"/>
  <c r="CM127" i="29"/>
  <c r="CL128" i="29"/>
  <c r="CM126" i="29" s="1"/>
  <c r="CO137" i="29"/>
  <c r="CN138" i="29"/>
  <c r="CN131" i="29"/>
  <c r="CM132" i="29"/>
  <c r="CN147" i="29"/>
  <c r="CM148" i="29"/>
  <c r="CM136" i="29"/>
  <c r="CN135" i="29"/>
  <c r="CO143" i="29"/>
  <c r="CN144" i="29"/>
  <c r="CL134" i="29"/>
  <c r="CM133" i="29"/>
  <c r="CP141" i="29"/>
  <c r="CO142" i="29"/>
  <c r="CO139" i="29"/>
  <c r="CN140" i="29"/>
  <c r="CM130" i="29"/>
  <c r="CN129" i="29"/>
  <c r="CM146" i="29"/>
  <c r="CN145" i="29"/>
  <c r="CQ54" i="29" l="1"/>
  <c r="CR53" i="29"/>
  <c r="CP44" i="29"/>
  <c r="CQ43" i="29"/>
  <c r="CP124" i="29"/>
  <c r="CQ123" i="29"/>
  <c r="CP58" i="29"/>
  <c r="CQ57" i="29"/>
  <c r="CP72" i="29"/>
  <c r="CQ71" i="29"/>
  <c r="CL96" i="29"/>
  <c r="CL7" i="29" s="1"/>
  <c r="CM95" i="29"/>
  <c r="CL8" i="29"/>
  <c r="CL121" i="29"/>
  <c r="CK122" i="29"/>
  <c r="CJ48" i="29"/>
  <c r="CJ9" i="29" s="1"/>
  <c r="CL49" i="29"/>
  <c r="CK50" i="29"/>
  <c r="CK42" i="29"/>
  <c r="CL41" i="29"/>
  <c r="CK100" i="29"/>
  <c r="CL82" i="29"/>
  <c r="CM81" i="29"/>
  <c r="H38" i="30"/>
  <c r="H45" i="30"/>
  <c r="CL86" i="29"/>
  <c r="CM85" i="29"/>
  <c r="CM39" i="29"/>
  <c r="CL40" i="29"/>
  <c r="CM113" i="29"/>
  <c r="CL114" i="29"/>
  <c r="CK84" i="29"/>
  <c r="CL83" i="29"/>
  <c r="CL63" i="29"/>
  <c r="CL64" i="29" s="1"/>
  <c r="CI5" i="29"/>
  <c r="CH4" i="29"/>
  <c r="CH3" i="29" s="1"/>
  <c r="CL108" i="29"/>
  <c r="CM107" i="29"/>
  <c r="CK104" i="29"/>
  <c r="CL103" i="29"/>
  <c r="CR149" i="29"/>
  <c r="CQ150" i="29"/>
  <c r="CM117" i="29"/>
  <c r="CL118" i="29"/>
  <c r="CL56" i="29"/>
  <c r="CM55" i="29"/>
  <c r="CK80" i="29"/>
  <c r="CL79" i="29"/>
  <c r="CN36" i="29"/>
  <c r="CO35" i="29"/>
  <c r="CL112" i="29"/>
  <c r="CM111" i="29"/>
  <c r="CL109" i="29"/>
  <c r="CK110" i="29"/>
  <c r="CK106" i="29"/>
  <c r="CL105" i="29"/>
  <c r="CK88" i="29"/>
  <c r="CL87" i="29"/>
  <c r="CM70" i="29"/>
  <c r="CN69" i="29"/>
  <c r="CK120" i="29"/>
  <c r="CL119" i="29"/>
  <c r="CK78" i="29"/>
  <c r="CL77" i="29"/>
  <c r="CL67" i="29"/>
  <c r="CK68" i="29"/>
  <c r="CK52" i="29"/>
  <c r="CL51" i="29"/>
  <c r="CL66" i="29"/>
  <c r="CM65" i="29"/>
  <c r="CL89" i="29"/>
  <c r="CK90" i="29"/>
  <c r="CL102" i="29"/>
  <c r="CM101" i="29"/>
  <c r="CK38" i="29"/>
  <c r="CK34" i="29" s="1"/>
  <c r="CL37" i="29"/>
  <c r="CK116" i="29"/>
  <c r="CL115" i="29"/>
  <c r="H35" i="30"/>
  <c r="H32" i="30"/>
  <c r="H33" i="30" s="1"/>
  <c r="H34" i="30"/>
  <c r="CL93" i="29"/>
  <c r="CK94" i="29"/>
  <c r="CN91" i="29"/>
  <c r="CM92" i="29"/>
  <c r="CO131" i="29"/>
  <c r="CN132" i="29"/>
  <c r="CN146" i="29"/>
  <c r="CO145" i="29"/>
  <c r="CO144" i="29"/>
  <c r="CP143" i="29"/>
  <c r="CO138" i="29"/>
  <c r="CP137" i="29"/>
  <c r="CN136" i="29"/>
  <c r="CO135" i="29"/>
  <c r="CN133" i="29"/>
  <c r="CM134" i="29"/>
  <c r="CO140" i="29"/>
  <c r="CP139" i="29"/>
  <c r="CN127" i="29"/>
  <c r="CM128" i="29"/>
  <c r="CN126" i="29" s="1"/>
  <c r="CO129" i="29"/>
  <c r="CN130" i="29"/>
  <c r="CP142" i="29"/>
  <c r="CQ141" i="29"/>
  <c r="CO147" i="29"/>
  <c r="CN148" i="29"/>
  <c r="CR54" i="29" l="1"/>
  <c r="CS53" i="29"/>
  <c r="CQ58" i="29"/>
  <c r="CR57" i="29"/>
  <c r="CQ124" i="29"/>
  <c r="CR123" i="29"/>
  <c r="CQ72" i="29"/>
  <c r="CR71" i="29"/>
  <c r="CQ44" i="29"/>
  <c r="CR43" i="29"/>
  <c r="CM96" i="29"/>
  <c r="CM7" i="29" s="1"/>
  <c r="CN95" i="29"/>
  <c r="CL122" i="29"/>
  <c r="CM121" i="29"/>
  <c r="CM8" i="29"/>
  <c r="CK48" i="29"/>
  <c r="CK9" i="29" s="1"/>
  <c r="CL50" i="29"/>
  <c r="CM49" i="29"/>
  <c r="CM41" i="29"/>
  <c r="CL42" i="29"/>
  <c r="CL100" i="29"/>
  <c r="CM115" i="29"/>
  <c r="CL116" i="29"/>
  <c r="CL90" i="29"/>
  <c r="CM89" i="29"/>
  <c r="CL88" i="29"/>
  <c r="CM87" i="29"/>
  <c r="CP35" i="29"/>
  <c r="CO36" i="29"/>
  <c r="CM63" i="29"/>
  <c r="CM64" i="29" s="1"/>
  <c r="CM40" i="29"/>
  <c r="CN39" i="29"/>
  <c r="CM67" i="29"/>
  <c r="CL68" i="29"/>
  <c r="CS149" i="29"/>
  <c r="CR150" i="29"/>
  <c r="CN85" i="29"/>
  <c r="CM86" i="29"/>
  <c r="CM93" i="29"/>
  <c r="CL94" i="29"/>
  <c r="CM37" i="29"/>
  <c r="CL38" i="29"/>
  <c r="CL34" i="29" s="1"/>
  <c r="CL78" i="29"/>
  <c r="CM77" i="29"/>
  <c r="CM105" i="29"/>
  <c r="CL106" i="29"/>
  <c r="CL80" i="29"/>
  <c r="CM79" i="29"/>
  <c r="CL104" i="29"/>
  <c r="CM103" i="29"/>
  <c r="CL84" i="29"/>
  <c r="CM83" i="29"/>
  <c r="CJ5" i="29"/>
  <c r="CI4" i="29"/>
  <c r="CM66" i="29"/>
  <c r="CN65" i="29"/>
  <c r="H49" i="30"/>
  <c r="H46" i="30"/>
  <c r="H47" i="30" s="1"/>
  <c r="H48" i="30"/>
  <c r="CN101" i="29"/>
  <c r="CM102" i="29"/>
  <c r="CL120" i="29"/>
  <c r="CM119" i="29"/>
  <c r="CM56" i="29"/>
  <c r="CN55" i="29"/>
  <c r="CN107" i="29"/>
  <c r="CM108" i="29"/>
  <c r="H42" i="30"/>
  <c r="H39" i="30"/>
  <c r="H40" i="30" s="1"/>
  <c r="H41" i="30"/>
  <c r="CM118" i="29"/>
  <c r="CN117" i="29"/>
  <c r="CM109" i="29"/>
  <c r="CL110" i="29"/>
  <c r="CN113" i="29"/>
  <c r="CM114" i="29"/>
  <c r="CN81" i="29"/>
  <c r="CM82" i="29"/>
  <c r="CO91" i="29"/>
  <c r="CN92" i="29"/>
  <c r="CL52" i="29"/>
  <c r="CM51" i="29"/>
  <c r="CO69" i="29"/>
  <c r="CN70" i="29"/>
  <c r="CM112" i="29"/>
  <c r="CN111" i="29"/>
  <c r="CO127" i="29"/>
  <c r="CN128" i="29"/>
  <c r="CO126" i="29" s="1"/>
  <c r="CP140" i="29"/>
  <c r="CQ139" i="29"/>
  <c r="CQ143" i="29"/>
  <c r="CP144" i="29"/>
  <c r="CQ137" i="29"/>
  <c r="CP138" i="29"/>
  <c r="CR141" i="29"/>
  <c r="CQ142" i="29"/>
  <c r="CP145" i="29"/>
  <c r="CO146" i="29"/>
  <c r="CP147" i="29"/>
  <c r="CO148" i="29"/>
  <c r="CO133" i="29"/>
  <c r="CN134" i="29"/>
  <c r="CP135" i="29"/>
  <c r="CO136" i="29"/>
  <c r="CP129" i="29"/>
  <c r="CO130" i="29"/>
  <c r="CP131" i="29"/>
  <c r="CO132" i="29"/>
  <c r="CS54" i="29" l="1"/>
  <c r="CT53" i="29"/>
  <c r="CS71" i="29"/>
  <c r="CR72" i="29"/>
  <c r="CS123" i="29"/>
  <c r="CR124" i="29"/>
  <c r="CR58" i="29"/>
  <c r="CS57" i="29"/>
  <c r="CR44" i="29"/>
  <c r="CS43" i="29"/>
  <c r="CN96" i="29"/>
  <c r="CN7" i="29" s="1"/>
  <c r="CO95" i="29"/>
  <c r="CL48" i="29"/>
  <c r="CL9" i="29" s="1"/>
  <c r="CN8" i="29"/>
  <c r="CN121" i="29"/>
  <c r="CM122" i="29"/>
  <c r="CM50" i="29"/>
  <c r="CN49" i="29"/>
  <c r="CN41" i="29"/>
  <c r="CM42" i="29"/>
  <c r="CM100" i="29"/>
  <c r="CM120" i="29"/>
  <c r="CN119" i="29"/>
  <c r="CS150" i="29"/>
  <c r="CT149" i="29"/>
  <c r="CQ35" i="29"/>
  <c r="CP36" i="29"/>
  <c r="CO70" i="29"/>
  <c r="CP69" i="29"/>
  <c r="CN114" i="29"/>
  <c r="CO113" i="29"/>
  <c r="CN66" i="29"/>
  <c r="CO65" i="29"/>
  <c r="CN79" i="29"/>
  <c r="CM80" i="29"/>
  <c r="CM88" i="29"/>
  <c r="CN87" i="29"/>
  <c r="CM52" i="29"/>
  <c r="CN51" i="29"/>
  <c r="CN37" i="29"/>
  <c r="CM38" i="29"/>
  <c r="CM34" i="29" s="1"/>
  <c r="CN67" i="29"/>
  <c r="CM68" i="29"/>
  <c r="CN109" i="29"/>
  <c r="CM110" i="29"/>
  <c r="CN102" i="29"/>
  <c r="CO101" i="29"/>
  <c r="CN40" i="29"/>
  <c r="CO39" i="29"/>
  <c r="CN89" i="29"/>
  <c r="CM90" i="29"/>
  <c r="CK5" i="29"/>
  <c r="CJ4" i="29"/>
  <c r="CM106" i="29"/>
  <c r="CN105" i="29"/>
  <c r="CM94" i="29"/>
  <c r="CN93" i="29"/>
  <c r="CP91" i="29"/>
  <c r="CO92" i="29"/>
  <c r="CO117" i="29"/>
  <c r="CN118" i="29"/>
  <c r="CO107" i="29"/>
  <c r="CN108" i="29"/>
  <c r="CM84" i="29"/>
  <c r="CN83" i="29"/>
  <c r="CM78" i="29"/>
  <c r="CN77" i="29"/>
  <c r="CN63" i="29"/>
  <c r="CN64" i="29" s="1"/>
  <c r="CO111" i="29"/>
  <c r="CN112" i="29"/>
  <c r="CN56" i="29"/>
  <c r="CO55" i="29"/>
  <c r="CO85" i="29"/>
  <c r="CN86" i="29"/>
  <c r="CM116" i="29"/>
  <c r="CN115" i="29"/>
  <c r="CN82" i="29"/>
  <c r="CO81" i="29"/>
  <c r="CM104" i="29"/>
  <c r="CN103" i="29"/>
  <c r="CQ131" i="29"/>
  <c r="CP132" i="29"/>
  <c r="CQ147" i="29"/>
  <c r="CP148" i="29"/>
  <c r="CQ144" i="29"/>
  <c r="CR143" i="29"/>
  <c r="CQ140" i="29"/>
  <c r="CR139" i="29"/>
  <c r="CQ129" i="29"/>
  <c r="CP130" i="29"/>
  <c r="CQ145" i="29"/>
  <c r="CP146" i="29"/>
  <c r="CP136" i="29"/>
  <c r="CQ135" i="29"/>
  <c r="CR142" i="29"/>
  <c r="CS141" i="29"/>
  <c r="CP127" i="29"/>
  <c r="CO128" i="29"/>
  <c r="CP126" i="29" s="1"/>
  <c r="CP133" i="29"/>
  <c r="CO134" i="29"/>
  <c r="CR137" i="29"/>
  <c r="CQ138" i="29"/>
  <c r="CT54" i="29" l="1"/>
  <c r="CU53" i="29"/>
  <c r="CS58" i="29"/>
  <c r="CT57" i="29"/>
  <c r="CS44" i="29"/>
  <c r="CT43" i="29"/>
  <c r="CT123" i="29"/>
  <c r="CS124" i="29"/>
  <c r="CS72" i="29"/>
  <c r="CT71" i="29"/>
  <c r="CO96" i="29"/>
  <c r="CO7" i="29" s="1"/>
  <c r="CP95" i="29"/>
  <c r="CM48" i="29"/>
  <c r="CM9" i="29" s="1"/>
  <c r="CN122" i="29"/>
  <c r="CO121" i="29"/>
  <c r="CO8" i="29"/>
  <c r="CO49" i="29"/>
  <c r="CN50" i="29"/>
  <c r="CN42" i="29"/>
  <c r="CO41" i="29"/>
  <c r="CN100" i="29"/>
  <c r="CP81" i="29"/>
  <c r="CO82" i="29"/>
  <c r="CO105" i="29"/>
  <c r="CN106" i="29"/>
  <c r="CP39" i="29"/>
  <c r="CO40" i="29"/>
  <c r="CO79" i="29"/>
  <c r="CN80" i="29"/>
  <c r="CQ36" i="29"/>
  <c r="CR35" i="29"/>
  <c r="CO112" i="29"/>
  <c r="CP111" i="29"/>
  <c r="CP107" i="29"/>
  <c r="CO108" i="29"/>
  <c r="CO37" i="29"/>
  <c r="CN38" i="29"/>
  <c r="CN34" i="29" s="1"/>
  <c r="CO66" i="29"/>
  <c r="CP65" i="29"/>
  <c r="CU149" i="29"/>
  <c r="CT150" i="29"/>
  <c r="CN116" i="29"/>
  <c r="CO115" i="29"/>
  <c r="CP101" i="29"/>
  <c r="CO102" i="29"/>
  <c r="CO63" i="29"/>
  <c r="CO64" i="29" s="1"/>
  <c r="CP117" i="29"/>
  <c r="CO118" i="29"/>
  <c r="CL5" i="29"/>
  <c r="CK4" i="29"/>
  <c r="CK3" i="29" s="1"/>
  <c r="CN52" i="29"/>
  <c r="CO51" i="29"/>
  <c r="CP113" i="29"/>
  <c r="CO114" i="29"/>
  <c r="CN104" i="29"/>
  <c r="CO103" i="29"/>
  <c r="CN78" i="29"/>
  <c r="CO77" i="29"/>
  <c r="CP85" i="29"/>
  <c r="CO86" i="29"/>
  <c r="CQ91" i="29"/>
  <c r="CP92" i="29"/>
  <c r="CO109" i="29"/>
  <c r="CN110" i="29"/>
  <c r="CO87" i="29"/>
  <c r="CN88" i="29"/>
  <c r="CP70" i="29"/>
  <c r="CQ69" i="29"/>
  <c r="CN120" i="29"/>
  <c r="CO119" i="29"/>
  <c r="CO56" i="29"/>
  <c r="CP55" i="29"/>
  <c r="CO83" i="29"/>
  <c r="CN84" i="29"/>
  <c r="CN94" i="29"/>
  <c r="CO93" i="29"/>
  <c r="CN90" i="29"/>
  <c r="CO89" i="29"/>
  <c r="CN68" i="29"/>
  <c r="CO67" i="29"/>
  <c r="CQ136" i="29"/>
  <c r="CR135" i="29"/>
  <c r="CS143" i="29"/>
  <c r="CR144" i="29"/>
  <c r="CR138" i="29"/>
  <c r="CS137" i="29"/>
  <c r="CT141" i="29"/>
  <c r="CS142" i="29"/>
  <c r="CQ133" i="29"/>
  <c r="CP134" i="29"/>
  <c r="CR145" i="29"/>
  <c r="CQ146" i="29"/>
  <c r="CR147" i="29"/>
  <c r="CQ148" i="29"/>
  <c r="CR140" i="29"/>
  <c r="CS139" i="29"/>
  <c r="CP128" i="29"/>
  <c r="CQ126" i="29" s="1"/>
  <c r="CQ127" i="29"/>
  <c r="CR129" i="29"/>
  <c r="CQ130" i="29"/>
  <c r="CR131" i="29"/>
  <c r="CQ132" i="29"/>
  <c r="CU54" i="29" l="1"/>
  <c r="CV53" i="29"/>
  <c r="CU123" i="29"/>
  <c r="CT124" i="29"/>
  <c r="CT72" i="29"/>
  <c r="CU71" i="29"/>
  <c r="CT58" i="29"/>
  <c r="CU57" i="29"/>
  <c r="CU43" i="29"/>
  <c r="CT44" i="29"/>
  <c r="CP96" i="29"/>
  <c r="CP7" i="29" s="1"/>
  <c r="CQ95" i="29"/>
  <c r="CN48" i="29"/>
  <c r="CN9" i="29" s="1"/>
  <c r="CP8" i="29"/>
  <c r="CO122" i="29"/>
  <c r="CP121" i="29"/>
  <c r="CP49" i="29"/>
  <c r="CO50" i="29"/>
  <c r="CP41" i="29"/>
  <c r="CO42" i="29"/>
  <c r="CO100" i="29"/>
  <c r="CQ92" i="29"/>
  <c r="CR91" i="29"/>
  <c r="CP102" i="29"/>
  <c r="CQ101" i="29"/>
  <c r="CO38" i="29"/>
  <c r="CO34" i="29" s="1"/>
  <c r="CP37" i="29"/>
  <c r="CO80" i="29"/>
  <c r="CP79" i="29"/>
  <c r="CQ70" i="29"/>
  <c r="CR69" i="29"/>
  <c r="CO116" i="29"/>
  <c r="CP115" i="29"/>
  <c r="CP93" i="29"/>
  <c r="CO94" i="29"/>
  <c r="CP103" i="29"/>
  <c r="CO104" i="29"/>
  <c r="CO68" i="29"/>
  <c r="CP67" i="29"/>
  <c r="CP83" i="29"/>
  <c r="CO84" i="29"/>
  <c r="CP86" i="29"/>
  <c r="CQ85" i="29"/>
  <c r="CM5" i="29"/>
  <c r="CL4" i="29"/>
  <c r="CQ107" i="29"/>
  <c r="CP108" i="29"/>
  <c r="CQ39" i="29"/>
  <c r="CP40" i="29"/>
  <c r="CP56" i="29"/>
  <c r="CQ55" i="29"/>
  <c r="CP112" i="29"/>
  <c r="CQ111" i="29"/>
  <c r="CO120" i="29"/>
  <c r="CP119" i="29"/>
  <c r="CP89" i="29"/>
  <c r="CO90" i="29"/>
  <c r="CO88" i="29"/>
  <c r="CP87" i="29"/>
  <c r="CQ117" i="29"/>
  <c r="CP118" i="29"/>
  <c r="CU150" i="29"/>
  <c r="CV149" i="29"/>
  <c r="CO106" i="29"/>
  <c r="CP105" i="29"/>
  <c r="CP77" i="29"/>
  <c r="CO78" i="29"/>
  <c r="CQ113" i="29"/>
  <c r="CP114" i="29"/>
  <c r="CQ65" i="29"/>
  <c r="CP66" i="29"/>
  <c r="CS35" i="29"/>
  <c r="CR36" i="29"/>
  <c r="CP109" i="29"/>
  <c r="CO110" i="29"/>
  <c r="CO52" i="29"/>
  <c r="CP51" i="29"/>
  <c r="CP63" i="29"/>
  <c r="CP64" i="29" s="1"/>
  <c r="CQ81" i="29"/>
  <c r="CP82" i="29"/>
  <c r="CR132" i="29"/>
  <c r="CS131" i="29"/>
  <c r="CR148" i="29"/>
  <c r="CS147" i="29"/>
  <c r="CS129" i="29"/>
  <c r="CR130" i="29"/>
  <c r="CS145" i="29"/>
  <c r="CR146" i="29"/>
  <c r="CT143" i="29"/>
  <c r="CS144" i="29"/>
  <c r="CT137" i="29"/>
  <c r="CS138" i="29"/>
  <c r="CR127" i="29"/>
  <c r="CQ128" i="29"/>
  <c r="CR126" i="29" s="1"/>
  <c r="CR136" i="29"/>
  <c r="CS135" i="29"/>
  <c r="CR133" i="29"/>
  <c r="CQ134" i="29"/>
  <c r="CS140" i="29"/>
  <c r="CT139" i="29"/>
  <c r="CT142" i="29"/>
  <c r="CU141" i="29"/>
  <c r="CV54" i="29" l="1"/>
  <c r="CW53" i="29"/>
  <c r="CU58" i="29"/>
  <c r="CV57" i="29"/>
  <c r="CU44" i="29"/>
  <c r="CV43" i="29"/>
  <c r="CU72" i="29"/>
  <c r="CV71" i="29"/>
  <c r="CV123" i="29"/>
  <c r="CU124" i="29"/>
  <c r="CQ96" i="29"/>
  <c r="CQ7" i="29" s="1"/>
  <c r="I12" i="30" s="1"/>
  <c r="CR95" i="29"/>
  <c r="CO48" i="29"/>
  <c r="CO9" i="29" s="1"/>
  <c r="CP122" i="29"/>
  <c r="CQ121" i="29"/>
  <c r="CQ8" i="29"/>
  <c r="I13" i="30" s="1"/>
  <c r="CP50" i="29"/>
  <c r="CQ49" i="29"/>
  <c r="CP42" i="29"/>
  <c r="CQ41" i="29"/>
  <c r="CP100" i="29"/>
  <c r="CW149" i="29"/>
  <c r="CV150" i="29"/>
  <c r="CQ119" i="29"/>
  <c r="CP120" i="29"/>
  <c r="CQ56" i="29"/>
  <c r="CR55" i="29"/>
  <c r="CN5" i="29"/>
  <c r="CM4" i="29"/>
  <c r="CP104" i="29"/>
  <c r="CQ103" i="29"/>
  <c r="CQ114" i="29"/>
  <c r="CQ22" i="29" s="1"/>
  <c r="CR113" i="29"/>
  <c r="CR85" i="29"/>
  <c r="CQ86" i="29"/>
  <c r="CP38" i="29"/>
  <c r="CP34" i="29" s="1"/>
  <c r="CQ37" i="29"/>
  <c r="CP52" i="29"/>
  <c r="CQ51" i="29"/>
  <c r="CQ79" i="29"/>
  <c r="CP80" i="29"/>
  <c r="CP110" i="29"/>
  <c r="CQ109" i="29"/>
  <c r="CR111" i="29"/>
  <c r="CQ112" i="29"/>
  <c r="CP94" i="29"/>
  <c r="CQ93" i="29"/>
  <c r="CQ77" i="29"/>
  <c r="CP78" i="29"/>
  <c r="CQ118" i="29"/>
  <c r="CR117" i="29"/>
  <c r="CP116" i="29"/>
  <c r="CQ115" i="29"/>
  <c r="CR101" i="29"/>
  <c r="CQ102" i="29"/>
  <c r="CP90" i="29"/>
  <c r="CQ89" i="29"/>
  <c r="CQ82" i="29"/>
  <c r="CR81" i="29"/>
  <c r="CP88" i="29"/>
  <c r="CQ87" i="29"/>
  <c r="CQ40" i="29"/>
  <c r="CR39" i="29"/>
  <c r="CP84" i="29"/>
  <c r="CQ83" i="29"/>
  <c r="CT35" i="29"/>
  <c r="CS36" i="29"/>
  <c r="CQ67" i="29"/>
  <c r="CP68" i="29"/>
  <c r="CS69" i="29"/>
  <c r="CR70" i="29"/>
  <c r="CR92" i="29"/>
  <c r="CS91" i="29"/>
  <c r="CQ66" i="29"/>
  <c r="CQ12" i="29" s="1"/>
  <c r="I23" i="30" s="1"/>
  <c r="CR65" i="29"/>
  <c r="CQ63" i="29"/>
  <c r="CQ64" i="29" s="1"/>
  <c r="CQ105" i="29"/>
  <c r="CP106" i="29"/>
  <c r="CQ108" i="29"/>
  <c r="CR107" i="29"/>
  <c r="CT145" i="29"/>
  <c r="CS146" i="29"/>
  <c r="CS127" i="29"/>
  <c r="CR128" i="29"/>
  <c r="CS126" i="29" s="1"/>
  <c r="CT129" i="29"/>
  <c r="CS130" i="29"/>
  <c r="CS136" i="29"/>
  <c r="CT135" i="29"/>
  <c r="CT140" i="29"/>
  <c r="CU139" i="29"/>
  <c r="CS148" i="29"/>
  <c r="CT147" i="29"/>
  <c r="CU137" i="29"/>
  <c r="CT138" i="29"/>
  <c r="CT131" i="29"/>
  <c r="CS132" i="29"/>
  <c r="CV141" i="29"/>
  <c r="CU142" i="29"/>
  <c r="CS133" i="29"/>
  <c r="CR134" i="29"/>
  <c r="CU143" i="29"/>
  <c r="CT144" i="29"/>
  <c r="CW54" i="29" l="1"/>
  <c r="CX53" i="29"/>
  <c r="CV72" i="29"/>
  <c r="CW71" i="29"/>
  <c r="CV124" i="29"/>
  <c r="CW123" i="29"/>
  <c r="CV44" i="29"/>
  <c r="CW43" i="29"/>
  <c r="CV58" i="29"/>
  <c r="CW57" i="29"/>
  <c r="I11" i="30"/>
  <c r="CR96" i="29"/>
  <c r="CR7" i="29" s="1"/>
  <c r="CS95" i="29"/>
  <c r="CP48" i="29"/>
  <c r="CP9" i="29" s="1"/>
  <c r="CR8" i="29"/>
  <c r="CQ122" i="29"/>
  <c r="CR121" i="29"/>
  <c r="CR49" i="29"/>
  <c r="CQ50" i="29"/>
  <c r="CQ42" i="29"/>
  <c r="CR41" i="29"/>
  <c r="CQ100" i="29"/>
  <c r="CQ14" i="29" s="1"/>
  <c r="I16" i="30" s="1"/>
  <c r="CQ84" i="29"/>
  <c r="CR83" i="29"/>
  <c r="CR115" i="29"/>
  <c r="CQ116" i="29"/>
  <c r="CQ38" i="29"/>
  <c r="CQ34" i="29" s="1"/>
  <c r="CR37" i="29"/>
  <c r="CQ106" i="29"/>
  <c r="CR105" i="29"/>
  <c r="CS70" i="29"/>
  <c r="CT69" i="29"/>
  <c r="CS111" i="29"/>
  <c r="CR112" i="29"/>
  <c r="CO5" i="29"/>
  <c r="CN4" i="29"/>
  <c r="CN3" i="29" s="1"/>
  <c r="CR63" i="29"/>
  <c r="CR64" i="29" s="1"/>
  <c r="CQ11" i="29"/>
  <c r="I22" i="30" s="1"/>
  <c r="CR40" i="29"/>
  <c r="CS39" i="29"/>
  <c r="CS81" i="29"/>
  <c r="CR82" i="29"/>
  <c r="CS117" i="29"/>
  <c r="CR118" i="29"/>
  <c r="CQ110" i="29"/>
  <c r="CR109" i="29"/>
  <c r="CR56" i="29"/>
  <c r="CS55" i="29"/>
  <c r="CR67" i="29"/>
  <c r="CQ68" i="29"/>
  <c r="CR86" i="29"/>
  <c r="CS85" i="29"/>
  <c r="CR108" i="29"/>
  <c r="CS107" i="29"/>
  <c r="CR66" i="29"/>
  <c r="CS65" i="29"/>
  <c r="CR89" i="29"/>
  <c r="CQ90" i="29"/>
  <c r="CS113" i="29"/>
  <c r="CR114" i="29"/>
  <c r="CR77" i="29"/>
  <c r="CQ78" i="29"/>
  <c r="CQ80" i="29"/>
  <c r="CR79" i="29"/>
  <c r="CQ120" i="29"/>
  <c r="CR119" i="29"/>
  <c r="CT91" i="29"/>
  <c r="CS92" i="29"/>
  <c r="CU35" i="29"/>
  <c r="CT36" i="29"/>
  <c r="CQ88" i="29"/>
  <c r="CR87" i="29"/>
  <c r="CQ94" i="29"/>
  <c r="CR93" i="29"/>
  <c r="CQ52" i="29"/>
  <c r="CR51" i="29"/>
  <c r="CQ104" i="29"/>
  <c r="CR103" i="29"/>
  <c r="CS101" i="29"/>
  <c r="CR102" i="29"/>
  <c r="CX149" i="29"/>
  <c r="CW150" i="29"/>
  <c r="CU144" i="29"/>
  <c r="CV143" i="29"/>
  <c r="CU138" i="29"/>
  <c r="CV137" i="29"/>
  <c r="CU129" i="29"/>
  <c r="CT130" i="29"/>
  <c r="CT133" i="29"/>
  <c r="CS134" i="29"/>
  <c r="CT127" i="29"/>
  <c r="CS128" i="29"/>
  <c r="CT126" i="29" s="1"/>
  <c r="CU140" i="29"/>
  <c r="CV139" i="29"/>
  <c r="CW141" i="29"/>
  <c r="CV142" i="29"/>
  <c r="CU145" i="29"/>
  <c r="CT146" i="29"/>
  <c r="CU147" i="29"/>
  <c r="CT148" i="29"/>
  <c r="CT136" i="29"/>
  <c r="CU135" i="29"/>
  <c r="CU131" i="29"/>
  <c r="CT132" i="29"/>
  <c r="CX54" i="29" l="1"/>
  <c r="CY53" i="29"/>
  <c r="CW58" i="29"/>
  <c r="CX57" i="29"/>
  <c r="CW44" i="29"/>
  <c r="CX43" i="29"/>
  <c r="CW124" i="29"/>
  <c r="CX123" i="29"/>
  <c r="CW72" i="29"/>
  <c r="CX71" i="29"/>
  <c r="CS96" i="29"/>
  <c r="CS7" i="29" s="1"/>
  <c r="CT95" i="29"/>
  <c r="CQ48" i="29"/>
  <c r="CQ9" i="29" s="1"/>
  <c r="CQ26" i="29" s="1"/>
  <c r="CS121" i="29"/>
  <c r="CR122" i="29"/>
  <c r="CS8" i="29"/>
  <c r="CR50" i="29"/>
  <c r="CS49" i="29"/>
  <c r="CR42" i="29"/>
  <c r="CS41" i="29"/>
  <c r="CR100" i="29"/>
  <c r="CQ15" i="29"/>
  <c r="I24" i="30" s="1"/>
  <c r="CS103" i="29"/>
  <c r="CR104" i="29"/>
  <c r="CR68" i="29"/>
  <c r="CS67" i="29"/>
  <c r="CS82" i="29"/>
  <c r="CT81" i="29"/>
  <c r="CT111" i="29"/>
  <c r="CS112" i="29"/>
  <c r="CT65" i="29"/>
  <c r="CS66" i="29"/>
  <c r="CT55" i="29"/>
  <c r="CS56" i="29"/>
  <c r="CS40" i="29"/>
  <c r="CT39" i="29"/>
  <c r="CS115" i="29"/>
  <c r="CR116" i="29"/>
  <c r="CY149" i="29"/>
  <c r="CX150" i="29"/>
  <c r="CR52" i="29"/>
  <c r="CS51" i="29"/>
  <c r="CV35" i="29"/>
  <c r="CU36" i="29"/>
  <c r="CS77" i="29"/>
  <c r="CR78" i="29"/>
  <c r="CT70" i="29"/>
  <c r="CU69" i="29"/>
  <c r="CS108" i="29"/>
  <c r="CT107" i="29"/>
  <c r="CR110" i="29"/>
  <c r="CS109" i="29"/>
  <c r="CS93" i="29"/>
  <c r="CR94" i="29"/>
  <c r="CU91" i="29"/>
  <c r="CT92" i="29"/>
  <c r="CS114" i="29"/>
  <c r="CT113" i="29"/>
  <c r="CS63" i="29"/>
  <c r="CS64" i="29" s="1"/>
  <c r="CR106" i="29"/>
  <c r="CS105" i="29"/>
  <c r="CR84" i="29"/>
  <c r="CS83" i="29"/>
  <c r="CT101" i="29"/>
  <c r="CS102" i="29"/>
  <c r="CS119" i="29"/>
  <c r="CR120" i="29"/>
  <c r="CT85" i="29"/>
  <c r="CS86" i="29"/>
  <c r="CR90" i="29"/>
  <c r="CS89" i="29"/>
  <c r="CS118" i="29"/>
  <c r="CT117" i="29"/>
  <c r="CP5" i="29"/>
  <c r="CO4" i="29"/>
  <c r="CR38" i="29"/>
  <c r="CR34" i="29" s="1"/>
  <c r="CS37" i="29"/>
  <c r="CS87" i="29"/>
  <c r="CR88" i="29"/>
  <c r="CS79" i="29"/>
  <c r="CR80" i="29"/>
  <c r="CU146" i="29"/>
  <c r="CV145" i="29"/>
  <c r="CT134" i="29"/>
  <c r="CU133" i="29"/>
  <c r="CV131" i="29"/>
  <c r="CU132" i="29"/>
  <c r="CX141" i="29"/>
  <c r="CW142" i="29"/>
  <c r="CU130" i="29"/>
  <c r="CV129" i="29"/>
  <c r="CU136" i="29"/>
  <c r="CV135" i="29"/>
  <c r="CW139" i="29"/>
  <c r="CV140" i="29"/>
  <c r="CW137" i="29"/>
  <c r="CV138" i="29"/>
  <c r="CW143" i="29"/>
  <c r="CV144" i="29"/>
  <c r="CV147" i="29"/>
  <c r="CU148" i="29"/>
  <c r="CU127" i="29"/>
  <c r="CT128" i="29"/>
  <c r="CU126" i="29" s="1"/>
  <c r="CY54" i="29" l="1"/>
  <c r="CZ53" i="29"/>
  <c r="CY123" i="29"/>
  <c r="CX124" i="29"/>
  <c r="CX72" i="29"/>
  <c r="CY71" i="29"/>
  <c r="CY43" i="29"/>
  <c r="CX44" i="29"/>
  <c r="CY57" i="29"/>
  <c r="CX58" i="29"/>
  <c r="CT96" i="29"/>
  <c r="CT7" i="29" s="1"/>
  <c r="CU95" i="29"/>
  <c r="CR48" i="29"/>
  <c r="CR9" i="29" s="1"/>
  <c r="CT8" i="29"/>
  <c r="CS122" i="29"/>
  <c r="CT121" i="29"/>
  <c r="CS50" i="29"/>
  <c r="CT49" i="29"/>
  <c r="CQ10" i="29"/>
  <c r="CQ13" i="29" s="1"/>
  <c r="CS42" i="29"/>
  <c r="CT41" i="29"/>
  <c r="I15" i="30"/>
  <c r="I14" i="30" s="1"/>
  <c r="CS100" i="29"/>
  <c r="CT118" i="29"/>
  <c r="CU117" i="29"/>
  <c r="CT63" i="29"/>
  <c r="CT64" i="29" s="1"/>
  <c r="CV36" i="29"/>
  <c r="CW35" i="29"/>
  <c r="CQ5" i="29"/>
  <c r="CP4" i="29"/>
  <c r="CT86" i="29"/>
  <c r="CU85" i="29"/>
  <c r="CS80" i="29"/>
  <c r="CT79" i="29"/>
  <c r="CT119" i="29"/>
  <c r="CS120" i="29"/>
  <c r="CS52" i="29"/>
  <c r="CT51" i="29"/>
  <c r="CS68" i="29"/>
  <c r="CT67" i="29"/>
  <c r="CS94" i="29"/>
  <c r="CT93" i="29"/>
  <c r="CT89" i="29"/>
  <c r="CS90" i="29"/>
  <c r="CU113" i="29"/>
  <c r="CT114" i="29"/>
  <c r="CT109" i="29"/>
  <c r="CS110" i="29"/>
  <c r="CT56" i="29"/>
  <c r="CU55" i="29"/>
  <c r="CT87" i="29"/>
  <c r="CS88" i="29"/>
  <c r="CU101" i="29"/>
  <c r="CT102" i="29"/>
  <c r="CU70" i="29"/>
  <c r="CV69" i="29"/>
  <c r="CU39" i="29"/>
  <c r="CT40" i="29"/>
  <c r="CS38" i="29"/>
  <c r="CS34" i="29" s="1"/>
  <c r="CT37" i="29"/>
  <c r="CT83" i="29"/>
  <c r="CS84" i="29"/>
  <c r="CU107" i="29"/>
  <c r="CT108" i="29"/>
  <c r="CZ149" i="29"/>
  <c r="CY150" i="29"/>
  <c r="CT66" i="29"/>
  <c r="CU65" i="29"/>
  <c r="CU81" i="29"/>
  <c r="CT82" i="29"/>
  <c r="CV91" i="29"/>
  <c r="CU92" i="29"/>
  <c r="CT105" i="29"/>
  <c r="CS106" i="29"/>
  <c r="I19" i="30"/>
  <c r="CS78" i="29"/>
  <c r="CT77" i="29"/>
  <c r="CS116" i="29"/>
  <c r="CT115" i="29"/>
  <c r="CU111" i="29"/>
  <c r="CT112" i="29"/>
  <c r="CS104" i="29"/>
  <c r="CT103" i="29"/>
  <c r="CV127" i="29"/>
  <c r="CU128" i="29"/>
  <c r="CV126" i="29" s="1"/>
  <c r="CW140" i="29"/>
  <c r="CX139" i="29"/>
  <c r="CW131" i="29"/>
  <c r="CV132" i="29"/>
  <c r="CW135" i="29"/>
  <c r="CV136" i="29"/>
  <c r="CV133" i="29"/>
  <c r="CU134" i="29"/>
  <c r="CW147" i="29"/>
  <c r="CV148" i="29"/>
  <c r="CW129" i="29"/>
  <c r="CV130" i="29"/>
  <c r="CV146" i="29"/>
  <c r="CW145" i="29"/>
  <c r="CW144" i="29"/>
  <c r="CX143" i="29"/>
  <c r="CW138" i="29"/>
  <c r="CX137" i="29"/>
  <c r="CX142" i="29"/>
  <c r="CY141" i="29"/>
  <c r="CZ54" i="29" l="1"/>
  <c r="DA53" i="29"/>
  <c r="CY58" i="29"/>
  <c r="CZ57" i="29"/>
  <c r="CY44" i="29"/>
  <c r="CZ43" i="29"/>
  <c r="CZ71" i="29"/>
  <c r="CY72" i="29"/>
  <c r="CY124" i="29"/>
  <c r="CZ123" i="29"/>
  <c r="CU96" i="29"/>
  <c r="CU7" i="29" s="1"/>
  <c r="CV95" i="29"/>
  <c r="CS48" i="29"/>
  <c r="CS9" i="29" s="1"/>
  <c r="CU121" i="29"/>
  <c r="CT122" i="29"/>
  <c r="CU8" i="29"/>
  <c r="I21" i="30"/>
  <c r="CU49" i="29"/>
  <c r="CT50" i="29"/>
  <c r="CT42" i="29"/>
  <c r="CU41" i="29"/>
  <c r="CT100" i="29"/>
  <c r="CV81" i="29"/>
  <c r="CU82" i="29"/>
  <c r="CT84" i="29"/>
  <c r="CU83" i="29"/>
  <c r="CU93" i="29"/>
  <c r="CT94" i="29"/>
  <c r="CX35" i="29"/>
  <c r="CW36" i="29"/>
  <c r="CV65" i="29"/>
  <c r="CU66" i="29"/>
  <c r="CT38" i="29"/>
  <c r="CT34" i="29" s="1"/>
  <c r="CU37" i="29"/>
  <c r="CT120" i="29"/>
  <c r="CU119" i="29"/>
  <c r="CV111" i="29"/>
  <c r="CU112" i="29"/>
  <c r="CU105" i="29"/>
  <c r="CT106" i="29"/>
  <c r="CV101" i="29"/>
  <c r="CU102" i="29"/>
  <c r="CT110" i="29"/>
  <c r="CU109" i="29"/>
  <c r="CT68" i="29"/>
  <c r="CU67" i="29"/>
  <c r="CT80" i="29"/>
  <c r="CU79" i="29"/>
  <c r="CT116" i="29"/>
  <c r="CU115" i="29"/>
  <c r="I20" i="30"/>
  <c r="CQ27" i="29"/>
  <c r="CW91" i="29"/>
  <c r="CV92" i="29"/>
  <c r="DA149" i="29"/>
  <c r="CZ150" i="29"/>
  <c r="CU40" i="29"/>
  <c r="CV39" i="29"/>
  <c r="CT88" i="29"/>
  <c r="CU87" i="29"/>
  <c r="CV113" i="29"/>
  <c r="CU114" i="29"/>
  <c r="CT52" i="29"/>
  <c r="CU51" i="29"/>
  <c r="CV85" i="29"/>
  <c r="CU86" i="29"/>
  <c r="CT78" i="29"/>
  <c r="CU77" i="29"/>
  <c r="CV55" i="29"/>
  <c r="CU56" i="29"/>
  <c r="CU63" i="29"/>
  <c r="CU64" i="29" s="1"/>
  <c r="CU108" i="29"/>
  <c r="CV107" i="29"/>
  <c r="CU118" i="29"/>
  <c r="CV117" i="29"/>
  <c r="CT104" i="29"/>
  <c r="CU103" i="29"/>
  <c r="CV70" i="29"/>
  <c r="CW69" i="29"/>
  <c r="CT90" i="29"/>
  <c r="CU89" i="29"/>
  <c r="I10" i="30"/>
  <c r="CR5" i="29"/>
  <c r="CQ4" i="29"/>
  <c r="CQ3" i="29" s="1"/>
  <c r="CX135" i="29"/>
  <c r="CW136" i="29"/>
  <c r="CX129" i="29"/>
  <c r="CW130" i="29"/>
  <c r="CX131" i="29"/>
  <c r="CW132" i="29"/>
  <c r="CY137" i="29"/>
  <c r="CX138" i="29"/>
  <c r="CY139" i="29"/>
  <c r="CX140" i="29"/>
  <c r="CX145" i="29"/>
  <c r="CW146" i="29"/>
  <c r="CX147" i="29"/>
  <c r="CW148" i="29"/>
  <c r="CZ141" i="29"/>
  <c r="CY142" i="29"/>
  <c r="CY143" i="29"/>
  <c r="CX144" i="29"/>
  <c r="CW133" i="29"/>
  <c r="CV134" i="29"/>
  <c r="CW127" i="29"/>
  <c r="CV128" i="29"/>
  <c r="CW126" i="29" s="1"/>
  <c r="DA54" i="29" l="1"/>
  <c r="DB53" i="29"/>
  <c r="DA123" i="29"/>
  <c r="CZ124" i="29"/>
  <c r="CZ72" i="29"/>
  <c r="DA71" i="29"/>
  <c r="CZ44" i="29"/>
  <c r="DA43" i="29"/>
  <c r="CZ58" i="29"/>
  <c r="DA57" i="29"/>
  <c r="CV96" i="29"/>
  <c r="CV7" i="29" s="1"/>
  <c r="CW95" i="29"/>
  <c r="CT48" i="29"/>
  <c r="CT9" i="29" s="1"/>
  <c r="CV8" i="29"/>
  <c r="CU122" i="29"/>
  <c r="CV121" i="29"/>
  <c r="CU50" i="29"/>
  <c r="CV49" i="29"/>
  <c r="CV41" i="29"/>
  <c r="CU42" i="29"/>
  <c r="CU100" i="29"/>
  <c r="CV108" i="29"/>
  <c r="CW107" i="29"/>
  <c r="CV114" i="29"/>
  <c r="CW113" i="29"/>
  <c r="CX91" i="29"/>
  <c r="CW92" i="29"/>
  <c r="CV112" i="29"/>
  <c r="CW111" i="29"/>
  <c r="CR4" i="29"/>
  <c r="CS5" i="29"/>
  <c r="CU104" i="29"/>
  <c r="CV103" i="29"/>
  <c r="CU78" i="29"/>
  <c r="CV77" i="29"/>
  <c r="CU88" i="29"/>
  <c r="CV87" i="29"/>
  <c r="I18" i="30"/>
  <c r="CQ28" i="29"/>
  <c r="I17" i="30" s="1"/>
  <c r="I31" i="30" s="1"/>
  <c r="CV109" i="29"/>
  <c r="CU110" i="29"/>
  <c r="CU120" i="29"/>
  <c r="CV119" i="29"/>
  <c r="CX36" i="29"/>
  <c r="CY35" i="29"/>
  <c r="I44" i="30"/>
  <c r="I37" i="30"/>
  <c r="I30" i="30"/>
  <c r="CV63" i="29"/>
  <c r="CV64" i="29" s="1"/>
  <c r="CV118" i="29"/>
  <c r="CW117" i="29"/>
  <c r="CV40" i="29"/>
  <c r="CW39" i="29"/>
  <c r="CU116" i="29"/>
  <c r="CV115" i="29"/>
  <c r="CU94" i="29"/>
  <c r="CV93" i="29"/>
  <c r="CV86" i="29"/>
  <c r="CW85" i="29"/>
  <c r="CW101" i="29"/>
  <c r="CV102" i="29"/>
  <c r="CU38" i="29"/>
  <c r="CU34" i="29" s="1"/>
  <c r="CV37" i="29"/>
  <c r="CU84" i="29"/>
  <c r="CV83" i="29"/>
  <c r="CU90" i="29"/>
  <c r="CV89" i="29"/>
  <c r="CV51" i="29"/>
  <c r="CU52" i="29"/>
  <c r="CU80" i="29"/>
  <c r="CV79" i="29"/>
  <c r="CU106" i="29"/>
  <c r="CV105" i="29"/>
  <c r="CV56" i="29"/>
  <c r="CW55" i="29"/>
  <c r="DB149" i="29"/>
  <c r="DA150" i="29"/>
  <c r="CX69" i="29"/>
  <c r="CW70" i="29"/>
  <c r="CV67" i="29"/>
  <c r="CU68" i="29"/>
  <c r="CV66" i="29"/>
  <c r="CW65" i="29"/>
  <c r="CW81" i="29"/>
  <c r="CV82" i="29"/>
  <c r="CX127" i="29"/>
  <c r="CW128" i="29"/>
  <c r="CX126" i="29" s="1"/>
  <c r="CY147" i="29"/>
  <c r="CX148" i="29"/>
  <c r="CY131" i="29"/>
  <c r="CX132" i="29"/>
  <c r="CX133" i="29"/>
  <c r="CW134" i="29"/>
  <c r="CY145" i="29"/>
  <c r="CX146" i="29"/>
  <c r="CY129" i="29"/>
  <c r="CX130" i="29"/>
  <c r="CY144" i="29"/>
  <c r="CZ143" i="29"/>
  <c r="CY140" i="29"/>
  <c r="CZ139" i="29"/>
  <c r="CX136" i="29"/>
  <c r="CY135" i="29"/>
  <c r="CZ142" i="29"/>
  <c r="DA141" i="29"/>
  <c r="CZ137" i="29"/>
  <c r="CY138" i="29"/>
  <c r="DB54" i="29" l="1"/>
  <c r="DC53" i="29"/>
  <c r="DA44" i="29"/>
  <c r="DB43" i="29"/>
  <c r="DA58" i="29"/>
  <c r="DB57" i="29"/>
  <c r="DA72" i="29"/>
  <c r="DB71" i="29"/>
  <c r="DA124" i="29"/>
  <c r="DB123" i="29"/>
  <c r="CW96" i="29"/>
  <c r="CW7" i="29" s="1"/>
  <c r="CX95" i="29"/>
  <c r="CU48" i="29"/>
  <c r="CU9" i="29" s="1"/>
  <c r="CV122" i="29"/>
  <c r="CW121" i="29"/>
  <c r="CW8" i="29"/>
  <c r="CV50" i="29"/>
  <c r="CW49" i="29"/>
  <c r="CW41" i="29"/>
  <c r="CV42" i="29"/>
  <c r="CV100" i="29"/>
  <c r="CX81" i="29"/>
  <c r="CW82" i="29"/>
  <c r="CW112" i="29"/>
  <c r="CX111" i="29"/>
  <c r="CW66" i="29"/>
  <c r="CX65" i="29"/>
  <c r="CV80" i="29"/>
  <c r="CW79" i="29"/>
  <c r="CW37" i="29"/>
  <c r="CV38" i="29"/>
  <c r="CV34" i="29" s="1"/>
  <c r="CV94" i="29"/>
  <c r="CW93" i="29"/>
  <c r="CW118" i="29"/>
  <c r="CX117" i="29"/>
  <c r="CX70" i="29"/>
  <c r="CY69" i="29"/>
  <c r="CV120" i="29"/>
  <c r="CW119" i="29"/>
  <c r="CV78" i="29"/>
  <c r="CW77" i="29"/>
  <c r="CX92" i="29"/>
  <c r="CY91" i="29"/>
  <c r="CW87" i="29"/>
  <c r="CV88" i="29"/>
  <c r="CV68" i="29"/>
  <c r="CW67" i="29"/>
  <c r="DC149" i="29"/>
  <c r="DB150" i="29"/>
  <c r="CV52" i="29"/>
  <c r="CW51" i="29"/>
  <c r="CX101" i="29"/>
  <c r="CW102" i="29"/>
  <c r="CV116" i="29"/>
  <c r="CW115" i="29"/>
  <c r="CW63" i="29"/>
  <c r="CW64" i="29" s="1"/>
  <c r="CW103" i="29"/>
  <c r="CV104" i="29"/>
  <c r="CW114" i="29"/>
  <c r="CX113" i="29"/>
  <c r="CY36" i="29"/>
  <c r="CZ35" i="29"/>
  <c r="CX55" i="29"/>
  <c r="CW56" i="29"/>
  <c r="CV90" i="29"/>
  <c r="CW89" i="29"/>
  <c r="CX85" i="29"/>
  <c r="CW86" i="29"/>
  <c r="CW109" i="29"/>
  <c r="CV110" i="29"/>
  <c r="CW40" i="29"/>
  <c r="CX39" i="29"/>
  <c r="I35" i="30"/>
  <c r="I32" i="30"/>
  <c r="I33" i="30" s="1"/>
  <c r="I34" i="30"/>
  <c r="CT5" i="29"/>
  <c r="CS4" i="29"/>
  <c r="CW108" i="29"/>
  <c r="CX107" i="29"/>
  <c r="CV106" i="29"/>
  <c r="CW105" i="29"/>
  <c r="CV84" i="29"/>
  <c r="CW83" i="29"/>
  <c r="I38" i="30"/>
  <c r="I45" i="30"/>
  <c r="CY133" i="29"/>
  <c r="CX134" i="29"/>
  <c r="DA143" i="29"/>
  <c r="CZ144" i="29"/>
  <c r="CZ138" i="29"/>
  <c r="DA137" i="29"/>
  <c r="CZ131" i="29"/>
  <c r="CY132" i="29"/>
  <c r="CZ140" i="29"/>
  <c r="DA139" i="29"/>
  <c r="DB141" i="29"/>
  <c r="DA142" i="29"/>
  <c r="CZ129" i="29"/>
  <c r="CY130" i="29"/>
  <c r="CZ147" i="29"/>
  <c r="CY148" i="29"/>
  <c r="CY136" i="29"/>
  <c r="CZ135" i="29"/>
  <c r="CZ145" i="29"/>
  <c r="CY146" i="29"/>
  <c r="CX128" i="29"/>
  <c r="CY126" i="29" s="1"/>
  <c r="CY127" i="29"/>
  <c r="DC54" i="29" l="1"/>
  <c r="DD53" i="29"/>
  <c r="DB72" i="29"/>
  <c r="DC71" i="29"/>
  <c r="DC123" i="29"/>
  <c r="DB124" i="29"/>
  <c r="DB44" i="29"/>
  <c r="DC43" i="29"/>
  <c r="DB58" i="29"/>
  <c r="DC57" i="29"/>
  <c r="CX96" i="29"/>
  <c r="CX7" i="29" s="1"/>
  <c r="CY95" i="29"/>
  <c r="CV48" i="29"/>
  <c r="CV9" i="29" s="1"/>
  <c r="CX8" i="29"/>
  <c r="CX121" i="29"/>
  <c r="CW122" i="29"/>
  <c r="CW50" i="29"/>
  <c r="CX49" i="29"/>
  <c r="CX41" i="29"/>
  <c r="CW42" i="29"/>
  <c r="CW100" i="29"/>
  <c r="I42" i="30"/>
  <c r="I41" i="30"/>
  <c r="I39" i="30"/>
  <c r="I40" i="30" s="1"/>
  <c r="CX86" i="29"/>
  <c r="CY85" i="29"/>
  <c r="CX102" i="29"/>
  <c r="CY101" i="29"/>
  <c r="CW88" i="29"/>
  <c r="CX87" i="29"/>
  <c r="CZ69" i="29"/>
  <c r="CY70" i="29"/>
  <c r="CX79" i="29"/>
  <c r="CW80" i="29"/>
  <c r="CX40" i="29"/>
  <c r="CY39" i="29"/>
  <c r="CX89" i="29"/>
  <c r="CW90" i="29"/>
  <c r="CW52" i="29"/>
  <c r="CX51" i="29"/>
  <c r="CY92" i="29"/>
  <c r="CZ91" i="29"/>
  <c r="CX108" i="29"/>
  <c r="CY107" i="29"/>
  <c r="CX103" i="29"/>
  <c r="CW104" i="29"/>
  <c r="CY117" i="29"/>
  <c r="CX118" i="29"/>
  <c r="CY65" i="29"/>
  <c r="CX66" i="29"/>
  <c r="CX83" i="29"/>
  <c r="CW84" i="29"/>
  <c r="CX56" i="29"/>
  <c r="CY55" i="29"/>
  <c r="CX63" i="29"/>
  <c r="CX64" i="29" s="1"/>
  <c r="DC150" i="29"/>
  <c r="DD149" i="29"/>
  <c r="CW78" i="29"/>
  <c r="CX77" i="29"/>
  <c r="CX93" i="29"/>
  <c r="CW94" i="29"/>
  <c r="CX112" i="29"/>
  <c r="CY111" i="29"/>
  <c r="CX105" i="29"/>
  <c r="CW106" i="29"/>
  <c r="CU5" i="29"/>
  <c r="CT4" i="29"/>
  <c r="CT3" i="29" s="1"/>
  <c r="DA35" i="29"/>
  <c r="CZ36" i="29"/>
  <c r="CX115" i="29"/>
  <c r="CW116" i="29"/>
  <c r="CX67" i="29"/>
  <c r="CW68" i="29"/>
  <c r="CX109" i="29"/>
  <c r="CW110" i="29"/>
  <c r="CW120" i="29"/>
  <c r="CX119" i="29"/>
  <c r="I49" i="30"/>
  <c r="I48" i="30"/>
  <c r="I46" i="30"/>
  <c r="I47" i="30" s="1"/>
  <c r="CY113" i="29"/>
  <c r="CX114" i="29"/>
  <c r="CW38" i="29"/>
  <c r="CW34" i="29" s="1"/>
  <c r="CX37" i="29"/>
  <c r="CX82" i="29"/>
  <c r="CY81" i="29"/>
  <c r="DA129" i="29"/>
  <c r="CZ130" i="29"/>
  <c r="CZ127" i="29"/>
  <c r="CY128" i="29"/>
  <c r="CZ126" i="29" s="1"/>
  <c r="DA145" i="29"/>
  <c r="CZ146" i="29"/>
  <c r="DB142" i="29"/>
  <c r="DC141" i="29"/>
  <c r="DB143" i="29"/>
  <c r="DA144" i="29"/>
  <c r="CZ136" i="29"/>
  <c r="DA135" i="29"/>
  <c r="DA140" i="29"/>
  <c r="DB139" i="29"/>
  <c r="CZ133" i="29"/>
  <c r="CY134" i="29"/>
  <c r="DA138" i="29"/>
  <c r="DB137" i="29"/>
  <c r="CZ148" i="29"/>
  <c r="DA147" i="29"/>
  <c r="CZ132" i="29"/>
  <c r="DA131" i="29"/>
  <c r="DD54" i="29" l="1"/>
  <c r="DE53" i="29"/>
  <c r="DC44" i="29"/>
  <c r="DD43" i="29"/>
  <c r="DD123" i="29"/>
  <c r="DC124" i="29"/>
  <c r="DC72" i="29"/>
  <c r="DD71" i="29"/>
  <c r="DC58" i="29"/>
  <c r="DD57" i="29"/>
  <c r="CY96" i="29"/>
  <c r="CY7" i="29" s="1"/>
  <c r="CZ95" i="29"/>
  <c r="CW48" i="29"/>
  <c r="CW9" i="29" s="1"/>
  <c r="CX122" i="29"/>
  <c r="CY121" i="29"/>
  <c r="CY8" i="29"/>
  <c r="CX50" i="29"/>
  <c r="CY49" i="29"/>
  <c r="CX42" i="29"/>
  <c r="CY41" i="29"/>
  <c r="CX100" i="29"/>
  <c r="CZ111" i="29"/>
  <c r="CY112" i="29"/>
  <c r="CZ39" i="29"/>
  <c r="CY40" i="29"/>
  <c r="CY115" i="29"/>
  <c r="CX116" i="29"/>
  <c r="CY63" i="29"/>
  <c r="CY64" i="29" s="1"/>
  <c r="CY66" i="29"/>
  <c r="CZ65" i="29"/>
  <c r="CY102" i="29"/>
  <c r="CZ101" i="29"/>
  <c r="CX120" i="29"/>
  <c r="CY119" i="29"/>
  <c r="CZ55" i="29"/>
  <c r="CY56" i="29"/>
  <c r="CZ92" i="29"/>
  <c r="DA91" i="29"/>
  <c r="CY114" i="29"/>
  <c r="CZ113" i="29"/>
  <c r="DB35" i="29"/>
  <c r="DA36" i="29"/>
  <c r="CY93" i="29"/>
  <c r="CX94" i="29"/>
  <c r="CZ117" i="29"/>
  <c r="CY118" i="29"/>
  <c r="CZ85" i="29"/>
  <c r="CY86" i="29"/>
  <c r="CY77" i="29"/>
  <c r="CX78" i="29"/>
  <c r="CY51" i="29"/>
  <c r="CX52" i="29"/>
  <c r="CY79" i="29"/>
  <c r="CX80" i="29"/>
  <c r="CY82" i="29"/>
  <c r="CZ81" i="29"/>
  <c r="CX110" i="29"/>
  <c r="CY109" i="29"/>
  <c r="CV5" i="29"/>
  <c r="CU4" i="29"/>
  <c r="CY103" i="29"/>
  <c r="CX104" i="29"/>
  <c r="DD150" i="29"/>
  <c r="DE149" i="29"/>
  <c r="CZ107" i="29"/>
  <c r="CY108" i="29"/>
  <c r="DA69" i="29"/>
  <c r="CZ70" i="29"/>
  <c r="CX38" i="29"/>
  <c r="CX34" i="29" s="1"/>
  <c r="CY37" i="29"/>
  <c r="CX68" i="29"/>
  <c r="CY67" i="29"/>
  <c r="CY105" i="29"/>
  <c r="CX106" i="29"/>
  <c r="CX84" i="29"/>
  <c r="CY83" i="29"/>
  <c r="CY89" i="29"/>
  <c r="CX90" i="29"/>
  <c r="CY87" i="29"/>
  <c r="CX88" i="29"/>
  <c r="DA133" i="29"/>
  <c r="CZ134" i="29"/>
  <c r="DB140" i="29"/>
  <c r="DC139" i="29"/>
  <c r="DB145" i="29"/>
  <c r="DA146" i="29"/>
  <c r="DD141" i="29"/>
  <c r="DC142" i="29"/>
  <c r="DA136" i="29"/>
  <c r="DB135" i="29"/>
  <c r="DA148" i="29"/>
  <c r="DB147" i="29"/>
  <c r="DA127" i="29"/>
  <c r="CZ128" i="29"/>
  <c r="DA126" i="29" s="1"/>
  <c r="DB131" i="29"/>
  <c r="DA132" i="29"/>
  <c r="DC137" i="29"/>
  <c r="DB138" i="29"/>
  <c r="DC143" i="29"/>
  <c r="DB144" i="29"/>
  <c r="DB129" i="29"/>
  <c r="DA130" i="29"/>
  <c r="DE54" i="29" l="1"/>
  <c r="DF53" i="29"/>
  <c r="DE57" i="29"/>
  <c r="DD58" i="29"/>
  <c r="DE71" i="29"/>
  <c r="DD72" i="29"/>
  <c r="DE123" i="29"/>
  <c r="DD124" i="29"/>
  <c r="DD44" i="29"/>
  <c r="DE43" i="29"/>
  <c r="CZ96" i="29"/>
  <c r="CZ7" i="29" s="1"/>
  <c r="DA95" i="29"/>
  <c r="CX48" i="29"/>
  <c r="CX9" i="29" s="1"/>
  <c r="CZ8" i="29"/>
  <c r="CY122" i="29"/>
  <c r="CZ121" i="29"/>
  <c r="CY50" i="29"/>
  <c r="CZ49" i="29"/>
  <c r="CY42" i="29"/>
  <c r="CZ41" i="29"/>
  <c r="CY100" i="29"/>
  <c r="DA70" i="29"/>
  <c r="DB69" i="29"/>
  <c r="CW5" i="29"/>
  <c r="CV4" i="29"/>
  <c r="CY52" i="29"/>
  <c r="CZ51" i="29"/>
  <c r="CZ86" i="29"/>
  <c r="DA85" i="29"/>
  <c r="DA101" i="29"/>
  <c r="CZ102" i="29"/>
  <c r="CZ115" i="29"/>
  <c r="CY116" i="29"/>
  <c r="CZ109" i="29"/>
  <c r="CY110" i="29"/>
  <c r="CZ83" i="29"/>
  <c r="CY84" i="29"/>
  <c r="CZ114" i="29"/>
  <c r="DA113" i="29"/>
  <c r="CY106" i="29"/>
  <c r="CZ105" i="29"/>
  <c r="CZ108" i="29"/>
  <c r="DA107" i="29"/>
  <c r="CZ118" i="29"/>
  <c r="DA117" i="29"/>
  <c r="DB91" i="29"/>
  <c r="DA92" i="29"/>
  <c r="DA39" i="29"/>
  <c r="CZ40" i="29"/>
  <c r="CY68" i="29"/>
  <c r="CZ67" i="29"/>
  <c r="DF149" i="29"/>
  <c r="DE150" i="29"/>
  <c r="DA81" i="29"/>
  <c r="CZ82" i="29"/>
  <c r="DA65" i="29"/>
  <c r="CZ66" i="29"/>
  <c r="CZ87" i="29"/>
  <c r="CY88" i="29"/>
  <c r="CY78" i="29"/>
  <c r="CZ77" i="29"/>
  <c r="CZ93" i="29"/>
  <c r="CY94" i="29"/>
  <c r="CY38" i="29"/>
  <c r="CY34" i="29" s="1"/>
  <c r="CZ37" i="29"/>
  <c r="DA55" i="29"/>
  <c r="CZ56" i="29"/>
  <c r="CZ63" i="29"/>
  <c r="CZ64" i="29" s="1"/>
  <c r="CY90" i="29"/>
  <c r="CZ89" i="29"/>
  <c r="CZ103" i="29"/>
  <c r="CY104" i="29"/>
  <c r="CY80" i="29"/>
  <c r="CZ79" i="29"/>
  <c r="DB36" i="29"/>
  <c r="DC35" i="29"/>
  <c r="CZ119" i="29"/>
  <c r="CY120" i="29"/>
  <c r="CZ112" i="29"/>
  <c r="DA111" i="29"/>
  <c r="DC129" i="29"/>
  <c r="DB130" i="29"/>
  <c r="DC131" i="29"/>
  <c r="DB132" i="29"/>
  <c r="DE141" i="29"/>
  <c r="DD142" i="29"/>
  <c r="DC144" i="29"/>
  <c r="DD143" i="29"/>
  <c r="DB127" i="29"/>
  <c r="DA128" i="29"/>
  <c r="DB126" i="29" s="1"/>
  <c r="DC145" i="29"/>
  <c r="DB146" i="29"/>
  <c r="DC147" i="29"/>
  <c r="DB148" i="29"/>
  <c r="DC140" i="29"/>
  <c r="DD139" i="29"/>
  <c r="DB136" i="29"/>
  <c r="DC135" i="29"/>
  <c r="DC138" i="29"/>
  <c r="DD137" i="29"/>
  <c r="DB133" i="29"/>
  <c r="DA134" i="29"/>
  <c r="DF54" i="29" l="1"/>
  <c r="DG53" i="29"/>
  <c r="DF123" i="29"/>
  <c r="DE124" i="29"/>
  <c r="DE72" i="29"/>
  <c r="DF71" i="29"/>
  <c r="DE44" i="29"/>
  <c r="DF43" i="29"/>
  <c r="DE58" i="29"/>
  <c r="DF57" i="29"/>
  <c r="DA96" i="29"/>
  <c r="DA7" i="29" s="1"/>
  <c r="DB95" i="29"/>
  <c r="CY48" i="29"/>
  <c r="CY9" i="29" s="1"/>
  <c r="DA121" i="29"/>
  <c r="CZ122" i="29"/>
  <c r="DA8" i="29"/>
  <c r="CZ50" i="29"/>
  <c r="DA49" i="29"/>
  <c r="CZ42" i="29"/>
  <c r="DA41" i="29"/>
  <c r="CZ100" i="29"/>
  <c r="DC36" i="29"/>
  <c r="DD35" i="29"/>
  <c r="DA63" i="29"/>
  <c r="DA64" i="29" s="1"/>
  <c r="DA83" i="29"/>
  <c r="CZ84" i="29"/>
  <c r="DB85" i="29"/>
  <c r="DA86" i="29"/>
  <c r="DA108" i="29"/>
  <c r="DB107" i="29"/>
  <c r="CZ80" i="29"/>
  <c r="DA79" i="29"/>
  <c r="DA93" i="29"/>
  <c r="CZ94" i="29"/>
  <c r="DB65" i="29"/>
  <c r="DA66" i="29"/>
  <c r="DA40" i="29"/>
  <c r="DB39" i="29"/>
  <c r="DA51" i="29"/>
  <c r="CZ52" i="29"/>
  <c r="DA56" i="29"/>
  <c r="DB55" i="29"/>
  <c r="DA77" i="29"/>
  <c r="CZ78" i="29"/>
  <c r="CZ106" i="29"/>
  <c r="DA105" i="29"/>
  <c r="CZ110" i="29"/>
  <c r="DA109" i="29"/>
  <c r="DA112" i="29"/>
  <c r="DB111" i="29"/>
  <c r="DB81" i="29"/>
  <c r="DA82" i="29"/>
  <c r="DC91" i="29"/>
  <c r="DB92" i="29"/>
  <c r="CZ104" i="29"/>
  <c r="DA103" i="29"/>
  <c r="DA118" i="29"/>
  <c r="DB117" i="29"/>
  <c r="DB113" i="29"/>
  <c r="DA114" i="29"/>
  <c r="DA115" i="29"/>
  <c r="CZ116" i="29"/>
  <c r="CX5" i="29"/>
  <c r="CW4" i="29"/>
  <c r="CW3" i="29" s="1"/>
  <c r="CZ90" i="29"/>
  <c r="DA89" i="29"/>
  <c r="CZ38" i="29"/>
  <c r="CZ34" i="29" s="1"/>
  <c r="DA37" i="29"/>
  <c r="DA87" i="29"/>
  <c r="CZ88" i="29"/>
  <c r="DF150" i="29"/>
  <c r="DG149" i="29"/>
  <c r="DB70" i="29"/>
  <c r="DC69" i="29"/>
  <c r="DA119" i="29"/>
  <c r="CZ120" i="29"/>
  <c r="CZ68" i="29"/>
  <c r="DA67" i="29"/>
  <c r="DB101" i="29"/>
  <c r="DA102" i="29"/>
  <c r="DB134" i="29"/>
  <c r="DC133" i="29"/>
  <c r="DE137" i="29"/>
  <c r="DD138" i="29"/>
  <c r="DD147" i="29"/>
  <c r="DC148" i="29"/>
  <c r="DF141" i="29"/>
  <c r="DE142" i="29"/>
  <c r="DC136" i="29"/>
  <c r="DD135" i="29"/>
  <c r="DC146" i="29"/>
  <c r="DD145" i="29"/>
  <c r="DD131" i="29"/>
  <c r="DC132" i="29"/>
  <c r="DE139" i="29"/>
  <c r="DD140" i="29"/>
  <c r="DE143" i="29"/>
  <c r="DD144" i="29"/>
  <c r="DC127" i="29"/>
  <c r="DB128" i="29"/>
  <c r="DC126" i="29" s="1"/>
  <c r="DC130" i="29"/>
  <c r="DD129" i="29"/>
  <c r="DG54" i="29" l="1"/>
  <c r="DH53" i="29"/>
  <c r="DF44" i="29"/>
  <c r="DG43" i="29"/>
  <c r="DG57" i="29"/>
  <c r="DF58" i="29"/>
  <c r="DF72" i="29"/>
  <c r="DG71" i="29"/>
  <c r="DF124" i="29"/>
  <c r="DG123" i="29"/>
  <c r="DB96" i="29"/>
  <c r="DB7" i="29" s="1"/>
  <c r="DC95" i="29"/>
  <c r="CZ48" i="29"/>
  <c r="CZ9" i="29" s="1"/>
  <c r="DB8" i="29"/>
  <c r="DB121" i="29"/>
  <c r="DA122" i="29"/>
  <c r="DA50" i="29"/>
  <c r="DB49" i="29"/>
  <c r="DA42" i="29"/>
  <c r="DB41" i="29"/>
  <c r="DA100" i="29"/>
  <c r="DB93" i="29"/>
  <c r="DA94" i="29"/>
  <c r="DA84" i="29"/>
  <c r="DB83" i="29"/>
  <c r="DB87" i="29"/>
  <c r="DA88" i="29"/>
  <c r="DA116" i="29"/>
  <c r="DB115" i="29"/>
  <c r="DC92" i="29"/>
  <c r="DD91" i="29"/>
  <c r="DB109" i="29"/>
  <c r="DA110" i="29"/>
  <c r="DA80" i="29"/>
  <c r="DB79" i="29"/>
  <c r="DA120" i="29"/>
  <c r="DB119" i="29"/>
  <c r="DA38" i="29"/>
  <c r="DA34" i="29" s="1"/>
  <c r="DB37" i="29"/>
  <c r="DB51" i="29"/>
  <c r="DA52" i="29"/>
  <c r="DC70" i="29"/>
  <c r="DD69" i="29"/>
  <c r="DB114" i="29"/>
  <c r="DC113" i="29"/>
  <c r="DB82" i="29"/>
  <c r="DC81" i="29"/>
  <c r="DA106" i="29"/>
  <c r="DB105" i="29"/>
  <c r="DB40" i="29"/>
  <c r="DC39" i="29"/>
  <c r="DB108" i="29"/>
  <c r="DC107" i="29"/>
  <c r="DC101" i="29"/>
  <c r="DB102" i="29"/>
  <c r="DA90" i="29"/>
  <c r="DB89" i="29"/>
  <c r="DC117" i="29"/>
  <c r="DB118" i="29"/>
  <c r="DB63" i="29"/>
  <c r="DB64" i="29" s="1"/>
  <c r="DA68" i="29"/>
  <c r="DB67" i="29"/>
  <c r="DG150" i="29"/>
  <c r="DH149" i="29"/>
  <c r="DA104" i="29"/>
  <c r="DB103" i="29"/>
  <c r="DB112" i="29"/>
  <c r="DC111" i="29"/>
  <c r="DA78" i="29"/>
  <c r="DB77" i="29"/>
  <c r="DB66" i="29"/>
  <c r="DC65" i="29"/>
  <c r="DC85" i="29"/>
  <c r="DB86" i="29"/>
  <c r="DD36" i="29"/>
  <c r="DE35" i="29"/>
  <c r="CY5" i="29"/>
  <c r="CX4" i="29"/>
  <c r="DB56" i="29"/>
  <c r="DC55" i="29"/>
  <c r="DE140" i="29"/>
  <c r="DF139" i="29"/>
  <c r="DF142" i="29"/>
  <c r="DG141" i="29"/>
  <c r="DD127" i="29"/>
  <c r="DC128" i="29"/>
  <c r="DD126" i="29" s="1"/>
  <c r="DE131" i="29"/>
  <c r="DD132" i="29"/>
  <c r="DE147" i="29"/>
  <c r="DD148" i="29"/>
  <c r="DD146" i="29"/>
  <c r="DE145" i="29"/>
  <c r="DE138" i="29"/>
  <c r="DF137" i="29"/>
  <c r="DE129" i="29"/>
  <c r="DD130" i="29"/>
  <c r="DD136" i="29"/>
  <c r="DE135" i="29"/>
  <c r="DD133" i="29"/>
  <c r="DC134" i="29"/>
  <c r="DE144" i="29"/>
  <c r="DF143" i="29"/>
  <c r="DH54" i="29" l="1"/>
  <c r="DI53" i="29"/>
  <c r="DH123" i="29"/>
  <c r="DG124" i="29"/>
  <c r="DG72" i="29"/>
  <c r="DH71" i="29"/>
  <c r="DG58" i="29"/>
  <c r="DH57" i="29"/>
  <c r="DH43" i="29"/>
  <c r="DG44" i="29"/>
  <c r="DC96" i="29"/>
  <c r="DC7" i="29" s="1"/>
  <c r="J12" i="30" s="1"/>
  <c r="DD95" i="29"/>
  <c r="DA48" i="29"/>
  <c r="DA9" i="29" s="1"/>
  <c r="DC121" i="29"/>
  <c r="DB122" i="29"/>
  <c r="DC8" i="29"/>
  <c r="J13" i="30" s="1"/>
  <c r="DB50" i="29"/>
  <c r="DC49" i="29"/>
  <c r="DB42" i="29"/>
  <c r="DC41" i="29"/>
  <c r="DB100" i="29"/>
  <c r="DB80" i="29"/>
  <c r="DC79" i="29"/>
  <c r="DB68" i="29"/>
  <c r="DC67" i="29"/>
  <c r="DE36" i="29"/>
  <c r="DF35" i="29"/>
  <c r="DD111" i="29"/>
  <c r="DC112" i="29"/>
  <c r="DD81" i="29"/>
  <c r="DC82" i="29"/>
  <c r="DC87" i="29"/>
  <c r="DB88" i="29"/>
  <c r="DB90" i="29"/>
  <c r="DC89" i="29"/>
  <c r="DC63" i="29"/>
  <c r="DC64" i="29" s="1"/>
  <c r="DD101" i="29"/>
  <c r="DC102" i="29"/>
  <c r="DB84" i="29"/>
  <c r="DC83" i="29"/>
  <c r="DC77" i="29"/>
  <c r="DB78" i="29"/>
  <c r="DC56" i="29"/>
  <c r="DD55" i="29"/>
  <c r="DB104" i="29"/>
  <c r="DC103" i="29"/>
  <c r="DC108" i="29"/>
  <c r="DD107" i="29"/>
  <c r="DD113" i="29"/>
  <c r="DC114" i="29"/>
  <c r="DC22" i="29" s="1"/>
  <c r="DC51" i="29"/>
  <c r="DB52" i="29"/>
  <c r="DC109" i="29"/>
  <c r="DB110" i="29"/>
  <c r="DB106" i="29"/>
  <c r="DC105" i="29"/>
  <c r="DC86" i="29"/>
  <c r="DD85" i="29"/>
  <c r="DB38" i="29"/>
  <c r="DB34" i="29" s="1"/>
  <c r="DC37" i="29"/>
  <c r="DE91" i="29"/>
  <c r="DD92" i="29"/>
  <c r="DI149" i="29"/>
  <c r="DH150" i="29"/>
  <c r="DC93" i="29"/>
  <c r="DB94" i="29"/>
  <c r="DC66" i="29"/>
  <c r="DC12" i="29" s="1"/>
  <c r="J23" i="30" s="1"/>
  <c r="DD65" i="29"/>
  <c r="DC40" i="29"/>
  <c r="DD39" i="29"/>
  <c r="DD70" i="29"/>
  <c r="DE69" i="29"/>
  <c r="CZ5" i="29"/>
  <c r="CY4" i="29"/>
  <c r="DC118" i="29"/>
  <c r="DD117" i="29"/>
  <c r="DC119" i="29"/>
  <c r="DB120" i="29"/>
  <c r="DC115" i="29"/>
  <c r="DB116" i="29"/>
  <c r="DE132" i="29"/>
  <c r="DF131" i="29"/>
  <c r="DE133" i="29"/>
  <c r="DD134" i="29"/>
  <c r="DE127" i="29"/>
  <c r="DD128" i="29"/>
  <c r="DE126" i="29" s="1"/>
  <c r="DG137" i="29"/>
  <c r="DF138" i="29"/>
  <c r="DF135" i="29"/>
  <c r="DE136" i="29"/>
  <c r="DF145" i="29"/>
  <c r="DE146" i="29"/>
  <c r="DH141" i="29"/>
  <c r="DG142" i="29"/>
  <c r="DG143" i="29"/>
  <c r="DF144" i="29"/>
  <c r="DF140" i="29"/>
  <c r="DG139" i="29"/>
  <c r="DF129" i="29"/>
  <c r="DE130" i="29"/>
  <c r="DF147" i="29"/>
  <c r="DE148" i="29"/>
  <c r="DI54" i="29" l="1"/>
  <c r="DJ53" i="29"/>
  <c r="DH58" i="29"/>
  <c r="DI57" i="29"/>
  <c r="DH44" i="29"/>
  <c r="DI43" i="29"/>
  <c r="DI71" i="29"/>
  <c r="DH72" i="29"/>
  <c r="DH124" i="29"/>
  <c r="DI123" i="29"/>
  <c r="J11" i="30"/>
  <c r="DD96" i="29"/>
  <c r="DD7" i="29" s="1"/>
  <c r="DE95" i="29"/>
  <c r="DB48" i="29"/>
  <c r="DB9" i="29" s="1"/>
  <c r="DD8" i="29"/>
  <c r="DC122" i="29"/>
  <c r="DD121" i="29"/>
  <c r="DC50" i="29"/>
  <c r="DD49" i="29"/>
  <c r="DC42" i="29"/>
  <c r="DD41" i="29"/>
  <c r="DC100" i="29"/>
  <c r="DC14" i="29" s="1"/>
  <c r="DC15" i="29" s="1"/>
  <c r="J24" i="30" s="1"/>
  <c r="DD109" i="29"/>
  <c r="DC110" i="29"/>
  <c r="DD56" i="29"/>
  <c r="DE55" i="29"/>
  <c r="DD102" i="29"/>
  <c r="DE101" i="29"/>
  <c r="DC68" i="29"/>
  <c r="DD67" i="29"/>
  <c r="CZ4" i="29"/>
  <c r="CZ3" i="29" s="1"/>
  <c r="DA5" i="29"/>
  <c r="DC94" i="29"/>
  <c r="DD93" i="29"/>
  <c r="DD51" i="29"/>
  <c r="DC52" i="29"/>
  <c r="DC11" i="29"/>
  <c r="J22" i="30" s="1"/>
  <c r="DD63" i="29"/>
  <c r="DD64" i="29" s="1"/>
  <c r="DE70" i="29"/>
  <c r="DF69" i="29"/>
  <c r="DD86" i="29"/>
  <c r="DE85" i="29"/>
  <c r="DE81" i="29"/>
  <c r="DD82" i="29"/>
  <c r="DD79" i="29"/>
  <c r="DC80" i="29"/>
  <c r="DC116" i="29"/>
  <c r="DD115" i="29"/>
  <c r="DJ149" i="29"/>
  <c r="DI150" i="29"/>
  <c r="DE113" i="29"/>
  <c r="DD114" i="29"/>
  <c r="DD77" i="29"/>
  <c r="DC78" i="29"/>
  <c r="DD89" i="29"/>
  <c r="DC90" i="29"/>
  <c r="DD40" i="29"/>
  <c r="DE39" i="29"/>
  <c r="DC106" i="29"/>
  <c r="DD105" i="29"/>
  <c r="DD108" i="29"/>
  <c r="DE107" i="29"/>
  <c r="DD83" i="29"/>
  <c r="DC84" i="29"/>
  <c r="DD119" i="29"/>
  <c r="DC120" i="29"/>
  <c r="DF91" i="29"/>
  <c r="DE92" i="29"/>
  <c r="DD112" i="29"/>
  <c r="DE111" i="29"/>
  <c r="DE117" i="29"/>
  <c r="DD118" i="29"/>
  <c r="DD66" i="29"/>
  <c r="DE65" i="29"/>
  <c r="DC38" i="29"/>
  <c r="DC34" i="29" s="1"/>
  <c r="DD37" i="29"/>
  <c r="DC104" i="29"/>
  <c r="DD103" i="29"/>
  <c r="DC88" i="29"/>
  <c r="DD87" i="29"/>
  <c r="DG35" i="29"/>
  <c r="DF36" i="29"/>
  <c r="DG147" i="29"/>
  <c r="DF148" i="29"/>
  <c r="DH142" i="29"/>
  <c r="DI141" i="29"/>
  <c r="DF127" i="29"/>
  <c r="DE128" i="29"/>
  <c r="DF126" i="29" s="1"/>
  <c r="DG129" i="29"/>
  <c r="DF130" i="29"/>
  <c r="DG145" i="29"/>
  <c r="DF146" i="29"/>
  <c r="DG140" i="29"/>
  <c r="DH139" i="29"/>
  <c r="DF136" i="29"/>
  <c r="DG135" i="29"/>
  <c r="DF133" i="29"/>
  <c r="DE134" i="29"/>
  <c r="DG131" i="29"/>
  <c r="DF132" i="29"/>
  <c r="DG144" i="29"/>
  <c r="DH143" i="29"/>
  <c r="DH137" i="29"/>
  <c r="DG138" i="29"/>
  <c r="DJ54" i="29" l="1"/>
  <c r="DK53" i="29"/>
  <c r="DI124" i="29"/>
  <c r="DJ123" i="29"/>
  <c r="DJ71" i="29"/>
  <c r="DI72" i="29"/>
  <c r="DI58" i="29"/>
  <c r="DJ57" i="29"/>
  <c r="DI44" i="29"/>
  <c r="DJ43" i="29"/>
  <c r="DE96" i="29"/>
  <c r="DE7" i="29" s="1"/>
  <c r="DF95" i="29"/>
  <c r="DC48" i="29"/>
  <c r="DC9" i="29" s="1"/>
  <c r="J15" i="30" s="1"/>
  <c r="DE121" i="29"/>
  <c r="DD122" i="29"/>
  <c r="J16" i="30"/>
  <c r="DE8" i="29"/>
  <c r="DD50" i="29"/>
  <c r="DE49" i="29"/>
  <c r="DE41" i="29"/>
  <c r="DD42" i="29"/>
  <c r="DD100" i="29"/>
  <c r="DF39" i="29"/>
  <c r="DE40" i="29"/>
  <c r="DD84" i="29"/>
  <c r="DE83" i="29"/>
  <c r="DD90" i="29"/>
  <c r="DE89" i="29"/>
  <c r="DD38" i="29"/>
  <c r="DD34" i="29" s="1"/>
  <c r="DE37" i="29"/>
  <c r="DE112" i="29"/>
  <c r="DF111" i="29"/>
  <c r="DF107" i="29"/>
  <c r="DE108" i="29"/>
  <c r="DE63" i="29"/>
  <c r="DE64" i="29" s="1"/>
  <c r="DE67" i="29"/>
  <c r="DD68" i="29"/>
  <c r="DD78" i="29"/>
  <c r="DE77" i="29"/>
  <c r="DD80" i="29"/>
  <c r="DE79" i="29"/>
  <c r="DE66" i="29"/>
  <c r="DF65" i="29"/>
  <c r="DD106" i="29"/>
  <c r="DE105" i="29"/>
  <c r="DH35" i="29"/>
  <c r="DG36" i="29"/>
  <c r="DF92" i="29"/>
  <c r="DG91" i="29"/>
  <c r="DF113" i="29"/>
  <c r="DE114" i="29"/>
  <c r="DE82" i="29"/>
  <c r="DF81" i="29"/>
  <c r="DD52" i="29"/>
  <c r="DE51" i="29"/>
  <c r="DE109" i="29"/>
  <c r="DD110" i="29"/>
  <c r="DF85" i="29"/>
  <c r="DE86" i="29"/>
  <c r="DF101" i="29"/>
  <c r="DE102" i="29"/>
  <c r="DF117" i="29"/>
  <c r="DE118" i="29"/>
  <c r="DE119" i="29"/>
  <c r="DD120" i="29"/>
  <c r="DK149" i="29"/>
  <c r="DJ150" i="29"/>
  <c r="DE87" i="29"/>
  <c r="DD88" i="29"/>
  <c r="DE93" i="29"/>
  <c r="DD94" i="29"/>
  <c r="DE103" i="29"/>
  <c r="DD104" i="29"/>
  <c r="DE115" i="29"/>
  <c r="DD116" i="29"/>
  <c r="DF70" i="29"/>
  <c r="DG69" i="29"/>
  <c r="DB5" i="29"/>
  <c r="DA4" i="29"/>
  <c r="DF55" i="29"/>
  <c r="DE56" i="29"/>
  <c r="DH129" i="29"/>
  <c r="DG130" i="29"/>
  <c r="DH138" i="29"/>
  <c r="DI137" i="29"/>
  <c r="DF128" i="29"/>
  <c r="DG126" i="29" s="1"/>
  <c r="DG127" i="29"/>
  <c r="DJ141" i="29"/>
  <c r="DI142" i="29"/>
  <c r="DH140" i="29"/>
  <c r="DI139" i="29"/>
  <c r="DH131" i="29"/>
  <c r="DG132" i="29"/>
  <c r="DG136" i="29"/>
  <c r="DH135" i="29"/>
  <c r="DI143" i="29"/>
  <c r="DH144" i="29"/>
  <c r="DG133" i="29"/>
  <c r="DF134" i="29"/>
  <c r="DH145" i="29"/>
  <c r="DG146" i="29"/>
  <c r="DH147" i="29"/>
  <c r="DG148" i="29"/>
  <c r="DK54" i="29" l="1"/>
  <c r="DL53" i="29"/>
  <c r="DJ58" i="29"/>
  <c r="DK57" i="29"/>
  <c r="DJ44" i="29"/>
  <c r="DK43" i="29"/>
  <c r="DK71" i="29"/>
  <c r="DJ72" i="29"/>
  <c r="DJ124" i="29"/>
  <c r="DK123" i="29"/>
  <c r="DF96" i="29"/>
  <c r="DF7" i="29" s="1"/>
  <c r="DG95" i="29"/>
  <c r="DD48" i="29"/>
  <c r="DD9" i="29" s="1"/>
  <c r="DC10" i="29"/>
  <c r="J21" i="30" s="1"/>
  <c r="DC26" i="29"/>
  <c r="J19" i="30" s="1"/>
  <c r="J14" i="30"/>
  <c r="DE100" i="29"/>
  <c r="DF8" i="29"/>
  <c r="DE122" i="29"/>
  <c r="DF121" i="29"/>
  <c r="DE50" i="29"/>
  <c r="DF49" i="29"/>
  <c r="DE42" i="29"/>
  <c r="DF41" i="29"/>
  <c r="DG101" i="29"/>
  <c r="DF102" i="29"/>
  <c r="DF89" i="29"/>
  <c r="DE90" i="29"/>
  <c r="DF115" i="29"/>
  <c r="DE116" i="29"/>
  <c r="DF67" i="29"/>
  <c r="DE68" i="29"/>
  <c r="DG55" i="29"/>
  <c r="DF56" i="29"/>
  <c r="DF105" i="29"/>
  <c r="DE106" i="29"/>
  <c r="DF63" i="29"/>
  <c r="DF64" i="29" s="1"/>
  <c r="DE78" i="29"/>
  <c r="DF77" i="29"/>
  <c r="DK150" i="29"/>
  <c r="DL149" i="29"/>
  <c r="DF86" i="29"/>
  <c r="DG85" i="29"/>
  <c r="DG113" i="29"/>
  <c r="DF114" i="29"/>
  <c r="DE84" i="29"/>
  <c r="DF83" i="29"/>
  <c r="DG81" i="29"/>
  <c r="DF82" i="29"/>
  <c r="DC5" i="29"/>
  <c r="DB4" i="29"/>
  <c r="DE104" i="29"/>
  <c r="DF103" i="29"/>
  <c r="DH91" i="29"/>
  <c r="DG92" i="29"/>
  <c r="DG65" i="29"/>
  <c r="DF66" i="29"/>
  <c r="DF108" i="29"/>
  <c r="DG107" i="29"/>
  <c r="DH69" i="29"/>
  <c r="DG70" i="29"/>
  <c r="DE120" i="29"/>
  <c r="DF119" i="29"/>
  <c r="DF109" i="29"/>
  <c r="DE110" i="29"/>
  <c r="DF112" i="29"/>
  <c r="DG111" i="29"/>
  <c r="DE88" i="29"/>
  <c r="DF87" i="29"/>
  <c r="DE94" i="29"/>
  <c r="DF93" i="29"/>
  <c r="DF51" i="29"/>
  <c r="DE52" i="29"/>
  <c r="DE80" i="29"/>
  <c r="DF79" i="29"/>
  <c r="DF118" i="29"/>
  <c r="DG117" i="29"/>
  <c r="DH36" i="29"/>
  <c r="DI35" i="29"/>
  <c r="DF37" i="29"/>
  <c r="DE38" i="29"/>
  <c r="DE34" i="29" s="1"/>
  <c r="DF40" i="29"/>
  <c r="DG39" i="29"/>
  <c r="DH148" i="29"/>
  <c r="DI147" i="29"/>
  <c r="DJ142" i="29"/>
  <c r="DK141" i="29"/>
  <c r="DH127" i="29"/>
  <c r="DG128" i="29"/>
  <c r="DH126" i="29" s="1"/>
  <c r="DH136" i="29"/>
  <c r="DI135" i="29"/>
  <c r="DI138" i="29"/>
  <c r="DJ137" i="29"/>
  <c r="DH133" i="29"/>
  <c r="DG134" i="29"/>
  <c r="DH132" i="29"/>
  <c r="DI131" i="29"/>
  <c r="DI140" i="29"/>
  <c r="DJ139" i="29"/>
  <c r="DI145" i="29"/>
  <c r="DH146" i="29"/>
  <c r="DJ143" i="29"/>
  <c r="DI144" i="29"/>
  <c r="DI129" i="29"/>
  <c r="DH130" i="29"/>
  <c r="DL54" i="29" l="1"/>
  <c r="DM53" i="29"/>
  <c r="DE48" i="29"/>
  <c r="DE9" i="29" s="1"/>
  <c r="DK124" i="29"/>
  <c r="DL123" i="29"/>
  <c r="DL71" i="29"/>
  <c r="DK72" i="29"/>
  <c r="DK58" i="29"/>
  <c r="DL57" i="29"/>
  <c r="DL43" i="29"/>
  <c r="DK44" i="29"/>
  <c r="DG96" i="29"/>
  <c r="DG7" i="29" s="1"/>
  <c r="DH95" i="29"/>
  <c r="DC13" i="29"/>
  <c r="J20" i="30" s="1"/>
  <c r="DG121" i="29"/>
  <c r="DF122" i="29"/>
  <c r="DG8" i="29"/>
  <c r="DF50" i="29"/>
  <c r="DG49" i="29"/>
  <c r="DG41" i="29"/>
  <c r="DF42" i="29"/>
  <c r="DF100" i="29"/>
  <c r="DH39" i="29"/>
  <c r="DG40" i="29"/>
  <c r="DG79" i="29"/>
  <c r="DF80" i="29"/>
  <c r="DG112" i="29"/>
  <c r="DH111" i="29"/>
  <c r="DI91" i="29"/>
  <c r="DH92" i="29"/>
  <c r="DG105" i="29"/>
  <c r="DF106" i="29"/>
  <c r="DG115" i="29"/>
  <c r="DF116" i="29"/>
  <c r="DI69" i="29"/>
  <c r="DH70" i="29"/>
  <c r="DG103" i="29"/>
  <c r="DF104" i="29"/>
  <c r="DG77" i="29"/>
  <c r="DF78" i="29"/>
  <c r="DG89" i="29"/>
  <c r="DF90" i="29"/>
  <c r="DF38" i="29"/>
  <c r="DF34" i="29" s="1"/>
  <c r="DG37" i="29"/>
  <c r="DF52" i="29"/>
  <c r="DG51" i="29"/>
  <c r="DH107" i="29"/>
  <c r="DG108" i="29"/>
  <c r="DI36" i="29"/>
  <c r="DJ35" i="29"/>
  <c r="DF94" i="29"/>
  <c r="DG93" i="29"/>
  <c r="J10" i="30"/>
  <c r="DD5" i="29"/>
  <c r="DC4" i="29"/>
  <c r="DC3" i="29" s="1"/>
  <c r="DH113" i="29"/>
  <c r="DG114" i="29"/>
  <c r="DG63" i="29"/>
  <c r="DG64" i="29" s="1"/>
  <c r="DG56" i="29"/>
  <c r="DH55" i="29"/>
  <c r="DF110" i="29"/>
  <c r="DG109" i="29"/>
  <c r="DG86" i="29"/>
  <c r="DH85" i="29"/>
  <c r="DH117" i="29"/>
  <c r="DG118" i="29"/>
  <c r="DF88" i="29"/>
  <c r="DG87" i="29"/>
  <c r="DF120" i="29"/>
  <c r="DG119" i="29"/>
  <c r="DG66" i="29"/>
  <c r="DH65" i="29"/>
  <c r="DH81" i="29"/>
  <c r="DG82" i="29"/>
  <c r="DF68" i="29"/>
  <c r="DG67" i="29"/>
  <c r="DG102" i="29"/>
  <c r="DH101" i="29"/>
  <c r="DF84" i="29"/>
  <c r="DG83" i="29"/>
  <c r="DM149" i="29"/>
  <c r="DL150" i="29"/>
  <c r="DI132" i="29"/>
  <c r="DJ131" i="29"/>
  <c r="DK143" i="29"/>
  <c r="DJ144" i="29"/>
  <c r="DI133" i="29"/>
  <c r="DH134" i="29"/>
  <c r="DI127" i="29"/>
  <c r="DH128" i="29"/>
  <c r="DI126" i="29" s="1"/>
  <c r="DI136" i="29"/>
  <c r="DJ135" i="29"/>
  <c r="DK137" i="29"/>
  <c r="DJ138" i="29"/>
  <c r="DL141" i="29"/>
  <c r="DK142" i="29"/>
  <c r="DJ145" i="29"/>
  <c r="DI146" i="29"/>
  <c r="DJ129" i="29"/>
  <c r="DI130" i="29"/>
  <c r="DJ140" i="29"/>
  <c r="DK139" i="29"/>
  <c r="DI148" i="29"/>
  <c r="DJ147" i="29"/>
  <c r="DM54" i="29" l="1"/>
  <c r="DN53" i="29"/>
  <c r="DL44" i="29"/>
  <c r="DM43" i="29"/>
  <c r="DL58" i="29"/>
  <c r="DM57" i="29"/>
  <c r="DM71" i="29"/>
  <c r="DL72" i="29"/>
  <c r="DL124" i="29"/>
  <c r="DM123" i="29"/>
  <c r="DH96" i="29"/>
  <c r="DH7" i="29" s="1"/>
  <c r="DI95" i="29"/>
  <c r="DF48" i="29"/>
  <c r="DF9" i="29" s="1"/>
  <c r="DC27" i="29"/>
  <c r="DC28" i="29" s="1"/>
  <c r="J17" i="30" s="1"/>
  <c r="J31" i="30" s="1"/>
  <c r="DH8" i="29"/>
  <c r="DH121" i="29"/>
  <c r="DG122" i="29"/>
  <c r="DH49" i="29"/>
  <c r="DG50" i="29"/>
  <c r="DH41" i="29"/>
  <c r="DG42" i="29"/>
  <c r="DG100" i="29"/>
  <c r="DN149" i="29"/>
  <c r="DM150" i="29"/>
  <c r="DI81" i="29"/>
  <c r="DH82" i="29"/>
  <c r="DH118" i="29"/>
  <c r="DI117" i="29"/>
  <c r="DH108" i="29"/>
  <c r="DI107" i="29"/>
  <c r="DH89" i="29"/>
  <c r="DG90" i="29"/>
  <c r="DG104" i="29"/>
  <c r="DH103" i="29"/>
  <c r="DJ91" i="29"/>
  <c r="DI92" i="29"/>
  <c r="DH83" i="29"/>
  <c r="DG84" i="29"/>
  <c r="DH66" i="29"/>
  <c r="DI65" i="29"/>
  <c r="DE5" i="29"/>
  <c r="DD4" i="29"/>
  <c r="DH112" i="29"/>
  <c r="DI111" i="29"/>
  <c r="DH56" i="29"/>
  <c r="DI55" i="29"/>
  <c r="J44" i="30"/>
  <c r="J30" i="30"/>
  <c r="J37" i="30"/>
  <c r="DI70" i="29"/>
  <c r="DJ69" i="29"/>
  <c r="DH114" i="29"/>
  <c r="DI113" i="29"/>
  <c r="DI101" i="29"/>
  <c r="DH102" i="29"/>
  <c r="DH119" i="29"/>
  <c r="DG120" i="29"/>
  <c r="DH93" i="29"/>
  <c r="DG94" i="29"/>
  <c r="DH51" i="29"/>
  <c r="DG52" i="29"/>
  <c r="DH86" i="29"/>
  <c r="DI85" i="29"/>
  <c r="DG116" i="29"/>
  <c r="DH115" i="29"/>
  <c r="DH79" i="29"/>
  <c r="DG80" i="29"/>
  <c r="DG68" i="29"/>
  <c r="DH67" i="29"/>
  <c r="DH87" i="29"/>
  <c r="DG88" i="29"/>
  <c r="DH63" i="29"/>
  <c r="DH64" i="29" s="1"/>
  <c r="DK35" i="29"/>
  <c r="DJ36" i="29"/>
  <c r="DG38" i="29"/>
  <c r="DG34" i="29" s="1"/>
  <c r="DH37" i="29"/>
  <c r="DG110" i="29"/>
  <c r="DH109" i="29"/>
  <c r="DH77" i="29"/>
  <c r="DG78" i="29"/>
  <c r="DH105" i="29"/>
  <c r="DG106" i="29"/>
  <c r="DH40" i="29"/>
  <c r="DI39" i="29"/>
  <c r="DK145" i="29"/>
  <c r="DJ146" i="29"/>
  <c r="DJ127" i="29"/>
  <c r="DI128" i="29"/>
  <c r="DJ126" i="29" s="1"/>
  <c r="DK147" i="29"/>
  <c r="DJ148" i="29"/>
  <c r="DM141" i="29"/>
  <c r="DL142" i="29"/>
  <c r="DJ133" i="29"/>
  <c r="DI134" i="29"/>
  <c r="DK140" i="29"/>
  <c r="DL139" i="29"/>
  <c r="DK138" i="29"/>
  <c r="DL137" i="29"/>
  <c r="DK144" i="29"/>
  <c r="DL143" i="29"/>
  <c r="DJ136" i="29"/>
  <c r="DK135" i="29"/>
  <c r="DJ132" i="29"/>
  <c r="DK131" i="29"/>
  <c r="DK129" i="29"/>
  <c r="DJ130" i="29"/>
  <c r="DN54" i="29" l="1"/>
  <c r="DO53" i="29"/>
  <c r="DM124" i="29"/>
  <c r="DN123" i="29"/>
  <c r="DN71" i="29"/>
  <c r="DM72" i="29"/>
  <c r="DN43" i="29"/>
  <c r="DM44" i="29"/>
  <c r="DM58" i="29"/>
  <c r="DN57" i="29"/>
  <c r="DI96" i="29"/>
  <c r="DI7" i="29" s="1"/>
  <c r="DJ95" i="29"/>
  <c r="DG48" i="29"/>
  <c r="DG9" i="29" s="1"/>
  <c r="J18" i="30"/>
  <c r="J38" i="30" s="1"/>
  <c r="DI121" i="29"/>
  <c r="DH122" i="29"/>
  <c r="DI8" i="29"/>
  <c r="DH50" i="29"/>
  <c r="DI49" i="29"/>
  <c r="DI41" i="29"/>
  <c r="DH42" i="29"/>
  <c r="DH100" i="29"/>
  <c r="DH120" i="29"/>
  <c r="DI119" i="29"/>
  <c r="DI108" i="29"/>
  <c r="DJ107" i="29"/>
  <c r="DH84" i="29"/>
  <c r="DI83" i="29"/>
  <c r="DH106" i="29"/>
  <c r="DI105" i="29"/>
  <c r="DK36" i="29"/>
  <c r="DL35" i="29"/>
  <c r="DI79" i="29"/>
  <c r="DH80" i="29"/>
  <c r="DI102" i="29"/>
  <c r="DJ101" i="29"/>
  <c r="DI56" i="29"/>
  <c r="DJ55" i="29"/>
  <c r="DI118" i="29"/>
  <c r="DJ117" i="29"/>
  <c r="DI115" i="29"/>
  <c r="DH116" i="29"/>
  <c r="DJ113" i="29"/>
  <c r="DI114" i="29"/>
  <c r="DF5" i="29"/>
  <c r="DE4" i="29"/>
  <c r="DJ92" i="29"/>
  <c r="DK91" i="29"/>
  <c r="DI77" i="29"/>
  <c r="DH78" i="29"/>
  <c r="DI63" i="29"/>
  <c r="DI64" i="29" s="1"/>
  <c r="DI51" i="29"/>
  <c r="DH52" i="29"/>
  <c r="J35" i="30"/>
  <c r="J32" i="30"/>
  <c r="J33" i="30" s="1"/>
  <c r="J34" i="30"/>
  <c r="DI103" i="29"/>
  <c r="DH104" i="29"/>
  <c r="DH110" i="29"/>
  <c r="DI109" i="29"/>
  <c r="DJ70" i="29"/>
  <c r="DK69" i="29"/>
  <c r="DJ81" i="29"/>
  <c r="DI82" i="29"/>
  <c r="DI87" i="29"/>
  <c r="DH88" i="29"/>
  <c r="DI86" i="29"/>
  <c r="DJ85" i="29"/>
  <c r="DI93" i="29"/>
  <c r="DH94" i="29"/>
  <c r="DJ111" i="29"/>
  <c r="DI112" i="29"/>
  <c r="DI66" i="29"/>
  <c r="DJ65" i="29"/>
  <c r="DI40" i="29"/>
  <c r="DJ39" i="29"/>
  <c r="DH38" i="29"/>
  <c r="DH34" i="29" s="1"/>
  <c r="DI37" i="29"/>
  <c r="DH68" i="29"/>
  <c r="DI67" i="29"/>
  <c r="DH90" i="29"/>
  <c r="DI89" i="29"/>
  <c r="DO149" i="29"/>
  <c r="DN150" i="29"/>
  <c r="DK130" i="29"/>
  <c r="DL129" i="29"/>
  <c r="DL147" i="29"/>
  <c r="DK148" i="29"/>
  <c r="DK127" i="29"/>
  <c r="DJ128" i="29"/>
  <c r="DK126" i="29" s="1"/>
  <c r="DM137" i="29"/>
  <c r="DL138" i="29"/>
  <c r="DK136" i="29"/>
  <c r="DL135" i="29"/>
  <c r="DM139" i="29"/>
  <c r="DL140" i="29"/>
  <c r="DJ134" i="29"/>
  <c r="DK133" i="29"/>
  <c r="DK146" i="29"/>
  <c r="DL145" i="29"/>
  <c r="DM143" i="29"/>
  <c r="DL144" i="29"/>
  <c r="DK132" i="29"/>
  <c r="DL131" i="29"/>
  <c r="DN141" i="29"/>
  <c r="DM142" i="29"/>
  <c r="DO54" i="29" l="1"/>
  <c r="DP53" i="29"/>
  <c r="DN58" i="29"/>
  <c r="DO57" i="29"/>
  <c r="DN44" i="29"/>
  <c r="DO43" i="29"/>
  <c r="DO71" i="29"/>
  <c r="DN72" i="29"/>
  <c r="DN124" i="29"/>
  <c r="DO123" i="29"/>
  <c r="DJ96" i="29"/>
  <c r="DJ7" i="29" s="1"/>
  <c r="DK95" i="29"/>
  <c r="J45" i="30"/>
  <c r="J46" i="30" s="1"/>
  <c r="J47" i="30" s="1"/>
  <c r="DH48" i="29"/>
  <c r="DH9" i="29" s="1"/>
  <c r="DJ8" i="29"/>
  <c r="DI122" i="29"/>
  <c r="DJ121" i="29"/>
  <c r="DJ49" i="29"/>
  <c r="DI50" i="29"/>
  <c r="DJ41" i="29"/>
  <c r="DI42" i="29"/>
  <c r="DI100" i="29"/>
  <c r="DJ89" i="29"/>
  <c r="DI90" i="29"/>
  <c r="DJ66" i="29"/>
  <c r="DK65" i="29"/>
  <c r="DI110" i="29"/>
  <c r="DJ109" i="29"/>
  <c r="DJ118" i="29"/>
  <c r="DK117" i="29"/>
  <c r="DJ79" i="29"/>
  <c r="DI80" i="29"/>
  <c r="DI88" i="29"/>
  <c r="DJ87" i="29"/>
  <c r="DL36" i="29"/>
  <c r="DM35" i="29"/>
  <c r="DJ67" i="29"/>
  <c r="DI68" i="29"/>
  <c r="DI52" i="29"/>
  <c r="DJ51" i="29"/>
  <c r="DG5" i="29"/>
  <c r="DF4" i="29"/>
  <c r="DF3" i="29" s="1"/>
  <c r="DJ56" i="29"/>
  <c r="DK55" i="29"/>
  <c r="DK107" i="29"/>
  <c r="DJ108" i="29"/>
  <c r="DJ112" i="29"/>
  <c r="DK111" i="29"/>
  <c r="DK81" i="29"/>
  <c r="DJ82" i="29"/>
  <c r="DI104" i="29"/>
  <c r="DJ103" i="29"/>
  <c r="DJ63" i="29"/>
  <c r="DJ64" i="29" s="1"/>
  <c r="DI106" i="29"/>
  <c r="DJ105" i="29"/>
  <c r="DJ37" i="29"/>
  <c r="DI38" i="29"/>
  <c r="DI34" i="29" s="1"/>
  <c r="DJ114" i="29"/>
  <c r="DK113" i="29"/>
  <c r="DJ102" i="29"/>
  <c r="DK101" i="29"/>
  <c r="DJ93" i="29"/>
  <c r="DI94" i="29"/>
  <c r="J42" i="30"/>
  <c r="J39" i="30"/>
  <c r="J40" i="30" s="1"/>
  <c r="J41" i="30"/>
  <c r="DI84" i="29"/>
  <c r="DJ83" i="29"/>
  <c r="DJ40" i="29"/>
  <c r="DK39" i="29"/>
  <c r="DK85" i="29"/>
  <c r="DJ86" i="29"/>
  <c r="DL69" i="29"/>
  <c r="DK70" i="29"/>
  <c r="DI78" i="29"/>
  <c r="DJ77" i="29"/>
  <c r="DI120" i="29"/>
  <c r="DJ119" i="29"/>
  <c r="DP149" i="29"/>
  <c r="DO150" i="29"/>
  <c r="DL91" i="29"/>
  <c r="DK92" i="29"/>
  <c r="DI116" i="29"/>
  <c r="DJ115" i="29"/>
  <c r="DM138" i="29"/>
  <c r="DN137" i="29"/>
  <c r="DN142" i="29"/>
  <c r="DO141" i="29"/>
  <c r="DL127" i="29"/>
  <c r="DK128" i="29"/>
  <c r="DL126" i="29" s="1"/>
  <c r="DM131" i="29"/>
  <c r="DL132" i="29"/>
  <c r="DL146" i="29"/>
  <c r="DM145" i="29"/>
  <c r="DM140" i="29"/>
  <c r="DN139" i="29"/>
  <c r="DM147" i="29"/>
  <c r="DL148" i="29"/>
  <c r="DL133" i="29"/>
  <c r="DK134" i="29"/>
  <c r="DM135" i="29"/>
  <c r="DL136" i="29"/>
  <c r="DM129" i="29"/>
  <c r="DL130" i="29"/>
  <c r="DM144" i="29"/>
  <c r="DN143" i="29"/>
  <c r="DP54" i="29" l="1"/>
  <c r="DQ53" i="29"/>
  <c r="DP71" i="29"/>
  <c r="DO72" i="29"/>
  <c r="DP43" i="29"/>
  <c r="DO44" i="29"/>
  <c r="DP123" i="29"/>
  <c r="DO124" i="29"/>
  <c r="DO58" i="29"/>
  <c r="DP57" i="29"/>
  <c r="DK96" i="29"/>
  <c r="DK7" i="29" s="1"/>
  <c r="DL95" i="29"/>
  <c r="J48" i="30"/>
  <c r="J49" i="30"/>
  <c r="DI48" i="29"/>
  <c r="DI9" i="29" s="1"/>
  <c r="DK121" i="29"/>
  <c r="DJ122" i="29"/>
  <c r="DK8" i="29"/>
  <c r="DJ50" i="29"/>
  <c r="DK49" i="29"/>
  <c r="DJ42" i="29"/>
  <c r="DK41" i="29"/>
  <c r="DJ100" i="29"/>
  <c r="DM91" i="29"/>
  <c r="DL92" i="29"/>
  <c r="DK102" i="29"/>
  <c r="DL101" i="29"/>
  <c r="DJ38" i="29"/>
  <c r="DJ34" i="29" s="1"/>
  <c r="DK37" i="29"/>
  <c r="DL81" i="29"/>
  <c r="DK82" i="29"/>
  <c r="DH5" i="29"/>
  <c r="DG4" i="29"/>
  <c r="DL70" i="29"/>
  <c r="DM69" i="29"/>
  <c r="DJ94" i="29"/>
  <c r="DK93" i="29"/>
  <c r="DQ149" i="29"/>
  <c r="DP150" i="29"/>
  <c r="DL85" i="29"/>
  <c r="DK86" i="29"/>
  <c r="DJ106" i="29"/>
  <c r="DK105" i="29"/>
  <c r="DL111" i="29"/>
  <c r="DK112" i="29"/>
  <c r="DJ52" i="29"/>
  <c r="DK51" i="29"/>
  <c r="DJ88" i="29"/>
  <c r="DK87" i="29"/>
  <c r="DJ110" i="29"/>
  <c r="DK109" i="29"/>
  <c r="DJ120" i="29"/>
  <c r="DK119" i="29"/>
  <c r="DK40" i="29"/>
  <c r="DL39" i="29"/>
  <c r="DK114" i="29"/>
  <c r="DL113" i="29"/>
  <c r="DK66" i="29"/>
  <c r="DL65" i="29"/>
  <c r="DL117" i="29"/>
  <c r="DK118" i="29"/>
  <c r="DJ116" i="29"/>
  <c r="DK115" i="29"/>
  <c r="DJ78" i="29"/>
  <c r="DK77" i="29"/>
  <c r="DK63" i="29"/>
  <c r="DK64" i="29" s="1"/>
  <c r="DL107" i="29"/>
  <c r="DK108" i="29"/>
  <c r="DK67" i="29"/>
  <c r="DJ68" i="29"/>
  <c r="DJ104" i="29"/>
  <c r="DK103" i="29"/>
  <c r="DK56" i="29"/>
  <c r="DL55" i="29"/>
  <c r="DJ84" i="29"/>
  <c r="DK83" i="29"/>
  <c r="DN35" i="29"/>
  <c r="DM36" i="29"/>
  <c r="DJ80" i="29"/>
  <c r="DK79" i="29"/>
  <c r="DJ90" i="29"/>
  <c r="DK89" i="29"/>
  <c r="DN147" i="29"/>
  <c r="DM148" i="29"/>
  <c r="DM127" i="29"/>
  <c r="DL128" i="29"/>
  <c r="DM126" i="29" s="1"/>
  <c r="DN140" i="29"/>
  <c r="DO139" i="29"/>
  <c r="DP141" i="29"/>
  <c r="DO142" i="29"/>
  <c r="DN145" i="29"/>
  <c r="DM146" i="29"/>
  <c r="DO137" i="29"/>
  <c r="DN138" i="29"/>
  <c r="DO143" i="29"/>
  <c r="DN144" i="29"/>
  <c r="DN135" i="29"/>
  <c r="DM136" i="29"/>
  <c r="DN129" i="29"/>
  <c r="DM130" i="29"/>
  <c r="DM133" i="29"/>
  <c r="DL134" i="29"/>
  <c r="DM132" i="29"/>
  <c r="DN131" i="29"/>
  <c r="DQ54" i="29" l="1"/>
  <c r="DR53" i="29"/>
  <c r="DP58" i="29"/>
  <c r="DQ57" i="29"/>
  <c r="DP124" i="29"/>
  <c r="DQ123" i="29"/>
  <c r="DP44" i="29"/>
  <c r="DQ43" i="29"/>
  <c r="DQ71" i="29"/>
  <c r="DP72" i="29"/>
  <c r="DL96" i="29"/>
  <c r="DL7" i="29" s="1"/>
  <c r="DM95" i="29"/>
  <c r="DJ48" i="29"/>
  <c r="DJ9" i="29" s="1"/>
  <c r="DL8" i="29"/>
  <c r="DK122" i="29"/>
  <c r="DL121" i="29"/>
  <c r="DK50" i="29"/>
  <c r="DL49" i="29"/>
  <c r="DK42" i="29"/>
  <c r="DL41" i="29"/>
  <c r="DK100" i="29"/>
  <c r="DO35" i="29"/>
  <c r="DN36" i="29"/>
  <c r="DL63" i="29"/>
  <c r="DL64" i="29" s="1"/>
  <c r="DL112" i="29"/>
  <c r="DM111" i="29"/>
  <c r="DL83" i="29"/>
  <c r="DK84" i="29"/>
  <c r="DK78" i="29"/>
  <c r="DL77" i="29"/>
  <c r="DK110" i="29"/>
  <c r="DL109" i="29"/>
  <c r="DK106" i="29"/>
  <c r="DL105" i="29"/>
  <c r="DQ150" i="29"/>
  <c r="DR149" i="29"/>
  <c r="DL82" i="29"/>
  <c r="DM81" i="29"/>
  <c r="DK94" i="29"/>
  <c r="DL93" i="29"/>
  <c r="DL37" i="29"/>
  <c r="DK38" i="29"/>
  <c r="DK34" i="29" s="1"/>
  <c r="DK90" i="29"/>
  <c r="DL89" i="29"/>
  <c r="DM55" i="29"/>
  <c r="DL56" i="29"/>
  <c r="DK116" i="29"/>
  <c r="DL115" i="29"/>
  <c r="DL114" i="29"/>
  <c r="DM113" i="29"/>
  <c r="DK88" i="29"/>
  <c r="DL87" i="29"/>
  <c r="DL67" i="29"/>
  <c r="DK68" i="29"/>
  <c r="DM70" i="29"/>
  <c r="DN69" i="29"/>
  <c r="DL102" i="29"/>
  <c r="DM101" i="29"/>
  <c r="DK80" i="29"/>
  <c r="DL79" i="29"/>
  <c r="DK104" i="29"/>
  <c r="DL103" i="29"/>
  <c r="DL40" i="29"/>
  <c r="DM39" i="29"/>
  <c r="DL51" i="29"/>
  <c r="DK52" i="29"/>
  <c r="DL108" i="29"/>
  <c r="DM107" i="29"/>
  <c r="DM117" i="29"/>
  <c r="DL118" i="29"/>
  <c r="DM65" i="29"/>
  <c r="DL66" i="29"/>
  <c r="DL119" i="29"/>
  <c r="DK120" i="29"/>
  <c r="DM85" i="29"/>
  <c r="DL86" i="29"/>
  <c r="DI5" i="29"/>
  <c r="DH4" i="29"/>
  <c r="DN91" i="29"/>
  <c r="DM92" i="29"/>
  <c r="DN136" i="29"/>
  <c r="DO135" i="29"/>
  <c r="DP142" i="29"/>
  <c r="DQ141" i="29"/>
  <c r="DO140" i="29"/>
  <c r="DP139" i="29"/>
  <c r="DO144" i="29"/>
  <c r="DP143" i="29"/>
  <c r="DN133" i="29"/>
  <c r="DM134" i="29"/>
  <c r="DP137" i="29"/>
  <c r="DO138" i="29"/>
  <c r="DN127" i="29"/>
  <c r="DM128" i="29"/>
  <c r="DN126" i="29" s="1"/>
  <c r="DO131" i="29"/>
  <c r="DN132" i="29"/>
  <c r="DO129" i="29"/>
  <c r="DN130" i="29"/>
  <c r="DO145" i="29"/>
  <c r="DN146" i="29"/>
  <c r="DO147" i="29"/>
  <c r="DN148" i="29"/>
  <c r="DR54" i="29" l="1"/>
  <c r="DS53" i="29"/>
  <c r="DQ44" i="29"/>
  <c r="DR43" i="29"/>
  <c r="DR71" i="29"/>
  <c r="DQ72" i="29"/>
  <c r="DQ124" i="29"/>
  <c r="DR123" i="29"/>
  <c r="DQ58" i="29"/>
  <c r="DR57" i="29"/>
  <c r="DM96" i="29"/>
  <c r="DM7" i="29" s="1"/>
  <c r="DN95" i="29"/>
  <c r="DK48" i="29"/>
  <c r="DK9" i="29" s="1"/>
  <c r="DL122" i="29"/>
  <c r="DM121" i="29"/>
  <c r="DM8" i="29"/>
  <c r="DL50" i="29"/>
  <c r="DM49" i="29"/>
  <c r="DM41" i="29"/>
  <c r="DL42" i="29"/>
  <c r="DL100" i="29"/>
  <c r="DN107" i="29"/>
  <c r="DM108" i="29"/>
  <c r="DM109" i="29"/>
  <c r="DL110" i="29"/>
  <c r="DM112" i="29"/>
  <c r="DN111" i="29"/>
  <c r="DN85" i="29"/>
  <c r="DM86" i="29"/>
  <c r="DM79" i="29"/>
  <c r="DL80" i="29"/>
  <c r="DL68" i="29"/>
  <c r="DM67" i="29"/>
  <c r="DN55" i="29"/>
  <c r="DM56" i="29"/>
  <c r="DN81" i="29"/>
  <c r="DM82" i="29"/>
  <c r="DM77" i="29"/>
  <c r="DL78" i="29"/>
  <c r="DL120" i="29"/>
  <c r="DM119" i="29"/>
  <c r="DN101" i="29"/>
  <c r="DM102" i="29"/>
  <c r="DM87" i="29"/>
  <c r="DL88" i="29"/>
  <c r="DL90" i="29"/>
  <c r="DM89" i="29"/>
  <c r="DM63" i="29"/>
  <c r="DM64" i="29" s="1"/>
  <c r="DM51" i="29"/>
  <c r="DL52" i="29"/>
  <c r="DS149" i="29"/>
  <c r="DR150" i="29"/>
  <c r="DO91" i="29"/>
  <c r="DN92" i="29"/>
  <c r="DM66" i="29"/>
  <c r="DN65" i="29"/>
  <c r="DN39" i="29"/>
  <c r="DM40" i="29"/>
  <c r="DN70" i="29"/>
  <c r="DO69" i="29"/>
  <c r="DM114" i="29"/>
  <c r="DN113" i="29"/>
  <c r="DL38" i="29"/>
  <c r="DL34" i="29" s="1"/>
  <c r="DM37" i="29"/>
  <c r="DL106" i="29"/>
  <c r="DM105" i="29"/>
  <c r="DJ5" i="29"/>
  <c r="DI4" i="29"/>
  <c r="DI3" i="29" s="1"/>
  <c r="DN117" i="29"/>
  <c r="DM118" i="29"/>
  <c r="DL104" i="29"/>
  <c r="DM103" i="29"/>
  <c r="DL116" i="29"/>
  <c r="DM115" i="29"/>
  <c r="DM93" i="29"/>
  <c r="DL94" i="29"/>
  <c r="DM83" i="29"/>
  <c r="DL84" i="29"/>
  <c r="DO36" i="29"/>
  <c r="DP35" i="29"/>
  <c r="DP147" i="29"/>
  <c r="DO148" i="29"/>
  <c r="DN128" i="29"/>
  <c r="DO126" i="29" s="1"/>
  <c r="DO127" i="29"/>
  <c r="DR141" i="29"/>
  <c r="DQ142" i="29"/>
  <c r="DP145" i="29"/>
  <c r="DO146" i="29"/>
  <c r="DP138" i="29"/>
  <c r="DQ137" i="29"/>
  <c r="DO136" i="29"/>
  <c r="DP135" i="29"/>
  <c r="DP140" i="29"/>
  <c r="DQ139" i="29"/>
  <c r="DP129" i="29"/>
  <c r="DO130" i="29"/>
  <c r="DO133" i="29"/>
  <c r="DN134" i="29"/>
  <c r="DQ143" i="29"/>
  <c r="DP144" i="29"/>
  <c r="DP131" i="29"/>
  <c r="DO132" i="29"/>
  <c r="DS54" i="29" l="1"/>
  <c r="DT53" i="29"/>
  <c r="DR58" i="29"/>
  <c r="DS57" i="29"/>
  <c r="DR124" i="29"/>
  <c r="DS123" i="29"/>
  <c r="DR72" i="29"/>
  <c r="DS71" i="29"/>
  <c r="DS43" i="29"/>
  <c r="DR44" i="29"/>
  <c r="DN96" i="29"/>
  <c r="DN7" i="29" s="1"/>
  <c r="DO95" i="29"/>
  <c r="DL48" i="29"/>
  <c r="DL9" i="29" s="1"/>
  <c r="DN8" i="29"/>
  <c r="DM122" i="29"/>
  <c r="DN121" i="29"/>
  <c r="DM50" i="29"/>
  <c r="DN49" i="29"/>
  <c r="DN41" i="29"/>
  <c r="DM42" i="29"/>
  <c r="DM100" i="29"/>
  <c r="DT149" i="29"/>
  <c r="DS150" i="29"/>
  <c r="DN93" i="29"/>
  <c r="DM94" i="29"/>
  <c r="DO117" i="29"/>
  <c r="DN118" i="29"/>
  <c r="DO113" i="29"/>
  <c r="DN114" i="29"/>
  <c r="DM88" i="29"/>
  <c r="DN87" i="29"/>
  <c r="DO81" i="29"/>
  <c r="DN82" i="29"/>
  <c r="DO85" i="29"/>
  <c r="DN86" i="29"/>
  <c r="DN115" i="29"/>
  <c r="DM116" i="29"/>
  <c r="DP91" i="29"/>
  <c r="DO92" i="29"/>
  <c r="DN112" i="29"/>
  <c r="DO111" i="29"/>
  <c r="DK5" i="29"/>
  <c r="DJ4" i="29"/>
  <c r="DO70" i="29"/>
  <c r="DP69" i="29"/>
  <c r="DM52" i="29"/>
  <c r="DN51" i="29"/>
  <c r="DN102" i="29"/>
  <c r="DO101" i="29"/>
  <c r="DO55" i="29"/>
  <c r="DN56" i="29"/>
  <c r="DP36" i="29"/>
  <c r="DQ35" i="29"/>
  <c r="DM106" i="29"/>
  <c r="DN105" i="29"/>
  <c r="DN119" i="29"/>
  <c r="DM120" i="29"/>
  <c r="DM68" i="29"/>
  <c r="DN67" i="29"/>
  <c r="DN63" i="29"/>
  <c r="DN64" i="29" s="1"/>
  <c r="DN109" i="29"/>
  <c r="DM110" i="29"/>
  <c r="DN103" i="29"/>
  <c r="DM104" i="29"/>
  <c r="DM38" i="29"/>
  <c r="DM34" i="29" s="1"/>
  <c r="DN37" i="29"/>
  <c r="DN40" i="29"/>
  <c r="DO39" i="29"/>
  <c r="DN89" i="29"/>
  <c r="DM90" i="29"/>
  <c r="DN83" i="29"/>
  <c r="DM84" i="29"/>
  <c r="DO65" i="29"/>
  <c r="DN66" i="29"/>
  <c r="DM78" i="29"/>
  <c r="DN77" i="29"/>
  <c r="DM80" i="29"/>
  <c r="DN79" i="29"/>
  <c r="DO107" i="29"/>
  <c r="DN108" i="29"/>
  <c r="DQ129" i="29"/>
  <c r="DP130" i="29"/>
  <c r="DQ145" i="29"/>
  <c r="DP146" i="29"/>
  <c r="DQ140" i="29"/>
  <c r="DR139" i="29"/>
  <c r="DP132" i="29"/>
  <c r="DQ131" i="29"/>
  <c r="DR142" i="29"/>
  <c r="DS141" i="29"/>
  <c r="DP136" i="29"/>
  <c r="DQ135" i="29"/>
  <c r="DP127" i="29"/>
  <c r="DO128" i="29"/>
  <c r="DP126" i="29" s="1"/>
  <c r="DR143" i="29"/>
  <c r="DQ144" i="29"/>
  <c r="DR137" i="29"/>
  <c r="DQ138" i="29"/>
  <c r="DP133" i="29"/>
  <c r="DO134" i="29"/>
  <c r="DP148" i="29"/>
  <c r="DQ147" i="29"/>
  <c r="DT54" i="29" l="1"/>
  <c r="DU53" i="29"/>
  <c r="DT71" i="29"/>
  <c r="DS72" i="29"/>
  <c r="DT43" i="29"/>
  <c r="DS44" i="29"/>
  <c r="DS124" i="29"/>
  <c r="DT123" i="29"/>
  <c r="DS58" i="29"/>
  <c r="DT57" i="29"/>
  <c r="DO96" i="29"/>
  <c r="DO7" i="29" s="1"/>
  <c r="K12" i="30" s="1"/>
  <c r="DP95" i="29"/>
  <c r="DM48" i="29"/>
  <c r="DM9" i="29" s="1"/>
  <c r="DN122" i="29"/>
  <c r="DO121" i="29"/>
  <c r="DO8" i="29"/>
  <c r="K13" i="30" s="1"/>
  <c r="DO49" i="29"/>
  <c r="DN50" i="29"/>
  <c r="DN42" i="29"/>
  <c r="DO41" i="29"/>
  <c r="DN100" i="29"/>
  <c r="DP39" i="29"/>
  <c r="DO40" i="29"/>
  <c r="DO115" i="29"/>
  <c r="DN116" i="29"/>
  <c r="DO114" i="29"/>
  <c r="DO22" i="29" s="1"/>
  <c r="DP113" i="29"/>
  <c r="DN110" i="29"/>
  <c r="DO109" i="29"/>
  <c r="DN120" i="29"/>
  <c r="DO119" i="29"/>
  <c r="DO56" i="29"/>
  <c r="DP55" i="29"/>
  <c r="DL5" i="29"/>
  <c r="DK4" i="29"/>
  <c r="DO77" i="29"/>
  <c r="DN78" i="29"/>
  <c r="DO66" i="29"/>
  <c r="DO12" i="29" s="1"/>
  <c r="K23" i="30" s="1"/>
  <c r="DP65" i="29"/>
  <c r="DN38" i="29"/>
  <c r="DN34" i="29" s="1"/>
  <c r="DO37" i="29"/>
  <c r="DP101" i="29"/>
  <c r="DO102" i="29"/>
  <c r="DO112" i="29"/>
  <c r="DP111" i="29"/>
  <c r="DO86" i="29"/>
  <c r="DP85" i="29"/>
  <c r="DP117" i="29"/>
  <c r="DO118" i="29"/>
  <c r="DO63" i="29"/>
  <c r="DO64" i="29" s="1"/>
  <c r="DP107" i="29"/>
  <c r="DO108" i="29"/>
  <c r="DN84" i="29"/>
  <c r="DO83" i="29"/>
  <c r="DO105" i="29"/>
  <c r="DN106" i="29"/>
  <c r="DN52" i="29"/>
  <c r="DO51" i="29"/>
  <c r="DP81" i="29"/>
  <c r="DO82" i="29"/>
  <c r="DN94" i="29"/>
  <c r="DO93" i="29"/>
  <c r="DN80" i="29"/>
  <c r="DO79" i="29"/>
  <c r="DO103" i="29"/>
  <c r="DN104" i="29"/>
  <c r="DN88" i="29"/>
  <c r="DO87" i="29"/>
  <c r="DO89" i="29"/>
  <c r="DN90" i="29"/>
  <c r="DO67" i="29"/>
  <c r="DN68" i="29"/>
  <c r="DQ36" i="29"/>
  <c r="DR35" i="29"/>
  <c r="DP70" i="29"/>
  <c r="DQ69" i="29"/>
  <c r="DP92" i="29"/>
  <c r="DQ91" i="29"/>
  <c r="DU149" i="29"/>
  <c r="DT150" i="29"/>
  <c r="DQ127" i="29"/>
  <c r="DP128" i="29"/>
  <c r="DQ126" i="29" s="1"/>
  <c r="DQ136" i="29"/>
  <c r="DR135" i="29"/>
  <c r="DS139" i="29"/>
  <c r="DR140" i="29"/>
  <c r="DQ133" i="29"/>
  <c r="DP134" i="29"/>
  <c r="DT141" i="29"/>
  <c r="DS142" i="29"/>
  <c r="DQ148" i="29"/>
  <c r="DR147" i="29"/>
  <c r="DS137" i="29"/>
  <c r="DR138" i="29"/>
  <c r="DR145" i="29"/>
  <c r="DQ146" i="29"/>
  <c r="DQ132" i="29"/>
  <c r="DR131" i="29"/>
  <c r="DS143" i="29"/>
  <c r="DR144" i="29"/>
  <c r="DR129" i="29"/>
  <c r="DQ130" i="29"/>
  <c r="DU54" i="29" l="1"/>
  <c r="DV53" i="29"/>
  <c r="DT124" i="29"/>
  <c r="DU123" i="29"/>
  <c r="DT44" i="29"/>
  <c r="DU43" i="29"/>
  <c r="DT58" i="29"/>
  <c r="DU57" i="29"/>
  <c r="DU71" i="29"/>
  <c r="DT72" i="29"/>
  <c r="K11" i="30"/>
  <c r="DP96" i="29"/>
  <c r="DP7" i="29" s="1"/>
  <c r="DQ95" i="29"/>
  <c r="DN48" i="29"/>
  <c r="DN9" i="29" s="1"/>
  <c r="DP8" i="29"/>
  <c r="DP121" i="29"/>
  <c r="DO122" i="29"/>
  <c r="DP49" i="29"/>
  <c r="DO50" i="29"/>
  <c r="DP41" i="29"/>
  <c r="DO42" i="29"/>
  <c r="DO100" i="29"/>
  <c r="DO14" i="29" s="1"/>
  <c r="K16" i="30" s="1"/>
  <c r="DO94" i="29"/>
  <c r="DP93" i="29"/>
  <c r="DP63" i="29"/>
  <c r="DP64" i="29" s="1"/>
  <c r="DO11" i="29"/>
  <c r="K22" i="30" s="1"/>
  <c r="DR36" i="29"/>
  <c r="DS35" i="29"/>
  <c r="DP83" i="29"/>
  <c r="DO84" i="29"/>
  <c r="DP102" i="29"/>
  <c r="DQ101" i="29"/>
  <c r="DM5" i="29"/>
  <c r="DL4" i="29"/>
  <c r="DL3" i="29" s="1"/>
  <c r="DO38" i="29"/>
  <c r="DO34" i="29" s="1"/>
  <c r="DP37" i="29"/>
  <c r="DP56" i="29"/>
  <c r="DQ55" i="29"/>
  <c r="DQ113" i="29"/>
  <c r="DP114" i="29"/>
  <c r="DP82" i="29"/>
  <c r="DQ81" i="29"/>
  <c r="DP118" i="29"/>
  <c r="DQ117" i="29"/>
  <c r="DV149" i="29"/>
  <c r="DU150" i="29"/>
  <c r="DP67" i="29"/>
  <c r="DO68" i="29"/>
  <c r="DP51" i="29"/>
  <c r="DO52" i="29"/>
  <c r="DP108" i="29"/>
  <c r="DQ107" i="29"/>
  <c r="DP86" i="29"/>
  <c r="DQ85" i="29"/>
  <c r="DP66" i="29"/>
  <c r="DQ65" i="29"/>
  <c r="DO120" i="29"/>
  <c r="DP119" i="29"/>
  <c r="DR91" i="29"/>
  <c r="DQ92" i="29"/>
  <c r="DO104" i="29"/>
  <c r="DP103" i="29"/>
  <c r="DO116" i="29"/>
  <c r="DP115" i="29"/>
  <c r="DP89" i="29"/>
  <c r="DO90" i="29"/>
  <c r="DP79" i="29"/>
  <c r="DO80" i="29"/>
  <c r="DP112" i="29"/>
  <c r="DQ111" i="29"/>
  <c r="DP109" i="29"/>
  <c r="DO110" i="29"/>
  <c r="DQ70" i="29"/>
  <c r="DR69" i="29"/>
  <c r="DO88" i="29"/>
  <c r="DP87" i="29"/>
  <c r="DO106" i="29"/>
  <c r="DP105" i="29"/>
  <c r="DO78" i="29"/>
  <c r="DP77" i="29"/>
  <c r="DP40" i="29"/>
  <c r="DQ39" i="29"/>
  <c r="DS129" i="29"/>
  <c r="DR130" i="29"/>
  <c r="DS138" i="29"/>
  <c r="DT137" i="29"/>
  <c r="DS140" i="29"/>
  <c r="DT139" i="29"/>
  <c r="DS147" i="29"/>
  <c r="DR148" i="29"/>
  <c r="DR136" i="29"/>
  <c r="DS135" i="29"/>
  <c r="DS144" i="29"/>
  <c r="DT143" i="29"/>
  <c r="DR132" i="29"/>
  <c r="DS131" i="29"/>
  <c r="DU141" i="29"/>
  <c r="DT142" i="29"/>
  <c r="DS145" i="29"/>
  <c r="DR146" i="29"/>
  <c r="DR133" i="29"/>
  <c r="DQ134" i="29"/>
  <c r="DR127" i="29"/>
  <c r="DQ128" i="29"/>
  <c r="DR126" i="29" s="1"/>
  <c r="DV54" i="29" l="1"/>
  <c r="DW53" i="29"/>
  <c r="DU58" i="29"/>
  <c r="DV57" i="29"/>
  <c r="DV71" i="29"/>
  <c r="DU72" i="29"/>
  <c r="DV43" i="29"/>
  <c r="DU44" i="29"/>
  <c r="DU124" i="29"/>
  <c r="DV123" i="29"/>
  <c r="DQ96" i="29"/>
  <c r="DQ7" i="29" s="1"/>
  <c r="DR95" i="29"/>
  <c r="DO48" i="29"/>
  <c r="DO9" i="29" s="1"/>
  <c r="K15" i="30" s="1"/>
  <c r="K14" i="30" s="1"/>
  <c r="DO15" i="29"/>
  <c r="K24" i="30" s="1"/>
  <c r="DP122" i="29"/>
  <c r="DQ121" i="29"/>
  <c r="DQ8" i="29"/>
  <c r="DQ49" i="29"/>
  <c r="DP50" i="29"/>
  <c r="DP42" i="29"/>
  <c r="DQ41" i="29"/>
  <c r="DP100" i="29"/>
  <c r="DS91" i="29"/>
  <c r="DR92" i="29"/>
  <c r="DQ87" i="29"/>
  <c r="DP88" i="29"/>
  <c r="DQ66" i="29"/>
  <c r="DR65" i="29"/>
  <c r="DP84" i="29"/>
  <c r="DQ83" i="29"/>
  <c r="DQ109" i="29"/>
  <c r="DP110" i="29"/>
  <c r="DP68" i="29"/>
  <c r="DQ67" i="29"/>
  <c r="DS36" i="29"/>
  <c r="DT35" i="29"/>
  <c r="DP90" i="29"/>
  <c r="DQ89" i="29"/>
  <c r="DQ40" i="29"/>
  <c r="DR39" i="29"/>
  <c r="DR70" i="29"/>
  <c r="DS69" i="29"/>
  <c r="DQ103" i="29"/>
  <c r="DP104" i="29"/>
  <c r="DQ86" i="29"/>
  <c r="DR85" i="29"/>
  <c r="DQ114" i="29"/>
  <c r="DR113" i="29"/>
  <c r="DQ79" i="29"/>
  <c r="DP80" i="29"/>
  <c r="DW149" i="29"/>
  <c r="DV150" i="29"/>
  <c r="DR55" i="29"/>
  <c r="DQ56" i="29"/>
  <c r="DQ77" i="29"/>
  <c r="DP78" i="29"/>
  <c r="DR107" i="29"/>
  <c r="DQ108" i="29"/>
  <c r="DR117" i="29"/>
  <c r="DQ118" i="29"/>
  <c r="DN5" i="29"/>
  <c r="DM4" i="29"/>
  <c r="DR101" i="29"/>
  <c r="DQ102" i="29"/>
  <c r="DQ63" i="29"/>
  <c r="DQ64" i="29" s="1"/>
  <c r="DQ105" i="29"/>
  <c r="DP106" i="29"/>
  <c r="DQ112" i="29"/>
  <c r="DR111" i="29"/>
  <c r="DQ115" i="29"/>
  <c r="DP116" i="29"/>
  <c r="DQ119" i="29"/>
  <c r="DP120" i="29"/>
  <c r="DQ82" i="29"/>
  <c r="DR81" i="29"/>
  <c r="DQ93" i="29"/>
  <c r="DP94" i="29"/>
  <c r="DP38" i="29"/>
  <c r="DP34" i="29" s="1"/>
  <c r="DQ37" i="29"/>
  <c r="DQ51" i="29"/>
  <c r="DP52" i="29"/>
  <c r="DS127" i="29"/>
  <c r="DR128" i="29"/>
  <c r="DS126" i="29" s="1"/>
  <c r="DV141" i="29"/>
  <c r="DU142" i="29"/>
  <c r="DT147" i="29"/>
  <c r="DS148" i="29"/>
  <c r="DS132" i="29"/>
  <c r="DT131" i="29"/>
  <c r="DU139" i="29"/>
  <c r="DT140" i="29"/>
  <c r="DR134" i="29"/>
  <c r="DS133" i="29"/>
  <c r="DU143" i="29"/>
  <c r="DT144" i="29"/>
  <c r="DU137" i="29"/>
  <c r="DT138" i="29"/>
  <c r="DS146" i="29"/>
  <c r="DT145" i="29"/>
  <c r="DS136" i="29"/>
  <c r="DT135" i="29"/>
  <c r="DS130" i="29"/>
  <c r="DT129" i="29"/>
  <c r="DW54" i="29" l="1"/>
  <c r="DX53" i="29"/>
  <c r="DV124" i="29"/>
  <c r="DW123" i="29"/>
  <c r="DV44" i="29"/>
  <c r="DW43" i="29"/>
  <c r="DV72" i="29"/>
  <c r="DW71" i="29"/>
  <c r="DV58" i="29"/>
  <c r="DW57" i="29"/>
  <c r="DR96" i="29"/>
  <c r="DR7" i="29" s="1"/>
  <c r="DS95" i="29"/>
  <c r="DP48" i="29"/>
  <c r="DP9" i="29" s="1"/>
  <c r="DR8" i="29"/>
  <c r="DQ122" i="29"/>
  <c r="DR121" i="29"/>
  <c r="DQ50" i="29"/>
  <c r="DR49" i="29"/>
  <c r="DQ42" i="29"/>
  <c r="DR41" i="29"/>
  <c r="DO26" i="29"/>
  <c r="K19" i="30" s="1"/>
  <c r="DO10" i="29"/>
  <c r="K21" i="30" s="1"/>
  <c r="DQ100" i="29"/>
  <c r="DS81" i="29"/>
  <c r="DR82" i="29"/>
  <c r="DQ116" i="29"/>
  <c r="DR115" i="29"/>
  <c r="DR102" i="29"/>
  <c r="DS101" i="29"/>
  <c r="DQ78" i="29"/>
  <c r="DR77" i="29"/>
  <c r="DR112" i="29"/>
  <c r="DS111" i="29"/>
  <c r="DS113" i="29"/>
  <c r="DR114" i="29"/>
  <c r="DR40" i="29"/>
  <c r="DS39" i="29"/>
  <c r="DR51" i="29"/>
  <c r="DQ52" i="29"/>
  <c r="DO5" i="29"/>
  <c r="DN4" i="29"/>
  <c r="DS55" i="29"/>
  <c r="DR56" i="29"/>
  <c r="DR109" i="29"/>
  <c r="DQ110" i="29"/>
  <c r="DQ68" i="29"/>
  <c r="DR67" i="29"/>
  <c r="DQ38" i="29"/>
  <c r="DQ34" i="29" s="1"/>
  <c r="DR37" i="29"/>
  <c r="DR86" i="29"/>
  <c r="DS85" i="29"/>
  <c r="DR89" i="29"/>
  <c r="DQ90" i="29"/>
  <c r="DQ84" i="29"/>
  <c r="DR83" i="29"/>
  <c r="DS65" i="29"/>
  <c r="DR66" i="29"/>
  <c r="DQ106" i="29"/>
  <c r="DR105" i="29"/>
  <c r="DS117" i="29"/>
  <c r="DR118" i="29"/>
  <c r="DW150" i="29"/>
  <c r="DX149" i="29"/>
  <c r="DQ88" i="29"/>
  <c r="DR87" i="29"/>
  <c r="DS70" i="29"/>
  <c r="DT69" i="29"/>
  <c r="DT36" i="29"/>
  <c r="DU35" i="29"/>
  <c r="DR93" i="29"/>
  <c r="DQ94" i="29"/>
  <c r="DQ120" i="29"/>
  <c r="DR119" i="29"/>
  <c r="DR63" i="29"/>
  <c r="DR64" i="29" s="1"/>
  <c r="DR108" i="29"/>
  <c r="DS107" i="29"/>
  <c r="DQ80" i="29"/>
  <c r="DR79" i="29"/>
  <c r="DQ104" i="29"/>
  <c r="DR103" i="29"/>
  <c r="DT91" i="29"/>
  <c r="DS92" i="29"/>
  <c r="DU138" i="29"/>
  <c r="DV137" i="29"/>
  <c r="DU144" i="29"/>
  <c r="DV143" i="29"/>
  <c r="DU147" i="29"/>
  <c r="DT148" i="29"/>
  <c r="DT136" i="29"/>
  <c r="DU135" i="29"/>
  <c r="DT133" i="29"/>
  <c r="DS134" i="29"/>
  <c r="DT132" i="29"/>
  <c r="DU131" i="29"/>
  <c r="DV142" i="29"/>
  <c r="DW141" i="29"/>
  <c r="DU129" i="29"/>
  <c r="DT130" i="29"/>
  <c r="DT146" i="29"/>
  <c r="DU145" i="29"/>
  <c r="DU140" i="29"/>
  <c r="DV139" i="29"/>
  <c r="DT127" i="29"/>
  <c r="DS128" i="29"/>
  <c r="DT126" i="29" s="1"/>
  <c r="DX54" i="29" l="1"/>
  <c r="DY53" i="29"/>
  <c r="DW72" i="29"/>
  <c r="DX71" i="29"/>
  <c r="DW44" i="29"/>
  <c r="DX43" i="29"/>
  <c r="DW58" i="29"/>
  <c r="DX57" i="29"/>
  <c r="DW124" i="29"/>
  <c r="DX123" i="29"/>
  <c r="DS96" i="29"/>
  <c r="DS7" i="29" s="1"/>
  <c r="DT95" i="29"/>
  <c r="DQ48" i="29"/>
  <c r="DQ9" i="29" s="1"/>
  <c r="DR100" i="29"/>
  <c r="DR122" i="29"/>
  <c r="DS121" i="29"/>
  <c r="DS8" i="29"/>
  <c r="DR50" i="29"/>
  <c r="DS49" i="29"/>
  <c r="DO13" i="29"/>
  <c r="K20" i="30" s="1"/>
  <c r="DR42" i="29"/>
  <c r="DS41" i="29"/>
  <c r="DT55" i="29"/>
  <c r="DS56" i="29"/>
  <c r="DU91" i="29"/>
  <c r="DT92" i="29"/>
  <c r="DV35" i="29"/>
  <c r="DU36" i="29"/>
  <c r="DR68" i="29"/>
  <c r="DS67" i="29"/>
  <c r="DT39" i="29"/>
  <c r="DS40" i="29"/>
  <c r="DT101" i="29"/>
  <c r="DS102" i="29"/>
  <c r="DS63" i="29"/>
  <c r="DS64" i="29" s="1"/>
  <c r="DT117" i="29"/>
  <c r="DS118" i="29"/>
  <c r="DR90" i="29"/>
  <c r="DS89" i="29"/>
  <c r="K10" i="30"/>
  <c r="DP5" i="29"/>
  <c r="DO4" i="29"/>
  <c r="DO3" i="29" s="1"/>
  <c r="DS103" i="29"/>
  <c r="DR104" i="29"/>
  <c r="DS119" i="29"/>
  <c r="DR120" i="29"/>
  <c r="DU69" i="29"/>
  <c r="DT70" i="29"/>
  <c r="DS105" i="29"/>
  <c r="DR106" i="29"/>
  <c r="DS86" i="29"/>
  <c r="DT85" i="29"/>
  <c r="DS115" i="29"/>
  <c r="DR116" i="29"/>
  <c r="DS114" i="29"/>
  <c r="DT113" i="29"/>
  <c r="DR80" i="29"/>
  <c r="DS79" i="29"/>
  <c r="DS87" i="29"/>
  <c r="DR88" i="29"/>
  <c r="DT111" i="29"/>
  <c r="DS112" i="29"/>
  <c r="DR94" i="29"/>
  <c r="DS93" i="29"/>
  <c r="DS66" i="29"/>
  <c r="DT65" i="29"/>
  <c r="DS109" i="29"/>
  <c r="DR110" i="29"/>
  <c r="DR52" i="29"/>
  <c r="DS51" i="29"/>
  <c r="DT81" i="29"/>
  <c r="DS82" i="29"/>
  <c r="DS108" i="29"/>
  <c r="DT107" i="29"/>
  <c r="DY149" i="29"/>
  <c r="DX150" i="29"/>
  <c r="DR84" i="29"/>
  <c r="DS83" i="29"/>
  <c r="DR38" i="29"/>
  <c r="DR34" i="29" s="1"/>
  <c r="DS37" i="29"/>
  <c r="DR78" i="29"/>
  <c r="DS77" i="29"/>
  <c r="DU127" i="29"/>
  <c r="DT128" i="29"/>
  <c r="DU126" i="29" s="1"/>
  <c r="DV147" i="29"/>
  <c r="DU148" i="29"/>
  <c r="DV140" i="29"/>
  <c r="DW139" i="29"/>
  <c r="DU132" i="29"/>
  <c r="DV131" i="29"/>
  <c r="DW143" i="29"/>
  <c r="DV144" i="29"/>
  <c r="DX141" i="29"/>
  <c r="DW142" i="29"/>
  <c r="DV145" i="29"/>
  <c r="DU146" i="29"/>
  <c r="DU133" i="29"/>
  <c r="DT134" i="29"/>
  <c r="DV135" i="29"/>
  <c r="DU136" i="29"/>
  <c r="DW137" i="29"/>
  <c r="DV138" i="29"/>
  <c r="DV129" i="29"/>
  <c r="DU130" i="29"/>
  <c r="DY54" i="29" l="1"/>
  <c r="DZ53" i="29"/>
  <c r="DX58" i="29"/>
  <c r="DY57" i="29"/>
  <c r="DX44" i="29"/>
  <c r="DY43" i="29"/>
  <c r="DX124" i="29"/>
  <c r="DY123" i="29"/>
  <c r="DY71" i="29"/>
  <c r="DX72" i="29"/>
  <c r="DT96" i="29"/>
  <c r="DT7" i="29" s="1"/>
  <c r="DU95" i="29"/>
  <c r="DR48" i="29"/>
  <c r="DR9" i="29" s="1"/>
  <c r="DO27" i="29"/>
  <c r="K18" i="30" s="1"/>
  <c r="DT8" i="29"/>
  <c r="DS122" i="29"/>
  <c r="DT121" i="29"/>
  <c r="DS50" i="29"/>
  <c r="DT49" i="29"/>
  <c r="DT41" i="29"/>
  <c r="DS42" i="29"/>
  <c r="DS100" i="29"/>
  <c r="DS78" i="29"/>
  <c r="DT77" i="29"/>
  <c r="DS52" i="29"/>
  <c r="DT51" i="29"/>
  <c r="DS104" i="29"/>
  <c r="DT103" i="29"/>
  <c r="DU117" i="29"/>
  <c r="DT118" i="29"/>
  <c r="DY150" i="29"/>
  <c r="DZ149" i="29"/>
  <c r="DU111" i="29"/>
  <c r="DT112" i="29"/>
  <c r="DT114" i="29"/>
  <c r="DU113" i="29"/>
  <c r="DT63" i="29"/>
  <c r="DT64" i="29" s="1"/>
  <c r="DS94" i="29"/>
  <c r="DT93" i="29"/>
  <c r="DS106" i="29"/>
  <c r="DT105" i="29"/>
  <c r="DV36" i="29"/>
  <c r="DW35" i="29"/>
  <c r="DS110" i="29"/>
  <c r="DT109" i="29"/>
  <c r="DP4" i="29"/>
  <c r="DQ5" i="29"/>
  <c r="DS38" i="29"/>
  <c r="DS34" i="29" s="1"/>
  <c r="DT37" i="29"/>
  <c r="DU107" i="29"/>
  <c r="DT108" i="29"/>
  <c r="DT66" i="29"/>
  <c r="DU65" i="29"/>
  <c r="DS116" i="29"/>
  <c r="DT115" i="29"/>
  <c r="DU70" i="29"/>
  <c r="DV69" i="29"/>
  <c r="K37" i="30"/>
  <c r="K44" i="30"/>
  <c r="K30" i="30"/>
  <c r="DT102" i="29"/>
  <c r="DU101" i="29"/>
  <c r="DU92" i="29"/>
  <c r="DV91" i="29"/>
  <c r="DT89" i="29"/>
  <c r="DS90" i="29"/>
  <c r="DS84" i="29"/>
  <c r="DT83" i="29"/>
  <c r="DS88" i="29"/>
  <c r="DT87" i="29"/>
  <c r="DT119" i="29"/>
  <c r="DS120" i="29"/>
  <c r="DT40" i="29"/>
  <c r="DU39" i="29"/>
  <c r="DT56" i="29"/>
  <c r="DU55" i="29"/>
  <c r="DT82" i="29"/>
  <c r="DU81" i="29"/>
  <c r="DT79" i="29"/>
  <c r="DS80" i="29"/>
  <c r="DT86" i="29"/>
  <c r="DU85" i="29"/>
  <c r="DS68" i="29"/>
  <c r="DT67" i="29"/>
  <c r="DW129" i="29"/>
  <c r="DV130" i="29"/>
  <c r="DV133" i="29"/>
  <c r="DU134" i="29"/>
  <c r="DW140" i="29"/>
  <c r="DX139" i="29"/>
  <c r="DX137" i="29"/>
  <c r="DW138" i="29"/>
  <c r="DW145" i="29"/>
  <c r="DV146" i="29"/>
  <c r="DV132" i="29"/>
  <c r="DW131" i="29"/>
  <c r="DV136" i="29"/>
  <c r="DW135" i="29"/>
  <c r="DX142" i="29"/>
  <c r="DY141" i="29"/>
  <c r="DW147" i="29"/>
  <c r="DV148" i="29"/>
  <c r="DW144" i="29"/>
  <c r="DX143" i="29"/>
  <c r="DV127" i="29"/>
  <c r="DU128" i="29"/>
  <c r="DV126" i="29" s="1"/>
  <c r="DZ54" i="29" l="1"/>
  <c r="EA53" i="29"/>
  <c r="DY124" i="29"/>
  <c r="DZ123" i="29"/>
  <c r="DY72" i="29"/>
  <c r="DZ71" i="29"/>
  <c r="DY44" i="29"/>
  <c r="DZ43" i="29"/>
  <c r="DY58" i="29"/>
  <c r="DZ57" i="29"/>
  <c r="DU96" i="29"/>
  <c r="DU7" i="29" s="1"/>
  <c r="DV95" i="29"/>
  <c r="DS48" i="29"/>
  <c r="DS9" i="29" s="1"/>
  <c r="DO28" i="29"/>
  <c r="K17" i="30" s="1"/>
  <c r="K31" i="30" s="1"/>
  <c r="K34" i="30" s="1"/>
  <c r="DT122" i="29"/>
  <c r="DU121" i="29"/>
  <c r="DU8" i="29"/>
  <c r="DT50" i="29"/>
  <c r="DU49" i="29"/>
  <c r="DU41" i="29"/>
  <c r="DT42" i="29"/>
  <c r="DT100" i="29"/>
  <c r="DV85" i="29"/>
  <c r="DU86" i="29"/>
  <c r="DU40" i="29"/>
  <c r="DV39" i="29"/>
  <c r="DU118" i="29"/>
  <c r="DV117" i="29"/>
  <c r="DV113" i="29"/>
  <c r="DU114" i="29"/>
  <c r="DT104" i="29"/>
  <c r="DU103" i="29"/>
  <c r="DU66" i="29"/>
  <c r="DV65" i="29"/>
  <c r="DV107" i="29"/>
  <c r="DU108" i="29"/>
  <c r="DU109" i="29"/>
  <c r="DT110" i="29"/>
  <c r="DU63" i="29"/>
  <c r="DU64" i="29" s="1"/>
  <c r="DT80" i="29"/>
  <c r="DU79" i="29"/>
  <c r="DT120" i="29"/>
  <c r="DU119" i="29"/>
  <c r="DU89" i="29"/>
  <c r="DT90" i="29"/>
  <c r="DV70" i="29"/>
  <c r="DW69" i="29"/>
  <c r="DU37" i="29"/>
  <c r="DT38" i="29"/>
  <c r="DT34" i="29" s="1"/>
  <c r="DT52" i="29"/>
  <c r="DU51" i="29"/>
  <c r="DU105" i="29"/>
  <c r="DT106" i="29"/>
  <c r="DV81" i="29"/>
  <c r="DU82" i="29"/>
  <c r="DU87" i="29"/>
  <c r="DT88" i="29"/>
  <c r="DW91" i="29"/>
  <c r="DV92" i="29"/>
  <c r="DV111" i="29"/>
  <c r="DU112" i="29"/>
  <c r="DT116" i="29"/>
  <c r="DU115" i="29"/>
  <c r="DW36" i="29"/>
  <c r="DX35" i="29"/>
  <c r="DU93" i="29"/>
  <c r="DT94" i="29"/>
  <c r="EA149" i="29"/>
  <c r="DZ150" i="29"/>
  <c r="DT78" i="29"/>
  <c r="DU77" i="29"/>
  <c r="K38" i="30"/>
  <c r="K45" i="30"/>
  <c r="DU67" i="29"/>
  <c r="DT68" i="29"/>
  <c r="DU56" i="29"/>
  <c r="DV55" i="29"/>
  <c r="DT84" i="29"/>
  <c r="DU83" i="29"/>
  <c r="DU102" i="29"/>
  <c r="DV101" i="29"/>
  <c r="DR5" i="29"/>
  <c r="DQ4" i="29"/>
  <c r="DX138" i="29"/>
  <c r="DY137" i="29"/>
  <c r="DW136" i="29"/>
  <c r="DX135" i="29"/>
  <c r="DX140" i="29"/>
  <c r="DY139" i="29"/>
  <c r="DZ141" i="29"/>
  <c r="DY142" i="29"/>
  <c r="DY143" i="29"/>
  <c r="DX144" i="29"/>
  <c r="DW132" i="29"/>
  <c r="DX131" i="29"/>
  <c r="DW133" i="29"/>
  <c r="DV134" i="29"/>
  <c r="DV128" i="29"/>
  <c r="DW126" i="29" s="1"/>
  <c r="DW127" i="29"/>
  <c r="DX147" i="29"/>
  <c r="DW148" i="29"/>
  <c r="DX145" i="29"/>
  <c r="DW146" i="29"/>
  <c r="DX129" i="29"/>
  <c r="DW130" i="29"/>
  <c r="EA54" i="29" l="1"/>
  <c r="EB53" i="29"/>
  <c r="EA43" i="29"/>
  <c r="DZ44" i="29"/>
  <c r="EA71" i="29"/>
  <c r="DZ72" i="29"/>
  <c r="DZ58" i="29"/>
  <c r="EA57" i="29"/>
  <c r="DZ124" i="29"/>
  <c r="EA123" i="29"/>
  <c r="DV96" i="29"/>
  <c r="DV7" i="29" s="1"/>
  <c r="DW95" i="29"/>
  <c r="DT48" i="29"/>
  <c r="DT9" i="29" s="1"/>
  <c r="K32" i="30"/>
  <c r="K33" i="30" s="1"/>
  <c r="K35" i="30"/>
  <c r="DV8" i="29"/>
  <c r="DU122" i="29"/>
  <c r="DV121" i="29"/>
  <c r="DV49" i="29"/>
  <c r="DU50" i="29"/>
  <c r="DV41" i="29"/>
  <c r="DU42" i="29"/>
  <c r="DU100" i="29"/>
  <c r="DS5" i="29"/>
  <c r="DR4" i="29"/>
  <c r="DR3" i="29" s="1"/>
  <c r="DV67" i="29"/>
  <c r="DU68" i="29"/>
  <c r="DV93" i="29"/>
  <c r="DU94" i="29"/>
  <c r="DW70" i="29"/>
  <c r="DX69" i="29"/>
  <c r="DV63" i="29"/>
  <c r="DV64" i="29" s="1"/>
  <c r="DV102" i="29"/>
  <c r="DW101" i="29"/>
  <c r="K49" i="30"/>
  <c r="K48" i="30"/>
  <c r="K46" i="30"/>
  <c r="K47" i="30" s="1"/>
  <c r="DX36" i="29"/>
  <c r="DY35" i="29"/>
  <c r="DW111" i="29"/>
  <c r="DV112" i="29"/>
  <c r="DV105" i="29"/>
  <c r="DU106" i="29"/>
  <c r="DV103" i="29"/>
  <c r="DU104" i="29"/>
  <c r="K42" i="30"/>
  <c r="K39" i="30"/>
  <c r="K40" i="30" s="1"/>
  <c r="K41" i="30"/>
  <c r="DU52" i="29"/>
  <c r="DV51" i="29"/>
  <c r="DV83" i="29"/>
  <c r="DU84" i="29"/>
  <c r="DU78" i="29"/>
  <c r="DV77" i="29"/>
  <c r="DV115" i="29"/>
  <c r="DU116" i="29"/>
  <c r="DX91" i="29"/>
  <c r="DW92" i="29"/>
  <c r="DV89" i="29"/>
  <c r="DU90" i="29"/>
  <c r="DU120" i="29"/>
  <c r="DV119" i="29"/>
  <c r="DV109" i="29"/>
  <c r="DU110" i="29"/>
  <c r="DV114" i="29"/>
  <c r="DW113" i="29"/>
  <c r="DV40" i="29"/>
  <c r="DW39" i="29"/>
  <c r="DV56" i="29"/>
  <c r="DW55" i="29"/>
  <c r="DU88" i="29"/>
  <c r="DV87" i="29"/>
  <c r="EB149" i="29"/>
  <c r="EA150" i="29"/>
  <c r="DV79" i="29"/>
  <c r="DU80" i="29"/>
  <c r="DW107" i="29"/>
  <c r="DV108" i="29"/>
  <c r="DV82" i="29"/>
  <c r="DW81" i="29"/>
  <c r="DV37" i="29"/>
  <c r="DU38" i="29"/>
  <c r="DU34" i="29" s="1"/>
  <c r="DW65" i="29"/>
  <c r="DV66" i="29"/>
  <c r="DW117" i="29"/>
  <c r="DV118" i="29"/>
  <c r="DW85" i="29"/>
  <c r="DV86" i="29"/>
  <c r="DZ142" i="29"/>
  <c r="EA141" i="29"/>
  <c r="DY140" i="29"/>
  <c r="DZ139" i="29"/>
  <c r="DY129" i="29"/>
  <c r="DX130" i="29"/>
  <c r="DX133" i="29"/>
  <c r="DW134" i="29"/>
  <c r="DY131" i="29"/>
  <c r="DX132" i="29"/>
  <c r="DX136" i="29"/>
  <c r="DY135" i="29"/>
  <c r="DY145" i="29"/>
  <c r="DX146" i="29"/>
  <c r="DX127" i="29"/>
  <c r="DW128" i="29"/>
  <c r="DX126" i="29" s="1"/>
  <c r="DZ137" i="29"/>
  <c r="DY138" i="29"/>
  <c r="DX148" i="29"/>
  <c r="DY147" i="29"/>
  <c r="DZ143" i="29"/>
  <c r="DY144" i="29"/>
  <c r="EB54" i="29" l="1"/>
  <c r="EC53" i="29"/>
  <c r="EA58" i="29"/>
  <c r="EB57" i="29"/>
  <c r="EA124" i="29"/>
  <c r="EB123" i="29"/>
  <c r="EA72" i="29"/>
  <c r="EB71" i="29"/>
  <c r="EA44" i="29"/>
  <c r="EB43" i="29"/>
  <c r="DW96" i="29"/>
  <c r="DW7" i="29" s="1"/>
  <c r="DX95" i="29"/>
  <c r="DW121" i="29"/>
  <c r="DV122" i="29"/>
  <c r="DW8" i="29"/>
  <c r="DU48" i="29"/>
  <c r="DU9" i="29" s="1"/>
  <c r="DV50" i="29"/>
  <c r="DW49" i="29"/>
  <c r="DV42" i="29"/>
  <c r="DW41" i="29"/>
  <c r="DV100" i="29"/>
  <c r="DX117" i="29"/>
  <c r="DW118" i="29"/>
  <c r="DW40" i="29"/>
  <c r="DX39" i="29"/>
  <c r="DW108" i="29"/>
  <c r="DX107" i="29"/>
  <c r="DW89" i="29"/>
  <c r="DV90" i="29"/>
  <c r="DV84" i="29"/>
  <c r="DW83" i="29"/>
  <c r="DV104" i="29"/>
  <c r="DW103" i="29"/>
  <c r="DY69" i="29"/>
  <c r="DX70" i="29"/>
  <c r="DW66" i="29"/>
  <c r="DX65" i="29"/>
  <c r="DV88" i="29"/>
  <c r="DW87" i="29"/>
  <c r="DW114" i="29"/>
  <c r="DX113" i="29"/>
  <c r="DV52" i="29"/>
  <c r="DW51" i="29"/>
  <c r="DV94" i="29"/>
  <c r="DW93" i="29"/>
  <c r="DV80" i="29"/>
  <c r="DW79" i="29"/>
  <c r="DX92" i="29"/>
  <c r="DY91" i="29"/>
  <c r="DW105" i="29"/>
  <c r="DV106" i="29"/>
  <c r="DX101" i="29"/>
  <c r="DW102" i="29"/>
  <c r="DV38" i="29"/>
  <c r="DV34" i="29" s="1"/>
  <c r="DW37" i="29"/>
  <c r="DV68" i="29"/>
  <c r="DW67" i="29"/>
  <c r="DW82" i="29"/>
  <c r="DX81" i="29"/>
  <c r="EC149" i="29"/>
  <c r="EB150" i="29"/>
  <c r="DW109" i="29"/>
  <c r="DV110" i="29"/>
  <c r="DV116" i="29"/>
  <c r="DW115" i="29"/>
  <c r="DW112" i="29"/>
  <c r="DX111" i="29"/>
  <c r="DX85" i="29"/>
  <c r="DW86" i="29"/>
  <c r="DW56" i="29"/>
  <c r="DX55" i="29"/>
  <c r="DW119" i="29"/>
  <c r="DV120" i="29"/>
  <c r="DW77" i="29"/>
  <c r="DV78" i="29"/>
  <c r="DY36" i="29"/>
  <c r="DZ35" i="29"/>
  <c r="DW63" i="29"/>
  <c r="DW64" i="29" s="1"/>
  <c r="DT5" i="29"/>
  <c r="DS4" i="29"/>
  <c r="DY127" i="29"/>
  <c r="DX128" i="29"/>
  <c r="DY126" i="29" s="1"/>
  <c r="DY133" i="29"/>
  <c r="DX134" i="29"/>
  <c r="EA143" i="29"/>
  <c r="DZ144" i="29"/>
  <c r="DZ145" i="29"/>
  <c r="DY146" i="29"/>
  <c r="DZ129" i="29"/>
  <c r="DY130" i="29"/>
  <c r="DY148" i="29"/>
  <c r="DZ147" i="29"/>
  <c r="DY136" i="29"/>
  <c r="DZ135" i="29"/>
  <c r="EA139" i="29"/>
  <c r="DZ140" i="29"/>
  <c r="EB141" i="29"/>
  <c r="EA142" i="29"/>
  <c r="EA137" i="29"/>
  <c r="DZ138" i="29"/>
  <c r="DY132" i="29"/>
  <c r="DZ131" i="29"/>
  <c r="EC54" i="29" l="1"/>
  <c r="ED53" i="29"/>
  <c r="ED54" i="29" s="1"/>
  <c r="EC71" i="29"/>
  <c r="EB72" i="29"/>
  <c r="EB124" i="29"/>
  <c r="EC123" i="29"/>
  <c r="EB44" i="29"/>
  <c r="EC43" i="29"/>
  <c r="EB58" i="29"/>
  <c r="EC57" i="29"/>
  <c r="DX96" i="29"/>
  <c r="DX7" i="29" s="1"/>
  <c r="DY95" i="29"/>
  <c r="DV48" i="29"/>
  <c r="DV9" i="29" s="1"/>
  <c r="DX8" i="29"/>
  <c r="DX121" i="29"/>
  <c r="DW122" i="29"/>
  <c r="DX49" i="29"/>
  <c r="DW50" i="29"/>
  <c r="DW42" i="29"/>
  <c r="DX41" i="29"/>
  <c r="DW100" i="29"/>
  <c r="DZ91" i="29"/>
  <c r="DY92" i="29"/>
  <c r="DW52" i="29"/>
  <c r="DX51" i="29"/>
  <c r="DX86" i="29"/>
  <c r="DY85" i="29"/>
  <c r="ED149" i="29"/>
  <c r="ED150" i="29" s="1"/>
  <c r="EC150" i="29"/>
  <c r="DW38" i="29"/>
  <c r="DW34" i="29" s="1"/>
  <c r="DX37" i="29"/>
  <c r="DY70" i="29"/>
  <c r="DZ69" i="29"/>
  <c r="DW78" i="29"/>
  <c r="DX77" i="29"/>
  <c r="DX112" i="29"/>
  <c r="DY111" i="29"/>
  <c r="DY81" i="29"/>
  <c r="DX82" i="29"/>
  <c r="DX79" i="29"/>
  <c r="DW80" i="29"/>
  <c r="DX114" i="29"/>
  <c r="DY113" i="29"/>
  <c r="DX103" i="29"/>
  <c r="DW104" i="29"/>
  <c r="DX108" i="29"/>
  <c r="DY107" i="29"/>
  <c r="DU5" i="29"/>
  <c r="DT4" i="29"/>
  <c r="DW120" i="29"/>
  <c r="DX119" i="29"/>
  <c r="DX115" i="29"/>
  <c r="DW116" i="29"/>
  <c r="DX67" i="29"/>
  <c r="DW68" i="29"/>
  <c r="DX102" i="29"/>
  <c r="DY101" i="29"/>
  <c r="DW88" i="29"/>
  <c r="DX87" i="29"/>
  <c r="DW84" i="29"/>
  <c r="DX83" i="29"/>
  <c r="DX40" i="29"/>
  <c r="DY39" i="29"/>
  <c r="DY55" i="29"/>
  <c r="DX56" i="29"/>
  <c r="DX63" i="29"/>
  <c r="DX64" i="29" s="1"/>
  <c r="DW106" i="29"/>
  <c r="DX105" i="29"/>
  <c r="DX93" i="29"/>
  <c r="DW94" i="29"/>
  <c r="DY65" i="29"/>
  <c r="DX66" i="29"/>
  <c r="EA35" i="29"/>
  <c r="DZ36" i="29"/>
  <c r="DW110" i="29"/>
  <c r="DX109" i="29"/>
  <c r="DX89" i="29"/>
  <c r="DW90" i="29"/>
  <c r="DY117" i="29"/>
  <c r="DX118" i="29"/>
  <c r="EA140" i="29"/>
  <c r="EB139" i="29"/>
  <c r="EA145" i="29"/>
  <c r="DZ146" i="29"/>
  <c r="DZ132" i="29"/>
  <c r="EA131" i="29"/>
  <c r="DZ136" i="29"/>
  <c r="EA135" i="29"/>
  <c r="EA144" i="29"/>
  <c r="EB143" i="29"/>
  <c r="EA147" i="29"/>
  <c r="DZ148" i="29"/>
  <c r="EA138" i="29"/>
  <c r="EB137" i="29"/>
  <c r="DZ133" i="29"/>
  <c r="DY134" i="29"/>
  <c r="EC141" i="29"/>
  <c r="EB142" i="29"/>
  <c r="EA129" i="29"/>
  <c r="DZ130" i="29"/>
  <c r="DZ127" i="29"/>
  <c r="DY128" i="29"/>
  <c r="DZ126" i="29" s="1"/>
  <c r="EC58" i="29" l="1"/>
  <c r="ED57" i="29"/>
  <c r="ED58" i="29" s="1"/>
  <c r="EC44" i="29"/>
  <c r="ED43" i="29"/>
  <c r="ED44" i="29" s="1"/>
  <c r="ED123" i="29"/>
  <c r="ED124" i="29" s="1"/>
  <c r="EC124" i="29"/>
  <c r="EC72" i="29"/>
  <c r="ED71" i="29"/>
  <c r="ED72" i="29" s="1"/>
  <c r="DY96" i="29"/>
  <c r="DY7" i="29" s="1"/>
  <c r="DZ95" i="29"/>
  <c r="DW48" i="29"/>
  <c r="DW9" i="29" s="1"/>
  <c r="DX122" i="29"/>
  <c r="DY121" i="29"/>
  <c r="DY8" i="29"/>
  <c r="DY49" i="29"/>
  <c r="DX50" i="29"/>
  <c r="DY41" i="29"/>
  <c r="DX42" i="29"/>
  <c r="DX100" i="29"/>
  <c r="DY93" i="29"/>
  <c r="DX94" i="29"/>
  <c r="DZ55" i="29"/>
  <c r="DY56" i="29"/>
  <c r="DZ101" i="29"/>
  <c r="DY102" i="29"/>
  <c r="DZ85" i="29"/>
  <c r="DY86" i="29"/>
  <c r="DY109" i="29"/>
  <c r="DX110" i="29"/>
  <c r="DX106" i="29"/>
  <c r="DY105" i="29"/>
  <c r="DY40" i="29"/>
  <c r="DZ39" i="29"/>
  <c r="DV5" i="29"/>
  <c r="DU4" i="29"/>
  <c r="DU3" i="29" s="1"/>
  <c r="DZ70" i="29"/>
  <c r="EA69" i="29"/>
  <c r="DY79" i="29"/>
  <c r="DX80" i="29"/>
  <c r="DY83" i="29"/>
  <c r="DX84" i="29"/>
  <c r="DY67" i="29"/>
  <c r="DX68" i="29"/>
  <c r="DZ107" i="29"/>
  <c r="DY108" i="29"/>
  <c r="DY118" i="29"/>
  <c r="DZ117" i="29"/>
  <c r="EA36" i="29"/>
  <c r="EB35" i="29"/>
  <c r="DY63" i="29"/>
  <c r="DY64" i="29" s="1"/>
  <c r="DY82" i="29"/>
  <c r="DZ81" i="29"/>
  <c r="DX38" i="29"/>
  <c r="DX34" i="29" s="1"/>
  <c r="DY37" i="29"/>
  <c r="DY51" i="29"/>
  <c r="DX52" i="29"/>
  <c r="DY87" i="29"/>
  <c r="DX88" i="29"/>
  <c r="DX116" i="29"/>
  <c r="DY115" i="29"/>
  <c r="DZ111" i="29"/>
  <c r="DY112" i="29"/>
  <c r="DX90" i="29"/>
  <c r="DY89" i="29"/>
  <c r="DY66" i="29"/>
  <c r="DZ65" i="29"/>
  <c r="DX120" i="29"/>
  <c r="DY119" i="29"/>
  <c r="DX104" i="29"/>
  <c r="DY103" i="29"/>
  <c r="DY114" i="29"/>
  <c r="DZ113" i="29"/>
  <c r="DY77" i="29"/>
  <c r="DX78" i="29"/>
  <c r="EA91" i="29"/>
  <c r="DZ92" i="29"/>
  <c r="DZ134" i="29"/>
  <c r="EA133" i="29"/>
  <c r="EC137" i="29"/>
  <c r="EB138" i="29"/>
  <c r="EB131" i="29"/>
  <c r="EA132" i="29"/>
  <c r="EA127" i="29"/>
  <c r="DZ128" i="29"/>
  <c r="EA126" i="29" s="1"/>
  <c r="EA130" i="29"/>
  <c r="EB129" i="29"/>
  <c r="EB147" i="29"/>
  <c r="EA148" i="29"/>
  <c r="EA146" i="29"/>
  <c r="EB145" i="29"/>
  <c r="EA136" i="29"/>
  <c r="EB135" i="29"/>
  <c r="EC143" i="29"/>
  <c r="EB144" i="29"/>
  <c r="EC139" i="29"/>
  <c r="EB140" i="29"/>
  <c r="ED141" i="29"/>
  <c r="ED142" i="29" s="1"/>
  <c r="EC142" i="29"/>
  <c r="DZ96" i="29" l="1"/>
  <c r="DZ7" i="29" s="1"/>
  <c r="EA95" i="29"/>
  <c r="DX48" i="29"/>
  <c r="DX9" i="29" s="1"/>
  <c r="DZ8" i="29"/>
  <c r="DZ121" i="29"/>
  <c r="DY122" i="29"/>
  <c r="DY50" i="29"/>
  <c r="DZ49" i="29"/>
  <c r="DY42" i="29"/>
  <c r="DZ41" i="29"/>
  <c r="DY100" i="29"/>
  <c r="DZ119" i="29"/>
  <c r="DY120" i="29"/>
  <c r="DZ112" i="29"/>
  <c r="EA111" i="29"/>
  <c r="DY52" i="29"/>
  <c r="DZ51" i="29"/>
  <c r="DZ67" i="29"/>
  <c r="DY68" i="29"/>
  <c r="DW5" i="29"/>
  <c r="DV4" i="29"/>
  <c r="DZ89" i="29"/>
  <c r="DY90" i="29"/>
  <c r="DY78" i="29"/>
  <c r="DZ77" i="29"/>
  <c r="DZ115" i="29"/>
  <c r="DY116" i="29"/>
  <c r="DY38" i="29"/>
  <c r="DY34" i="29" s="1"/>
  <c r="DZ37" i="29"/>
  <c r="EA117" i="29"/>
  <c r="DZ118" i="29"/>
  <c r="EA85" i="29"/>
  <c r="DZ86" i="29"/>
  <c r="DZ114" i="29"/>
  <c r="EA113" i="29"/>
  <c r="DY84" i="29"/>
  <c r="DZ83" i="29"/>
  <c r="DZ40" i="29"/>
  <c r="EA39" i="29"/>
  <c r="EA65" i="29"/>
  <c r="DZ66" i="29"/>
  <c r="DZ82" i="29"/>
  <c r="EA81" i="29"/>
  <c r="EA101" i="29"/>
  <c r="DZ102" i="29"/>
  <c r="DZ63" i="29"/>
  <c r="DZ64" i="29" s="1"/>
  <c r="DZ87" i="29"/>
  <c r="DY88" i="29"/>
  <c r="DY80" i="29"/>
  <c r="DZ79" i="29"/>
  <c r="DY106" i="29"/>
  <c r="DZ105" i="29"/>
  <c r="EA70" i="29"/>
  <c r="EB69" i="29"/>
  <c r="DY104" i="29"/>
  <c r="DZ103" i="29"/>
  <c r="DZ108" i="29"/>
  <c r="EA107" i="29"/>
  <c r="EA55" i="29"/>
  <c r="DZ56" i="29"/>
  <c r="EA92" i="29"/>
  <c r="EB91" i="29"/>
  <c r="EC35" i="29"/>
  <c r="EB36" i="29"/>
  <c r="DY110" i="29"/>
  <c r="DZ109" i="29"/>
  <c r="DY94" i="29"/>
  <c r="DZ93" i="29"/>
  <c r="EB127" i="29"/>
  <c r="EA128" i="29"/>
  <c r="EB126" i="29" s="1"/>
  <c r="EB146" i="29"/>
  <c r="EC145" i="29"/>
  <c r="EB132" i="29"/>
  <c r="EC131" i="29"/>
  <c r="EC140" i="29"/>
  <c r="ED139" i="29"/>
  <c r="ED140" i="29" s="1"/>
  <c r="EC147" i="29"/>
  <c r="EB148" i="29"/>
  <c r="EC138" i="29"/>
  <c r="ED137" i="29"/>
  <c r="ED138" i="29" s="1"/>
  <c r="EC135" i="29"/>
  <c r="EB136" i="29"/>
  <c r="EC129" i="29"/>
  <c r="EB130" i="29"/>
  <c r="EB133" i="29"/>
  <c r="EA134" i="29"/>
  <c r="EC144" i="29"/>
  <c r="ED143" i="29"/>
  <c r="ED144" i="29" s="1"/>
  <c r="EA96" i="29" l="1"/>
  <c r="EA7" i="29" s="1"/>
  <c r="L12" i="30" s="1"/>
  <c r="EB95" i="29"/>
  <c r="DY48" i="29"/>
  <c r="DY9" i="29" s="1"/>
  <c r="DZ100" i="29"/>
  <c r="DZ122" i="29"/>
  <c r="EA121" i="29"/>
  <c r="EA8" i="29"/>
  <c r="L13" i="30" s="1"/>
  <c r="DZ50" i="29"/>
  <c r="EA49" i="29"/>
  <c r="DZ42" i="29"/>
  <c r="EA41" i="29"/>
  <c r="EB107" i="29"/>
  <c r="EA108" i="29"/>
  <c r="EA102" i="29"/>
  <c r="EB101" i="29"/>
  <c r="EB39" i="29"/>
  <c r="EA40" i="29"/>
  <c r="EB111" i="29"/>
  <c r="EA112" i="29"/>
  <c r="EA109" i="29"/>
  <c r="DZ110" i="29"/>
  <c r="DZ78" i="29"/>
  <c r="EA77" i="29"/>
  <c r="DZ106" i="29"/>
  <c r="EA105" i="29"/>
  <c r="EC36" i="29"/>
  <c r="ED35" i="29"/>
  <c r="ED36" i="29" s="1"/>
  <c r="DZ80" i="29"/>
  <c r="EA79" i="29"/>
  <c r="EA118" i="29"/>
  <c r="EB117" i="29"/>
  <c r="DZ90" i="29"/>
  <c r="EA89" i="29"/>
  <c r="EA63" i="29"/>
  <c r="EA64" i="29" s="1"/>
  <c r="EC91" i="29"/>
  <c r="EB92" i="29"/>
  <c r="DZ84" i="29"/>
  <c r="EA83" i="29"/>
  <c r="DZ38" i="29"/>
  <c r="DZ34" i="29" s="1"/>
  <c r="EA37" i="29"/>
  <c r="DZ104" i="29"/>
  <c r="EA103" i="29"/>
  <c r="EA82" i="29"/>
  <c r="EB81" i="29"/>
  <c r="DX5" i="29"/>
  <c r="DW4" i="29"/>
  <c r="DZ120" i="29"/>
  <c r="EA119" i="29"/>
  <c r="EA66" i="29"/>
  <c r="EA12" i="29" s="1"/>
  <c r="L23" i="30" s="1"/>
  <c r="EB65" i="29"/>
  <c r="EA86" i="29"/>
  <c r="EB85" i="29"/>
  <c r="DZ94" i="29"/>
  <c r="EA93" i="29"/>
  <c r="EA87" i="29"/>
  <c r="DZ88" i="29"/>
  <c r="EB113" i="29"/>
  <c r="EA114" i="29"/>
  <c r="EA22" i="29" s="1"/>
  <c r="EA51" i="29"/>
  <c r="DZ52" i="29"/>
  <c r="EA56" i="29"/>
  <c r="EB55" i="29"/>
  <c r="EC69" i="29"/>
  <c r="EB70" i="29"/>
  <c r="EA115" i="29"/>
  <c r="DZ116" i="29"/>
  <c r="EA67" i="29"/>
  <c r="DZ68" i="29"/>
  <c r="EC132" i="29"/>
  <c r="ED131" i="29"/>
  <c r="ED132" i="29" s="1"/>
  <c r="ED135" i="29"/>
  <c r="ED136" i="29" s="1"/>
  <c r="EC136" i="29"/>
  <c r="ED145" i="29"/>
  <c r="ED146" i="29" s="1"/>
  <c r="EC146" i="29"/>
  <c r="ED129" i="29"/>
  <c r="ED130" i="29" s="1"/>
  <c r="EC130" i="29"/>
  <c r="EC133" i="29"/>
  <c r="EB134" i="29"/>
  <c r="ED147" i="29"/>
  <c r="ED148" i="29" s="1"/>
  <c r="EC148" i="29"/>
  <c r="EC127" i="29"/>
  <c r="EB128" i="29"/>
  <c r="EC126" i="29" s="1"/>
  <c r="L11" i="30" l="1"/>
  <c r="EB96" i="29"/>
  <c r="EB7" i="29" s="1"/>
  <c r="EC95" i="29"/>
  <c r="DZ48" i="29"/>
  <c r="DZ9" i="29" s="1"/>
  <c r="EB8" i="29"/>
  <c r="EB121" i="29"/>
  <c r="EA122" i="29"/>
  <c r="EB49" i="29"/>
  <c r="EA50" i="29"/>
  <c r="EB41" i="29"/>
  <c r="EA42" i="29"/>
  <c r="EA100" i="29"/>
  <c r="EA14" i="29" s="1"/>
  <c r="L16" i="30" s="1"/>
  <c r="EA120" i="29"/>
  <c r="EB119" i="29"/>
  <c r="EB37" i="29"/>
  <c r="EA38" i="29"/>
  <c r="EA34" i="29" s="1"/>
  <c r="EB63" i="29"/>
  <c r="EB64" i="29" s="1"/>
  <c r="EA11" i="29"/>
  <c r="L22" i="30" s="1"/>
  <c r="EA52" i="29"/>
  <c r="EB51" i="29"/>
  <c r="EA88" i="29"/>
  <c r="EB87" i="29"/>
  <c r="EC111" i="29"/>
  <c r="EB112" i="29"/>
  <c r="EA116" i="29"/>
  <c r="EB115" i="29"/>
  <c r="EA94" i="29"/>
  <c r="EB93" i="29"/>
  <c r="EA84" i="29"/>
  <c r="EB83" i="29"/>
  <c r="EA90" i="29"/>
  <c r="EB89" i="29"/>
  <c r="EA106" i="29"/>
  <c r="EB105" i="29"/>
  <c r="DY5" i="29"/>
  <c r="DX4" i="29"/>
  <c r="DX3" i="29" s="1"/>
  <c r="EC39" i="29"/>
  <c r="EB40" i="29"/>
  <c r="EC70" i="29"/>
  <c r="ED69" i="29"/>
  <c r="ED70" i="29" s="1"/>
  <c r="EB86" i="29"/>
  <c r="EC85" i="29"/>
  <c r="EC81" i="29"/>
  <c r="EB82" i="29"/>
  <c r="EC117" i="29"/>
  <c r="EB118" i="29"/>
  <c r="EA78" i="29"/>
  <c r="EB77" i="29"/>
  <c r="EB102" i="29"/>
  <c r="EC101" i="29"/>
  <c r="EB56" i="29"/>
  <c r="EC55" i="29"/>
  <c r="EC65" i="29"/>
  <c r="EB66" i="29"/>
  <c r="EB103" i="29"/>
  <c r="EA104" i="29"/>
  <c r="EB79" i="29"/>
  <c r="EA80" i="29"/>
  <c r="EB67" i="29"/>
  <c r="EA68" i="29"/>
  <c r="EC113" i="29"/>
  <c r="EB114" i="29"/>
  <c r="EC92" i="29"/>
  <c r="ED91" i="29"/>
  <c r="ED92" i="29" s="1"/>
  <c r="EA110" i="29"/>
  <c r="EB109" i="29"/>
  <c r="EC107" i="29"/>
  <c r="EB108" i="29"/>
  <c r="ED127" i="29"/>
  <c r="ED128" i="29" s="1"/>
  <c r="EC128" i="29"/>
  <c r="ED126" i="29" s="1"/>
  <c r="ED133" i="29"/>
  <c r="ED134" i="29" s="1"/>
  <c r="EC134" i="29"/>
  <c r="EC96" i="29" l="1"/>
  <c r="EC7" i="29" s="1"/>
  <c r="ED95" i="29"/>
  <c r="ED96" i="29" s="1"/>
  <c r="ED7" i="29" s="1"/>
  <c r="EA48" i="29"/>
  <c r="EA9" i="29" s="1"/>
  <c r="EB122" i="29"/>
  <c r="EC121" i="29"/>
  <c r="EC8" i="29"/>
  <c r="ED8" i="29"/>
  <c r="EC49" i="29"/>
  <c r="EB50" i="29"/>
  <c r="EC41" i="29"/>
  <c r="EB42" i="29"/>
  <c r="EB100" i="29"/>
  <c r="EA15" i="29"/>
  <c r="L24" i="30" s="1"/>
  <c r="EB116" i="29"/>
  <c r="EC115" i="29"/>
  <c r="EC63" i="29"/>
  <c r="EC64" i="29" s="1"/>
  <c r="ED117" i="29"/>
  <c r="ED118" i="29" s="1"/>
  <c r="EC118" i="29"/>
  <c r="EC89" i="29"/>
  <c r="EB90" i="29"/>
  <c r="EC109" i="29"/>
  <c r="EB110" i="29"/>
  <c r="EC56" i="29"/>
  <c r="ED55" i="29"/>
  <c r="ED56" i="29" s="1"/>
  <c r="ED111" i="29"/>
  <c r="ED112" i="29" s="1"/>
  <c r="EC112" i="29"/>
  <c r="EB38" i="29"/>
  <c r="EB34" i="29" s="1"/>
  <c r="EC37" i="29"/>
  <c r="EB68" i="29"/>
  <c r="EC67" i="29"/>
  <c r="EB80" i="29"/>
  <c r="EC79" i="29"/>
  <c r="EB84" i="29"/>
  <c r="EC83" i="29"/>
  <c r="EC87" i="29"/>
  <c r="EB88" i="29"/>
  <c r="EB120" i="29"/>
  <c r="EC119" i="29"/>
  <c r="EB106" i="29"/>
  <c r="EC105" i="29"/>
  <c r="EC108" i="29"/>
  <c r="ED107" i="29"/>
  <c r="ED108" i="29" s="1"/>
  <c r="EC102" i="29"/>
  <c r="ED101" i="29"/>
  <c r="ED102" i="29" s="1"/>
  <c r="ED39" i="29"/>
  <c r="ED40" i="29" s="1"/>
  <c r="EC40" i="29"/>
  <c r="EC66" i="29"/>
  <c r="ED65" i="29"/>
  <c r="ED66" i="29" s="1"/>
  <c r="EB104" i="29"/>
  <c r="EC103" i="29"/>
  <c r="ED81" i="29"/>
  <c r="ED82" i="29" s="1"/>
  <c r="EC82" i="29"/>
  <c r="EC93" i="29"/>
  <c r="EB94" i="29"/>
  <c r="EC51" i="29"/>
  <c r="EB52" i="29"/>
  <c r="ED113" i="29"/>
  <c r="ED114" i="29" s="1"/>
  <c r="EC114" i="29"/>
  <c r="EB78" i="29"/>
  <c r="EC77" i="29"/>
  <c r="ED85" i="29"/>
  <c r="ED86" i="29" s="1"/>
  <c r="EC86" i="29"/>
  <c r="DZ5" i="29"/>
  <c r="DY4" i="29"/>
  <c r="EC100" i="29" l="1"/>
  <c r="ED121" i="29"/>
  <c r="ED122" i="29" s="1"/>
  <c r="EC122" i="29"/>
  <c r="EB48" i="29"/>
  <c r="EB9" i="29" s="1"/>
  <c r="EC50" i="29"/>
  <c r="ED49" i="29"/>
  <c r="ED50" i="29" s="1"/>
  <c r="ED41" i="29"/>
  <c r="ED42" i="29" s="1"/>
  <c r="EC42" i="29"/>
  <c r="EC38" i="29"/>
  <c r="EC34" i="29" s="1"/>
  <c r="ED37" i="29"/>
  <c r="ED38" i="29" s="1"/>
  <c r="ED34" i="29" s="1"/>
  <c r="ED87" i="29"/>
  <c r="ED88" i="29" s="1"/>
  <c r="EC88" i="29"/>
  <c r="ED89" i="29"/>
  <c r="ED90" i="29" s="1"/>
  <c r="EC90" i="29"/>
  <c r="L15" i="30"/>
  <c r="L14" i="30" s="1"/>
  <c r="EA26" i="29"/>
  <c r="EA10" i="29"/>
  <c r="EC104" i="29"/>
  <c r="ED103" i="29"/>
  <c r="ED104" i="29" s="1"/>
  <c r="EC84" i="29"/>
  <c r="ED83" i="29"/>
  <c r="ED84" i="29" s="1"/>
  <c r="EA5" i="29"/>
  <c r="DZ4" i="29"/>
  <c r="EC52" i="29"/>
  <c r="ED51" i="29"/>
  <c r="ED52" i="29" s="1"/>
  <c r="EC106" i="29"/>
  <c r="ED105" i="29"/>
  <c r="ED106" i="29" s="1"/>
  <c r="ED79" i="29"/>
  <c r="ED80" i="29" s="1"/>
  <c r="EC80" i="29"/>
  <c r="ED63" i="29"/>
  <c r="ED64" i="29" s="1"/>
  <c r="EC94" i="29"/>
  <c r="ED93" i="29"/>
  <c r="ED94" i="29" s="1"/>
  <c r="EC120" i="29"/>
  <c r="ED119" i="29"/>
  <c r="ED120" i="29" s="1"/>
  <c r="EC68" i="29"/>
  <c r="ED67" i="29"/>
  <c r="ED68" i="29" s="1"/>
  <c r="EC116" i="29"/>
  <c r="ED115" i="29"/>
  <c r="ED116" i="29" s="1"/>
  <c r="ED77" i="29"/>
  <c r="ED78" i="29" s="1"/>
  <c r="EC78" i="29"/>
  <c r="EC110" i="29"/>
  <c r="ED109" i="29"/>
  <c r="ED110" i="29" s="1"/>
  <c r="EC48" i="29" l="1"/>
  <c r="EC9" i="29" s="1"/>
  <c r="ED48" i="29"/>
  <c r="ED9" i="29" s="1"/>
  <c r="ED100" i="29"/>
  <c r="L10" i="30"/>
  <c r="EB5" i="29"/>
  <c r="EA4" i="29"/>
  <c r="EA3" i="29" s="1"/>
  <c r="L21" i="30"/>
  <c r="EA13" i="29"/>
  <c r="L19" i="30"/>
  <c r="EC5" i="29" l="1"/>
  <c r="EB4" i="29"/>
  <c r="L20" i="30"/>
  <c r="EA27" i="29"/>
  <c r="L30" i="30"/>
  <c r="L44" i="30"/>
  <c r="L37" i="30"/>
  <c r="L18" i="30" l="1"/>
  <c r="EA28" i="29"/>
  <c r="L17" i="30" s="1"/>
  <c r="L31" i="30" s="1"/>
  <c r="ED5" i="29"/>
  <c r="ED4" i="29" s="1"/>
  <c r="EC4" i="29"/>
  <c r="L35" i="30" l="1"/>
  <c r="L32" i="30"/>
  <c r="L33" i="30" s="1"/>
  <c r="L34" i="30"/>
  <c r="L38" i="30"/>
  <c r="L45" i="30"/>
  <c r="L42" i="30" l="1"/>
  <c r="L39" i="30"/>
  <c r="L40" i="30" s="1"/>
  <c r="L41" i="30"/>
  <c r="L49" i="30"/>
  <c r="L46" i="30"/>
  <c r="L47" i="30" s="1"/>
  <c r="L48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Rowson</author>
  </authors>
  <commentList>
    <comment ref="AG2" authorId="0" shapeId="0" xr:uid="{12931C83-D379-4BDE-9D6C-C955EC1DDE38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Avaliable Capacity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Rowson</author>
  </authors>
  <commentList>
    <comment ref="M2" authorId="0" shapeId="0" xr:uid="{2AAE503B-6CE7-4A2D-B669-7F34C6BF3277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Take the highest value of the two</t>
        </r>
      </text>
    </comment>
    <comment ref="D55" authorId="0" shapeId="0" xr:uid="{078E0626-C82F-411D-BBA4-D83931353357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1 shift only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Rowson</author>
  </authors>
  <commentList>
    <comment ref="B2" authorId="0" shapeId="0" xr:uid="{6DB6AE3C-E735-4987-BDC7-3501104B7465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3 lines x 2 shifts = 211.5 at 94% Eff
Requirements (avg per wk) / 211.5 = % True loading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Rowson</author>
  </authors>
  <commentList>
    <comment ref="B47" authorId="0" shapeId="0" xr:uid="{0AA69E61-D3C1-4924-89D2-D8FF5C21C764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Based on 2 shifts</t>
        </r>
      </text>
    </comment>
    <comment ref="D47" authorId="0" shapeId="0" xr:uid="{7205883D-64F1-4DCF-87B8-2696C8B03946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Based on 2 shifts</t>
        </r>
      </text>
    </comment>
    <comment ref="A51" authorId="0" shapeId="0" xr:uid="{0B756EA5-BF7B-489B-967E-53895F180540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Went to 2 shifts for the whole area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Rowson</author>
  </authors>
  <commentList>
    <comment ref="A224" authorId="0" shapeId="0" xr:uid="{5302CC45-F0C0-462E-B87A-7D3B7CE85CCB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Have excluded extra staff from this point</t>
        </r>
      </text>
    </comment>
    <comment ref="A227" authorId="0" shapeId="0" xr:uid="{E7AA98A2-B3B2-484A-9AF3-5B2065EC7396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Have included back all team CI etc as it is reality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Dianne Bielski-Colmer</author>
    <author>Rita Deacon</author>
    <author>tc={818F2D5C-9C31-41CF-81FF-AF048F571496}</author>
    <author>tc={F5691389-A560-4F0A-B88E-160D172D705D}</author>
    <author>tc={1AB19DED-34D1-4A7D-B909-6756A33FDA61}</author>
    <author>tc={6554F045-787E-44BF-BF6F-35A8BA9C789B}</author>
    <author>tc={ACD994B1-D50A-4EED-9E83-84960666299D}</author>
  </authors>
  <commentList>
    <comment ref="AC63" authorId="0" shapeId="0" xr:uid="{1E25943E-17EF-48FD-AD21-58A83F43EA47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- 31
Modules - 23</t>
        </r>
      </text>
    </comment>
    <comment ref="AD63" authorId="0" shapeId="0" xr:uid="{35AF8E7F-9C11-49D9-B396-DE6DC09A1325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- 8
Modules - 10</t>
        </r>
      </text>
    </comment>
    <comment ref="AC64" authorId="0" shapeId="0" xr:uid="{39FE5EB9-05D4-4176-9596-C31FC66281EF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- 31
Modules - 22</t>
        </r>
      </text>
    </comment>
    <comment ref="AD64" authorId="0" shapeId="0" xr:uid="{44E44B8F-1095-4A60-B8F4-76D0A49F93A5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8
Modules 9</t>
        </r>
      </text>
    </comment>
    <comment ref="AC65" authorId="0" shapeId="0" xr:uid="{367ACB03-C0C0-4858-8E14-CC47FD69311C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FA- 32
Modules - 28</t>
        </r>
      </text>
    </comment>
    <comment ref="AD65" authorId="0" shapeId="0" xr:uid="{964BFF55-3F00-48BE-A459-E0B77DCBBEC7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- 7
Modules - 7
</t>
        </r>
      </text>
    </comment>
    <comment ref="AC66" authorId="0" shapeId="0" xr:uid="{F75CEE7C-36C8-44D4-BDA2-24720FDC72B3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- 31
Modules - 21</t>
        </r>
      </text>
    </comment>
    <comment ref="AD66" authorId="0" shapeId="0" xr:uid="{D4FD4762-7EC2-4EC4-92CE-EB67CF1BA310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- 8
Modules 7</t>
        </r>
      </text>
    </comment>
    <comment ref="AC67" authorId="0" shapeId="0" xr:uid="{BF3452E1-1790-4CCE-B860-B3B8B1E0FC73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- 35
Modules - 21</t>
        </r>
      </text>
    </comment>
    <comment ref="AD67" authorId="0" shapeId="0" xr:uid="{92FC0655-B116-41D2-B512-ABBE75B7708A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- 8
Modules - 7</t>
        </r>
      </text>
    </comment>
    <comment ref="AC68" authorId="0" shapeId="0" xr:uid="{2F3D977A-6B11-468B-ADCD-59A03441D4E1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- 35
Modules - 23</t>
        </r>
      </text>
    </comment>
    <comment ref="AD68" authorId="0" shapeId="0" xr:uid="{5E31BB5A-F930-4CF4-8304-F8EBF0C3B9B2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- 9
Modules - 4</t>
        </r>
      </text>
    </comment>
    <comment ref="AC69" authorId="0" shapeId="0" xr:uid="{CF5FF0E8-F777-4BB4-89F9-D3E5ACC7AB75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Modules - 21
FA - 37</t>
        </r>
      </text>
    </comment>
    <comment ref="AD69" authorId="0" shapeId="0" xr:uid="{96BF3EB2-824F-4C8C-9E71-2C1C6D2A4282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Modules - 7
FA - 8</t>
        </r>
      </text>
    </comment>
    <comment ref="AB70" authorId="0" shapeId="0" xr:uid="{FD5408A9-190F-4864-80FF-9879DDBB2E75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F.A - 46
Mod - 33</t>
        </r>
      </text>
    </comment>
    <comment ref="AC70" authorId="0" shapeId="0" xr:uid="{CF67B62A-8880-40BF-AA34-446C0479B157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F.A - 38
Mod - 26</t>
        </r>
      </text>
    </comment>
    <comment ref="AD70" authorId="0" shapeId="0" xr:uid="{8CE2B13A-E50B-4443-9E07-A4383AFD7613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F.A - 8
Mod - 7</t>
        </r>
      </text>
    </comment>
    <comment ref="AB71" authorId="0" shapeId="0" xr:uid="{2661A599-DCE7-485C-8D8F-84B3A3A463BF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46 FA
30 Modules</t>
        </r>
      </text>
    </comment>
    <comment ref="AC71" authorId="0" shapeId="0" xr:uid="{29499C99-5722-4B72-969E-4F5383E61DD8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38
Modules 23</t>
        </r>
      </text>
    </comment>
    <comment ref="AD71" authorId="0" shapeId="0" xr:uid="{497F303C-1DE9-4B88-8B15-49B109073389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8
Modules 7</t>
        </r>
      </text>
    </comment>
    <comment ref="AC72" authorId="0" shapeId="0" xr:uid="{179DF2A2-CE8E-4BE8-B3B5-54212EBF6EB4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36
Modules 24</t>
        </r>
      </text>
    </comment>
    <comment ref="AD72" authorId="0" shapeId="0" xr:uid="{CD97C09A-11FC-4AD4-AA80-83B626420F02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8
Modules 7</t>
        </r>
      </text>
    </comment>
    <comment ref="AB73" authorId="0" shapeId="0" xr:uid="{55AF8075-70D4-487F-8589-C60E2D25612F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- 49
Modules - 29</t>
        </r>
      </text>
    </comment>
    <comment ref="AC73" authorId="0" shapeId="0" xr:uid="{3C0A14DB-E5B7-41B4-9469-01F04F8F7D94}">
      <text>
        <r>
          <rPr>
            <b/>
            <sz val="9"/>
            <color indexed="81"/>
            <rFont val="Tahoma"/>
            <family val="2"/>
          </rPr>
          <t xml:space="preserve">Dianne Bielski-Colmer:
FA - 40
Modules - 22
</t>
        </r>
      </text>
    </comment>
    <comment ref="AD73" authorId="0" shapeId="0" xr:uid="{1EB13AE6-137F-49C6-82DE-B619B1A485A5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- 9
Modules - 7</t>
        </r>
      </text>
    </comment>
    <comment ref="AB74" authorId="0" shapeId="0" xr:uid="{766029DC-E0CB-40E9-858A-99C732FB3942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- 50
Modules - 30</t>
        </r>
      </text>
    </comment>
    <comment ref="AC74" authorId="0" shapeId="0" xr:uid="{64AFF495-8F4C-457C-9D2E-9BE8B2BC097D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- 44
Modules - 23</t>
        </r>
      </text>
    </comment>
    <comment ref="AD74" authorId="0" shapeId="0" xr:uid="{BD52A559-993C-4098-B887-27515B2BE0B1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- 9
Modules - 7</t>
        </r>
      </text>
    </comment>
    <comment ref="AC75" authorId="0" shapeId="0" xr:uid="{FB6907B6-A7AC-4509-A600-3CB139314BFA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- 43
Modules - 25</t>
        </r>
      </text>
    </comment>
    <comment ref="AD75" authorId="0" shapeId="0" xr:uid="{BF2E38BC-A341-472A-8DB2-0A4F226DF3D7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- 9
Modules - 6</t>
        </r>
      </text>
    </comment>
    <comment ref="AC76" authorId="0" shapeId="0" xr:uid="{12384782-208E-4812-A010-5BCA05B52D8D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- 43
Mod - 26</t>
        </r>
      </text>
    </comment>
    <comment ref="AD76" authorId="0" shapeId="0" xr:uid="{FC76B88F-8280-49C3-97A0-9373E3F6A66B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- 13
Mod - 8</t>
        </r>
      </text>
    </comment>
    <comment ref="AC77" authorId="0" shapeId="0" xr:uid="{8CC3E3D8-2131-43BA-89C3-0E921D2F9817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- 45
Mod - 27</t>
        </r>
      </text>
    </comment>
    <comment ref="AD77" authorId="0" shapeId="0" xr:uid="{34B123F4-FC4C-4CB2-AA73-C9464F4DDF79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13
Mod 9
Manufacrturing stores staff now included</t>
        </r>
      </text>
    </comment>
    <comment ref="AC78" authorId="0" shapeId="0" xr:uid="{E3602E79-C16B-40C8-851F-508A7A06CCD3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Manufacturing stores staff now included
FA - 46
Modules - 31</t>
        </r>
      </text>
    </comment>
    <comment ref="AD78" authorId="0" shapeId="0" xr:uid="{4CDCB640-946E-4EF4-865F-2CB0FD98E67C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Manufacturing stores staff now included
FA - 13
Modules - 8</t>
        </r>
      </text>
    </comment>
    <comment ref="AC79" authorId="0" shapeId="0" xr:uid="{C987916C-BD64-4490-A691-C0C31CD7FF9B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- 50
Modules - 26</t>
        </r>
      </text>
    </comment>
    <comment ref="AD79" authorId="0" shapeId="0" xr:uid="{20B17653-DD18-43A6-9CF9-4D51A7174280}">
      <text>
        <r>
          <rPr>
            <b/>
            <sz val="9"/>
            <color indexed="81"/>
            <rFont val="Tahoma"/>
            <family val="2"/>
          </rPr>
          <t>Dianne Bielski-Colmer:</t>
        </r>
        <r>
          <rPr>
            <sz val="9"/>
            <color indexed="81"/>
            <rFont val="Tahoma"/>
            <family val="2"/>
          </rPr>
          <t xml:space="preserve">
FA - 16
Modules - 13</t>
        </r>
      </text>
    </comment>
    <comment ref="AC80" authorId="1" shapeId="0" xr:uid="{86D1B188-B001-4804-9AE0-92F73AAF0EE6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- 47
MOD - 27</t>
        </r>
      </text>
    </comment>
    <comment ref="AD80" authorId="1" shapeId="0" xr:uid="{4DDB839F-C54D-4714-8976-53E674E577DD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- 16
MOD - 13
</t>
        </r>
      </text>
    </comment>
    <comment ref="AC81" authorId="1" shapeId="0" xr:uid="{0A380216-2DD0-484E-8557-10D51C275C3A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- 47
MOD - 27
</t>
        </r>
      </text>
    </comment>
    <comment ref="AD81" authorId="1" shapeId="0" xr:uid="{B9C14EAA-2942-4B52-94F2-BAAFF332567F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- 16
MOD - 13
</t>
        </r>
      </text>
    </comment>
    <comment ref="AC82" authorId="1" shapeId="0" xr:uid="{FB323DDB-2084-431B-9D78-B13066C0CD40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- 48
MOD - 30</t>
        </r>
      </text>
    </comment>
    <comment ref="AD82" authorId="1" shapeId="0" xr:uid="{71C43D62-E145-47D8-840D-E813DD28E0F5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- 17
MOD - 12
</t>
        </r>
      </text>
    </comment>
    <comment ref="AC83" authorId="1" shapeId="0" xr:uid="{0A89BB70-BBBF-4736-9F3B-528E91FF844F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- 49
MOD - 29</t>
        </r>
      </text>
    </comment>
    <comment ref="AD83" authorId="1" shapeId="0" xr:uid="{ACDBE54A-0C39-4303-9A2B-80D02B14CF05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- 17
MOD - 12</t>
        </r>
      </text>
    </comment>
    <comment ref="AC84" authorId="1" shapeId="0" xr:uid="{EBD62CDD-32E6-47A2-9276-31B9D2A0ED12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- 49 (11 TEMP)
MOD - 30 (10 TEMP)
</t>
        </r>
      </text>
    </comment>
    <comment ref="AD84" authorId="1" shapeId="0" xr:uid="{C480EDC6-E64C-49A4-8236-D5B12865DB25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- 16
MOD - 11</t>
        </r>
      </text>
    </comment>
    <comment ref="AC85" authorId="1" shapeId="0" xr:uid="{BC966CD7-8E5D-4908-81C7-0ECEAA9149E4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- 53 (14 TEMP)
MOD - 35 (9 TEMP)
</t>
        </r>
      </text>
    </comment>
    <comment ref="AD85" authorId="1" shapeId="0" xr:uid="{DEC20C99-AC4F-4591-B6EA-8895224ECC8B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- 14
MOD - 10</t>
        </r>
      </text>
    </comment>
    <comment ref="AC86" authorId="1" shapeId="0" xr:uid="{1EC04247-EFB6-4719-AFD5-07D452CA27F4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- 57 (20 TEMPS)
MOD - 34 (12 TEMPS)</t>
        </r>
      </text>
    </comment>
    <comment ref="AD86" authorId="1" shapeId="0" xr:uid="{B959ABDC-2B22-442D-AFCB-7B053FE947B3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- 13
MOD - 10</t>
        </r>
      </text>
    </comment>
    <comment ref="AC87" authorId="1" shapeId="0" xr:uid="{4CE5E2B2-02D0-41C7-8D59-97ED67C03383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- 56 (19 Temps in total)
MOD - 33 (13 Temps in total)</t>
        </r>
      </text>
    </comment>
    <comment ref="AD87" authorId="1" shapeId="0" xr:uid="{3033B789-84FD-4220-B628-E121885DA2CF}">
      <text>
        <r>
          <rPr>
            <b/>
            <sz val="9"/>
            <color indexed="81"/>
            <rFont val="Tahoma"/>
            <family val="2"/>
          </rPr>
          <t>Rita Deacon:</t>
        </r>
        <r>
          <rPr>
            <sz val="9"/>
            <color indexed="81"/>
            <rFont val="Tahoma"/>
            <family val="2"/>
          </rPr>
          <t xml:space="preserve">
FA - 15
MOD - 11
</t>
        </r>
      </text>
    </comment>
    <comment ref="M99" authorId="2" shapeId="0" xr:uid="{818F2D5C-9C31-41CF-81FF-AF048F571496}">
      <text>
        <t>[Threaded comment]
Your version of Excel allows you to read this threaded comment; however, any edits to it will get removed if the file is opened in a newer version of Excel. Learn more: https://go.microsoft.com/fwlink/?linkid=870924
Comment:
    1 casual - Ryanky Le
1 temp - Steffi James</t>
      </text>
    </comment>
    <comment ref="R100" authorId="3" shapeId="0" xr:uid="{F5691389-A560-4F0A-B88E-160D172D705D}">
      <text>
        <t>[Threaded comment]
Your version of Excel allows you to read this threaded comment; however, any edits to it will get removed if the file is opened in a newer version of Excel. Learn more: https://go.microsoft.com/fwlink/?linkid=870924
Comment:
    2 temps - Jack O'Leary and Darren Hatcher (Advanced Personnel)</t>
      </text>
    </comment>
    <comment ref="R101" authorId="4" shapeId="0" xr:uid="{1AB19DED-34D1-4A7D-B909-6756A33FDA61}">
      <text>
        <t>[Threaded comment]
Your version of Excel allows you to read this threaded comment; however, any edits to it will get removed if the file is opened in a newer version of Excel. Learn more: https://go.microsoft.com/fwlink/?linkid=870924
Comment:
    I Temp - Jack O'Leary</t>
      </text>
    </comment>
    <comment ref="M108" authorId="5" shapeId="0" xr:uid="{6554F045-787E-44BF-BF6F-35A8BA9C789B}">
      <text>
        <t>[Threaded comment]
Your version of Excel allows you to read this threaded comment; however, any edits to it will get removed if the file is opened in a newer version of Excel. Learn more: https://go.microsoft.com/fwlink/?linkid=870924
Comment:
    1 temp - Ishveerpal Sagoo</t>
      </text>
    </comment>
    <comment ref="R108" authorId="6" shapeId="0" xr:uid="{ACD994B1-D50A-4EED-9E83-84960666299D}">
      <text>
        <t>[Threaded comment]
Your version of Excel allows you to read this threaded comment; however, any edits to it will get removed if the file is opened in a newer version of Excel. Learn more: https://go.microsoft.com/fwlink/?linkid=870924
Comment:
    1 temp - Thomas Purves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Rowson</author>
  </authors>
  <commentList>
    <comment ref="B83" authorId="0" shapeId="0" xr:uid="{4B2E7645-7A00-4396-872E-10B3462FA8A8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Projected figures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Rowson</author>
  </authors>
  <commentList>
    <comment ref="C140" authorId="0" shapeId="0" xr:uid="{B965D412-14F6-4189-AB72-3D6721AE6F11}">
      <text>
        <r>
          <rPr>
            <b/>
            <sz val="9"/>
            <color indexed="81"/>
            <rFont val="Tahoma"/>
            <family val="2"/>
          </rPr>
          <t>Andrew Rowson:</t>
        </r>
        <r>
          <rPr>
            <sz val="9"/>
            <color indexed="81"/>
            <rFont val="Tahoma"/>
            <family val="2"/>
          </rPr>
          <t xml:space="preserve">
Under reported due to Techs away</t>
        </r>
      </text>
    </comment>
  </commentList>
</comments>
</file>

<file path=xl/sharedStrings.xml><?xml version="1.0" encoding="utf-8"?>
<sst xmlns="http://schemas.openxmlformats.org/spreadsheetml/2006/main" count="3841" uniqueCount="1230">
  <si>
    <t xml:space="preserve">Growth Prediction </t>
  </si>
  <si>
    <t>Executive Summary of Growth Prediction</t>
  </si>
  <si>
    <t xml:space="preserve">Team Utilisation </t>
  </si>
  <si>
    <t>Team Numbers</t>
  </si>
  <si>
    <t>Units Made 1</t>
  </si>
  <si>
    <t>Units Made 2</t>
  </si>
  <si>
    <t>eShepherd Analysis</t>
  </si>
  <si>
    <t>Data Lake</t>
  </si>
  <si>
    <t>+/- 10%</t>
  </si>
  <si>
    <t>+/- 10% to 30%</t>
  </si>
  <si>
    <t>+/- 30% to 900%</t>
  </si>
  <si>
    <t xml:space="preserve">Loadings </t>
  </si>
  <si>
    <t>Accuracy</t>
  </si>
  <si>
    <t>Loadings</t>
  </si>
  <si>
    <t>WC</t>
  </si>
  <si>
    <t>Security Labour Pool</t>
  </si>
  <si>
    <t>Period</t>
  </si>
  <si>
    <t>1st</t>
  </si>
  <si>
    <t>2nd</t>
  </si>
  <si>
    <t>3rd</t>
  </si>
  <si>
    <t>1st and 2nd</t>
  </si>
  <si>
    <t>1st and 3rd</t>
  </si>
  <si>
    <t>Date</t>
  </si>
  <si>
    <t>13 wks</t>
  </si>
  <si>
    <t>14 - 26 Wks</t>
  </si>
  <si>
    <t>27 - 52 Wks</t>
  </si>
  <si>
    <t>3 mnths out</t>
  </si>
  <si>
    <t>6 mnths out</t>
  </si>
  <si>
    <t>-</t>
  </si>
  <si>
    <t>AM Labour Pool</t>
  </si>
  <si>
    <t>PCB Labour Pool (Ex. SMT)</t>
  </si>
  <si>
    <t>XFMR Labour Pool</t>
  </si>
  <si>
    <t>NZ SOH against 1 hr scheduled 13 wks</t>
  </si>
  <si>
    <t>For every Rev $ how much NZ SOH</t>
  </si>
  <si>
    <t>SOH - Rev</t>
  </si>
  <si>
    <t>Rev/NZ SOH</t>
  </si>
  <si>
    <t>3 month Rev against forcast single Hr</t>
  </si>
  <si>
    <t>3 mnth rev avg</t>
  </si>
  <si>
    <t>Monthly Revenue/ Forecasted hours</t>
  </si>
  <si>
    <t>Elec FG</t>
  </si>
  <si>
    <t>% of Elec FG against Rev</t>
  </si>
  <si>
    <t>Total SOH World</t>
  </si>
  <si>
    <t>World Movement</t>
  </si>
  <si>
    <t>World SOH against 1 hr scheduled 13 wks</t>
  </si>
  <si>
    <t>For every Rev $ how much World SOH</t>
  </si>
  <si>
    <t>Rev/World SOH</t>
  </si>
  <si>
    <t>ELEC Labour Pool (Ex. SMT)</t>
  </si>
  <si>
    <t>Total SOH NZ</t>
  </si>
  <si>
    <t>NZ Movement?</t>
  </si>
  <si>
    <t>Hours Reduction on Previous Month</t>
  </si>
  <si>
    <t>Revenue</t>
  </si>
  <si>
    <t>732A</t>
  </si>
  <si>
    <t>736A</t>
  </si>
  <si>
    <t>736B</t>
  </si>
  <si>
    <t>S&amp;B</t>
  </si>
  <si>
    <t>731A</t>
  </si>
  <si>
    <t>731B</t>
  </si>
  <si>
    <t>738A</t>
  </si>
  <si>
    <t>738B</t>
  </si>
  <si>
    <t>730A/B</t>
  </si>
  <si>
    <t>AM Labour Pool % 210</t>
  </si>
  <si>
    <t>AM Labour Pool Hrs 210</t>
  </si>
  <si>
    <t>Staff Level</t>
  </si>
  <si>
    <t>730 Avg % of all 2 Day Benches</t>
  </si>
  <si>
    <t>Avg of 736, 731, 738</t>
  </si>
  <si>
    <t>733A</t>
  </si>
  <si>
    <t>733B</t>
  </si>
  <si>
    <t>734A</t>
  </si>
  <si>
    <t>734B</t>
  </si>
  <si>
    <t>735A</t>
  </si>
  <si>
    <t>735B</t>
  </si>
  <si>
    <t>737A</t>
  </si>
  <si>
    <t>737B</t>
  </si>
  <si>
    <t>AM Lab - 210 AvailCap Hrs Driect Team</t>
  </si>
  <si>
    <t>AM Lab - 210 AvailCap Hrs Driect Team +T/L</t>
  </si>
  <si>
    <t>13 Wks</t>
  </si>
  <si>
    <t>14 Wks</t>
  </si>
  <si>
    <t>28 - 52 Wks</t>
  </si>
  <si>
    <t>14 - 26 Wks +20%</t>
  </si>
  <si>
    <t>3 Yr Projection Growth 1</t>
  </si>
  <si>
    <t>3 Yr Projection Growth 2</t>
  </si>
  <si>
    <t>3 Yr Projection Growth 3</t>
  </si>
  <si>
    <t>Ideal Capacity</t>
  </si>
  <si>
    <t>Ideal Target</t>
  </si>
  <si>
    <t>982A</t>
  </si>
  <si>
    <t>982B</t>
  </si>
  <si>
    <t>Non T-Series</t>
  </si>
  <si>
    <t>988A/B</t>
  </si>
  <si>
    <t>985A/B</t>
  </si>
  <si>
    <t>SEC Lab - 210 CAPLOAD</t>
  </si>
  <si>
    <t>SEC Lab - 210 AvailCap Hrs</t>
  </si>
  <si>
    <t>Avg % of all benches excl 986</t>
  </si>
  <si>
    <t>Avg % of 982, 983, 984</t>
  </si>
  <si>
    <t>Avg % of 985, 987, 988</t>
  </si>
  <si>
    <t>All benchs excl 980/986</t>
  </si>
  <si>
    <t>SEC Labour Pool - 212</t>
  </si>
  <si>
    <t>SEC Labour Pool - 213</t>
  </si>
  <si>
    <t>SEC Labour Pool - 214</t>
  </si>
  <si>
    <t>SEC Labour Pool - 215</t>
  </si>
  <si>
    <t>SEC Labour Pool - 216</t>
  </si>
  <si>
    <t>SEC Lab - 210 AvailCap Hrs Direct Team</t>
  </si>
  <si>
    <t>SEC Lab - 210 AvailCap Hrs Direct + T/L</t>
  </si>
  <si>
    <t xml:space="preserve">14 - 26 Wks </t>
  </si>
  <si>
    <t xml:space="preserve">Ideal Capacity </t>
  </si>
  <si>
    <t>SMT - 110</t>
  </si>
  <si>
    <t>405/Test Towers</t>
  </si>
  <si>
    <t>308/RPS</t>
  </si>
  <si>
    <t>431/PVA</t>
  </si>
  <si>
    <t>PCB Labour Pool % 210</t>
  </si>
  <si>
    <t>PCB Labour Pool Hrs 210</t>
  </si>
  <si>
    <t>440 Staff Level</t>
  </si>
  <si>
    <t>SMT Staff Level</t>
  </si>
  <si>
    <t xml:space="preserve">Avg % of all </t>
  </si>
  <si>
    <t>SMT</t>
  </si>
  <si>
    <t>PCB Labour Pool</t>
  </si>
  <si>
    <t>AM Lab - 210 AvailCap Hrs Direct</t>
  </si>
  <si>
    <t>AM Lab - 210 AvailCap Hrs Direct +T/L</t>
  </si>
  <si>
    <t>607 - Sipro</t>
  </si>
  <si>
    <t>625 - B0051</t>
  </si>
  <si>
    <t>645 - Bench</t>
  </si>
  <si>
    <t>650 - Pouring</t>
  </si>
  <si>
    <t>660 - HV Tester</t>
  </si>
  <si>
    <t>Pooled Labour % 210</t>
  </si>
  <si>
    <t xml:space="preserve">Pooled Labour Hrs 210 </t>
  </si>
  <si>
    <t>605/607 - Aumann</t>
  </si>
  <si>
    <t>Pooled Labour %</t>
  </si>
  <si>
    <t>Pooled Labour Hrs</t>
  </si>
  <si>
    <t>XFMR Lab - 210 AvailCap Hrs Direct Team</t>
  </si>
  <si>
    <t>XFMR Lab - 210 AvailCap Hrs Direct + T/L</t>
  </si>
  <si>
    <t>27 - 52</t>
  </si>
  <si>
    <t>27 -52</t>
  </si>
  <si>
    <t>Assy01</t>
  </si>
  <si>
    <t>Assy02A</t>
  </si>
  <si>
    <t>Assy02B</t>
  </si>
  <si>
    <t>Assy03</t>
  </si>
  <si>
    <t>Assy04</t>
  </si>
  <si>
    <t>Assy05</t>
  </si>
  <si>
    <t>Assy06</t>
  </si>
  <si>
    <t>Assy09</t>
  </si>
  <si>
    <t>Assy10</t>
  </si>
  <si>
    <t>Assy12</t>
  </si>
  <si>
    <t>Assy13</t>
  </si>
  <si>
    <t>Assy01 Lab - 220 CAPLOAD</t>
  </si>
  <si>
    <t>Assy01 Lab - 220 AvailCap Hrs</t>
  </si>
  <si>
    <t>AM Stretch</t>
  </si>
  <si>
    <t>&lt;-- Enter in Figures</t>
  </si>
  <si>
    <t>- 3 Year projections are based off the average loading for the last 6 months with the relevant % added</t>
  </si>
  <si>
    <t>SEC Stretch</t>
  </si>
  <si>
    <t>- Average for the last 6 months is the combined average for 1st 13 Week period</t>
  </si>
  <si>
    <t>Group Stretch</t>
  </si>
  <si>
    <t>SECURITY</t>
  </si>
  <si>
    <t>No. of Benches</t>
  </si>
  <si>
    <t>Loading %</t>
  </si>
  <si>
    <t>Benches Required</t>
  </si>
  <si>
    <t>Direct Team</t>
  </si>
  <si>
    <t>With T/L's</t>
  </si>
  <si>
    <t>2nd 13 Wk</t>
  </si>
  <si>
    <t>Next 13 Wks</t>
  </si>
  <si>
    <t>2nd 13 Wk Period</t>
  </si>
  <si>
    <t>Max Directs for Area</t>
  </si>
  <si>
    <t>ANIMAL MANAGEMENT</t>
  </si>
  <si>
    <t>Loading</t>
  </si>
  <si>
    <t>PCB</t>
  </si>
  <si>
    <t>No. of Machines</t>
  </si>
  <si>
    <t>Equipment Required</t>
  </si>
  <si>
    <t>?</t>
  </si>
  <si>
    <t>SMT - against current capacity of 133.5 hours per week - 93%</t>
  </si>
  <si>
    <t>Drop on RPS lines due to 4th line installed and therefore we now have an increase in avaliable capacity. A 2nd PVA line will be needed shortly due to expect 10% growth with solars and new small solar to be released.</t>
  </si>
  <si>
    <t>TRANSFORMERS</t>
  </si>
  <si>
    <t>Area operating as a single shift</t>
  </si>
  <si>
    <t>102% loaded with labour.</t>
  </si>
  <si>
    <t>First year reduction</t>
  </si>
  <si>
    <t>Current Loading 1 - 13 weeks</t>
  </si>
  <si>
    <t>14 - 26 Weeks</t>
  </si>
  <si>
    <t xml:space="preserve"> 27 - 52 Weeks</t>
  </si>
  <si>
    <t>1 - 52 Weeks</t>
  </si>
  <si>
    <t>Difference Btwn 1- 13 and 27 - 52 Wks</t>
  </si>
  <si>
    <t>Max People Per Shift</t>
  </si>
  <si>
    <t>Number of Shifts</t>
  </si>
  <si>
    <t>Avg Hours for Lab 13 Weeks</t>
  </si>
  <si>
    <t>Qty of Lines/Equipment</t>
  </si>
  <si>
    <t>Current Loadings looking at next 13 Weeks</t>
  </si>
  <si>
    <t>Operating 1 Shift - Under 90% Capacity</t>
  </si>
  <si>
    <t>Every year after reduction</t>
  </si>
  <si>
    <t>Operating 2 Shifts - Under 80% Capacity</t>
  </si>
  <si>
    <t>Exceeding 80% Capacity Across 2 Shifts</t>
  </si>
  <si>
    <t>Total Elec Team Members (FA &amp; PCB)</t>
  </si>
  <si>
    <t>Total HW Team Members (Ex LC)</t>
  </si>
  <si>
    <t>Total No. of Elec FA Benches</t>
  </si>
  <si>
    <t>Sq M Required for FA Benches</t>
  </si>
  <si>
    <t>Sq M Required for SMT</t>
  </si>
  <si>
    <t>Sq M Required for RPS &amp; PVA</t>
  </si>
  <si>
    <t>Total SqM Req for FA &amp; Modules</t>
  </si>
  <si>
    <t>Total No. of HW Benches</t>
  </si>
  <si>
    <t>Sq M Required for HW Benches</t>
  </si>
  <si>
    <t>SqM T-Series Pouring</t>
  </si>
  <si>
    <t>Sq M Type 1 Cabinet room</t>
  </si>
  <si>
    <t>Sq M for Secure Type 1 room</t>
  </si>
  <si>
    <t>Sq M for Soak Rooms</t>
  </si>
  <si>
    <t>Sq M for Loadcells</t>
  </si>
  <si>
    <t>Sq M Loadbars</t>
  </si>
  <si>
    <t>Sq M Printroom</t>
  </si>
  <si>
    <t>Sq M for PE and Techs</t>
  </si>
  <si>
    <t>Sq M Required for Transformers</t>
  </si>
  <si>
    <t>Current Sq M Required for EFA/EL/RMP Stores</t>
  </si>
  <si>
    <t>Sq M Req for EFA/EL/RMP based off FA Lines</t>
  </si>
  <si>
    <t>Total SqM Req for HW, LC, FA, PCB &amp; PE</t>
  </si>
  <si>
    <t>Overall SqM Req Factory and Stores</t>
  </si>
  <si>
    <t>AM Revenue</t>
  </si>
  <si>
    <t>SEC Revenue</t>
  </si>
  <si>
    <t>Group Revenue</t>
  </si>
  <si>
    <t>AM StretchGrowth</t>
  </si>
  <si>
    <t>Using 1 - 13, 14 - 26, 27 - 52 Week Capacities</t>
  </si>
  <si>
    <t>Security</t>
  </si>
  <si>
    <t>No. of Assembly Benches</t>
  </si>
  <si>
    <t>Year 1</t>
  </si>
  <si>
    <t>Pouring Room</t>
  </si>
  <si>
    <t>Year 2</t>
  </si>
  <si>
    <t>Year 3</t>
  </si>
  <si>
    <t>T- Series Benches</t>
  </si>
  <si>
    <t>Year 4</t>
  </si>
  <si>
    <t>Year 5</t>
  </si>
  <si>
    <t>Assembly Benches (Ex T-Series)</t>
  </si>
  <si>
    <t>Year 6</t>
  </si>
  <si>
    <t>Year 7</t>
  </si>
  <si>
    <t>Type 1 Cabinets</t>
  </si>
  <si>
    <t>Year 8</t>
  </si>
  <si>
    <t>Year 9</t>
  </si>
  <si>
    <t>Recommended Team Size</t>
  </si>
  <si>
    <t>Year 10</t>
  </si>
  <si>
    <t>Weekly Hours Required</t>
  </si>
  <si>
    <t>Actual Required Hours</t>
  </si>
  <si>
    <t>Max PPl</t>
  </si>
  <si>
    <t>Direct Labour Capacity</t>
  </si>
  <si>
    <t>SEC Stretch Growth</t>
  </si>
  <si>
    <t>Animal Management</t>
  </si>
  <si>
    <t>2 Day Benches</t>
  </si>
  <si>
    <t>Solar and Battery Benches</t>
  </si>
  <si>
    <t>eShepherd Bench</t>
  </si>
  <si>
    <t>WeighScale Benches</t>
  </si>
  <si>
    <t>Modules</t>
  </si>
  <si>
    <t>SMT 220, 221, 222</t>
  </si>
  <si>
    <t>Group Stretch Growth</t>
  </si>
  <si>
    <t>Selective Solder Lines 308</t>
  </si>
  <si>
    <t>Testing Towers 405</t>
  </si>
  <si>
    <t>Conformal Coating 431</t>
  </si>
  <si>
    <t>Recommended Team Size (440 &amp; SMT)</t>
  </si>
  <si>
    <t>Weekly Hours Required 440 Pool</t>
  </si>
  <si>
    <t>Transformers</t>
  </si>
  <si>
    <t>Sipro Winding (607)</t>
  </si>
  <si>
    <t>SqM per FA Line</t>
  </si>
  <si>
    <t>SqM per SMT Line</t>
  </si>
  <si>
    <t>Noo Winding (610)</t>
  </si>
  <si>
    <t>SqM per RPS &amp; PVA</t>
  </si>
  <si>
    <t>SqM for Transformers</t>
  </si>
  <si>
    <t>Boo51 Winding (625)</t>
  </si>
  <si>
    <t>SqM for Printroom HW</t>
  </si>
  <si>
    <t>SqM for Loadbars</t>
  </si>
  <si>
    <t>M100 Termination (640)</t>
  </si>
  <si>
    <t>SqM for Loadcells</t>
  </si>
  <si>
    <t>SqM for Stores based on FA Lines</t>
  </si>
  <si>
    <t>Assembly Bench (645)</t>
  </si>
  <si>
    <t>Pouring (650)</t>
  </si>
  <si>
    <t>Test and Pack (655)</t>
  </si>
  <si>
    <t>Solder Pot (642)</t>
  </si>
  <si>
    <t>HV Test (660)</t>
  </si>
  <si>
    <t>Hardware</t>
  </si>
  <si>
    <t>No of Assembly Benches</t>
  </si>
  <si>
    <t>Assy 01</t>
  </si>
  <si>
    <t>Assy 02A</t>
  </si>
  <si>
    <t>Assy 02B</t>
  </si>
  <si>
    <t>Assy 03 (Loadbars)</t>
  </si>
  <si>
    <t>Assy 04</t>
  </si>
  <si>
    <t>Assy 05</t>
  </si>
  <si>
    <t>Assy 06 (Printroom)</t>
  </si>
  <si>
    <t>Assy 09</t>
  </si>
  <si>
    <t>Assy 10</t>
  </si>
  <si>
    <t>Assy 12</t>
  </si>
  <si>
    <t>Assy 13</t>
  </si>
  <si>
    <t>Team Size</t>
  </si>
  <si>
    <t>Loadcells / Loadbars</t>
  </si>
  <si>
    <t>No of Loadcell Benches</t>
  </si>
  <si>
    <t>Sanding Bay SqM</t>
  </si>
  <si>
    <t>Sand (010)</t>
  </si>
  <si>
    <t>Wash bay</t>
  </si>
  <si>
    <t>Gauging Bench</t>
  </si>
  <si>
    <t>Wash (015)</t>
  </si>
  <si>
    <t>Curing Oven</t>
  </si>
  <si>
    <t>Prewire/Wire Bench</t>
  </si>
  <si>
    <t>Gauge (020)</t>
  </si>
  <si>
    <t>Spanning/Testing MC</t>
  </si>
  <si>
    <t>Wax Oven</t>
  </si>
  <si>
    <t>PreCure (025)</t>
  </si>
  <si>
    <t>Wax and Seal</t>
  </si>
  <si>
    <t>Wire cells Trolley</t>
  </si>
  <si>
    <t>Prewire (050)</t>
  </si>
  <si>
    <t>Wire Bench</t>
  </si>
  <si>
    <t>Assy Bench</t>
  </si>
  <si>
    <t>Wire (055)</t>
  </si>
  <si>
    <t>Test MC</t>
  </si>
  <si>
    <t>Packing Bench</t>
  </si>
  <si>
    <t>SC Easthigh (060)</t>
  </si>
  <si>
    <t>Wax/Seal (080)</t>
  </si>
  <si>
    <t>Days to allow LC setting (TR11)</t>
  </si>
  <si>
    <t>Final Test (090)</t>
  </si>
  <si>
    <t>LoadBars</t>
  </si>
  <si>
    <t>Adjust cells that are this colour only</t>
  </si>
  <si>
    <t>AM Stretch Growth</t>
  </si>
  <si>
    <t>Combined Stretch Growth</t>
  </si>
  <si>
    <t>Total No. of Team Members (HW, FA &amp; PCB)</t>
  </si>
  <si>
    <t>Total No. of HW &amp; FA Benches</t>
  </si>
  <si>
    <t>Factory and Stores Space to be built</t>
  </si>
  <si>
    <t>SqM</t>
  </si>
  <si>
    <t>Cost per SqM</t>
  </si>
  <si>
    <t xml:space="preserve">Shortfall / Difference </t>
  </si>
  <si>
    <t>Suggested Factory Size to Meet Additional Revenue</t>
  </si>
  <si>
    <t>Beca Reduction on Stores Space</t>
  </si>
  <si>
    <t xml:space="preserve">SqM Shortfall / Difference </t>
  </si>
  <si>
    <t>FY 2022</t>
  </si>
  <si>
    <t>FY 2023</t>
  </si>
  <si>
    <t>FY 2024</t>
  </si>
  <si>
    <t>FY 2025</t>
  </si>
  <si>
    <t>FY 2026</t>
  </si>
  <si>
    <t>Aug - Nov</t>
  </si>
  <si>
    <t>Dec - Mar</t>
  </si>
  <si>
    <t>Apr - Jul</t>
  </si>
  <si>
    <t xml:space="preserve">Order or </t>
  </si>
  <si>
    <t>Feb</t>
  </si>
  <si>
    <t>Apr</t>
  </si>
  <si>
    <t>Jul</t>
  </si>
  <si>
    <t>Prep date</t>
  </si>
  <si>
    <t>SMT / PCB Modules Area</t>
  </si>
  <si>
    <t>Area</t>
  </si>
  <si>
    <t xml:space="preserve">Current Equip &amp; Layout </t>
  </si>
  <si>
    <t>New Layout (P/H Move)</t>
  </si>
  <si>
    <t>Max Out Date (Yr 1 - SEC 33% &amp; AM 14%)</t>
  </si>
  <si>
    <t xml:space="preserve">Max Out APRIL 2021: Growth of SEC 23%, AM 16%, No P/H Move </t>
  </si>
  <si>
    <t>Capital Investment</t>
  </si>
  <si>
    <t>Estimated Date</t>
  </si>
  <si>
    <t>Total Per Year</t>
  </si>
  <si>
    <t>Running Total</t>
  </si>
  <si>
    <t xml:space="preserve">Between </t>
  </si>
  <si>
    <t>Estimate Date</t>
  </si>
  <si>
    <t>Space Avalaible for Equipment</t>
  </si>
  <si>
    <t>If no space Solution</t>
  </si>
  <si>
    <t>Comments</t>
  </si>
  <si>
    <t>Date for Action</t>
  </si>
  <si>
    <t>SEC 25%, AM 12%</t>
  </si>
  <si>
    <t>SEC 20%, AM 10%</t>
  </si>
  <si>
    <t>SEC 15%, AM 8%</t>
  </si>
  <si>
    <t>Conformal Coating (PVA)</t>
  </si>
  <si>
    <t>FY2021</t>
  </si>
  <si>
    <t>Sep 2021 to Sep 2022</t>
  </si>
  <si>
    <t>Minimal space for preforming now, current space is 21 sqM, would end up being 14sqM. Have to find office space for AR and GR. Take over space above SMT??</t>
  </si>
  <si>
    <t>AM</t>
  </si>
  <si>
    <t>Kardex Storage &amp; RPS Line</t>
  </si>
  <si>
    <t>Replace 222 Line</t>
  </si>
  <si>
    <t>Yes</t>
  </si>
  <si>
    <t>SEC</t>
  </si>
  <si>
    <t>YSM20 (SMT)</t>
  </si>
  <si>
    <t>FY2022</t>
  </si>
  <si>
    <t>Move current 222 line</t>
  </si>
  <si>
    <t>No</t>
  </si>
  <si>
    <t>Install along wall demo Andrews and Gabby Offices</t>
  </si>
  <si>
    <t>Combined (SEC/AM)</t>
  </si>
  <si>
    <t>Cassette Benches SEC</t>
  </si>
  <si>
    <t>2 x RPS lines</t>
  </si>
  <si>
    <t>Kardex Install</t>
  </si>
  <si>
    <t>Kardex for EFA</t>
  </si>
  <si>
    <t>FY2022 - FY2023</t>
  </si>
  <si>
    <t>2 x Test towers</t>
  </si>
  <si>
    <t>RPS (Solder)</t>
  </si>
  <si>
    <t>2nd Kardex? &amp; RPS Line</t>
  </si>
  <si>
    <t>FY2023</t>
  </si>
  <si>
    <t>AM Benches</t>
  </si>
  <si>
    <t>N/A</t>
  </si>
  <si>
    <t>Test Towers (PCB)</t>
  </si>
  <si>
    <t>Building Space Required</t>
  </si>
  <si>
    <t>FY2023 - FY2024</t>
  </si>
  <si>
    <t>Nothing</t>
  </si>
  <si>
    <t>PVA (Coating)</t>
  </si>
  <si>
    <t>FY2024</t>
  </si>
  <si>
    <t>Cost/Concerns? Unknown if this is able to happen. This has a big impact on floor space required.</t>
  </si>
  <si>
    <t>RPS Line</t>
  </si>
  <si>
    <t>FY2025</t>
  </si>
  <si>
    <t>Benches need to be universal</t>
  </si>
  <si>
    <t>ASAP</t>
  </si>
  <si>
    <t>FY2026</t>
  </si>
  <si>
    <t>Extra test jigs need to be made</t>
  </si>
  <si>
    <t>New Build</t>
  </si>
  <si>
    <t>Sep 2022 to Sep 2023</t>
  </si>
  <si>
    <t>Drawing up plans to see impact</t>
  </si>
  <si>
    <t>2 Year Prep Window Required if Building</t>
  </si>
  <si>
    <t>FY2027</t>
  </si>
  <si>
    <t>4th SMT line in operation</t>
  </si>
  <si>
    <t>Order Jul 2022 or SW? Building work</t>
  </si>
  <si>
    <t>Combined (FA Areas)</t>
  </si>
  <si>
    <t>Total</t>
  </si>
  <si>
    <t>7th RPS line or mod to exsisting line replacing fluxer</t>
  </si>
  <si>
    <t>Approx 8 sqM required</t>
  </si>
  <si>
    <t>Order Apr 2022</t>
  </si>
  <si>
    <t>6 @ 2030</t>
  </si>
  <si>
    <t>8th Test tower or project to shorten test times</t>
  </si>
  <si>
    <t>3 @ 2030</t>
  </si>
  <si>
    <t>This 3rd 730 bench is used for off line setup.</t>
  </si>
  <si>
    <t>Additional Line</t>
  </si>
  <si>
    <t>Takeover the 3rd 730 bench</t>
  </si>
  <si>
    <t>Final Assembly</t>
  </si>
  <si>
    <t>Sep 2023 to Sep 2024</t>
  </si>
  <si>
    <t>Upgrade old 222 line and possible 3rd shift</t>
  </si>
  <si>
    <t>Mod to fluxer and add 2nd solder machine 8th &amp; 9th</t>
  </si>
  <si>
    <t>Nov-23 &amp; Nov-24</t>
  </si>
  <si>
    <t>Order Apr 2023 and 2024</t>
  </si>
  <si>
    <t>9th test tower</t>
  </si>
  <si>
    <t>We should have space in EFA from the Kardex install.</t>
  </si>
  <si>
    <t>Space out in EFA</t>
  </si>
  <si>
    <t>Sep 2024 to Sep 2025</t>
  </si>
  <si>
    <t>Mod to fluxer and add 2nd solder machine 10th</t>
  </si>
  <si>
    <t>Order Feb 2025</t>
  </si>
  <si>
    <t>10th test tower</t>
  </si>
  <si>
    <t>May have to remove racking in the space gained from Kardex. Total of 4 additional lines req. EFA can fit 2 maybe 3?</t>
  </si>
  <si>
    <t>Space out in EFA?? Additional space required</t>
  </si>
  <si>
    <t>Req in</t>
  </si>
  <si>
    <t>Oct</t>
  </si>
  <si>
    <t>Jan</t>
  </si>
  <si>
    <t>Mar</t>
  </si>
  <si>
    <t>Nov</t>
  </si>
  <si>
    <t>Aug</t>
  </si>
  <si>
    <t>May</t>
  </si>
  <si>
    <t>Additional Line x 2</t>
  </si>
  <si>
    <t>Production</t>
  </si>
  <si>
    <t>Sep</t>
  </si>
  <si>
    <t>Dec</t>
  </si>
  <si>
    <t>Key Decisions</t>
  </si>
  <si>
    <t>Week</t>
  </si>
  <si>
    <t>* Keep YG100 SMT line? AR to start A3 to determine</t>
  </si>
  <si>
    <t>* RPS line and fluxer mod needs to be confirmed</t>
  </si>
  <si>
    <t>* Find space for 4th SMT line - Date depends if we keep YG line</t>
  </si>
  <si>
    <t>* Plans to be drawn up to see how we fit all equipment in modules area - JT</t>
  </si>
  <si>
    <t>Production Area</t>
  </si>
  <si>
    <t>Equipment/Bench</t>
  </si>
  <si>
    <t>Current Capacity</t>
  </si>
  <si>
    <t>Date Capacity Hits 90%</t>
  </si>
  <si>
    <t>Days till we run out</t>
  </si>
  <si>
    <t>Leadtime on Equipment (months)</t>
  </si>
  <si>
    <t>Date to order</t>
  </si>
  <si>
    <t>Days left to order</t>
  </si>
  <si>
    <t>Space Required</t>
  </si>
  <si>
    <t>Is space Available? Solution?</t>
  </si>
  <si>
    <t>With new Equipment new Capacity Fig</t>
  </si>
  <si>
    <t>Date Capacity hits 90%</t>
  </si>
  <si>
    <t>Capacity Issue Resolved?</t>
  </si>
  <si>
    <t>Possibly</t>
  </si>
  <si>
    <t>Selective Solder Lines</t>
  </si>
  <si>
    <t>Testing Towers</t>
  </si>
  <si>
    <t>Conformal Coating</t>
  </si>
  <si>
    <t>XFMR</t>
  </si>
  <si>
    <t>2nd Shift</t>
  </si>
  <si>
    <t>2nd shift</t>
  </si>
  <si>
    <t>PCB - 91</t>
  </si>
  <si>
    <t>AM - 90</t>
  </si>
  <si>
    <t>SEC - 98</t>
  </si>
  <si>
    <t>EVS Production</t>
  </si>
  <si>
    <t>PCB Utilisation</t>
  </si>
  <si>
    <t>AM Utilisation</t>
  </si>
  <si>
    <t>SEC Utilisation</t>
  </si>
  <si>
    <t>EVS Utilisation</t>
  </si>
  <si>
    <t>Direct</t>
  </si>
  <si>
    <t>Indirect</t>
  </si>
  <si>
    <t>ZM02</t>
  </si>
  <si>
    <t>Time to Make 60 Mins</t>
  </si>
  <si>
    <t>Efficiency Rate</t>
  </si>
  <si>
    <t>Week 12 2023</t>
  </si>
  <si>
    <t>Week 13 2023</t>
  </si>
  <si>
    <t>Week 14 2023</t>
  </si>
  <si>
    <t>Week 15 2023</t>
  </si>
  <si>
    <t>Week 16 2023</t>
  </si>
  <si>
    <t>Week 17 2023</t>
  </si>
  <si>
    <t>Week 18 2023</t>
  </si>
  <si>
    <t>Week 19 2023</t>
  </si>
  <si>
    <t>FA/EFA</t>
  </si>
  <si>
    <t>T/L to Directs</t>
  </si>
  <si>
    <t>T/L to Directs and Diesetters</t>
  </si>
  <si>
    <t>Supervisor to Directs</t>
  </si>
  <si>
    <t>Manager to Directs</t>
  </si>
  <si>
    <t>Manager to T/Ls</t>
  </si>
  <si>
    <t>Manager to Team</t>
  </si>
  <si>
    <t>Man/Sup/TL's/Diesetters to Directs</t>
  </si>
  <si>
    <t>Stores Team to Directs</t>
  </si>
  <si>
    <t>Man/Sup/TL's/DS/Stores to Directs</t>
  </si>
  <si>
    <t>Technicians to Directs</t>
  </si>
  <si>
    <t>Engineers to Directs</t>
  </si>
  <si>
    <t>Total Indirects to Directs</t>
  </si>
  <si>
    <t>VS Manager</t>
  </si>
  <si>
    <t>SEC/XFMR</t>
  </si>
  <si>
    <t>Managers</t>
  </si>
  <si>
    <t>Supervisors</t>
  </si>
  <si>
    <t>Team Leaders</t>
  </si>
  <si>
    <t>Diesetters</t>
  </si>
  <si>
    <t>Stores Team Leader</t>
  </si>
  <si>
    <t>Stores Team Members</t>
  </si>
  <si>
    <t>Direct Team Members</t>
  </si>
  <si>
    <t>Total Team</t>
  </si>
  <si>
    <t>Technicians</t>
  </si>
  <si>
    <t>Engineers</t>
  </si>
  <si>
    <t>Julian</t>
  </si>
  <si>
    <t>Andrew</t>
  </si>
  <si>
    <t>Tim</t>
  </si>
  <si>
    <t>Ross</t>
  </si>
  <si>
    <t>Duane</t>
  </si>
  <si>
    <t>Charles</t>
  </si>
  <si>
    <t>Tom</t>
  </si>
  <si>
    <t>Gary</t>
  </si>
  <si>
    <t>Dennis</t>
  </si>
  <si>
    <t>Jarrod</t>
  </si>
  <si>
    <t>Karam</t>
  </si>
  <si>
    <t>Aldion</t>
  </si>
  <si>
    <t>Growtham</t>
  </si>
  <si>
    <t>Chris</t>
  </si>
  <si>
    <t>Glenn</t>
  </si>
  <si>
    <t>Grand Total</t>
  </si>
  <si>
    <t>OPR</t>
  </si>
  <si>
    <t>Punched hours for the Week</t>
  </si>
  <si>
    <t>Should use ZM02 and hours punched for the week as that is what has been completed. Setup, Lab, Tear down</t>
  </si>
  <si>
    <t>Rework is excluded</t>
  </si>
  <si>
    <t>Available Direct Hours for the Week</t>
  </si>
  <si>
    <t>Total Team Hours for the Week</t>
  </si>
  <si>
    <t>Working days in the week</t>
  </si>
  <si>
    <t>Hours per shift (per day, per person)</t>
  </si>
  <si>
    <t>Ratios</t>
  </si>
  <si>
    <t>Directs to In-directs</t>
  </si>
  <si>
    <t>Planned SAP Hrs vs Direct Hrs</t>
  </si>
  <si>
    <t>Planned SAP Hrs vs Indirect &amp; Direct Hrs</t>
  </si>
  <si>
    <t>Punched SAP Hrs vs Direct Hrs</t>
  </si>
  <si>
    <t>Punched SAP Hrs vs Indirect &amp; Direct Hrs</t>
  </si>
  <si>
    <t>Running average</t>
  </si>
  <si>
    <t>Target</t>
  </si>
  <si>
    <t>Mins to produce 60 mins</t>
  </si>
  <si>
    <t>Week 28 2019</t>
  </si>
  <si>
    <t>Week 29 2019</t>
  </si>
  <si>
    <t>Week 30 2019</t>
  </si>
  <si>
    <t>Week 31 2019</t>
  </si>
  <si>
    <t>Week 32 2019</t>
  </si>
  <si>
    <t>Week 33 2019</t>
  </si>
  <si>
    <t>Week 34 2019</t>
  </si>
  <si>
    <t>Week 35 2019</t>
  </si>
  <si>
    <t>Week 36 2019</t>
  </si>
  <si>
    <t>Week 37 2019</t>
  </si>
  <si>
    <t>Week 38 2019</t>
  </si>
  <si>
    <t>Week 39 2019</t>
  </si>
  <si>
    <t>Week 40 2019</t>
  </si>
  <si>
    <t>Week 41 2019</t>
  </si>
  <si>
    <t>Week 42 2019</t>
  </si>
  <si>
    <t>Week 43 2019</t>
  </si>
  <si>
    <t>Week 44 2019</t>
  </si>
  <si>
    <t>Week 45 2019</t>
  </si>
  <si>
    <t>Week 46 2019</t>
  </si>
  <si>
    <t>Week 47 2019</t>
  </si>
  <si>
    <t>Week 48 2019</t>
  </si>
  <si>
    <t>Week 49 2019</t>
  </si>
  <si>
    <t>Week 02 2020</t>
  </si>
  <si>
    <t>Week 03 2020</t>
  </si>
  <si>
    <t>Week 04 2020</t>
  </si>
  <si>
    <t>Week 05 2020</t>
  </si>
  <si>
    <t>Week 06 2020</t>
  </si>
  <si>
    <t>Week 07 2020</t>
  </si>
  <si>
    <t>Week 08 2020</t>
  </si>
  <si>
    <t>Week 09 2020</t>
  </si>
  <si>
    <t>Week 10 2020</t>
  </si>
  <si>
    <t>Week 11 2020</t>
  </si>
  <si>
    <t>Week 12 2020</t>
  </si>
  <si>
    <t>Week 18 2020</t>
  </si>
  <si>
    <t>Week 19 2020</t>
  </si>
  <si>
    <t>Week 20 2020</t>
  </si>
  <si>
    <t>Week 21 2020</t>
  </si>
  <si>
    <t>Week 22 2020</t>
  </si>
  <si>
    <t>Week 23 2020</t>
  </si>
  <si>
    <t>Week 24 2020</t>
  </si>
  <si>
    <t>Week 25 2020</t>
  </si>
  <si>
    <t>Week 26 2020</t>
  </si>
  <si>
    <t>Week 27 2020</t>
  </si>
  <si>
    <t>Week 28 2020</t>
  </si>
  <si>
    <t>Week 29 2020</t>
  </si>
  <si>
    <t>Week 30 2020</t>
  </si>
  <si>
    <t>Week 31 2020</t>
  </si>
  <si>
    <t>Week 32 2020</t>
  </si>
  <si>
    <t>Week 34 2020</t>
  </si>
  <si>
    <t>Week 35 2020</t>
  </si>
  <si>
    <t>Week 36 2020</t>
  </si>
  <si>
    <t>Week 37 2020</t>
  </si>
  <si>
    <t>Week 38 2020</t>
  </si>
  <si>
    <t>Week 39 2020</t>
  </si>
  <si>
    <t>Week 40 2020</t>
  </si>
  <si>
    <t>Week 41 2020</t>
  </si>
  <si>
    <t>Week 42 2020</t>
  </si>
  <si>
    <t>Week 43 2020</t>
  </si>
  <si>
    <t>Week 44 2020</t>
  </si>
  <si>
    <t>Week 45 2020</t>
  </si>
  <si>
    <t>Week 46 2020</t>
  </si>
  <si>
    <t>Week 47 2020</t>
  </si>
  <si>
    <t>Previous figures are what has been scheduled in, following figures is what was punched - Monday to Friday excluding Saturday</t>
  </si>
  <si>
    <t>Week 48 2020</t>
  </si>
  <si>
    <t>Week 49 2020</t>
  </si>
  <si>
    <t>Week 50 2020</t>
  </si>
  <si>
    <t>Week 06 2021</t>
  </si>
  <si>
    <t>Week 07 2021</t>
  </si>
  <si>
    <t>Week 08 2021</t>
  </si>
  <si>
    <t>Week 09 2021</t>
  </si>
  <si>
    <t>Week 10 2021</t>
  </si>
  <si>
    <t>Week 11 2021</t>
  </si>
  <si>
    <t>Week 12 2021</t>
  </si>
  <si>
    <t>Week 13 2021</t>
  </si>
  <si>
    <t>Week 14 2021</t>
  </si>
  <si>
    <t>Week 15 2021</t>
  </si>
  <si>
    <t>Week 16 2021</t>
  </si>
  <si>
    <t>Week 17 2021</t>
  </si>
  <si>
    <t>Week 18 2021</t>
  </si>
  <si>
    <t>Week 19 2021</t>
  </si>
  <si>
    <t>Week 20 2021</t>
  </si>
  <si>
    <t>Week 21 2021</t>
  </si>
  <si>
    <t>Week 24 2021</t>
  </si>
  <si>
    <t>Week 25 2021</t>
  </si>
  <si>
    <t>Week 26 2021</t>
  </si>
  <si>
    <t>Week 27 2021</t>
  </si>
  <si>
    <t>Week 28 2021</t>
  </si>
  <si>
    <t>Week 29 2021</t>
  </si>
  <si>
    <t>Week 30 2021</t>
  </si>
  <si>
    <t>Week 31 2021</t>
  </si>
  <si>
    <t>Week 32 2021</t>
  </si>
  <si>
    <t>Week 33 2021</t>
  </si>
  <si>
    <t>Week 34 2021</t>
  </si>
  <si>
    <t>Week 35 2021</t>
  </si>
  <si>
    <t>Week 36 2021</t>
  </si>
  <si>
    <t>Week 37 2021</t>
  </si>
  <si>
    <t>Week 38 2021</t>
  </si>
  <si>
    <t>Week 39 2021</t>
  </si>
  <si>
    <t>Week 40 2021</t>
  </si>
  <si>
    <t>Week 41 2021</t>
  </si>
  <si>
    <t>Week 42 2021</t>
  </si>
  <si>
    <t>Week 43 2021</t>
  </si>
  <si>
    <t>Week 44 2021</t>
  </si>
  <si>
    <t>Week 45 2021</t>
  </si>
  <si>
    <t>Week 46 2021</t>
  </si>
  <si>
    <t>Week 47 2021</t>
  </si>
  <si>
    <t>Week 48 2021</t>
  </si>
  <si>
    <t>Week 49 2021</t>
  </si>
  <si>
    <t>Week 3 2022</t>
  </si>
  <si>
    <t>Week 4 2022</t>
  </si>
  <si>
    <t>Week 5 2022</t>
  </si>
  <si>
    <t>Week 6 2022</t>
  </si>
  <si>
    <t>Week 7 2022</t>
  </si>
  <si>
    <t>Week 8 2022</t>
  </si>
  <si>
    <t>Week 9 2022</t>
  </si>
  <si>
    <t>Week 10 2022</t>
  </si>
  <si>
    <t>Week 11 2022</t>
  </si>
  <si>
    <t>Week 12 2022</t>
  </si>
  <si>
    <t>Week 13 2022</t>
  </si>
  <si>
    <t>Week 14 2022</t>
  </si>
  <si>
    <t>Week 15 2022</t>
  </si>
  <si>
    <t>Week 17 2022</t>
  </si>
  <si>
    <t>Week 18 2022</t>
  </si>
  <si>
    <t>Week 19 2022</t>
  </si>
  <si>
    <t>Week 20 2022</t>
  </si>
  <si>
    <t>Week 21 2022</t>
  </si>
  <si>
    <t>Week 22 2022</t>
  </si>
  <si>
    <t>Week 23 2022</t>
  </si>
  <si>
    <t>Week 24 2022</t>
  </si>
  <si>
    <t>Week 25 2022</t>
  </si>
  <si>
    <t>Week 26 2022</t>
  </si>
  <si>
    <t>Week 27 2022</t>
  </si>
  <si>
    <t>Week 28 2022</t>
  </si>
  <si>
    <t>Week 29 2022</t>
  </si>
  <si>
    <t>Week 30 2022</t>
  </si>
  <si>
    <t>Week 31 2022</t>
  </si>
  <si>
    <t>Week 32 2022</t>
  </si>
  <si>
    <t>Week 33 2022</t>
  </si>
  <si>
    <t>Week 34 2022</t>
  </si>
  <si>
    <t>Week 35 2022</t>
  </si>
  <si>
    <t>Week 36 2022</t>
  </si>
  <si>
    <t>Week 37 2022</t>
  </si>
  <si>
    <t>Week 38 2022</t>
  </si>
  <si>
    <t>Week 39 2022</t>
  </si>
  <si>
    <t>Week 40 2022</t>
  </si>
  <si>
    <t>Week 41 2022</t>
  </si>
  <si>
    <t>Week 42 2022</t>
  </si>
  <si>
    <t>Week 43 2022</t>
  </si>
  <si>
    <t>Week 44 2022</t>
  </si>
  <si>
    <t>Week 45 2022</t>
  </si>
  <si>
    <t>Week 46 2022</t>
  </si>
  <si>
    <t>Week 47 2022</t>
  </si>
  <si>
    <t>Week 48 2022</t>
  </si>
  <si>
    <t>Week 49 2022</t>
  </si>
  <si>
    <t>Week 03 2023</t>
  </si>
  <si>
    <t>Week 04 2023</t>
  </si>
  <si>
    <t>Week 05 2023</t>
  </si>
  <si>
    <t>Week 06 2023</t>
  </si>
  <si>
    <t>Week 07 2023</t>
  </si>
  <si>
    <t>Week 08 2023</t>
  </si>
  <si>
    <t>Week 09 2023</t>
  </si>
  <si>
    <t>Week 10 2023</t>
  </si>
  <si>
    <t>Week 11 2023</t>
  </si>
  <si>
    <t>Overall Electronics (Mod + FA + Production Support)</t>
  </si>
  <si>
    <t>Production Engineering Team Numbers</t>
  </si>
  <si>
    <t>Sec Transformers</t>
  </si>
  <si>
    <t>Electronics Excl - Prod Engineering</t>
  </si>
  <si>
    <t>Prod Eng</t>
  </si>
  <si>
    <t>Stores</t>
  </si>
  <si>
    <t>Indirects Excl Stores vs Directs</t>
  </si>
  <si>
    <t>FA T/L, Sups,Setters</t>
  </si>
  <si>
    <t>PCB T/L, Sups, Setters</t>
  </si>
  <si>
    <t>Elec Indirects (Excl PE)</t>
  </si>
  <si>
    <t>In-Directs against Total Team</t>
  </si>
  <si>
    <t>In-Directs against Their Own Team</t>
  </si>
  <si>
    <t>Employees</t>
  </si>
  <si>
    <t>Ratio to Directs</t>
  </si>
  <si>
    <t>All In-Directs</t>
  </si>
  <si>
    <t>All Stores</t>
  </si>
  <si>
    <t>PCB Team</t>
  </si>
  <si>
    <t>FA Team</t>
  </si>
  <si>
    <t>OEE</t>
  </si>
  <si>
    <t>Overall Equipment Effectivness = Availability X Performance X Quality</t>
  </si>
  <si>
    <t>Availability 1 = Running time of equipment/Shift Structure (7.5 Hrs * 2 shifts * 5 days * 89% loaded)</t>
  </si>
  <si>
    <t>Availability 2 = Running time of equipment/Available time (24 Hrs * 7 days)</t>
  </si>
  <si>
    <t>Performance = OPR</t>
  </si>
  <si>
    <t>Wastage = Any quality data</t>
  </si>
  <si>
    <t>Running time of equipment = The time the machine is either picking, placing or conveying PCB's - data from SMS software</t>
  </si>
  <si>
    <t>OPR - from ZM02</t>
  </si>
  <si>
    <t>Quality = Component wastage (the parts the machine has rejected or mispicked). Wastage = Components rejected/Components picked</t>
  </si>
  <si>
    <t>All</t>
  </si>
  <si>
    <t>Availability</t>
  </si>
  <si>
    <t>Performance</t>
  </si>
  <si>
    <t>Quality</t>
  </si>
  <si>
    <t>PCB Qty</t>
  </si>
  <si>
    <t>XFMR Qty</t>
  </si>
  <si>
    <t>AM Qty</t>
  </si>
  <si>
    <t>SEC Qty</t>
  </si>
  <si>
    <t>AM &amp; SEC Qty</t>
  </si>
  <si>
    <t>XFMR, PCB, SEC, AM Qty</t>
  </si>
  <si>
    <t>Confirmed</t>
  </si>
  <si>
    <t>Growth on Previous Yr</t>
  </si>
  <si>
    <t>% of Modules</t>
  </si>
  <si>
    <t>y</t>
  </si>
  <si>
    <t>All areas - qty per month (Excludes FA Sub Assemblies)</t>
  </si>
  <si>
    <t>All areas - accumulative qty (Excludes FA Sub Assemblies)</t>
  </si>
  <si>
    <t>Month</t>
  </si>
  <si>
    <t>Dif</t>
  </si>
  <si>
    <t>Jun</t>
  </si>
  <si>
    <t>PCB Area - qty per month</t>
  </si>
  <si>
    <t>PCB Area - accumulative qty</t>
  </si>
  <si>
    <t>Diff</t>
  </si>
  <si>
    <t>XFMR - qty per month</t>
  </si>
  <si>
    <t>XFMR - accumulative qty</t>
  </si>
  <si>
    <t>AM Final Assembly - qty per month</t>
  </si>
  <si>
    <t>AM Final Assembly - accumulative qty</t>
  </si>
  <si>
    <t>SEC Final Assembly - qty per month</t>
  </si>
  <si>
    <t>SEC Final Assembly - accumulative qty</t>
  </si>
  <si>
    <t>% Based off last yrs total</t>
  </si>
  <si>
    <t>% Through Yr</t>
  </si>
  <si>
    <t>PCB Area %</t>
  </si>
  <si>
    <t>AM %</t>
  </si>
  <si>
    <t>SEC %</t>
  </si>
  <si>
    <t>XFMR %</t>
  </si>
  <si>
    <t>Total Units %</t>
  </si>
  <si>
    <t>Units Made 2021</t>
  </si>
  <si>
    <t>eShepherd Workings for Capacity</t>
  </si>
  <si>
    <t>Year</t>
  </si>
  <si>
    <t>Volume</t>
  </si>
  <si>
    <t>Figures based off 2 shifts - hours per week</t>
  </si>
  <si>
    <t>Hrs</t>
  </si>
  <si>
    <t>Estimated Route times from original investigation when Gallagher first partnered up with eShepherd</t>
  </si>
  <si>
    <t>Estimated Route Times</t>
  </si>
  <si>
    <t>Hrs Per Week</t>
  </si>
  <si>
    <t>Lines Required</t>
  </si>
  <si>
    <t>Selective Solder</t>
  </si>
  <si>
    <t>Test Tower</t>
  </si>
  <si>
    <t>cc</t>
  </si>
  <si>
    <t>9 x 4</t>
  </si>
  <si>
    <t>Final Assy Lab Time</t>
  </si>
  <si>
    <t>rps</t>
  </si>
  <si>
    <t>3 x 10</t>
  </si>
  <si>
    <t>No. of Ops</t>
  </si>
  <si>
    <t>2026 Estimated Volume - 100,000 units</t>
  </si>
  <si>
    <t>2030 Estimated Volume - 300,000 units</t>
  </si>
  <si>
    <t>Equipment required</t>
  </si>
  <si>
    <t>sqM</t>
  </si>
  <si>
    <t>Lines</t>
  </si>
  <si>
    <t>Conformal Coat</t>
  </si>
  <si>
    <t xml:space="preserve">Final Assy </t>
  </si>
  <si>
    <t>6 Op Line</t>
  </si>
  <si>
    <t>Estimated Floor Space sqM</t>
  </si>
  <si>
    <t>5 Yrs</t>
  </si>
  <si>
    <t>9 Yrs</t>
  </si>
  <si>
    <t>Current SqM</t>
  </si>
  <si>
    <t>SqM Req</t>
  </si>
  <si>
    <t>Growth</t>
  </si>
  <si>
    <t>B3 factory and Offices excl Stores</t>
  </si>
  <si>
    <t>Building 3 Factory Only</t>
  </si>
  <si>
    <t>SqM Increase</t>
  </si>
  <si>
    <t>Final Assembly (SEC / AM / HW / LC)</t>
  </si>
  <si>
    <t>From Cad plans</t>
  </si>
  <si>
    <t>Solder &amp; Test</t>
  </si>
  <si>
    <t>Sub Assy (PCB/XFMR)</t>
  </si>
  <si>
    <t>Coating</t>
  </si>
  <si>
    <t>RMP, EFA &amp; EL Stores</t>
  </si>
  <si>
    <t>Production Engineering</t>
  </si>
  <si>
    <t>B3 Offices</t>
  </si>
  <si>
    <t>Factory Offices</t>
  </si>
  <si>
    <t>Final Assy &amp; Sub Assy Total</t>
  </si>
  <si>
    <t>Total B3</t>
  </si>
  <si>
    <t>Factory Offices (Level 2)</t>
  </si>
  <si>
    <t>Overall Total</t>
  </si>
  <si>
    <t>B4/7 factory excl Stores</t>
  </si>
  <si>
    <t>Building 4 &amp; 7 Factory Only</t>
  </si>
  <si>
    <t>From Glenn</t>
  </si>
  <si>
    <t>Loadcells</t>
  </si>
  <si>
    <t>Plastics</t>
  </si>
  <si>
    <t>Soak Rooms</t>
  </si>
  <si>
    <t>Total B4 &amp; B7 Factories</t>
  </si>
  <si>
    <t>Security Potting</t>
  </si>
  <si>
    <t>NZDF</t>
  </si>
  <si>
    <t>Tool &amp; Die</t>
  </si>
  <si>
    <t>Building 10</t>
  </si>
  <si>
    <t>Extruder</t>
  </si>
  <si>
    <t>LoadCells</t>
  </si>
  <si>
    <t>Part of B4</t>
  </si>
  <si>
    <t>Maintenance</t>
  </si>
  <si>
    <t>Man Stores</t>
  </si>
  <si>
    <t>RPS</t>
  </si>
  <si>
    <t>Inwards and Dist Stores</t>
  </si>
  <si>
    <t>PVA</t>
  </si>
  <si>
    <t>Final Assembly (SEC / AM)</t>
  </si>
  <si>
    <t>EFA &amp; EL Stores</t>
  </si>
  <si>
    <t>Electronics Total</t>
  </si>
  <si>
    <t>Do not edit the figures here - edit the ones above as these figures come from above</t>
  </si>
  <si>
    <t>Final Assembly Areas (HW/SEC/AM/LC/PE)</t>
  </si>
  <si>
    <t>Sub Assy (SMT/PCB/XFMR)</t>
  </si>
  <si>
    <t>Total GGL Factory</t>
  </si>
  <si>
    <t>eShepherd</t>
  </si>
  <si>
    <t>Total GGL &amp; eShepherd Factory</t>
  </si>
  <si>
    <t>Manufacturing Stores</t>
  </si>
  <si>
    <t>Inwards &amp; Distribution Stores</t>
  </si>
  <si>
    <t>Total Stores</t>
  </si>
  <si>
    <t>FY</t>
  </si>
  <si>
    <t>F2014</t>
  </si>
  <si>
    <t>Operations Support/Admin Teams</t>
  </si>
  <si>
    <t>F2015</t>
  </si>
  <si>
    <t>F2016</t>
  </si>
  <si>
    <t>F2017</t>
  </si>
  <si>
    <t>F2018</t>
  </si>
  <si>
    <t>Grand Total Ex eShepherd</t>
  </si>
  <si>
    <t>F2019</t>
  </si>
  <si>
    <t>F2020</t>
  </si>
  <si>
    <t>F2021</t>
  </si>
  <si>
    <t>F2022</t>
  </si>
  <si>
    <t>Operations Grand Total</t>
  </si>
  <si>
    <t>Including F2022 Projections</t>
  </si>
  <si>
    <t>4Yr Avg</t>
  </si>
  <si>
    <t>3Yr Avg</t>
  </si>
  <si>
    <t>Current FY2021</t>
  </si>
  <si>
    <t>2Yr Avg</t>
  </si>
  <si>
    <t xml:space="preserve">Group Revenue $M </t>
  </si>
  <si>
    <t>Excluding F2022 Projections</t>
  </si>
  <si>
    <t>Based on Bench Capacities and Expected Revenue Growth</t>
  </si>
  <si>
    <t>Benches/Lines/Equipment</t>
  </si>
  <si>
    <t>F2026</t>
  </si>
  <si>
    <t>F2030</t>
  </si>
  <si>
    <t>Current</t>
  </si>
  <si>
    <t>Current Usage</t>
  </si>
  <si>
    <t>% Increase</t>
  </si>
  <si>
    <t>Revenue $M</t>
  </si>
  <si>
    <t>FA</t>
  </si>
  <si>
    <t>FA Benches</t>
  </si>
  <si>
    <t>Revenue per equip</t>
  </si>
  <si>
    <t>Modules / PCB/ Area</t>
  </si>
  <si>
    <t xml:space="preserve">Solder </t>
  </si>
  <si>
    <t>Test Towers</t>
  </si>
  <si>
    <t>Solder</t>
  </si>
  <si>
    <t>2.8 X current space</t>
  </si>
  <si>
    <t>607 (Sipro)</t>
  </si>
  <si>
    <t>150sqM</t>
  </si>
  <si>
    <t>Max Directs Across 1 Shift</t>
  </si>
  <si>
    <t>2 Shift Total</t>
  </si>
  <si>
    <t>1 Shift T/Ls Required</t>
  </si>
  <si>
    <t>2 Shift T/Ls Required</t>
  </si>
  <si>
    <t>Current Max</t>
  </si>
  <si>
    <t>Animal Management &amp; SEC</t>
  </si>
  <si>
    <t>Group</t>
  </si>
  <si>
    <t>Final Assy</t>
  </si>
  <si>
    <t>Now</t>
  </si>
  <si>
    <t>Directs</t>
  </si>
  <si>
    <t>$M pp</t>
  </si>
  <si>
    <t>Final Assy (SEC and AM)</t>
  </si>
  <si>
    <t>Final Assy SEC</t>
  </si>
  <si>
    <t>Final Assy AM</t>
  </si>
  <si>
    <t>SEC/XFMR Day</t>
  </si>
  <si>
    <t>SEC/XFMR Afternoon</t>
  </si>
  <si>
    <t>AM Day</t>
  </si>
  <si>
    <t>AM Afternoon</t>
  </si>
  <si>
    <t>AM &amp; SEC Day</t>
  </si>
  <si>
    <t>AM &amp; SEC Afternoon</t>
  </si>
  <si>
    <t>Total Directs</t>
  </si>
  <si>
    <t>Total Team Leaders</t>
  </si>
  <si>
    <t>Manager</t>
  </si>
  <si>
    <t>5 Years</t>
  </si>
  <si>
    <t>Last 3 year average</t>
  </si>
  <si>
    <t>SEC Day</t>
  </si>
  <si>
    <t>SEC Afternoon</t>
  </si>
  <si>
    <t>9 Years</t>
  </si>
  <si>
    <t>Benches Req</t>
  </si>
  <si>
    <t>Bench Req</t>
  </si>
  <si>
    <t>sqM Req per Bench</t>
  </si>
  <si>
    <t>5 benches currently @ 77% capacity overall</t>
  </si>
  <si>
    <t>6 benches currently @ 62% capacity overall</t>
  </si>
  <si>
    <t>Current state</t>
  </si>
  <si>
    <t>Assy lines</t>
  </si>
  <si>
    <t>sqM for FA</t>
  </si>
  <si>
    <t>sqM per line</t>
  </si>
  <si>
    <t>FA sqM Req</t>
  </si>
  <si>
    <t>Total Space Required</t>
  </si>
  <si>
    <t>Operations Admin</t>
  </si>
  <si>
    <t>Size</t>
  </si>
  <si>
    <t>Team meeting rooms for full team meetings</t>
  </si>
  <si>
    <t>30x30</t>
  </si>
  <si>
    <t>Team meeting rooms for department meetings</t>
  </si>
  <si>
    <t>15x15</t>
  </si>
  <si>
    <t>Systems Team</t>
  </si>
  <si>
    <t>CI team room</t>
  </si>
  <si>
    <t>5x10</t>
  </si>
  <si>
    <t>Training Hub</t>
  </si>
  <si>
    <t>Recruitment Room</t>
  </si>
  <si>
    <t>3x3</t>
  </si>
  <si>
    <t>Big room</t>
  </si>
  <si>
    <t>3 small dojo rooms</t>
  </si>
  <si>
    <t>3.5x5</t>
  </si>
  <si>
    <t>37 team members</t>
  </si>
  <si>
    <t>Procurement</t>
  </si>
  <si>
    <t>FG $ Value</t>
  </si>
  <si>
    <t>Final Assy Units Made</t>
  </si>
  <si>
    <t>Security Units</t>
  </si>
  <si>
    <t>AM Units</t>
  </si>
  <si>
    <t>SMT / PCB Modules</t>
  </si>
  <si>
    <t>Labour Hours</t>
  </si>
  <si>
    <t>Revenue - excl FS</t>
  </si>
  <si>
    <t>FG Value</t>
  </si>
  <si>
    <t>% of Growth</t>
  </si>
  <si>
    <t>SEC &amp; AM Units</t>
  </si>
  <si>
    <t>Qty Units</t>
  </si>
  <si>
    <t>Avg Growth</t>
  </si>
  <si>
    <t>Hours</t>
  </si>
  <si>
    <t>Revenue ($m) - excl FS</t>
  </si>
  <si>
    <t>Volume Growth</t>
  </si>
  <si>
    <t>F2013</t>
  </si>
  <si>
    <t>Avg Directs</t>
  </si>
  <si>
    <t>Avg AM FA  Directs</t>
  </si>
  <si>
    <t>Avg HW Directs</t>
  </si>
  <si>
    <t>$M pp HW</t>
  </si>
  <si>
    <t>Avg HW &amp; AMFA Directs</t>
  </si>
  <si>
    <t>$M pp HW&amp;AMFA</t>
  </si>
  <si>
    <t>Actual Figures</t>
  </si>
  <si>
    <t>F2023</t>
  </si>
  <si>
    <t>Projected Figures</t>
  </si>
  <si>
    <t>Currently at 147</t>
  </si>
  <si>
    <t>F2024</t>
  </si>
  <si>
    <t>F2025</t>
  </si>
  <si>
    <t>Row Labels</t>
  </si>
  <si>
    <t>Sum of Total Finished Goods Units (SEC&amp;AM)</t>
  </si>
  <si>
    <t>Sum of SEC Completed Units</t>
  </si>
  <si>
    <t>Sum of AM Completed Units</t>
  </si>
  <si>
    <t>Sum of Modules PCB's</t>
  </si>
  <si>
    <t>Sum of Total Labour Hours</t>
  </si>
  <si>
    <t>Sum of Total Team</t>
  </si>
  <si>
    <t>Sum of Directs</t>
  </si>
  <si>
    <t>F2027</t>
  </si>
  <si>
    <t>Sum of $ Transfer to FG</t>
  </si>
  <si>
    <t>F2028</t>
  </si>
  <si>
    <t>F2029</t>
  </si>
  <si>
    <t>F2031</t>
  </si>
  <si>
    <t>F2032</t>
  </si>
  <si>
    <t>HW</t>
  </si>
  <si>
    <t>HW &amp; AM</t>
  </si>
  <si>
    <t>Method</t>
  </si>
  <si>
    <t>Revenue Growth</t>
  </si>
  <si>
    <t>Per Employee Contribution</t>
  </si>
  <si>
    <t>Benches</t>
  </si>
  <si>
    <t>Sum of Expenses</t>
  </si>
  <si>
    <t>Average of Total Team</t>
  </si>
  <si>
    <t>Average of Directs</t>
  </si>
  <si>
    <t>Sum of Recovery</t>
  </si>
  <si>
    <t>&lt;1/11/2011</t>
  </si>
  <si>
    <t>2011</t>
  </si>
  <si>
    <t>2012</t>
  </si>
  <si>
    <t>2013</t>
  </si>
  <si>
    <t>2014</t>
  </si>
  <si>
    <t>2015</t>
  </si>
  <si>
    <t>2016</t>
  </si>
  <si>
    <t>2017</t>
  </si>
  <si>
    <t>2018</t>
  </si>
  <si>
    <t>Qtr1</t>
  </si>
  <si>
    <t>Qtr2</t>
  </si>
  <si>
    <t>Qtr3</t>
  </si>
  <si>
    <t>Qtr4</t>
  </si>
  <si>
    <t>2019</t>
  </si>
  <si>
    <t>2020</t>
  </si>
  <si>
    <t>2021</t>
  </si>
  <si>
    <t>2022</t>
  </si>
  <si>
    <t>2023</t>
  </si>
  <si>
    <t>Expenses</t>
  </si>
  <si>
    <t>$ to Finished Goods</t>
  </si>
  <si>
    <t>FG Units</t>
  </si>
  <si>
    <t>Average EVS Team</t>
  </si>
  <si>
    <t>Average Direct Team</t>
  </si>
  <si>
    <t>OPEX / $ to FG</t>
  </si>
  <si>
    <t>OPEX / FG Units</t>
  </si>
  <si>
    <t>$ to FG / EVS Team</t>
  </si>
  <si>
    <t>$ to FG / Direct Team</t>
  </si>
  <si>
    <t>FG Units / EVS Team</t>
  </si>
  <si>
    <t>FG Units / Direct Team</t>
  </si>
  <si>
    <t>Pay rate</t>
  </si>
  <si>
    <t xml:space="preserve">Recovery </t>
  </si>
  <si>
    <t>U/O Recovery</t>
  </si>
  <si>
    <t>Over / Under Recovery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</si>
  <si>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</si>
  <si>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</si>
  <si>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</si>
  <si>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</si>
  <si>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</si>
  <si>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</si>
  <si>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</si>
  <si>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</si>
  <si>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</si>
  <si>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</si>
  <si>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</si>
  <si>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</si>
  <si>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</si>
  <si>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</si>
  <si>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</si>
  <si>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</si>
  <si>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</si>
  <si>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2022 Q3</t>
  </si>
  <si>
    <t>2022 Q4</t>
  </si>
  <si>
    <t>2023 Q1</t>
  </si>
  <si>
    <t>2023 Q2</t>
  </si>
  <si>
    <t>2023 Q3</t>
  </si>
  <si>
    <t>2023 Q4</t>
  </si>
  <si>
    <t>Recoveries</t>
  </si>
  <si>
    <r>
      <t>Over/(</t>
    </r>
    <r>
      <rPr>
        <b/>
        <sz val="11"/>
        <color rgb="FFFF0000"/>
        <rFont val="Calibri"/>
        <family val="2"/>
        <scheme val="minor"/>
      </rPr>
      <t>Under</t>
    </r>
    <r>
      <rPr>
        <b/>
        <sz val="11"/>
        <color theme="1"/>
        <rFont val="Calibri"/>
        <family val="2"/>
        <scheme val="minor"/>
      </rPr>
      <t>) Recovery</t>
    </r>
  </si>
  <si>
    <t>Recovery %</t>
  </si>
  <si>
    <t>Sum of Recoveries</t>
  </si>
  <si>
    <t>Sum of Over/(Under) Recovery</t>
  </si>
  <si>
    <t>h</t>
  </si>
  <si>
    <t>l</t>
  </si>
  <si>
    <t>GATE units tested/failed, FPY, Operator caused, Non operator caused</t>
  </si>
  <si>
    <t>Completed Units</t>
  </si>
  <si>
    <t>Team Member Stats</t>
  </si>
  <si>
    <t>Cost</t>
  </si>
  <si>
    <t>Scrap</t>
  </si>
  <si>
    <t>Recovery</t>
  </si>
  <si>
    <t>Total Tested</t>
  </si>
  <si>
    <t>Failed Operator Caused</t>
  </si>
  <si>
    <t>Operator Caused Failure Rate</t>
  </si>
  <si>
    <t>Total Passed 1st time</t>
  </si>
  <si>
    <t>FPY</t>
  </si>
  <si>
    <t>Total Fails</t>
  </si>
  <si>
    <t>Non Operator Caused Failure Rate</t>
  </si>
  <si>
    <t>$ Transfer to FG</t>
  </si>
  <si>
    <t>$ Transfer to FG - 12 Month Average</t>
  </si>
  <si>
    <t>Total Finished Goods Units (SEC&amp;AM)</t>
  </si>
  <si>
    <t>Total Finished Goods Units (SEC&amp;AM) 12 month Average</t>
  </si>
  <si>
    <t>Total FG's W/O's (SEC&amp;AM)</t>
  </si>
  <si>
    <t>Total FG's W/O 12 mnth avg</t>
  </si>
  <si>
    <t>Total FG's SKU's (SEC&amp;AM)</t>
  </si>
  <si>
    <t>Total FG'sSKU  12 mnth avg</t>
  </si>
  <si>
    <t>SEC Completed Units</t>
  </si>
  <si>
    <t>SEC Completed Units (12 Mnth Average)</t>
  </si>
  <si>
    <t>SEC W/O's (excludes 2A's)</t>
  </si>
  <si>
    <t>SEC W/O's Avg</t>
  </si>
  <si>
    <t>SEC SKU's (excludes 2A's)</t>
  </si>
  <si>
    <t>SEC SKU's 12 mnth avg</t>
  </si>
  <si>
    <t>AM Completed Units</t>
  </si>
  <si>
    <t>AM Completed Units (12 month avg)</t>
  </si>
  <si>
    <t>AM W/O's (excludes 2A's)</t>
  </si>
  <si>
    <t>AM W/O's 12 month avg</t>
  </si>
  <si>
    <t>AM SKU's (excludes 2A's)</t>
  </si>
  <si>
    <t>AM SKU's 12 mnth avg</t>
  </si>
  <si>
    <t>Modules PCB's</t>
  </si>
  <si>
    <t xml:space="preserve">XFMR's </t>
  </si>
  <si>
    <t>S/L</t>
  </si>
  <si>
    <t>A/L</t>
  </si>
  <si>
    <t>Total Labour Hours</t>
  </si>
  <si>
    <t>Scrap as % of FG Value</t>
  </si>
  <si>
    <t>Scrap per $100 to FG</t>
  </si>
  <si>
    <t>Scrap per direct team member</t>
  </si>
  <si>
    <t>Scrap per total team member</t>
  </si>
  <si>
    <t>Scrap as a % of Expenses</t>
  </si>
  <si>
    <t>Expenses / FG unit produced</t>
  </si>
  <si>
    <t>Expenses per total units</t>
  </si>
  <si>
    <t>Expense / direct team member</t>
  </si>
  <si>
    <t>Expense / total team</t>
  </si>
  <si>
    <t>Recovery per FG unit produced</t>
  </si>
  <si>
    <t>Recovery per total units</t>
  </si>
  <si>
    <t>Recovery / direct team member</t>
  </si>
  <si>
    <t>Recovery per total team</t>
  </si>
  <si>
    <t>Units to FG per direct team</t>
  </si>
  <si>
    <t>Units to FG per total team</t>
  </si>
  <si>
    <t>$ to FG per FG Unit</t>
  </si>
  <si>
    <t>$ to FG per Direct Team Member</t>
  </si>
  <si>
    <t>$ to FG per Lab Hour</t>
  </si>
  <si>
    <t>$ to FG per W/O (G/C Level)</t>
  </si>
  <si>
    <t>$ to FG per SKU (G/C Level)</t>
  </si>
  <si>
    <t>PCB's 12 mnth avg</t>
  </si>
  <si>
    <t>XFMR's 12 mnth avg</t>
  </si>
  <si>
    <t>GATE 12 month Avg</t>
  </si>
  <si>
    <t>Labour Hours / direct team member</t>
  </si>
  <si>
    <t>Recovery / labour hour</t>
  </si>
  <si>
    <t>Lab hours 12 mnth avg</t>
  </si>
  <si>
    <t>$ to FG per FG Unit 12 mnth avg</t>
  </si>
  <si>
    <t>Expense per direct 12 mnth avg</t>
  </si>
  <si>
    <t>Recovery per labour hour 12 mnth avg</t>
  </si>
  <si>
    <t>Scrap per FG unit produced 12 mnth avg</t>
  </si>
  <si>
    <t>Direct Staff 12 month avg</t>
  </si>
  <si>
    <t>$ to FG per SKU (G/C Level) 12 mnth avg</t>
  </si>
  <si>
    <t>$ to FG per W/O (G/C Level) 12 mnth avg</t>
  </si>
  <si>
    <t>FPY 12 mnth avg</t>
  </si>
  <si>
    <t>Operator errors 12 mnth avg</t>
  </si>
  <si>
    <t>Other errors 12 mnth avg</t>
  </si>
  <si>
    <t>Expense / Transfer to FG</t>
  </si>
  <si>
    <t>Modules W/O's</t>
  </si>
  <si>
    <t>Modules SKU's</t>
  </si>
  <si>
    <t>XFMR W/O's</t>
  </si>
  <si>
    <t>XFMR SKU's</t>
  </si>
  <si>
    <t>$ to FG per Total Team Member</t>
  </si>
  <si>
    <t>PFR's Raised</t>
  </si>
  <si>
    <t>PFR's 12 month Avg</t>
  </si>
  <si>
    <t>PFR's 12 Month Avg against units produced</t>
  </si>
  <si>
    <t>Overtime</t>
  </si>
  <si>
    <t>AM FA FY Unit Growth</t>
  </si>
  <si>
    <t>SEC FA FY Unit Growth</t>
  </si>
  <si>
    <t>PCB FY Unit Growth</t>
  </si>
  <si>
    <t>XFMR FY Unit Growth</t>
  </si>
  <si>
    <t>12month avg scrap as % of FG</t>
  </si>
  <si>
    <t>12month avg scrap per $100 to FG</t>
  </si>
  <si>
    <t>Expenses / Labour Hour</t>
  </si>
  <si>
    <t xml:space="preserve">Recovery over Expenses  per labour Hr </t>
  </si>
  <si>
    <t xml:space="preserve">Recovery over expenses per Direct </t>
  </si>
  <si>
    <t>Recovery over expenses per total team</t>
  </si>
  <si>
    <t>expenses / FG</t>
  </si>
  <si>
    <t>Rolling 3 mnth OPEX / FG</t>
  </si>
  <si>
    <t>Over/Under Recovery %</t>
  </si>
  <si>
    <t>Rolling 3 mnth Over / Under Recovery</t>
  </si>
  <si>
    <t>Over Recovery Target</t>
  </si>
  <si>
    <t>Under Recovery Target</t>
  </si>
  <si>
    <t>Units to FG / Labour Hour</t>
  </si>
  <si>
    <t>FG Units / SKU</t>
  </si>
  <si>
    <t>FG Units / W/O</t>
  </si>
  <si>
    <t>AM FG Units / SKU</t>
  </si>
  <si>
    <t>SEC FG Units / SKU</t>
  </si>
  <si>
    <t>PCB Units / SKU</t>
  </si>
  <si>
    <t>XFMR Units / SKU</t>
  </si>
  <si>
    <t>AM FG Units / W/O</t>
  </si>
  <si>
    <t>SEC FG Units / W/O</t>
  </si>
  <si>
    <t>PCB Units / W/O</t>
  </si>
  <si>
    <t>XFMR Units / W/O</t>
  </si>
  <si>
    <t>Don't have Stores or Production Engineering Figures</t>
  </si>
  <si>
    <t>Current Month</t>
  </si>
  <si>
    <t>Rolling 3 Month Over / Under Recovery</t>
  </si>
  <si>
    <t>Max</t>
  </si>
  <si>
    <t>Min</t>
  </si>
  <si>
    <t>Directs / Total Team</t>
  </si>
  <si>
    <t>Rolling 3 Month OPEX / FG $</t>
  </si>
  <si>
    <t>$ to FG per Direct</t>
  </si>
  <si>
    <t>197 Team Members</t>
  </si>
  <si>
    <t>1.6 Million Units Made</t>
  </si>
  <si>
    <t>Team Grown by</t>
  </si>
  <si>
    <t>Team Prior to Jan</t>
  </si>
  <si>
    <t xml:space="preserve">New Team </t>
  </si>
  <si>
    <t>Delivery</t>
  </si>
  <si>
    <t>Failed</t>
  </si>
  <si>
    <t>DIFOT</t>
  </si>
  <si>
    <t>Missed</t>
  </si>
  <si>
    <t>1.24 Million Tests</t>
  </si>
  <si>
    <t>Scrap per $100</t>
  </si>
  <si>
    <t>Previous Month</t>
  </si>
  <si>
    <t>$ Transferred to FG</t>
  </si>
  <si>
    <t>Previous Mnth</t>
  </si>
  <si>
    <t>12 Month Avg</t>
  </si>
  <si>
    <t>Previous Highest Month</t>
  </si>
  <si>
    <t>$$ to FG per Labour Hour</t>
  </si>
  <si>
    <t>Units Transferred to FG</t>
  </si>
  <si>
    <t>Average $$ per unit to FG</t>
  </si>
  <si>
    <t>W/O's</t>
  </si>
  <si>
    <t>SKU's</t>
  </si>
  <si>
    <t>$$ to FG per SKU</t>
  </si>
  <si>
    <t>Recovery per Labour Hour</t>
  </si>
  <si>
    <t>SEC Units Transferred to FG</t>
  </si>
  <si>
    <t>Scrap as a % of FG movement</t>
  </si>
  <si>
    <t>Previous Lowest Month</t>
  </si>
  <si>
    <t>$$ to FG per W/O</t>
  </si>
  <si>
    <t>Recovery per Direct Team Member</t>
  </si>
  <si>
    <t>AM Units Transferred to FG</t>
  </si>
  <si>
    <t>PCB's Made</t>
  </si>
  <si>
    <t>Note: Some data goes back to 2011 while others only go back to 2018</t>
  </si>
  <si>
    <t>Total GATE Tests (SEC, AM, PCB)</t>
  </si>
  <si>
    <t>XFMR's Made</t>
  </si>
  <si>
    <t>Operator Caused Failures</t>
  </si>
  <si>
    <t>First Pass Yield (SEC, AM, PCB)</t>
  </si>
  <si>
    <t>Other Failures (Jig, Design, Comp, etc)</t>
  </si>
  <si>
    <t>OPEX per $ to FG</t>
  </si>
  <si>
    <t>Payrate</t>
  </si>
  <si>
    <t>Units to FG per Expenses</t>
  </si>
  <si>
    <t>FG units  per direct team</t>
  </si>
  <si>
    <t>Units to FG per labour hr</t>
  </si>
  <si>
    <t>Expense per total team</t>
  </si>
  <si>
    <t>FG units per total team</t>
  </si>
  <si>
    <t>expenses per labour hour</t>
  </si>
  <si>
    <t>Scrap for every $100 to FG</t>
  </si>
  <si>
    <t>Units to FG per SKU</t>
  </si>
  <si>
    <t>Scrap as % of FG Movement</t>
  </si>
  <si>
    <t>Units to FG per W/O</t>
  </si>
  <si>
    <t>labour hours per direct team member</t>
  </si>
  <si>
    <t>First Pass Yeild (SEC, AM, PCB)</t>
  </si>
  <si>
    <t>$ To Finished Goods</t>
  </si>
  <si>
    <t>Units Made, W/O's and SKU's per Month</t>
  </si>
  <si>
    <t>Expenses and Recovery</t>
  </si>
  <si>
    <t>Week 20 2023</t>
  </si>
  <si>
    <t>Version as of May 2023</t>
  </si>
  <si>
    <t>FY2028</t>
  </si>
  <si>
    <t>2026 Estimated Volume - 140,000 units</t>
  </si>
  <si>
    <t>2028 Estimated Volume - 420,000 units</t>
  </si>
  <si>
    <t>$ to FG per Lab Hour 12 month avg</t>
  </si>
  <si>
    <t>Week 21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</si>
</sst>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_-* #,##0_-;\-* #,##0_-;_-* &quot;-&quot;??_-;_-@_-"/>
    <numFmt numFmtId="166" formatCode="0.0%"/>
    <numFmt numFmtId="167" formatCode="&quot;$&quot;#,##0"/>
    <numFmt numFmtId="168" formatCode="_-&quot;$&quot;* #,##0.0_-;\-&quot;$&quot;* #,##0.0_-;_-&quot;$&quot;* &quot;-&quot;??_-;_-@_-"/>
    <numFmt numFmtId="169" formatCode="_-&quot;$&quot;* #,##0_-;\-&quot;$&quot;* #,##0_-;_-&quot;$&quot;* &quot;-&quot;??_-;_-@_-"/>
    <numFmt numFmtId="170" formatCode="#,##0_ ;\-#,##0\ "/>
    <numFmt numFmtId="171" formatCode="&quot;$&quot;#,##0.00"/>
    <numFmt numFmtId="172" formatCode="mmm"/>
    <numFmt numFmtId="173" formatCode="_-* #,##0.0_-;\-* #,##0.0_-;_-* &quot;-&quot;??_-;_-@_-"/>
    <numFmt numFmtId="174" formatCode="0.000%"/>
    <numFmt numFmtId="175" formatCode="mmm\-yyyy"/>
    <numFmt numFmtId="176" formatCode="_-&quot;$&quot;* #,##0.0000_-;\-&quot;$&quot;* #,##0.0000_-;_-&quot;$&quot;* &quot;-&quot;??_-;_-@_-"/>
  </numFmts>
  <fonts count="48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color rgb="FF3F3F76"/>
      <name val="Calibri"/>
      <family val="2"/>
      <scheme val="minor"/>
    </font>
    <font>
      <sz val="2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6"/>
      <color rgb="FF3F3F76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23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/>
      <bottom/>
      <diagonal/>
    </border>
    <border>
      <left style="medium">
        <color theme="1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 style="medium">
        <color theme="1"/>
      </bottom>
      <diagonal/>
    </border>
    <border>
      <left style="medium">
        <color indexed="64"/>
      </left>
      <right style="thin">
        <color indexed="64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theme="1"/>
      </left>
      <right style="medium">
        <color theme="1"/>
      </right>
      <top style="medium">
        <color theme="1"/>
      </top>
      <bottom/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ashDot">
        <color indexed="64"/>
      </left>
      <right/>
      <top style="dotted">
        <color indexed="64"/>
      </top>
      <bottom/>
      <diagonal/>
    </border>
    <border>
      <left style="dashDot">
        <color indexed="64"/>
      </left>
      <right/>
      <top/>
      <bottom/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dashDot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ash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theme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/>
      <top style="thin">
        <color indexed="64"/>
      </top>
      <bottom/>
      <diagonal/>
    </border>
    <border>
      <left style="medium">
        <color rgb="FFFF0000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/>
      <right style="medium">
        <color theme="1"/>
      </right>
      <top style="thin">
        <color theme="1"/>
      </top>
      <bottom/>
      <diagonal/>
    </border>
    <border>
      <left/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/>
      <top style="thin">
        <color theme="1"/>
      </top>
      <bottom/>
      <diagonal/>
    </border>
    <border>
      <left style="medium">
        <color rgb="FFFF0000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 style="medium">
        <color rgb="FFFF0000"/>
      </top>
      <bottom style="medium">
        <color rgb="FFFF0000"/>
      </bottom>
      <diagonal/>
    </border>
  </borders>
  <cellStyleXfs count="6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0" fillId="14" borderId="0" applyNumberFormat="0" applyBorder="0" applyAlignment="0" applyProtection="0"/>
    <xf numFmtId="44" fontId="4" fillId="0" borderId="0" applyFont="0" applyFill="0" applyBorder="0" applyAlignment="0" applyProtection="0"/>
    <xf numFmtId="0" fontId="13" fillId="15" borderId="30" applyNumberFormat="0" applyAlignment="0" applyProtection="0"/>
    <xf numFmtId="0" fontId="12" fillId="0" borderId="0"/>
    <xf numFmtId="0" fontId="19" fillId="16" borderId="0" applyNumberFormat="0" applyBorder="0" applyAlignment="0" applyProtection="0"/>
    <xf numFmtId="0" fontId="20" fillId="17" borderId="0" applyNumberFormat="0" applyBorder="0" applyAlignment="0" applyProtection="0"/>
    <xf numFmtId="0" fontId="33" fillId="0" borderId="0" applyNumberFormat="0" applyFill="0" applyBorder="0" applyAlignment="0" applyProtection="0"/>
    <xf numFmtId="0" fontId="34" fillId="0" borderId="216" applyNumberFormat="0" applyFill="0" applyAlignment="0" applyProtection="0"/>
    <xf numFmtId="0" fontId="35" fillId="0" borderId="217" applyNumberFormat="0" applyFill="0" applyAlignment="0" applyProtection="0"/>
    <xf numFmtId="0" fontId="36" fillId="0" borderId="218" applyNumberFormat="0" applyFill="0" applyAlignment="0" applyProtection="0"/>
    <xf numFmtId="0" fontId="36" fillId="0" borderId="0" applyNumberFormat="0" applyFill="0" applyBorder="0" applyAlignment="0" applyProtection="0"/>
    <xf numFmtId="0" fontId="37" fillId="30" borderId="219" applyNumberFormat="0" applyAlignment="0" applyProtection="0"/>
    <xf numFmtId="0" fontId="38" fillId="30" borderId="30" applyNumberFormat="0" applyAlignment="0" applyProtection="0"/>
    <xf numFmtId="0" fontId="39" fillId="0" borderId="220" applyNumberFormat="0" applyFill="0" applyAlignment="0" applyProtection="0"/>
    <xf numFmtId="0" fontId="40" fillId="31" borderId="221" applyNumberFormat="0" applyAlignment="0" applyProtection="0"/>
    <xf numFmtId="0" fontId="6" fillId="0" borderId="0" applyNumberFormat="0" applyFill="0" applyBorder="0" applyAlignment="0" applyProtection="0"/>
    <xf numFmtId="0" fontId="4" fillId="32" borderId="222" applyNumberFormat="0" applyFont="0" applyAlignment="0" applyProtection="0"/>
    <xf numFmtId="0" fontId="41" fillId="0" borderId="0" applyNumberFormat="0" applyFill="0" applyBorder="0" applyAlignment="0" applyProtection="0"/>
    <xf numFmtId="0" fontId="5" fillId="0" borderId="223" applyNumberFormat="0" applyFill="0" applyAlignment="0" applyProtection="0"/>
    <xf numFmtId="0" fontId="42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2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42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42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7" borderId="0" applyNumberFormat="0" applyBorder="0" applyAlignment="0" applyProtection="0"/>
    <xf numFmtId="0" fontId="42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1" borderId="0" applyNumberFormat="0" applyBorder="0" applyAlignment="0" applyProtection="0"/>
    <xf numFmtId="0" fontId="42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5" borderId="0" applyNumberFormat="0" applyBorder="0" applyAlignment="0" applyProtection="0"/>
    <xf numFmtId="0" fontId="43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2" fillId="0" borderId="0">
      <alignment wrapText="1"/>
    </xf>
    <xf numFmtId="9" fontId="12" fillId="0" borderId="0" applyFont="0" applyFill="0" applyBorder="0" applyAlignment="0" applyProtection="0"/>
    <xf numFmtId="0" fontId="12" fillId="0" borderId="0"/>
    <xf numFmtId="0" fontId="12" fillId="0" borderId="0">
      <alignment wrapText="1"/>
    </xf>
    <xf numFmtId="9" fontId="12" fillId="0" borderId="0" applyFont="0" applyFill="0" applyBorder="0" applyAlignment="0" applyProtection="0"/>
    <xf numFmtId="0" fontId="12" fillId="0" borderId="0">
      <alignment wrapText="1"/>
    </xf>
    <xf numFmtId="0" fontId="44" fillId="0" borderId="0" applyNumberFormat="0" applyFill="0" applyBorder="0" applyAlignment="0" applyProtection="0"/>
    <xf numFmtId="0" fontId="45" fillId="17" borderId="0" applyNumberFormat="0" applyBorder="0" applyAlignment="0" applyProtection="0"/>
    <xf numFmtId="0" fontId="42" fillId="36" borderId="0" applyNumberFormat="0" applyBorder="0" applyAlignment="0" applyProtection="0"/>
    <xf numFmtId="0" fontId="42" fillId="40" borderId="0" applyNumberFormat="0" applyBorder="0" applyAlignment="0" applyProtection="0"/>
    <xf numFmtId="0" fontId="42" fillId="44" borderId="0" applyNumberFormat="0" applyBorder="0" applyAlignment="0" applyProtection="0"/>
    <xf numFmtId="0" fontId="42" fillId="48" borderId="0" applyNumberFormat="0" applyBorder="0" applyAlignment="0" applyProtection="0"/>
    <xf numFmtId="0" fontId="42" fillId="52" borderId="0" applyNumberFormat="0" applyBorder="0" applyAlignment="0" applyProtection="0"/>
    <xf numFmtId="0" fontId="42" fillId="56" borderId="0" applyNumberFormat="0" applyBorder="0" applyAlignment="0" applyProtection="0"/>
    <xf numFmtId="0" fontId="12" fillId="0" borderId="0"/>
    <xf numFmtId="0" fontId="4" fillId="0" borderId="0"/>
  </cellStyleXfs>
  <cellXfs count="2065">
    <xf numFmtId="0" fontId="0" fillId="0" borderId="0" xfId="0"/>
    <xf numFmtId="14" fontId="1" fillId="0" borderId="6" xfId="0" applyNumberFormat="1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/>
    <xf numFmtId="1" fontId="2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/>
    </xf>
    <xf numFmtId="1" fontId="0" fillId="0" borderId="15" xfId="0" applyNumberFormat="1" applyBorder="1" applyAlignment="1">
      <alignment horizontal="center"/>
    </xf>
    <xf numFmtId="0" fontId="0" fillId="0" borderId="8" xfId="0" applyBorder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vertical="center"/>
    </xf>
    <xf numFmtId="1" fontId="2" fillId="0" borderId="0" xfId="0" applyNumberFormat="1" applyFont="1" applyAlignment="1">
      <alignment horizontal="center" vertic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 vertical="center"/>
    </xf>
    <xf numFmtId="1" fontId="0" fillId="0" borderId="8" xfId="0" applyNumberFormat="1" applyBorder="1"/>
    <xf numFmtId="0" fontId="0" fillId="0" borderId="5" xfId="0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16" xfId="0" applyBorder="1" applyAlignment="1">
      <alignment horizontal="center" wrapText="1"/>
    </xf>
    <xf numFmtId="14" fontId="1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wrapText="1"/>
    </xf>
    <xf numFmtId="0" fontId="1" fillId="0" borderId="17" xfId="0" applyFont="1" applyBorder="1" applyAlignment="1">
      <alignment horizontal="center" wrapText="1"/>
    </xf>
    <xf numFmtId="0" fontId="0" fillId="2" borderId="0" xfId="0" applyFill="1"/>
    <xf numFmtId="9" fontId="0" fillId="3" borderId="14" xfId="0" applyNumberFormat="1" applyFill="1" applyBorder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2" xfId="0" applyBorder="1" applyAlignment="1">
      <alignment horizontal="center" vertical="center" wrapText="1"/>
    </xf>
    <xf numFmtId="1" fontId="2" fillId="0" borderId="16" xfId="0" applyNumberFormat="1" applyFont="1" applyBorder="1" applyAlignment="1">
      <alignment horizontal="center" vertical="center"/>
    </xf>
    <xf numFmtId="1" fontId="2" fillId="0" borderId="17" xfId="0" applyNumberFormat="1" applyFont="1" applyBorder="1" applyAlignment="1">
      <alignment horizontal="center" vertical="center"/>
    </xf>
    <xf numFmtId="1" fontId="0" fillId="0" borderId="17" xfId="0" applyNumberFormat="1" applyBorder="1" applyAlignment="1">
      <alignment horizontal="center"/>
    </xf>
    <xf numFmtId="0" fontId="0" fillId="0" borderId="17" xfId="0" applyBorder="1"/>
    <xf numFmtId="1" fontId="0" fillId="0" borderId="18" xfId="0" applyNumberFormat="1" applyBorder="1" applyAlignment="1">
      <alignment horizontal="center"/>
    </xf>
    <xf numFmtId="1" fontId="2" fillId="0" borderId="6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5" fillId="0" borderId="0" xfId="0" applyFont="1"/>
    <xf numFmtId="164" fontId="5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 applyAlignment="1">
      <alignment horizontal="center"/>
    </xf>
    <xf numFmtId="0" fontId="0" fillId="0" borderId="26" xfId="0" applyBorder="1"/>
    <xf numFmtId="0" fontId="0" fillId="0" borderId="15" xfId="0" applyBorder="1" applyAlignment="1">
      <alignment horizontal="center" vertical="center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3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3" xfId="0" applyBorder="1"/>
    <xf numFmtId="0" fontId="0" fillId="0" borderId="2" xfId="0" applyBorder="1"/>
    <xf numFmtId="0" fontId="0" fillId="0" borderId="15" xfId="0" applyBorder="1"/>
    <xf numFmtId="0" fontId="0" fillId="5" borderId="14" xfId="0" applyFill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/>
    </xf>
    <xf numFmtId="0" fontId="0" fillId="7" borderId="14" xfId="0" applyFill="1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4" xfId="1" applyNumberFormat="1" applyFont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0" fillId="0" borderId="6" xfId="0" applyBorder="1"/>
    <xf numFmtId="0" fontId="0" fillId="0" borderId="22" xfId="0" applyBorder="1" applyAlignment="1">
      <alignment horizontal="center"/>
    </xf>
    <xf numFmtId="1" fontId="0" fillId="0" borderId="22" xfId="0" applyNumberFormat="1" applyBorder="1" applyAlignment="1">
      <alignment horizontal="center"/>
    </xf>
    <xf numFmtId="0" fontId="0" fillId="0" borderId="0" xfId="0" applyAlignment="1">
      <alignment vertical="center" wrapText="1"/>
    </xf>
    <xf numFmtId="1" fontId="0" fillId="0" borderId="0" xfId="0" applyNumberFormat="1" applyAlignment="1">
      <alignment vertical="center"/>
    </xf>
    <xf numFmtId="0" fontId="0" fillId="8" borderId="0" xfId="0" applyFill="1" applyAlignment="1">
      <alignment horizontal="center"/>
    </xf>
    <xf numFmtId="0" fontId="0" fillId="0" borderId="8" xfId="0" applyBorder="1" applyAlignment="1">
      <alignment horizontal="center"/>
    </xf>
    <xf numFmtId="0" fontId="2" fillId="0" borderId="0" xfId="0" quotePrefix="1" applyFont="1" applyAlignment="1">
      <alignment horizontal="center" vertical="center" wrapText="1"/>
    </xf>
    <xf numFmtId="9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0" fontId="5" fillId="10" borderId="8" xfId="0" applyFont="1" applyFill="1" applyBorder="1"/>
    <xf numFmtId="0" fontId="5" fillId="10" borderId="20" xfId="0" applyFont="1" applyFill="1" applyBorder="1"/>
    <xf numFmtId="0" fontId="4" fillId="10" borderId="20" xfId="0" applyFont="1" applyFill="1" applyBorder="1"/>
    <xf numFmtId="0" fontId="5" fillId="11" borderId="8" xfId="0" applyFont="1" applyFill="1" applyBorder="1"/>
    <xf numFmtId="0" fontId="4" fillId="2" borderId="14" xfId="0" applyFon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4" fillId="12" borderId="14" xfId="0" applyFont="1" applyFill="1" applyBorder="1"/>
    <xf numFmtId="17" fontId="4" fillId="0" borderId="14" xfId="0" applyNumberFormat="1" applyFont="1" applyBorder="1"/>
    <xf numFmtId="1" fontId="0" fillId="0" borderId="14" xfId="1" applyNumberFormat="1" applyFont="1" applyBorder="1" applyAlignment="1">
      <alignment horizontal="center" vertical="center"/>
    </xf>
    <xf numFmtId="17" fontId="0" fillId="0" borderId="0" xfId="0" applyNumberFormat="1"/>
    <xf numFmtId="0" fontId="0" fillId="0" borderId="15" xfId="0" applyBorder="1" applyAlignment="1">
      <alignment horizontal="center"/>
    </xf>
    <xf numFmtId="0" fontId="0" fillId="0" borderId="21" xfId="0" applyBorder="1"/>
    <xf numFmtId="0" fontId="0" fillId="2" borderId="8" xfId="0" applyFill="1" applyBorder="1" applyAlignment="1">
      <alignment horizontal="center"/>
    </xf>
    <xf numFmtId="9" fontId="0" fillId="0" borderId="0" xfId="1" applyFont="1"/>
    <xf numFmtId="0" fontId="0" fillId="2" borderId="0" xfId="0" applyFill="1" applyAlignment="1">
      <alignment horizontal="center"/>
    </xf>
    <xf numFmtId="0" fontId="4" fillId="12" borderId="0" xfId="0" applyFont="1" applyFill="1"/>
    <xf numFmtId="0" fontId="5" fillId="0" borderId="0" xfId="0" applyFont="1" applyAlignment="1">
      <alignment horizontal="center"/>
    </xf>
    <xf numFmtId="0" fontId="4" fillId="0" borderId="0" xfId="0" applyFont="1"/>
    <xf numFmtId="0" fontId="4" fillId="0" borderId="14" xfId="0" applyFont="1" applyBorder="1"/>
    <xf numFmtId="0" fontId="0" fillId="0" borderId="14" xfId="0" applyBorder="1"/>
    <xf numFmtId="9" fontId="0" fillId="2" borderId="0" xfId="1" applyFont="1" applyFill="1" applyBorder="1" applyAlignment="1">
      <alignment horizontal="center"/>
    </xf>
    <xf numFmtId="0" fontId="0" fillId="13" borderId="0" xfId="0" applyFill="1"/>
    <xf numFmtId="165" fontId="0" fillId="0" borderId="0" xfId="2" applyNumberFormat="1" applyFont="1"/>
    <xf numFmtId="165" fontId="0" fillId="0" borderId="0" xfId="2" applyNumberFormat="1" applyFont="1" applyAlignment="1">
      <alignment horizontal="center"/>
    </xf>
    <xf numFmtId="165" fontId="0" fillId="0" borderId="0" xfId="0" applyNumberFormat="1"/>
    <xf numFmtId="166" fontId="0" fillId="0" borderId="0" xfId="1" applyNumberFormat="1" applyFont="1"/>
    <xf numFmtId="17" fontId="0" fillId="0" borderId="16" xfId="0" applyNumberFormat="1" applyBorder="1"/>
    <xf numFmtId="17" fontId="0" fillId="0" borderId="8" xfId="0" applyNumberFormat="1" applyBorder="1"/>
    <xf numFmtId="17" fontId="0" fillId="0" borderId="19" xfId="0" applyNumberFormat="1" applyBorder="1"/>
    <xf numFmtId="0" fontId="0" fillId="0" borderId="0" xfId="0" applyAlignment="1">
      <alignment horizontal="center" vertical="center" wrapText="1"/>
    </xf>
    <xf numFmtId="167" fontId="0" fillId="0" borderId="0" xfId="0" applyNumberFormat="1"/>
    <xf numFmtId="166" fontId="0" fillId="0" borderId="0" xfId="0" applyNumberFormat="1"/>
    <xf numFmtId="165" fontId="12" fillId="0" borderId="0" xfId="2" applyNumberFormat="1" applyFont="1"/>
    <xf numFmtId="166" fontId="0" fillId="0" borderId="0" xfId="1" applyNumberFormat="1" applyFont="1" applyBorder="1"/>
    <xf numFmtId="165" fontId="0" fillId="0" borderId="8" xfId="0" applyNumberFormat="1" applyBorder="1"/>
    <xf numFmtId="9" fontId="0" fillId="0" borderId="0" xfId="0" applyNumberFormat="1"/>
    <xf numFmtId="166" fontId="0" fillId="0" borderId="15" xfId="0" applyNumberFormat="1" applyBorder="1"/>
    <xf numFmtId="167" fontId="0" fillId="0" borderId="8" xfId="0" applyNumberFormat="1" applyBorder="1"/>
    <xf numFmtId="44" fontId="0" fillId="0" borderId="0" xfId="4" applyFont="1" applyBorder="1"/>
    <xf numFmtId="166" fontId="0" fillId="0" borderId="15" xfId="1" applyNumberFormat="1" applyFont="1" applyBorder="1"/>
    <xf numFmtId="169" fontId="0" fillId="0" borderId="0" xfId="4" applyNumberFormat="1" applyFont="1" applyBorder="1"/>
    <xf numFmtId="169" fontId="0" fillId="0" borderId="8" xfId="4" applyNumberFormat="1" applyFont="1" applyBorder="1"/>
    <xf numFmtId="168" fontId="0" fillId="0" borderId="0" xfId="4" applyNumberFormat="1" applyFont="1" applyBorder="1"/>
    <xf numFmtId="169" fontId="0" fillId="0" borderId="15" xfId="4" applyNumberFormat="1" applyFont="1" applyBorder="1"/>
    <xf numFmtId="3" fontId="0" fillId="0" borderId="0" xfId="0" applyNumberFormat="1"/>
    <xf numFmtId="9" fontId="0" fillId="0" borderId="0" xfId="1" applyFont="1" applyBorder="1" applyAlignment="1">
      <alignment horizontal="center"/>
    </xf>
    <xf numFmtId="0" fontId="13" fillId="15" borderId="30" xfId="5" applyAlignment="1">
      <alignment horizontal="center" vertical="center" wrapText="1"/>
    </xf>
    <xf numFmtId="169" fontId="0" fillId="0" borderId="0" xfId="0" applyNumberFormat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0" fontId="0" fillId="0" borderId="39" xfId="2" applyNumberFormat="1" applyFont="1" applyBorder="1" applyAlignment="1">
      <alignment horizontal="center" vertical="center"/>
    </xf>
    <xf numFmtId="170" fontId="0" fillId="0" borderId="40" xfId="2" applyNumberFormat="1" applyFont="1" applyBorder="1" applyAlignment="1">
      <alignment horizontal="center" vertical="center"/>
    </xf>
    <xf numFmtId="170" fontId="0" fillId="0" borderId="41" xfId="2" applyNumberFormat="1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170" fontId="0" fillId="0" borderId="42" xfId="2" applyNumberFormat="1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67" fontId="0" fillId="0" borderId="39" xfId="4" applyNumberFormat="1" applyFont="1" applyBorder="1" applyAlignment="1">
      <alignment horizontal="center" vertical="center"/>
    </xf>
    <xf numFmtId="167" fontId="0" fillId="0" borderId="40" xfId="4" applyNumberFormat="1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169" fontId="0" fillId="0" borderId="0" xfId="4" applyNumberFormat="1" applyFont="1"/>
    <xf numFmtId="171" fontId="0" fillId="0" borderId="39" xfId="4" applyNumberFormat="1" applyFont="1" applyBorder="1" applyAlignment="1">
      <alignment horizontal="center" vertical="center"/>
    </xf>
    <xf numFmtId="171" fontId="0" fillId="0" borderId="40" xfId="4" applyNumberFormat="1" applyFont="1" applyBorder="1" applyAlignment="1">
      <alignment horizontal="center" vertical="center"/>
    </xf>
    <xf numFmtId="44" fontId="0" fillId="0" borderId="0" xfId="0" applyNumberFormat="1"/>
    <xf numFmtId="166" fontId="0" fillId="0" borderId="39" xfId="1" applyNumberFormat="1" applyFont="1" applyBorder="1" applyAlignment="1">
      <alignment horizontal="center" vertical="center"/>
    </xf>
    <xf numFmtId="166" fontId="0" fillId="0" borderId="40" xfId="1" applyNumberFormat="1" applyFont="1" applyBorder="1" applyAlignment="1">
      <alignment horizontal="center" vertical="center"/>
    </xf>
    <xf numFmtId="0" fontId="2" fillId="0" borderId="0" xfId="0" applyFont="1"/>
    <xf numFmtId="17" fontId="15" fillId="0" borderId="0" xfId="0" applyNumberFormat="1" applyFont="1"/>
    <xf numFmtId="0" fontId="17" fillId="0" borderId="0" xfId="0" applyFont="1"/>
    <xf numFmtId="17" fontId="18" fillId="0" borderId="0" xfId="0" applyNumberFormat="1" applyFont="1"/>
    <xf numFmtId="165" fontId="12" fillId="0" borderId="0" xfId="2" applyNumberFormat="1" applyFont="1" applyAlignment="1">
      <alignment horizontal="center" vertical="center"/>
    </xf>
    <xf numFmtId="166" fontId="0" fillId="0" borderId="0" xfId="1" applyNumberFormat="1" applyFont="1" applyFill="1" applyBorder="1"/>
    <xf numFmtId="166" fontId="0" fillId="0" borderId="15" xfId="1" applyNumberFormat="1" applyFont="1" applyFill="1" applyBorder="1"/>
    <xf numFmtId="169" fontId="0" fillId="0" borderId="8" xfId="4" applyNumberFormat="1" applyFont="1" applyFill="1" applyBorder="1"/>
    <xf numFmtId="169" fontId="0" fillId="0" borderId="0" xfId="4" applyNumberFormat="1" applyFont="1" applyFill="1" applyBorder="1"/>
    <xf numFmtId="168" fontId="0" fillId="0" borderId="0" xfId="4" applyNumberFormat="1" applyFont="1" applyFill="1" applyBorder="1"/>
    <xf numFmtId="9" fontId="0" fillId="0" borderId="0" xfId="1" applyFont="1" applyFill="1" applyBorder="1" applyAlignment="1">
      <alignment horizontal="center"/>
    </xf>
    <xf numFmtId="0" fontId="0" fillId="12" borderId="15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0" xfId="0" applyFill="1"/>
    <xf numFmtId="44" fontId="0" fillId="0" borderId="0" xfId="4" applyFont="1"/>
    <xf numFmtId="165" fontId="0" fillId="0" borderId="0" xfId="2" applyNumberFormat="1" applyFont="1" applyBorder="1"/>
    <xf numFmtId="165" fontId="12" fillId="0" borderId="0" xfId="2" applyNumberFormat="1" applyFont="1" applyBorder="1" applyAlignment="1">
      <alignment horizontal="center" vertical="center"/>
    </xf>
    <xf numFmtId="169" fontId="0" fillId="0" borderId="15" xfId="4" applyNumberFormat="1" applyFont="1" applyFill="1" applyBorder="1"/>
    <xf numFmtId="9" fontId="0" fillId="0" borderId="15" xfId="1" applyFont="1" applyBorder="1"/>
    <xf numFmtId="165" fontId="12" fillId="0" borderId="0" xfId="2" applyNumberFormat="1" applyFont="1" applyFill="1" applyBorder="1"/>
    <xf numFmtId="0" fontId="12" fillId="0" borderId="0" xfId="0" applyFont="1"/>
    <xf numFmtId="172" fontId="21" fillId="0" borderId="0" xfId="0" applyNumberFormat="1" applyFont="1"/>
    <xf numFmtId="165" fontId="0" fillId="0" borderId="0" xfId="2" applyNumberFormat="1" applyFont="1" applyFill="1"/>
    <xf numFmtId="0" fontId="1" fillId="0" borderId="0" xfId="0" applyFont="1"/>
    <xf numFmtId="172" fontId="23" fillId="15" borderId="30" xfId="5" applyNumberFormat="1" applyFont="1" applyAlignment="1">
      <alignment horizontal="center"/>
    </xf>
    <xf numFmtId="0" fontId="0" fillId="0" borderId="20" xfId="0" applyBorder="1"/>
    <xf numFmtId="165" fontId="12" fillId="0" borderId="0" xfId="2" applyNumberFormat="1" applyFont="1" applyFill="1" applyBorder="1" applyAlignment="1">
      <alignment horizontal="center" vertical="center"/>
    </xf>
    <xf numFmtId="14" fontId="1" fillId="0" borderId="8" xfId="0" applyNumberFormat="1" applyFont="1" applyBorder="1" applyAlignment="1">
      <alignment horizontal="center" vertical="center"/>
    </xf>
    <xf numFmtId="0" fontId="24" fillId="0" borderId="0" xfId="0" applyFont="1"/>
    <xf numFmtId="9" fontId="24" fillId="0" borderId="0" xfId="0" applyNumberFormat="1" applyFont="1"/>
    <xf numFmtId="6" fontId="0" fillId="0" borderId="0" xfId="0" applyNumberFormat="1"/>
    <xf numFmtId="6" fontId="0" fillId="0" borderId="14" xfId="0" applyNumberFormat="1" applyBorder="1"/>
    <xf numFmtId="0" fontId="5" fillId="0" borderId="14" xfId="0" applyFont="1" applyBorder="1"/>
    <xf numFmtId="0" fontId="0" fillId="18" borderId="14" xfId="0" applyFill="1" applyBorder="1"/>
    <xf numFmtId="6" fontId="0" fillId="18" borderId="14" xfId="0" applyNumberFormat="1" applyFill="1" applyBorder="1"/>
    <xf numFmtId="0" fontId="5" fillId="18" borderId="14" xfId="0" applyFont="1" applyFill="1" applyBorder="1"/>
    <xf numFmtId="6" fontId="5" fillId="18" borderId="14" xfId="0" applyNumberFormat="1" applyFont="1" applyFill="1" applyBorder="1"/>
    <xf numFmtId="165" fontId="0" fillId="0" borderId="15" xfId="2" applyNumberFormat="1" applyFont="1" applyBorder="1"/>
    <xf numFmtId="1" fontId="12" fillId="0" borderId="0" xfId="0" applyNumberFormat="1" applyFont="1"/>
    <xf numFmtId="165" fontId="0" fillId="0" borderId="8" xfId="2" applyNumberFormat="1" applyFont="1" applyFill="1" applyBorder="1"/>
    <xf numFmtId="0" fontId="0" fillId="0" borderId="8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2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6" fontId="0" fillId="18" borderId="14" xfId="0" applyNumberFormat="1" applyFill="1" applyBorder="1" applyAlignment="1">
      <alignment horizontal="right" vertical="center"/>
    </xf>
    <xf numFmtId="6" fontId="0" fillId="0" borderId="14" xfId="0" applyNumberFormat="1" applyBorder="1" applyAlignment="1">
      <alignment horizontal="right" vertical="center"/>
    </xf>
    <xf numFmtId="0" fontId="0" fillId="0" borderId="14" xfId="0" applyBorder="1" applyAlignment="1">
      <alignment horizontal="right" vertic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0" fontId="2" fillId="0" borderId="22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9" fontId="0" fillId="0" borderId="15" xfId="1" applyFont="1" applyFill="1" applyBorder="1"/>
    <xf numFmtId="165" fontId="0" fillId="0" borderId="15" xfId="2" applyNumberFormat="1" applyFont="1" applyFill="1" applyBorder="1"/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center"/>
    </xf>
    <xf numFmtId="0" fontId="0" fillId="19" borderId="0" xfId="0" applyFill="1" applyAlignment="1">
      <alignment horizontal="center" vertical="center" wrapText="1"/>
    </xf>
    <xf numFmtId="0" fontId="14" fillId="0" borderId="0" xfId="0" applyFont="1" applyAlignment="1">
      <alignment vertical="center" textRotation="90" wrapText="1"/>
    </xf>
    <xf numFmtId="0" fontId="0" fillId="0" borderId="0" xfId="0" pivotButton="1"/>
    <xf numFmtId="0" fontId="0" fillId="0" borderId="1" xfId="0" applyBorder="1" applyAlignment="1">
      <alignment horizontal="center"/>
    </xf>
    <xf numFmtId="0" fontId="0" fillId="0" borderId="31" xfId="0" applyBorder="1"/>
    <xf numFmtId="0" fontId="0" fillId="0" borderId="48" xfId="0" applyBorder="1" applyAlignment="1">
      <alignment vertical="center" wrapText="1"/>
    </xf>
    <xf numFmtId="0" fontId="0" fillId="0" borderId="33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33" xfId="0" applyBorder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49" xfId="0" applyBorder="1" applyAlignment="1">
      <alignment horizontal="center"/>
    </xf>
    <xf numFmtId="1" fontId="2" fillId="0" borderId="50" xfId="0" applyNumberFormat="1" applyFont="1" applyBorder="1" applyAlignment="1">
      <alignment horizontal="center" vertical="center"/>
    </xf>
    <xf numFmtId="0" fontId="0" fillId="0" borderId="33" xfId="0" applyBorder="1"/>
    <xf numFmtId="0" fontId="0" fillId="0" borderId="31" xfId="0" applyBorder="1" applyAlignment="1">
      <alignment horizontal="center" wrapText="1"/>
    </xf>
    <xf numFmtId="0" fontId="0" fillId="0" borderId="51" xfId="0" applyBorder="1" applyAlignment="1">
      <alignment horizontal="center" wrapText="1"/>
    </xf>
    <xf numFmtId="0" fontId="0" fillId="0" borderId="50" xfId="0" applyBorder="1" applyAlignment="1">
      <alignment horizontal="center"/>
    </xf>
    <xf numFmtId="0" fontId="0" fillId="0" borderId="51" xfId="0" applyBorder="1"/>
    <xf numFmtId="0" fontId="0" fillId="0" borderId="1" xfId="0" applyBorder="1" applyAlignment="1">
      <alignment horizontal="center" vertical="center"/>
    </xf>
    <xf numFmtId="1" fontId="0" fillId="0" borderId="33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33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74" fontId="0" fillId="0" borderId="0" xfId="1" applyNumberFormat="1" applyFont="1"/>
    <xf numFmtId="0" fontId="0" fillId="0" borderId="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9" xfId="0" applyBorder="1" applyAlignment="1">
      <alignment horizontal="center"/>
    </xf>
    <xf numFmtId="17" fontId="0" fillId="0" borderId="0" xfId="0" applyNumberFormat="1" applyAlignment="1">
      <alignment horizontal="left"/>
    </xf>
    <xf numFmtId="9" fontId="0" fillId="0" borderId="0" xfId="1" applyFont="1" applyBorder="1" applyAlignment="1">
      <alignment horizontal="center" vertical="center"/>
    </xf>
    <xf numFmtId="165" fontId="0" fillId="0" borderId="0" xfId="0" applyNumberFormat="1" applyAlignment="1">
      <alignment vertical="center"/>
    </xf>
    <xf numFmtId="9" fontId="0" fillId="0" borderId="15" xfId="1" applyFont="1" applyBorder="1" applyAlignment="1">
      <alignment horizontal="center"/>
    </xf>
    <xf numFmtId="165" fontId="0" fillId="0" borderId="20" xfId="0" applyNumberFormat="1" applyBorder="1" applyAlignment="1">
      <alignment horizontal="center"/>
    </xf>
    <xf numFmtId="9" fontId="0" fillId="0" borderId="21" xfId="1" applyFont="1" applyBorder="1" applyAlignment="1">
      <alignment horizontal="center"/>
    </xf>
    <xf numFmtId="165" fontId="0" fillId="0" borderId="0" xfId="2" applyNumberFormat="1" applyFont="1" applyBorder="1" applyAlignment="1">
      <alignment horizontal="center"/>
    </xf>
    <xf numFmtId="169" fontId="0" fillId="0" borderId="0" xfId="4" applyNumberFormat="1" applyFont="1" applyBorder="1" applyAlignment="1">
      <alignment horizontal="center"/>
    </xf>
    <xf numFmtId="169" fontId="0" fillId="0" borderId="20" xfId="4" applyNumberFormat="1" applyFont="1" applyBorder="1" applyAlignment="1">
      <alignment horizontal="center"/>
    </xf>
    <xf numFmtId="165" fontId="0" fillId="0" borderId="20" xfId="2" applyNumberFormat="1" applyFont="1" applyBorder="1" applyAlignment="1">
      <alignment horizontal="center"/>
    </xf>
    <xf numFmtId="9" fontId="0" fillId="0" borderId="20" xfId="1" applyFont="1" applyBorder="1" applyAlignment="1">
      <alignment horizontal="center"/>
    </xf>
    <xf numFmtId="0" fontId="5" fillId="0" borderId="53" xfId="0" applyFont="1" applyBorder="1" applyAlignment="1">
      <alignment horizontal="center"/>
    </xf>
    <xf numFmtId="165" fontId="5" fillId="0" borderId="12" xfId="2" applyNumberFormat="1" applyFont="1" applyBorder="1" applyAlignment="1">
      <alignment horizontal="center"/>
    </xf>
    <xf numFmtId="0" fontId="5" fillId="0" borderId="48" xfId="0" applyFont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18" borderId="33" xfId="0" applyFill="1" applyBorder="1" applyAlignment="1">
      <alignment horizontal="center"/>
    </xf>
    <xf numFmtId="9" fontId="0" fillId="18" borderId="0" xfId="1" applyFont="1" applyFill="1" applyBorder="1" applyAlignment="1">
      <alignment horizontal="center"/>
    </xf>
    <xf numFmtId="9" fontId="0" fillId="18" borderId="1" xfId="1" applyFont="1" applyFill="1" applyBorder="1" applyAlignment="1">
      <alignment horizontal="center"/>
    </xf>
    <xf numFmtId="0" fontId="0" fillId="18" borderId="34" xfId="0" applyFill="1" applyBorder="1" applyAlignment="1">
      <alignment horizontal="center"/>
    </xf>
    <xf numFmtId="9" fontId="0" fillId="18" borderId="5" xfId="1" applyFont="1" applyFill="1" applyBorder="1" applyAlignment="1">
      <alignment horizontal="center"/>
    </xf>
    <xf numFmtId="9" fontId="0" fillId="18" borderId="35" xfId="1" applyFont="1" applyFill="1" applyBorder="1" applyAlignment="1">
      <alignment horizontal="center"/>
    </xf>
    <xf numFmtId="9" fontId="0" fillId="0" borderId="33" xfId="1" applyFont="1" applyBorder="1" applyAlignment="1">
      <alignment horizontal="center"/>
    </xf>
    <xf numFmtId="9" fontId="0" fillId="18" borderId="33" xfId="1" applyFont="1" applyFill="1" applyBorder="1" applyAlignment="1">
      <alignment horizontal="center"/>
    </xf>
    <xf numFmtId="9" fontId="0" fillId="18" borderId="34" xfId="1" applyFont="1" applyFill="1" applyBorder="1" applyAlignment="1">
      <alignment horizontal="center"/>
    </xf>
    <xf numFmtId="165" fontId="5" fillId="0" borderId="54" xfId="2" applyNumberFormat="1" applyFont="1" applyBorder="1" applyAlignment="1">
      <alignment horizontal="center"/>
    </xf>
    <xf numFmtId="9" fontId="0" fillId="0" borderId="55" xfId="1" applyFont="1" applyBorder="1" applyAlignment="1">
      <alignment horizontal="center"/>
    </xf>
    <xf numFmtId="9" fontId="0" fillId="18" borderId="55" xfId="1" applyFont="1" applyFill="1" applyBorder="1" applyAlignment="1">
      <alignment horizontal="center"/>
    </xf>
    <xf numFmtId="9" fontId="0" fillId="18" borderId="56" xfId="1" applyFont="1" applyFill="1" applyBorder="1" applyAlignment="1">
      <alignment horizontal="center"/>
    </xf>
    <xf numFmtId="0" fontId="5" fillId="0" borderId="55" xfId="0" applyFon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31" xfId="0" applyBorder="1" applyAlignment="1">
      <alignment horizontal="center"/>
    </xf>
    <xf numFmtId="9" fontId="0" fillId="0" borderId="2" xfId="1" applyFont="1" applyBorder="1" applyAlignment="1">
      <alignment horizontal="center"/>
    </xf>
    <xf numFmtId="9" fontId="0" fillId="0" borderId="32" xfId="1" applyFont="1" applyBorder="1" applyAlignment="1">
      <alignment horizontal="center"/>
    </xf>
    <xf numFmtId="0" fontId="0" fillId="0" borderId="34" xfId="0" applyBorder="1" applyAlignment="1">
      <alignment horizontal="center"/>
    </xf>
    <xf numFmtId="9" fontId="0" fillId="0" borderId="5" xfId="1" applyFont="1" applyBorder="1" applyAlignment="1">
      <alignment horizontal="center"/>
    </xf>
    <xf numFmtId="9" fontId="0" fillId="0" borderId="35" xfId="1" applyFont="1" applyBorder="1" applyAlignment="1">
      <alignment horizontal="center"/>
    </xf>
    <xf numFmtId="9" fontId="0" fillId="0" borderId="31" xfId="1" applyFont="1" applyBorder="1" applyAlignment="1">
      <alignment horizontal="center"/>
    </xf>
    <xf numFmtId="9" fontId="0" fillId="0" borderId="34" xfId="1" applyFont="1" applyBorder="1" applyAlignment="1">
      <alignment horizontal="center"/>
    </xf>
    <xf numFmtId="9" fontId="0" fillId="0" borderId="57" xfId="1" applyFont="1" applyBorder="1" applyAlignment="1">
      <alignment horizontal="center"/>
    </xf>
    <xf numFmtId="9" fontId="0" fillId="0" borderId="56" xfId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5" fillId="0" borderId="36" xfId="0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0" fillId="0" borderId="59" xfId="0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0" fillId="0" borderId="42" xfId="0" applyBorder="1" applyAlignment="1">
      <alignment horizontal="center"/>
    </xf>
    <xf numFmtId="9" fontId="0" fillId="0" borderId="59" xfId="0" applyNumberFormat="1" applyBorder="1" applyAlignment="1">
      <alignment horizontal="center"/>
    </xf>
    <xf numFmtId="9" fontId="5" fillId="0" borderId="41" xfId="0" applyNumberFormat="1" applyFont="1" applyBorder="1" applyAlignment="1">
      <alignment horizontal="center"/>
    </xf>
    <xf numFmtId="9" fontId="0" fillId="0" borderId="41" xfId="0" applyNumberFormat="1" applyBorder="1" applyAlignment="1">
      <alignment horizontal="center"/>
    </xf>
    <xf numFmtId="0" fontId="0" fillId="18" borderId="14" xfId="0" applyFill="1" applyBorder="1" applyAlignment="1">
      <alignment horizontal="center"/>
    </xf>
    <xf numFmtId="9" fontId="0" fillId="18" borderId="59" xfId="0" applyNumberFormat="1" applyFill="1" applyBorder="1" applyAlignment="1">
      <alignment horizontal="center"/>
    </xf>
    <xf numFmtId="0" fontId="0" fillId="18" borderId="29" xfId="0" applyFill="1" applyBorder="1" applyAlignment="1">
      <alignment horizontal="center"/>
    </xf>
    <xf numFmtId="0" fontId="0" fillId="18" borderId="59" xfId="0" applyFill="1" applyBorder="1" applyAlignment="1">
      <alignment horizontal="center"/>
    </xf>
    <xf numFmtId="0" fontId="0" fillId="18" borderId="37" xfId="0" applyFill="1" applyBorder="1" applyAlignment="1">
      <alignment horizontal="center"/>
    </xf>
    <xf numFmtId="9" fontId="0" fillId="18" borderId="38" xfId="0" applyNumberFormat="1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38" xfId="0" applyFill="1" applyBorder="1" applyAlignment="1">
      <alignment horizontal="center"/>
    </xf>
    <xf numFmtId="0" fontId="0" fillId="0" borderId="58" xfId="0" applyBorder="1" applyAlignment="1">
      <alignment horizontal="center"/>
    </xf>
    <xf numFmtId="0" fontId="26" fillId="18" borderId="36" xfId="0" applyFont="1" applyFill="1" applyBorder="1" applyAlignment="1">
      <alignment horizontal="center"/>
    </xf>
    <xf numFmtId="0" fontId="26" fillId="0" borderId="58" xfId="0" applyFont="1" applyBorder="1" applyAlignment="1">
      <alignment horizontal="center"/>
    </xf>
    <xf numFmtId="0" fontId="26" fillId="18" borderId="58" xfId="0" applyFont="1" applyFill="1" applyBorder="1" applyAlignment="1">
      <alignment horizontal="center"/>
    </xf>
    <xf numFmtId="0" fontId="26" fillId="0" borderId="39" xfId="0" applyFont="1" applyBorder="1" applyAlignment="1">
      <alignment horizontal="center"/>
    </xf>
    <xf numFmtId="1" fontId="0" fillId="0" borderId="0" xfId="2" applyNumberFormat="1" applyFont="1" applyAlignment="1">
      <alignment horizontal="center"/>
    </xf>
    <xf numFmtId="0" fontId="5" fillId="0" borderId="0" xfId="2" applyNumberFormat="1" applyFont="1" applyAlignment="1">
      <alignment horizontal="center"/>
    </xf>
    <xf numFmtId="1" fontId="0" fillId="0" borderId="17" xfId="2" applyNumberFormat="1" applyFont="1" applyBorder="1" applyAlignment="1">
      <alignment horizontal="center"/>
    </xf>
    <xf numFmtId="1" fontId="0" fillId="0" borderId="18" xfId="2" applyNumberFormat="1" applyFont="1" applyBorder="1" applyAlignment="1">
      <alignment horizontal="center"/>
    </xf>
    <xf numFmtId="1" fontId="0" fillId="0" borderId="0" xfId="2" applyNumberFormat="1" applyFont="1" applyBorder="1" applyAlignment="1">
      <alignment horizontal="center"/>
    </xf>
    <xf numFmtId="1" fontId="0" fillId="0" borderId="15" xfId="2" applyNumberFormat="1" applyFont="1" applyBorder="1" applyAlignment="1">
      <alignment horizontal="center"/>
    </xf>
    <xf numFmtId="165" fontId="0" fillId="0" borderId="20" xfId="2" applyNumberFormat="1" applyFont="1" applyBorder="1"/>
    <xf numFmtId="1" fontId="0" fillId="0" borderId="20" xfId="2" applyNumberFormat="1" applyFont="1" applyBorder="1" applyAlignment="1">
      <alignment horizontal="center"/>
    </xf>
    <xf numFmtId="1" fontId="0" fillId="0" borderId="21" xfId="2" applyNumberFormat="1" applyFont="1" applyBorder="1" applyAlignment="1">
      <alignment horizontal="center"/>
    </xf>
    <xf numFmtId="165" fontId="0" fillId="0" borderId="27" xfId="2" applyNumberFormat="1" applyFont="1" applyBorder="1"/>
    <xf numFmtId="1" fontId="0" fillId="0" borderId="28" xfId="2" applyNumberFormat="1" applyFont="1" applyBorder="1" applyAlignment="1">
      <alignment horizontal="center"/>
    </xf>
    <xf numFmtId="1" fontId="0" fillId="0" borderId="29" xfId="2" applyNumberFormat="1" applyFont="1" applyBorder="1" applyAlignment="1">
      <alignment horizontal="center"/>
    </xf>
    <xf numFmtId="1" fontId="0" fillId="0" borderId="14" xfId="2" applyNumberFormat="1" applyFont="1" applyBorder="1" applyAlignment="1">
      <alignment horizontal="center"/>
    </xf>
    <xf numFmtId="1" fontId="0" fillId="0" borderId="7" xfId="2" applyNumberFormat="1" applyFont="1" applyBorder="1" applyAlignment="1">
      <alignment horizontal="center"/>
    </xf>
    <xf numFmtId="1" fontId="0" fillId="0" borderId="22" xfId="2" applyNumberFormat="1" applyFont="1" applyBorder="1" applyAlignment="1">
      <alignment horizontal="center"/>
    </xf>
    <xf numFmtId="1" fontId="0" fillId="0" borderId="6" xfId="2" applyNumberFormat="1" applyFont="1" applyBorder="1" applyAlignment="1">
      <alignment horizontal="center"/>
    </xf>
    <xf numFmtId="165" fontId="0" fillId="0" borderId="16" xfId="2" applyNumberFormat="1" applyFont="1" applyBorder="1"/>
    <xf numFmtId="165" fontId="0" fillId="0" borderId="19" xfId="2" applyNumberFormat="1" applyFont="1" applyBorder="1"/>
    <xf numFmtId="9" fontId="0" fillId="0" borderId="29" xfId="0" applyNumberFormat="1" applyBorder="1" applyAlignment="1">
      <alignment horizontal="center"/>
    </xf>
    <xf numFmtId="9" fontId="0" fillId="0" borderId="58" xfId="0" applyNumberFormat="1" applyBorder="1" applyAlignment="1">
      <alignment horizontal="center"/>
    </xf>
    <xf numFmtId="1" fontId="0" fillId="0" borderId="59" xfId="2" applyNumberFormat="1" applyFont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9" fontId="0" fillId="18" borderId="60" xfId="0" applyNumberFormat="1" applyFill="1" applyBorder="1" applyAlignment="1">
      <alignment horizontal="center"/>
    </xf>
    <xf numFmtId="1" fontId="0" fillId="18" borderId="63" xfId="2" applyNumberFormat="1" applyFont="1" applyFill="1" applyBorder="1" applyAlignment="1">
      <alignment horizontal="center"/>
    </xf>
    <xf numFmtId="0" fontId="0" fillId="20" borderId="56" xfId="0" applyFill="1" applyBorder="1" applyAlignment="1">
      <alignment horizontal="center"/>
    </xf>
    <xf numFmtId="9" fontId="0" fillId="18" borderId="18" xfId="0" applyNumberFormat="1" applyFill="1" applyBorder="1" applyAlignment="1">
      <alignment horizontal="center"/>
    </xf>
    <xf numFmtId="0" fontId="0" fillId="18" borderId="43" xfId="0" applyFill="1" applyBorder="1" applyAlignment="1">
      <alignment horizontal="center"/>
    </xf>
    <xf numFmtId="0" fontId="0" fillId="18" borderId="63" xfId="0" applyFill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5" fillId="0" borderId="39" xfId="0" applyFont="1" applyBorder="1" applyAlignment="1">
      <alignment horizontal="center"/>
    </xf>
    <xf numFmtId="43" fontId="0" fillId="0" borderId="0" xfId="0" applyNumberFormat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38" xfId="0" applyNumberFormat="1" applyFill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29" xfId="0" applyNumberFormat="1" applyBorder="1" applyAlignment="1">
      <alignment horizontal="center"/>
    </xf>
    <xf numFmtId="1" fontId="0" fillId="18" borderId="29" xfId="0" applyNumberFormat="1" applyFill="1" applyBorder="1" applyAlignment="1">
      <alignment horizontal="center"/>
    </xf>
    <xf numFmtId="1" fontId="5" fillId="0" borderId="42" xfId="0" applyNumberFormat="1" applyFont="1" applyBorder="1" applyAlignment="1">
      <alignment horizontal="center"/>
    </xf>
    <xf numFmtId="1" fontId="5" fillId="0" borderId="40" xfId="0" applyNumberFormat="1" applyFont="1" applyBorder="1" applyAlignment="1">
      <alignment horizontal="center"/>
    </xf>
    <xf numFmtId="1" fontId="5" fillId="0" borderId="41" xfId="0" applyNumberFormat="1" applyFont="1" applyBorder="1" applyAlignment="1">
      <alignment horizontal="center"/>
    </xf>
    <xf numFmtId="1" fontId="0" fillId="0" borderId="64" xfId="0" applyNumberFormat="1" applyBorder="1" applyAlignment="1">
      <alignment horizontal="center"/>
    </xf>
    <xf numFmtId="1" fontId="0" fillId="18" borderId="64" xfId="0" applyNumberFormat="1" applyFill="1" applyBorder="1" applyAlignment="1">
      <alignment horizontal="center"/>
    </xf>
    <xf numFmtId="1" fontId="5" fillId="0" borderId="39" xfId="0" applyNumberFormat="1" applyFont="1" applyBorder="1" applyAlignment="1">
      <alignment horizontal="center"/>
    </xf>
    <xf numFmtId="1" fontId="0" fillId="18" borderId="36" xfId="0" applyNumberFormat="1" applyFill="1" applyBorder="1" applyAlignment="1">
      <alignment horizontal="center"/>
    </xf>
    <xf numFmtId="1" fontId="0" fillId="18" borderId="48" xfId="0" applyNumberFormat="1" applyFill="1" applyBorder="1" applyAlignment="1">
      <alignment horizontal="center"/>
    </xf>
    <xf numFmtId="1" fontId="0" fillId="0" borderId="65" xfId="0" applyNumberFormat="1" applyBorder="1" applyAlignment="1">
      <alignment horizontal="center"/>
    </xf>
    <xf numFmtId="1" fontId="0" fillId="18" borderId="65" xfId="0" applyNumberFormat="1" applyFill="1" applyBorder="1" applyAlignment="1">
      <alignment horizontal="center"/>
    </xf>
    <xf numFmtId="1" fontId="0" fillId="18" borderId="14" xfId="0" applyNumberFormat="1" applyFill="1" applyBorder="1" applyAlignment="1">
      <alignment horizontal="center"/>
    </xf>
    <xf numFmtId="1" fontId="5" fillId="18" borderId="39" xfId="0" applyNumberFormat="1" applyFont="1" applyFill="1" applyBorder="1" applyAlignment="1">
      <alignment horizontal="center"/>
    </xf>
    <xf numFmtId="1" fontId="0" fillId="18" borderId="53" xfId="0" applyNumberFormat="1" applyFill="1" applyBorder="1" applyAlignment="1">
      <alignment horizontal="center"/>
    </xf>
    <xf numFmtId="1" fontId="5" fillId="18" borderId="67" xfId="0" applyNumberFormat="1" applyFont="1" applyFill="1" applyBorder="1" applyAlignment="1">
      <alignment horizontal="center"/>
    </xf>
    <xf numFmtId="1" fontId="5" fillId="18" borderId="66" xfId="0" applyNumberFormat="1" applyFont="1" applyFill="1" applyBorder="1" applyAlignment="1">
      <alignment horizontal="center"/>
    </xf>
    <xf numFmtId="1" fontId="5" fillId="18" borderId="35" xfId="0" applyNumberFormat="1" applyFont="1" applyFill="1" applyBorder="1" applyAlignment="1">
      <alignment horizontal="center"/>
    </xf>
    <xf numFmtId="1" fontId="0" fillId="18" borderId="37" xfId="0" applyNumberFormat="1" applyFill="1" applyBorder="1" applyAlignment="1">
      <alignment horizontal="center"/>
    </xf>
    <xf numFmtId="0" fontId="5" fillId="18" borderId="40" xfId="0" applyFont="1" applyFill="1" applyBorder="1" applyAlignment="1">
      <alignment horizontal="center"/>
    </xf>
    <xf numFmtId="0" fontId="5" fillId="18" borderId="41" xfId="0" applyFont="1" applyFill="1" applyBorder="1" applyAlignment="1">
      <alignment horizontal="center"/>
    </xf>
    <xf numFmtId="0" fontId="0" fillId="18" borderId="36" xfId="0" applyFill="1" applyBorder="1" applyAlignment="1">
      <alignment horizontal="center"/>
    </xf>
    <xf numFmtId="0" fontId="0" fillId="18" borderId="58" xfId="0" applyFill="1" applyBorder="1" applyAlignment="1">
      <alignment horizontal="center"/>
    </xf>
    <xf numFmtId="0" fontId="5" fillId="18" borderId="39" xfId="0" applyFont="1" applyFill="1" applyBorder="1" applyAlignment="1">
      <alignment horizontal="center"/>
    </xf>
    <xf numFmtId="1" fontId="5" fillId="18" borderId="40" xfId="0" applyNumberFormat="1" applyFont="1" applyFill="1" applyBorder="1" applyAlignment="1">
      <alignment horizontal="center"/>
    </xf>
    <xf numFmtId="1" fontId="5" fillId="18" borderId="41" xfId="0" applyNumberFormat="1" applyFont="1" applyFill="1" applyBorder="1" applyAlignment="1">
      <alignment horizontal="center"/>
    </xf>
    <xf numFmtId="0" fontId="5" fillId="0" borderId="54" xfId="0" applyFont="1" applyBorder="1" applyAlignment="1">
      <alignment horizontal="center"/>
    </xf>
    <xf numFmtId="0" fontId="26" fillId="0" borderId="68" xfId="0" applyFont="1" applyBorder="1" applyAlignment="1">
      <alignment horizontal="center"/>
    </xf>
    <xf numFmtId="0" fontId="26" fillId="18" borderId="68" xfId="0" applyFont="1" applyFill="1" applyBorder="1" applyAlignment="1">
      <alignment horizontal="center"/>
    </xf>
    <xf numFmtId="0" fontId="27" fillId="0" borderId="69" xfId="0" applyFont="1" applyBorder="1" applyAlignment="1">
      <alignment horizontal="center"/>
    </xf>
    <xf numFmtId="0" fontId="26" fillId="18" borderId="54" xfId="0" applyFont="1" applyFill="1" applyBorder="1" applyAlignment="1">
      <alignment horizontal="center"/>
    </xf>
    <xf numFmtId="0" fontId="26" fillId="0" borderId="69" xfId="0" applyFont="1" applyBorder="1" applyAlignment="1">
      <alignment horizontal="center"/>
    </xf>
    <xf numFmtId="9" fontId="4" fillId="0" borderId="59" xfId="1" applyFont="1" applyBorder="1" applyAlignment="1">
      <alignment horizontal="center"/>
    </xf>
    <xf numFmtId="9" fontId="4" fillId="18" borderId="59" xfId="1" applyFont="1" applyFill="1" applyBorder="1" applyAlignment="1">
      <alignment horizontal="center"/>
    </xf>
    <xf numFmtId="0" fontId="27" fillId="0" borderId="39" xfId="0" applyFont="1" applyBorder="1" applyAlignment="1">
      <alignment horizontal="center"/>
    </xf>
    <xf numFmtId="9" fontId="5" fillId="0" borderId="41" xfId="1" applyFont="1" applyBorder="1" applyAlignment="1">
      <alignment horizontal="center"/>
    </xf>
    <xf numFmtId="9" fontId="4" fillId="18" borderId="51" xfId="1" applyFont="1" applyFill="1" applyBorder="1" applyAlignment="1">
      <alignment horizontal="center"/>
    </xf>
    <xf numFmtId="9" fontId="4" fillId="0" borderId="70" xfId="1" applyFont="1" applyBorder="1" applyAlignment="1">
      <alignment horizontal="center"/>
    </xf>
    <xf numFmtId="1" fontId="26" fillId="0" borderId="58" xfId="2" applyNumberFormat="1" applyFont="1" applyBorder="1" applyAlignment="1">
      <alignment horizontal="center" vertical="center"/>
    </xf>
    <xf numFmtId="1" fontId="26" fillId="18" borderId="58" xfId="2" applyNumberFormat="1" applyFont="1" applyFill="1" applyBorder="1" applyAlignment="1">
      <alignment horizontal="center" vertical="center"/>
    </xf>
    <xf numFmtId="1" fontId="26" fillId="0" borderId="39" xfId="2" applyNumberFormat="1" applyFont="1" applyBorder="1" applyAlignment="1">
      <alignment horizontal="center" vertical="center"/>
    </xf>
    <xf numFmtId="9" fontId="4" fillId="0" borderId="41" xfId="1" applyFont="1" applyBorder="1" applyAlignment="1">
      <alignment horizontal="center"/>
    </xf>
    <xf numFmtId="1" fontId="26" fillId="18" borderId="43" xfId="2" applyNumberFormat="1" applyFont="1" applyFill="1" applyBorder="1" applyAlignment="1">
      <alignment horizontal="center" vertical="center"/>
    </xf>
    <xf numFmtId="9" fontId="4" fillId="18" borderId="44" xfId="1" applyFont="1" applyFill="1" applyBorder="1" applyAlignment="1">
      <alignment horizontal="center"/>
    </xf>
    <xf numFmtId="1" fontId="27" fillId="0" borderId="39" xfId="2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5" fillId="0" borderId="11" xfId="0" applyFont="1" applyBorder="1" applyAlignment="1">
      <alignment horizontal="center"/>
    </xf>
    <xf numFmtId="165" fontId="0" fillId="20" borderId="55" xfId="2" applyNumberFormat="1" applyFont="1" applyFill="1" applyBorder="1"/>
    <xf numFmtId="9" fontId="0" fillId="9" borderId="36" xfId="0" applyNumberFormat="1" applyFill="1" applyBorder="1"/>
    <xf numFmtId="165" fontId="0" fillId="9" borderId="38" xfId="2" applyNumberFormat="1" applyFont="1" applyFill="1" applyBorder="1"/>
    <xf numFmtId="0" fontId="0" fillId="0" borderId="36" xfId="0" applyBorder="1"/>
    <xf numFmtId="0" fontId="0" fillId="0" borderId="32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10" xfId="0" applyBorder="1"/>
    <xf numFmtId="0" fontId="0" fillId="0" borderId="38" xfId="0" applyBorder="1"/>
    <xf numFmtId="0" fontId="0" fillId="0" borderId="58" xfId="0" applyBorder="1"/>
    <xf numFmtId="0" fontId="0" fillId="0" borderId="5" xfId="0" applyBorder="1"/>
    <xf numFmtId="0" fontId="0" fillId="0" borderId="59" xfId="0" applyBorder="1"/>
    <xf numFmtId="0" fontId="0" fillId="0" borderId="35" xfId="0" applyBorder="1"/>
    <xf numFmtId="0" fontId="5" fillId="0" borderId="52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11" xfId="0" applyBorder="1"/>
    <xf numFmtId="0" fontId="0" fillId="0" borderId="23" xfId="0" applyBorder="1"/>
    <xf numFmtId="0" fontId="0" fillId="0" borderId="24" xfId="0" applyBorder="1"/>
    <xf numFmtId="0" fontId="0" fillId="0" borderId="25" xfId="0" applyBorder="1" applyAlignment="1">
      <alignment horizontal="right"/>
    </xf>
    <xf numFmtId="0" fontId="0" fillId="0" borderId="52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69" xfId="0" applyBorder="1" applyAlignment="1">
      <alignment horizontal="center"/>
    </xf>
    <xf numFmtId="1" fontId="0" fillId="0" borderId="29" xfId="0" applyNumberFormat="1" applyBorder="1" applyAlignment="1">
      <alignment horizontal="center" vertical="center"/>
    </xf>
    <xf numFmtId="1" fontId="0" fillId="0" borderId="58" xfId="0" applyNumberFormat="1" applyBorder="1" applyAlignment="1">
      <alignment horizontal="center" vertical="center"/>
    </xf>
    <xf numFmtId="0" fontId="0" fillId="0" borderId="27" xfId="0" applyBorder="1" applyAlignment="1">
      <alignment horizontal="center"/>
    </xf>
    <xf numFmtId="9" fontId="0" fillId="0" borderId="14" xfId="0" applyNumberFormat="1" applyBorder="1" applyAlignment="1">
      <alignment horizontal="center"/>
    </xf>
    <xf numFmtId="9" fontId="0" fillId="18" borderId="14" xfId="0" applyNumberFormat="1" applyFill="1" applyBorder="1" applyAlignment="1">
      <alignment horizontal="center"/>
    </xf>
    <xf numFmtId="9" fontId="0" fillId="0" borderId="40" xfId="0" applyNumberFormat="1" applyBorder="1" applyAlignment="1">
      <alignment horizontal="center"/>
    </xf>
    <xf numFmtId="164" fontId="0" fillId="18" borderId="14" xfId="0" applyNumberFormat="1" applyFill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4" fontId="0" fillId="0" borderId="59" xfId="0" applyNumberFormat="1" applyBorder="1" applyAlignment="1">
      <alignment horizontal="center"/>
    </xf>
    <xf numFmtId="164" fontId="0" fillId="18" borderId="59" xfId="0" applyNumberFormat="1" applyFill="1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0" fontId="5" fillId="0" borderId="10" xfId="0" applyFont="1" applyBorder="1" applyAlignment="1">
      <alignment horizontal="center"/>
    </xf>
    <xf numFmtId="9" fontId="4" fillId="0" borderId="27" xfId="1" applyFont="1" applyBorder="1" applyAlignment="1">
      <alignment horizontal="center"/>
    </xf>
    <xf numFmtId="9" fontId="4" fillId="18" borderId="27" xfId="1" applyFont="1" applyFill="1" applyBorder="1" applyAlignment="1">
      <alignment horizontal="center"/>
    </xf>
    <xf numFmtId="9" fontId="0" fillId="0" borderId="27" xfId="0" applyNumberFormat="1" applyBorder="1" applyAlignment="1">
      <alignment horizontal="center"/>
    </xf>
    <xf numFmtId="9" fontId="0" fillId="18" borderId="27" xfId="0" applyNumberFormat="1" applyFill="1" applyBorder="1" applyAlignment="1">
      <alignment horizontal="center"/>
    </xf>
    <xf numFmtId="9" fontId="0" fillId="0" borderId="11" xfId="0" applyNumberFormat="1" applyBorder="1" applyAlignment="1">
      <alignment horizontal="center"/>
    </xf>
    <xf numFmtId="9" fontId="4" fillId="0" borderId="11" xfId="1" applyFont="1" applyBorder="1" applyAlignment="1">
      <alignment horizontal="center"/>
    </xf>
    <xf numFmtId="0" fontId="26" fillId="0" borderId="29" xfId="0" applyFont="1" applyBorder="1" applyAlignment="1">
      <alignment horizontal="center"/>
    </xf>
    <xf numFmtId="164" fontId="26" fillId="18" borderId="29" xfId="0" applyNumberFormat="1" applyFont="1" applyFill="1" applyBorder="1" applyAlignment="1">
      <alignment horizontal="center"/>
    </xf>
    <xf numFmtId="164" fontId="26" fillId="0" borderId="29" xfId="0" applyNumberFormat="1" applyFont="1" applyBorder="1" applyAlignment="1">
      <alignment horizontal="center"/>
    </xf>
    <xf numFmtId="164" fontId="26" fillId="0" borderId="42" xfId="0" applyNumberFormat="1" applyFont="1" applyBorder="1" applyAlignment="1">
      <alignment horizontal="center"/>
    </xf>
    <xf numFmtId="164" fontId="26" fillId="0" borderId="58" xfId="0" applyNumberFormat="1" applyFont="1" applyBorder="1" applyAlignment="1">
      <alignment horizontal="center"/>
    </xf>
    <xf numFmtId="164" fontId="26" fillId="18" borderId="58" xfId="0" applyNumberFormat="1" applyFont="1" applyFill="1" applyBorder="1" applyAlignment="1">
      <alignment horizontal="center"/>
    </xf>
    <xf numFmtId="164" fontId="26" fillId="0" borderId="39" xfId="0" applyNumberFormat="1" applyFont="1" applyBorder="1" applyAlignment="1">
      <alignment horizontal="center"/>
    </xf>
    <xf numFmtId="9" fontId="5" fillId="0" borderId="11" xfId="0" applyNumberFormat="1" applyFont="1" applyBorder="1" applyAlignment="1">
      <alignment horizontal="center"/>
    </xf>
    <xf numFmtId="9" fontId="0" fillId="18" borderId="10" xfId="0" applyNumberFormat="1" applyFill="1" applyBorder="1" applyAlignment="1">
      <alignment horizontal="center"/>
    </xf>
    <xf numFmtId="0" fontId="0" fillId="0" borderId="39" xfId="0" applyBorder="1" applyAlignment="1">
      <alignment horizontal="center"/>
    </xf>
    <xf numFmtId="9" fontId="0" fillId="18" borderId="44" xfId="0" applyNumberFormat="1" applyFill="1" applyBorder="1" applyAlignment="1">
      <alignment horizontal="center"/>
    </xf>
    <xf numFmtId="17" fontId="4" fillId="0" borderId="22" xfId="0" applyNumberFormat="1" applyFont="1" applyBorder="1"/>
    <xf numFmtId="0" fontId="4" fillId="12" borderId="22" xfId="0" applyFont="1" applyFill="1" applyBorder="1"/>
    <xf numFmtId="17" fontId="4" fillId="0" borderId="72" xfId="0" applyNumberFormat="1" applyFont="1" applyBorder="1"/>
    <xf numFmtId="0" fontId="4" fillId="12" borderId="72" xfId="0" applyFont="1" applyFill="1" applyBorder="1"/>
    <xf numFmtId="0" fontId="4" fillId="0" borderId="26" xfId="0" applyFont="1" applyBorder="1"/>
    <xf numFmtId="0" fontId="4" fillId="12" borderId="26" xfId="0" applyFont="1" applyFill="1" applyBorder="1"/>
    <xf numFmtId="9" fontId="0" fillId="2" borderId="26" xfId="1" applyFont="1" applyFill="1" applyBorder="1" applyAlignment="1">
      <alignment horizontal="center"/>
    </xf>
    <xf numFmtId="9" fontId="0" fillId="0" borderId="26" xfId="1" applyFont="1" applyBorder="1"/>
    <xf numFmtId="43" fontId="0" fillId="0" borderId="0" xfId="0" applyNumberFormat="1"/>
    <xf numFmtId="1" fontId="0" fillId="19" borderId="24" xfId="0" applyNumberFormat="1" applyFill="1" applyBorder="1"/>
    <xf numFmtId="43" fontId="0" fillId="19" borderId="24" xfId="0" applyNumberFormat="1" applyFill="1" applyBorder="1"/>
    <xf numFmtId="164" fontId="0" fillId="0" borderId="59" xfId="0" applyNumberFormat="1" applyBorder="1" applyAlignment="1">
      <alignment horizontal="center" vertical="center"/>
    </xf>
    <xf numFmtId="1" fontId="0" fillId="0" borderId="58" xfId="2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19" borderId="0" xfId="0" applyFill="1"/>
    <xf numFmtId="164" fontId="0" fillId="19" borderId="59" xfId="0" applyNumberFormat="1" applyFill="1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64" fontId="0" fillId="0" borderId="44" xfId="0" applyNumberFormat="1" applyBorder="1" applyAlignment="1">
      <alignment horizontal="center" vertical="center"/>
    </xf>
    <xf numFmtId="1" fontId="0" fillId="0" borderId="43" xfId="2" applyNumberFormat="1" applyFon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0" fontId="0" fillId="18" borderId="65" xfId="0" applyFill="1" applyBorder="1" applyAlignment="1">
      <alignment horizontal="center" vertical="center"/>
    </xf>
    <xf numFmtId="1" fontId="0" fillId="18" borderId="58" xfId="0" applyNumberFormat="1" applyFill="1" applyBorder="1" applyAlignment="1">
      <alignment horizontal="center" vertical="center"/>
    </xf>
    <xf numFmtId="164" fontId="0" fillId="18" borderId="59" xfId="0" applyNumberFormat="1" applyFill="1" applyBorder="1" applyAlignment="1">
      <alignment horizontal="center" vertical="center"/>
    </xf>
    <xf numFmtId="1" fontId="0" fillId="18" borderId="58" xfId="2" applyNumberFormat="1" applyFont="1" applyFill="1" applyBorder="1" applyAlignment="1">
      <alignment horizontal="center" vertical="center"/>
    </xf>
    <xf numFmtId="1" fontId="0" fillId="18" borderId="29" xfId="0" applyNumberFormat="1" applyFill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1" fontId="25" fillId="0" borderId="61" xfId="0" applyNumberFormat="1" applyFont="1" applyBorder="1" applyAlignment="1">
      <alignment horizontal="center" vertical="center"/>
    </xf>
    <xf numFmtId="1" fontId="25" fillId="0" borderId="61" xfId="2" applyNumberFormat="1" applyFont="1" applyBorder="1" applyAlignment="1">
      <alignment horizontal="center" vertical="center"/>
    </xf>
    <xf numFmtId="1" fontId="25" fillId="0" borderId="74" xfId="0" applyNumberFormat="1" applyFont="1" applyBorder="1" applyAlignment="1">
      <alignment horizontal="center" vertical="center"/>
    </xf>
    <xf numFmtId="1" fontId="25" fillId="0" borderId="23" xfId="0" applyNumberFormat="1" applyFont="1" applyBorder="1" applyAlignment="1">
      <alignment horizontal="center" vertical="center"/>
    </xf>
    <xf numFmtId="0" fontId="26" fillId="18" borderId="73" xfId="0" applyFont="1" applyFill="1" applyBorder="1" applyAlignment="1">
      <alignment horizontal="center" vertical="center"/>
    </xf>
    <xf numFmtId="1" fontId="26" fillId="18" borderId="43" xfId="0" applyNumberFormat="1" applyFont="1" applyFill="1" applyBorder="1" applyAlignment="1">
      <alignment horizontal="center" vertical="center"/>
    </xf>
    <xf numFmtId="164" fontId="26" fillId="18" borderId="44" xfId="0" applyNumberFormat="1" applyFont="1" applyFill="1" applyBorder="1" applyAlignment="1">
      <alignment horizontal="center" vertical="center"/>
    </xf>
    <xf numFmtId="1" fontId="26" fillId="18" borderId="21" xfId="0" applyNumberFormat="1" applyFont="1" applyFill="1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1" fontId="26" fillId="0" borderId="58" xfId="0" applyNumberFormat="1" applyFont="1" applyBorder="1" applyAlignment="1">
      <alignment horizontal="center" vertical="center"/>
    </xf>
    <xf numFmtId="164" fontId="26" fillId="0" borderId="59" xfId="0" applyNumberFormat="1" applyFont="1" applyBorder="1" applyAlignment="1">
      <alignment horizontal="center" vertical="center"/>
    </xf>
    <xf numFmtId="1" fontId="26" fillId="0" borderId="29" xfId="0" applyNumberFormat="1" applyFont="1" applyBorder="1" applyAlignment="1">
      <alignment horizontal="center" vertical="center"/>
    </xf>
    <xf numFmtId="0" fontId="26" fillId="18" borderId="49" xfId="0" applyFont="1" applyFill="1" applyBorder="1" applyAlignment="1">
      <alignment horizontal="center" vertical="center"/>
    </xf>
    <xf numFmtId="1" fontId="26" fillId="18" borderId="60" xfId="0" applyNumberFormat="1" applyFont="1" applyFill="1" applyBorder="1" applyAlignment="1">
      <alignment horizontal="center" vertical="center"/>
    </xf>
    <xf numFmtId="164" fontId="26" fillId="18" borderId="63" xfId="0" applyNumberFormat="1" applyFont="1" applyFill="1" applyBorder="1" applyAlignment="1">
      <alignment horizontal="center" vertical="center"/>
    </xf>
    <xf numFmtId="1" fontId="26" fillId="18" borderId="60" xfId="2" applyNumberFormat="1" applyFont="1" applyFill="1" applyBorder="1" applyAlignment="1">
      <alignment horizontal="center" vertical="center"/>
    </xf>
    <xf numFmtId="1" fontId="26" fillId="18" borderId="18" xfId="0" applyNumberFormat="1" applyFont="1" applyFill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1" fontId="26" fillId="0" borderId="39" xfId="0" applyNumberFormat="1" applyFont="1" applyBorder="1" applyAlignment="1">
      <alignment horizontal="center" vertical="center"/>
    </xf>
    <xf numFmtId="164" fontId="26" fillId="0" borderId="41" xfId="0" applyNumberFormat="1" applyFont="1" applyBorder="1" applyAlignment="1">
      <alignment horizontal="center" vertical="center"/>
    </xf>
    <xf numFmtId="1" fontId="26" fillId="0" borderId="42" xfId="0" applyNumberFormat="1" applyFont="1" applyBorder="1" applyAlignment="1">
      <alignment horizontal="center" vertical="center"/>
    </xf>
    <xf numFmtId="0" fontId="26" fillId="18" borderId="65" xfId="0" applyFont="1" applyFill="1" applyBorder="1" applyAlignment="1">
      <alignment horizontal="center" vertical="center"/>
    </xf>
    <xf numFmtId="1" fontId="26" fillId="18" borderId="58" xfId="0" applyNumberFormat="1" applyFont="1" applyFill="1" applyBorder="1" applyAlignment="1">
      <alignment horizontal="center" vertical="center"/>
    </xf>
    <xf numFmtId="164" fontId="26" fillId="18" borderId="59" xfId="0" applyNumberFormat="1" applyFont="1" applyFill="1" applyBorder="1" applyAlignment="1">
      <alignment horizontal="center" vertical="center"/>
    </xf>
    <xf numFmtId="1" fontId="26" fillId="18" borderId="29" xfId="0" applyNumberFormat="1" applyFont="1" applyFill="1" applyBorder="1" applyAlignment="1">
      <alignment horizontal="center" vertical="center"/>
    </xf>
    <xf numFmtId="164" fontId="29" fillId="0" borderId="62" xfId="0" applyNumberFormat="1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5" fillId="0" borderId="39" xfId="2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0" fillId="0" borderId="27" xfId="0" applyBorder="1" applyAlignment="1">
      <alignment horizontal="right"/>
    </xf>
    <xf numFmtId="1" fontId="0" fillId="0" borderId="68" xfId="0" applyNumberFormat="1" applyBorder="1" applyAlignment="1">
      <alignment horizontal="center"/>
    </xf>
    <xf numFmtId="164" fontId="0" fillId="0" borderId="69" xfId="0" applyNumberFormat="1" applyBorder="1" applyAlignment="1">
      <alignment horizontal="center"/>
    </xf>
    <xf numFmtId="0" fontId="0" fillId="0" borderId="19" xfId="0" applyBorder="1" applyAlignment="1">
      <alignment horizontal="right"/>
    </xf>
    <xf numFmtId="0" fontId="0" fillId="0" borderId="75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164" fontId="29" fillId="0" borderId="76" xfId="0" applyNumberFormat="1" applyFont="1" applyBorder="1" applyAlignment="1">
      <alignment horizontal="center" vertical="center"/>
    </xf>
    <xf numFmtId="164" fontId="26" fillId="18" borderId="19" xfId="0" applyNumberFormat="1" applyFont="1" applyFill="1" applyBorder="1" applyAlignment="1">
      <alignment horizontal="center" vertical="center"/>
    </xf>
    <xf numFmtId="164" fontId="26" fillId="0" borderId="27" xfId="0" applyNumberFormat="1" applyFont="1" applyBorder="1" applyAlignment="1">
      <alignment horizontal="center" vertical="center"/>
    </xf>
    <xf numFmtId="164" fontId="26" fillId="18" borderId="16" xfId="0" applyNumberFormat="1" applyFont="1" applyFill="1" applyBorder="1" applyAlignment="1">
      <alignment horizontal="center" vertical="center"/>
    </xf>
    <xf numFmtId="164" fontId="26" fillId="0" borderId="11" xfId="0" applyNumberFormat="1" applyFont="1" applyBorder="1" applyAlignment="1">
      <alignment horizontal="center" vertical="center"/>
    </xf>
    <xf numFmtId="1" fontId="25" fillId="0" borderId="52" xfId="0" applyNumberFormat="1" applyFont="1" applyBorder="1" applyAlignment="1">
      <alignment horizontal="center" vertical="center"/>
    </xf>
    <xf numFmtId="1" fontId="26" fillId="18" borderId="68" xfId="0" applyNumberFormat="1" applyFont="1" applyFill="1" applyBorder="1" applyAlignment="1">
      <alignment horizontal="center" vertical="center"/>
    </xf>
    <xf numFmtId="1" fontId="26" fillId="0" borderId="68" xfId="0" applyNumberFormat="1" applyFont="1" applyBorder="1" applyAlignment="1">
      <alignment horizontal="center" vertical="center"/>
    </xf>
    <xf numFmtId="1" fontId="26" fillId="0" borderId="69" xfId="0" applyNumberFormat="1" applyFont="1" applyBorder="1" applyAlignment="1">
      <alignment horizontal="center" vertical="center"/>
    </xf>
    <xf numFmtId="1" fontId="0" fillId="0" borderId="36" xfId="2" applyNumberFormat="1" applyFon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/>
    </xf>
    <xf numFmtId="165" fontId="0" fillId="0" borderId="29" xfId="0" applyNumberFormat="1" applyBorder="1" applyAlignment="1">
      <alignment horizontal="center"/>
    </xf>
    <xf numFmtId="165" fontId="0" fillId="0" borderId="58" xfId="0" applyNumberFormat="1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3" xfId="0" applyBorder="1" applyAlignment="1">
      <alignment horizontal="center"/>
    </xf>
    <xf numFmtId="165" fontId="0" fillId="0" borderId="60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73" fontId="0" fillId="0" borderId="44" xfId="0" applyNumberFormat="1" applyBorder="1" applyAlignment="1">
      <alignment horizontal="center"/>
    </xf>
    <xf numFmtId="165" fontId="0" fillId="0" borderId="43" xfId="0" applyNumberFormat="1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165" fontId="0" fillId="19" borderId="80" xfId="0" applyNumberFormat="1" applyFill="1" applyBorder="1" applyAlignment="1">
      <alignment horizontal="center"/>
    </xf>
    <xf numFmtId="1" fontId="0" fillId="19" borderId="81" xfId="0" applyNumberFormat="1" applyFill="1" applyBorder="1" applyAlignment="1">
      <alignment horizontal="center"/>
    </xf>
    <xf numFmtId="165" fontId="0" fillId="19" borderId="82" xfId="0" applyNumberFormat="1" applyFill="1" applyBorder="1" applyAlignment="1">
      <alignment horizontal="center"/>
    </xf>
    <xf numFmtId="1" fontId="0" fillId="19" borderId="83" xfId="0" applyNumberFormat="1" applyFill="1" applyBorder="1" applyAlignment="1">
      <alignment horizontal="center"/>
    </xf>
    <xf numFmtId="0" fontId="0" fillId="19" borderId="89" xfId="0" applyFill="1" applyBorder="1" applyAlignment="1">
      <alignment horizontal="center"/>
    </xf>
    <xf numFmtId="165" fontId="0" fillId="0" borderId="71" xfId="0" applyNumberFormat="1" applyBorder="1" applyAlignment="1">
      <alignment horizontal="center"/>
    </xf>
    <xf numFmtId="165" fontId="0" fillId="0" borderId="90" xfId="0" applyNumberFormat="1" applyBorder="1" applyAlignment="1">
      <alignment horizontal="center"/>
    </xf>
    <xf numFmtId="0" fontId="0" fillId="0" borderId="91" xfId="0" applyBorder="1" applyAlignment="1">
      <alignment horizontal="center"/>
    </xf>
    <xf numFmtId="173" fontId="0" fillId="0" borderId="92" xfId="0" applyNumberFormat="1" applyBorder="1" applyAlignment="1">
      <alignment horizontal="center"/>
    </xf>
    <xf numFmtId="165" fontId="0" fillId="0" borderId="93" xfId="0" applyNumberFormat="1" applyBorder="1" applyAlignment="1">
      <alignment horizontal="center"/>
    </xf>
    <xf numFmtId="165" fontId="0" fillId="0" borderId="95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19" borderId="99" xfId="0" applyNumberFormat="1" applyFill="1" applyBorder="1" applyAlignment="1">
      <alignment horizontal="center"/>
    </xf>
    <xf numFmtId="165" fontId="0" fillId="0" borderId="100" xfId="0" applyNumberFormat="1" applyBorder="1" applyAlignment="1">
      <alignment horizontal="center"/>
    </xf>
    <xf numFmtId="165" fontId="0" fillId="0" borderId="101" xfId="0" applyNumberFormat="1" applyBorder="1" applyAlignment="1">
      <alignment horizontal="center"/>
    </xf>
    <xf numFmtId="165" fontId="0" fillId="0" borderId="102" xfId="0" applyNumberFormat="1" applyBorder="1" applyAlignment="1">
      <alignment horizontal="center"/>
    </xf>
    <xf numFmtId="1" fontId="0" fillId="0" borderId="103" xfId="0" applyNumberFormat="1" applyBorder="1" applyAlignment="1">
      <alignment horizontal="center"/>
    </xf>
    <xf numFmtId="165" fontId="0" fillId="0" borderId="104" xfId="0" applyNumberFormat="1" applyBorder="1" applyAlignment="1">
      <alignment horizontal="center"/>
    </xf>
    <xf numFmtId="0" fontId="5" fillId="0" borderId="11" xfId="0" applyFont="1" applyBorder="1" applyAlignment="1">
      <alignment horizontal="center" vertical="center"/>
    </xf>
    <xf numFmtId="1" fontId="26" fillId="0" borderId="28" xfId="0" applyNumberFormat="1" applyFont="1" applyBorder="1" applyAlignment="1">
      <alignment horizontal="center" vertical="center"/>
    </xf>
    <xf numFmtId="1" fontId="26" fillId="18" borderId="28" xfId="0" applyNumberFormat="1" applyFont="1" applyFill="1" applyBorder="1" applyAlignment="1">
      <alignment horizontal="center" vertical="center"/>
    </xf>
    <xf numFmtId="1" fontId="25" fillId="0" borderId="23" xfId="2" applyNumberFormat="1" applyFont="1" applyBorder="1" applyAlignment="1">
      <alignment horizontal="center" vertical="center"/>
    </xf>
    <xf numFmtId="1" fontId="26" fillId="0" borderId="46" xfId="0" applyNumberFormat="1" applyFont="1" applyBorder="1" applyAlignment="1">
      <alignment horizontal="center" vertical="center"/>
    </xf>
    <xf numFmtId="1" fontId="26" fillId="0" borderId="105" xfId="0" applyNumberFormat="1" applyFont="1" applyBorder="1" applyAlignment="1">
      <alignment horizontal="center"/>
    </xf>
    <xf numFmtId="1" fontId="26" fillId="18" borderId="105" xfId="0" applyNumberFormat="1" applyFont="1" applyFill="1" applyBorder="1" applyAlignment="1">
      <alignment horizontal="center"/>
    </xf>
    <xf numFmtId="1" fontId="25" fillId="0" borderId="106" xfId="2" applyNumberFormat="1" applyFont="1" applyBorder="1" applyAlignment="1">
      <alignment horizontal="center" vertical="center"/>
    </xf>
    <xf numFmtId="1" fontId="26" fillId="0" borderId="108" xfId="0" applyNumberFormat="1" applyFont="1" applyBorder="1" applyAlignment="1">
      <alignment horizontal="center"/>
    </xf>
    <xf numFmtId="0" fontId="5" fillId="0" borderId="78" xfId="0" applyFont="1" applyBorder="1"/>
    <xf numFmtId="0" fontId="0" fillId="0" borderId="109" xfId="0" applyBorder="1"/>
    <xf numFmtId="0" fontId="0" fillId="0" borderId="110" xfId="0" applyBorder="1"/>
    <xf numFmtId="0" fontId="0" fillId="0" borderId="111" xfId="0" applyBorder="1"/>
    <xf numFmtId="1" fontId="0" fillId="0" borderId="112" xfId="0" applyNumberFormat="1" applyBorder="1"/>
    <xf numFmtId="0" fontId="25" fillId="18" borderId="23" xfId="0" applyFont="1" applyFill="1" applyBorder="1" applyAlignment="1">
      <alignment horizontal="center" vertical="center"/>
    </xf>
    <xf numFmtId="1" fontId="25" fillId="18" borderId="23" xfId="0" applyNumberFormat="1" applyFont="1" applyFill="1" applyBorder="1" applyAlignment="1">
      <alignment horizontal="center" vertical="center"/>
    </xf>
    <xf numFmtId="1" fontId="25" fillId="18" borderId="61" xfId="2" applyNumberFormat="1" applyFont="1" applyFill="1" applyBorder="1" applyAlignment="1">
      <alignment horizontal="center" vertical="center"/>
    </xf>
    <xf numFmtId="1" fontId="25" fillId="18" borderId="23" xfId="2" applyNumberFormat="1" applyFont="1" applyFill="1" applyBorder="1" applyAlignment="1">
      <alignment horizontal="center" vertical="center"/>
    </xf>
    <xf numFmtId="1" fontId="25" fillId="18" borderId="106" xfId="2" applyNumberFormat="1" applyFont="1" applyFill="1" applyBorder="1" applyAlignment="1">
      <alignment horizontal="center" vertical="center"/>
    </xf>
    <xf numFmtId="1" fontId="26" fillId="0" borderId="107" xfId="0" applyNumberFormat="1" applyFont="1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117" xfId="0" applyBorder="1" applyAlignment="1">
      <alignment horizontal="center"/>
    </xf>
    <xf numFmtId="0" fontId="0" fillId="0" borderId="120" xfId="0" applyBorder="1" applyAlignment="1">
      <alignment horizontal="center"/>
    </xf>
    <xf numFmtId="0" fontId="0" fillId="0" borderId="121" xfId="0" applyBorder="1" applyAlignment="1">
      <alignment horizontal="center"/>
    </xf>
    <xf numFmtId="9" fontId="0" fillId="0" borderId="118" xfId="1" applyFont="1" applyBorder="1" applyAlignment="1">
      <alignment horizontal="center"/>
    </xf>
    <xf numFmtId="165" fontId="0" fillId="0" borderId="123" xfId="2" applyNumberFormat="1" applyFont="1" applyBorder="1" applyAlignment="1">
      <alignment horizontal="center"/>
    </xf>
    <xf numFmtId="0" fontId="0" fillId="0" borderId="127" xfId="0" applyBorder="1" applyAlignment="1">
      <alignment horizontal="center"/>
    </xf>
    <xf numFmtId="165" fontId="0" fillId="0" borderId="128" xfId="2" applyNumberFormat="1" applyFont="1" applyBorder="1" applyAlignment="1">
      <alignment horizontal="center"/>
    </xf>
    <xf numFmtId="9" fontId="0" fillId="0" borderId="123" xfId="1" applyFont="1" applyBorder="1" applyAlignment="1">
      <alignment horizontal="center"/>
    </xf>
    <xf numFmtId="165" fontId="0" fillId="0" borderId="130" xfId="2" applyNumberFormat="1" applyFont="1" applyBorder="1" applyAlignment="1">
      <alignment horizontal="center"/>
    </xf>
    <xf numFmtId="9" fontId="0" fillId="0" borderId="130" xfId="1" applyFont="1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165" fontId="0" fillId="0" borderId="123" xfId="0" applyNumberFormat="1" applyBorder="1" applyAlignment="1">
      <alignment horizontal="center"/>
    </xf>
    <xf numFmtId="165" fontId="0" fillId="0" borderId="124" xfId="0" applyNumberFormat="1" applyBorder="1" applyAlignment="1">
      <alignment horizontal="center"/>
    </xf>
    <xf numFmtId="0" fontId="0" fillId="0" borderId="125" xfId="0" applyBorder="1" applyAlignment="1">
      <alignment horizontal="center"/>
    </xf>
    <xf numFmtId="165" fontId="0" fillId="0" borderId="131" xfId="0" applyNumberFormat="1" applyBorder="1" applyAlignment="1">
      <alignment horizontal="center"/>
    </xf>
    <xf numFmtId="0" fontId="0" fillId="0" borderId="122" xfId="0" applyBorder="1" applyAlignment="1">
      <alignment horizontal="center"/>
    </xf>
    <xf numFmtId="0" fontId="0" fillId="0" borderId="132" xfId="0" applyBorder="1" applyAlignment="1">
      <alignment horizontal="center"/>
    </xf>
    <xf numFmtId="165" fontId="0" fillId="0" borderId="130" xfId="0" applyNumberFormat="1" applyBorder="1" applyAlignment="1">
      <alignment horizontal="center"/>
    </xf>
    <xf numFmtId="9" fontId="0" fillId="0" borderId="44" xfId="0" applyNumberFormat="1" applyBorder="1" applyAlignment="1">
      <alignment horizontal="center"/>
    </xf>
    <xf numFmtId="0" fontId="26" fillId="0" borderId="75" xfId="0" applyFont="1" applyBorder="1" applyAlignment="1">
      <alignment horizontal="center"/>
    </xf>
    <xf numFmtId="0" fontId="26" fillId="0" borderId="43" xfId="0" applyFont="1" applyBorder="1" applyAlignment="1">
      <alignment horizontal="center"/>
    </xf>
    <xf numFmtId="9" fontId="4" fillId="0" borderId="44" xfId="1" applyFont="1" applyBorder="1" applyAlignment="1">
      <alignment horizontal="center"/>
    </xf>
    <xf numFmtId="1" fontId="26" fillId="0" borderId="43" xfId="2" applyNumberFormat="1" applyFont="1" applyBorder="1" applyAlignment="1">
      <alignment horizontal="center" vertical="center"/>
    </xf>
    <xf numFmtId="0" fontId="5" fillId="0" borderId="85" xfId="0" applyFont="1" applyBorder="1" applyAlignment="1">
      <alignment horizontal="center"/>
    </xf>
    <xf numFmtId="0" fontId="5" fillId="0" borderId="135" xfId="0" applyFont="1" applyBorder="1" applyAlignment="1">
      <alignment horizontal="center"/>
    </xf>
    <xf numFmtId="0" fontId="5" fillId="0" borderId="80" xfId="0" applyFont="1" applyBorder="1" applyAlignment="1">
      <alignment horizontal="center"/>
    </xf>
    <xf numFmtId="0" fontId="5" fillId="0" borderId="84" xfId="0" applyFont="1" applyBorder="1" applyAlignment="1">
      <alignment horizontal="center"/>
    </xf>
    <xf numFmtId="0" fontId="5" fillId="0" borderId="79" xfId="0" applyFont="1" applyBorder="1"/>
    <xf numFmtId="165" fontId="5" fillId="0" borderId="80" xfId="2" applyNumberFormat="1" applyFont="1" applyBorder="1"/>
    <xf numFmtId="0" fontId="5" fillId="0" borderId="85" xfId="0" applyFont="1" applyBorder="1"/>
    <xf numFmtId="0" fontId="5" fillId="0" borderId="80" xfId="0" applyFont="1" applyBorder="1"/>
    <xf numFmtId="0" fontId="5" fillId="0" borderId="84" xfId="0" applyFont="1" applyBorder="1"/>
    <xf numFmtId="0" fontId="0" fillId="18" borderId="90" xfId="0" applyFill="1" applyBorder="1" applyAlignment="1">
      <alignment horizontal="center"/>
    </xf>
    <xf numFmtId="0" fontId="0" fillId="18" borderId="92" xfId="0" applyFill="1" applyBorder="1" applyAlignment="1">
      <alignment horizontal="center"/>
    </xf>
    <xf numFmtId="9" fontId="0" fillId="18" borderId="137" xfId="0" applyNumberFormat="1" applyFill="1" applyBorder="1" applyAlignment="1">
      <alignment horizontal="center"/>
    </xf>
    <xf numFmtId="1" fontId="0" fillId="18" borderId="92" xfId="2" applyNumberFormat="1" applyFont="1" applyFill="1" applyBorder="1" applyAlignment="1">
      <alignment horizontal="center"/>
    </xf>
    <xf numFmtId="9" fontId="0" fillId="18" borderId="93" xfId="0" applyNumberFormat="1" applyFill="1" applyBorder="1" applyAlignment="1">
      <alignment horizontal="center"/>
    </xf>
    <xf numFmtId="1" fontId="0" fillId="18" borderId="94" xfId="0" applyNumberFormat="1" applyFill="1" applyBorder="1" applyAlignment="1">
      <alignment horizontal="center"/>
    </xf>
    <xf numFmtId="0" fontId="0" fillId="0" borderId="95" xfId="0" applyBorder="1" applyAlignment="1">
      <alignment horizontal="center"/>
    </xf>
    <xf numFmtId="1" fontId="0" fillId="0" borderId="96" xfId="0" applyNumberFormat="1" applyBorder="1" applyAlignment="1">
      <alignment horizontal="center"/>
    </xf>
    <xf numFmtId="0" fontId="0" fillId="18" borderId="98" xfId="0" applyFill="1" applyBorder="1" applyAlignment="1">
      <alignment horizontal="center"/>
    </xf>
    <xf numFmtId="1" fontId="0" fillId="18" borderId="97" xfId="0" applyNumberFormat="1" applyFill="1" applyBorder="1" applyAlignment="1">
      <alignment horizontal="center"/>
    </xf>
    <xf numFmtId="0" fontId="25" fillId="20" borderId="138" xfId="0" applyFont="1" applyFill="1" applyBorder="1" applyAlignment="1">
      <alignment horizontal="center"/>
    </xf>
    <xf numFmtId="0" fontId="25" fillId="20" borderId="139" xfId="0" applyFont="1" applyFill="1" applyBorder="1" applyAlignment="1">
      <alignment horizontal="center"/>
    </xf>
    <xf numFmtId="9" fontId="25" fillId="20" borderId="140" xfId="1" applyFont="1" applyFill="1" applyBorder="1" applyAlignment="1">
      <alignment horizontal="center"/>
    </xf>
    <xf numFmtId="1" fontId="25" fillId="20" borderId="141" xfId="2" applyNumberFormat="1" applyFont="1" applyFill="1" applyBorder="1" applyAlignment="1">
      <alignment horizontal="center"/>
    </xf>
    <xf numFmtId="1" fontId="25" fillId="20" borderId="142" xfId="0" applyNumberFormat="1" applyFont="1" applyFill="1" applyBorder="1" applyAlignment="1">
      <alignment horizontal="center"/>
    </xf>
    <xf numFmtId="9" fontId="0" fillId="18" borderId="94" xfId="1" applyFont="1" applyFill="1" applyBorder="1" applyAlignment="1">
      <alignment horizontal="center"/>
    </xf>
    <xf numFmtId="9" fontId="0" fillId="0" borderId="96" xfId="1" applyFont="1" applyBorder="1" applyAlignment="1">
      <alignment horizontal="center"/>
    </xf>
    <xf numFmtId="9" fontId="0" fillId="18" borderId="97" xfId="1" applyFont="1" applyFill="1" applyBorder="1" applyAlignment="1">
      <alignment horizontal="center"/>
    </xf>
    <xf numFmtId="1" fontId="0" fillId="18" borderId="90" xfId="0" applyNumberFormat="1" applyFill="1" applyBorder="1" applyAlignment="1">
      <alignment horizontal="center"/>
    </xf>
    <xf numFmtId="1" fontId="0" fillId="0" borderId="95" xfId="0" applyNumberFormat="1" applyBorder="1" applyAlignment="1">
      <alignment horizontal="center"/>
    </xf>
    <xf numFmtId="1" fontId="0" fillId="18" borderId="98" xfId="0" applyNumberFormat="1" applyFill="1" applyBorder="1" applyAlignment="1">
      <alignment horizontal="center"/>
    </xf>
    <xf numFmtId="0" fontId="0" fillId="18" borderId="143" xfId="0" applyFill="1" applyBorder="1" applyAlignment="1">
      <alignment horizontal="center"/>
    </xf>
    <xf numFmtId="0" fontId="0" fillId="18" borderId="17" xfId="0" applyFill="1" applyBorder="1" applyAlignment="1">
      <alignment horizontal="center"/>
    </xf>
    <xf numFmtId="0" fontId="0" fillId="18" borderId="19" xfId="0" applyFill="1" applyBorder="1" applyAlignment="1">
      <alignment horizontal="right"/>
    </xf>
    <xf numFmtId="0" fontId="0" fillId="18" borderId="75" xfId="0" applyFill="1" applyBorder="1" applyAlignment="1">
      <alignment horizontal="center"/>
    </xf>
    <xf numFmtId="0" fontId="0" fillId="18" borderId="27" xfId="0" applyFill="1" applyBorder="1" applyAlignment="1">
      <alignment horizontal="right"/>
    </xf>
    <xf numFmtId="1" fontId="0" fillId="18" borderId="68" xfId="0" applyNumberFormat="1" applyFill="1" applyBorder="1" applyAlignment="1">
      <alignment horizontal="center"/>
    </xf>
    <xf numFmtId="0" fontId="0" fillId="18" borderId="27" xfId="0" applyFill="1" applyBorder="1" applyAlignment="1">
      <alignment horizontal="center"/>
    </xf>
    <xf numFmtId="0" fontId="0" fillId="18" borderId="69" xfId="0" applyFill="1" applyBorder="1" applyAlignment="1">
      <alignment horizontal="center"/>
    </xf>
    <xf numFmtId="164" fontId="0" fillId="18" borderId="69" xfId="0" applyNumberFormat="1" applyFill="1" applyBorder="1" applyAlignment="1">
      <alignment horizontal="center"/>
    </xf>
    <xf numFmtId="0" fontId="0" fillId="21" borderId="19" xfId="0" applyFill="1" applyBorder="1" applyAlignment="1">
      <alignment horizontal="right"/>
    </xf>
    <xf numFmtId="0" fontId="0" fillId="21" borderId="75" xfId="0" applyFill="1" applyBorder="1" applyAlignment="1">
      <alignment horizontal="center"/>
    </xf>
    <xf numFmtId="0" fontId="0" fillId="21" borderId="27" xfId="0" applyFill="1" applyBorder="1" applyAlignment="1">
      <alignment horizontal="right"/>
    </xf>
    <xf numFmtId="1" fontId="0" fillId="21" borderId="68" xfId="0" applyNumberFormat="1" applyFill="1" applyBorder="1" applyAlignment="1">
      <alignment horizontal="center"/>
    </xf>
    <xf numFmtId="0" fontId="0" fillId="21" borderId="27" xfId="0" applyFill="1" applyBorder="1" applyAlignment="1">
      <alignment horizontal="center"/>
    </xf>
    <xf numFmtId="0" fontId="0" fillId="21" borderId="69" xfId="0" applyFill="1" applyBorder="1" applyAlignment="1">
      <alignment horizontal="center"/>
    </xf>
    <xf numFmtId="164" fontId="0" fillId="21" borderId="69" xfId="0" applyNumberFormat="1" applyFill="1" applyBorder="1" applyAlignment="1">
      <alignment horizontal="center"/>
    </xf>
    <xf numFmtId="1" fontId="0" fillId="21" borderId="69" xfId="0" applyNumberFormat="1" applyFill="1" applyBorder="1" applyAlignment="1">
      <alignment horizontal="center"/>
    </xf>
    <xf numFmtId="1" fontId="0" fillId="18" borderId="69" xfId="0" applyNumberFormat="1" applyFill="1" applyBorder="1" applyAlignment="1">
      <alignment horizontal="center"/>
    </xf>
    <xf numFmtId="164" fontId="0" fillId="21" borderId="68" xfId="0" applyNumberFormat="1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0" fontId="0" fillId="0" borderId="16" xfId="0" applyBorder="1"/>
    <xf numFmtId="0" fontId="0" fillId="0" borderId="18" xfId="0" applyBorder="1"/>
    <xf numFmtId="164" fontId="0" fillId="0" borderId="15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4" fontId="0" fillId="0" borderId="14" xfId="0" applyNumberFormat="1" applyBorder="1"/>
    <xf numFmtId="0" fontId="5" fillId="0" borderId="22" xfId="0" applyFont="1" applyBorder="1"/>
    <xf numFmtId="0" fontId="0" fillId="0" borderId="22" xfId="0" applyBorder="1"/>
    <xf numFmtId="0" fontId="5" fillId="0" borderId="37" xfId="0" applyFont="1" applyBorder="1"/>
    <xf numFmtId="0" fontId="0" fillId="0" borderId="37" xfId="0" applyBorder="1"/>
    <xf numFmtId="0" fontId="5" fillId="0" borderId="136" xfId="0" applyFont="1" applyBorder="1"/>
    <xf numFmtId="0" fontId="5" fillId="0" borderId="146" xfId="0" applyFont="1" applyBorder="1"/>
    <xf numFmtId="0" fontId="5" fillId="0" borderId="51" xfId="0" applyFont="1" applyBorder="1"/>
    <xf numFmtId="0" fontId="5" fillId="0" borderId="3" xfId="0" applyFont="1" applyBorder="1"/>
    <xf numFmtId="0" fontId="0" fillId="0" borderId="19" xfId="0" applyBorder="1"/>
    <xf numFmtId="0" fontId="19" fillId="16" borderId="27" xfId="7" applyBorder="1"/>
    <xf numFmtId="0" fontId="10" fillId="14" borderId="27" xfId="3" applyBorder="1"/>
    <xf numFmtId="17" fontId="0" fillId="0" borderId="14" xfId="0" applyNumberFormat="1" applyBorder="1"/>
    <xf numFmtId="0" fontId="0" fillId="18" borderId="27" xfId="0" applyFill="1" applyBorder="1"/>
    <xf numFmtId="17" fontId="0" fillId="18" borderId="14" xfId="0" applyNumberFormat="1" applyFill="1" applyBorder="1"/>
    <xf numFmtId="17" fontId="0" fillId="0" borderId="6" xfId="0" applyNumberFormat="1" applyBorder="1"/>
    <xf numFmtId="0" fontId="10" fillId="14" borderId="14" xfId="3" applyBorder="1"/>
    <xf numFmtId="0" fontId="10" fillId="14" borderId="40" xfId="3" applyBorder="1"/>
    <xf numFmtId="17" fontId="0" fillId="0" borderId="40" xfId="0" applyNumberFormat="1" applyBorder="1"/>
    <xf numFmtId="0" fontId="20" fillId="17" borderId="6" xfId="8" applyBorder="1"/>
    <xf numFmtId="0" fontId="20" fillId="17" borderId="0" xfId="8" applyBorder="1"/>
    <xf numFmtId="0" fontId="20" fillId="17" borderId="5" xfId="8" applyBorder="1"/>
    <xf numFmtId="0" fontId="0" fillId="0" borderId="148" xfId="0" applyBorder="1"/>
    <xf numFmtId="0" fontId="0" fillId="0" borderId="149" xfId="0" applyBorder="1"/>
    <xf numFmtId="0" fontId="0" fillId="0" borderId="150" xfId="0" applyBorder="1"/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0" fillId="0" borderId="158" xfId="0" applyBorder="1"/>
    <xf numFmtId="17" fontId="0" fillId="0" borderId="0" xfId="0" applyNumberFormat="1" applyAlignment="1">
      <alignment wrapText="1"/>
    </xf>
    <xf numFmtId="0" fontId="0" fillId="22" borderId="151" xfId="0" applyFill="1" applyBorder="1"/>
    <xf numFmtId="0" fontId="0" fillId="22" borderId="0" xfId="0" applyFill="1"/>
    <xf numFmtId="0" fontId="0" fillId="22" borderId="157" xfId="0" applyFill="1" applyBorder="1"/>
    <xf numFmtId="0" fontId="0" fillId="22" borderId="152" xfId="0" applyFill="1" applyBorder="1"/>
    <xf numFmtId="0" fontId="0" fillId="12" borderId="151" xfId="0" applyFill="1" applyBorder="1"/>
    <xf numFmtId="0" fontId="0" fillId="12" borderId="157" xfId="0" applyFill="1" applyBorder="1"/>
    <xf numFmtId="0" fontId="0" fillId="12" borderId="152" xfId="0" applyFill="1" applyBorder="1"/>
    <xf numFmtId="0" fontId="5" fillId="0" borderId="57" xfId="0" applyFont="1" applyBorder="1"/>
    <xf numFmtId="0" fontId="5" fillId="0" borderId="160" xfId="0" applyFont="1" applyBorder="1"/>
    <xf numFmtId="0" fontId="0" fillId="0" borderId="160" xfId="0" applyBorder="1"/>
    <xf numFmtId="0" fontId="5" fillId="0" borderId="160" xfId="0" applyFont="1" applyBorder="1" applyAlignment="1">
      <alignment horizontal="left"/>
    </xf>
    <xf numFmtId="0" fontId="5" fillId="0" borderId="17" xfId="0" applyFont="1" applyBorder="1"/>
    <xf numFmtId="0" fontId="0" fillId="0" borderId="160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54" xfId="0" applyBorder="1"/>
    <xf numFmtId="0" fontId="0" fillId="0" borderId="68" xfId="0" applyBorder="1"/>
    <xf numFmtId="0" fontId="0" fillId="0" borderId="161" xfId="0" applyBorder="1"/>
    <xf numFmtId="0" fontId="0" fillId="0" borderId="75" xfId="0" applyBorder="1"/>
    <xf numFmtId="0" fontId="0" fillId="18" borderId="68" xfId="0" applyFill="1" applyBorder="1"/>
    <xf numFmtId="0" fontId="10" fillId="14" borderId="68" xfId="3" applyBorder="1"/>
    <xf numFmtId="0" fontId="10" fillId="14" borderId="69" xfId="3" applyBorder="1"/>
    <xf numFmtId="0" fontId="10" fillId="14" borderId="161" xfId="3" applyBorder="1"/>
    <xf numFmtId="0" fontId="0" fillId="0" borderId="157" xfId="0" applyBorder="1" applyAlignment="1">
      <alignment horizontal="center"/>
    </xf>
    <xf numFmtId="0" fontId="0" fillId="0" borderId="151" xfId="0" applyBorder="1" applyAlignment="1">
      <alignment horizontal="center"/>
    </xf>
    <xf numFmtId="0" fontId="0" fillId="23" borderId="0" xfId="0" applyFill="1"/>
    <xf numFmtId="0" fontId="0" fillId="0" borderId="34" xfId="0" applyBorder="1"/>
    <xf numFmtId="0" fontId="0" fillId="23" borderId="5" xfId="0" applyFill="1" applyBorder="1"/>
    <xf numFmtId="0" fontId="0" fillId="23" borderId="15" xfId="0" applyFill="1" applyBorder="1"/>
    <xf numFmtId="0" fontId="0" fillId="0" borderId="159" xfId="0" applyBorder="1"/>
    <xf numFmtId="0" fontId="0" fillId="0" borderId="67" xfId="0" applyBorder="1"/>
    <xf numFmtId="0" fontId="0" fillId="23" borderId="67" xfId="0" applyFill="1" applyBorder="1"/>
    <xf numFmtId="0" fontId="0" fillId="0" borderId="11" xfId="0" applyBorder="1" applyAlignment="1">
      <alignment horizontal="center"/>
    </xf>
    <xf numFmtId="0" fontId="0" fillId="23" borderId="40" xfId="0" applyFill="1" applyBorder="1" applyAlignment="1">
      <alignment horizontal="center"/>
    </xf>
    <xf numFmtId="0" fontId="0" fillId="23" borderId="42" xfId="0" applyFill="1" applyBorder="1" applyAlignment="1">
      <alignment horizontal="center"/>
    </xf>
    <xf numFmtId="0" fontId="0" fillId="22" borderId="17" xfId="0" applyFill="1" applyBorder="1"/>
    <xf numFmtId="0" fontId="0" fillId="22" borderId="162" xfId="0" applyFill="1" applyBorder="1"/>
    <xf numFmtId="0" fontId="0" fillId="22" borderId="163" xfId="0" applyFill="1" applyBorder="1"/>
    <xf numFmtId="0" fontId="0" fillId="22" borderId="164" xfId="0" applyFill="1" applyBorder="1"/>
    <xf numFmtId="0" fontId="0" fillId="12" borderId="17" xfId="0" applyFill="1" applyBorder="1"/>
    <xf numFmtId="0" fontId="0" fillId="12" borderId="162" xfId="0" applyFill="1" applyBorder="1"/>
    <xf numFmtId="0" fontId="0" fillId="12" borderId="163" xfId="0" applyFill="1" applyBorder="1"/>
    <xf numFmtId="0" fontId="0" fillId="12" borderId="164" xfId="0" applyFill="1" applyBorder="1"/>
    <xf numFmtId="0" fontId="0" fillId="12" borderId="20" xfId="0" applyFill="1" applyBorder="1"/>
    <xf numFmtId="0" fontId="0" fillId="12" borderId="165" xfId="0" applyFill="1" applyBorder="1"/>
    <xf numFmtId="0" fontId="0" fillId="12" borderId="166" xfId="0" applyFill="1" applyBorder="1"/>
    <xf numFmtId="0" fontId="0" fillId="12" borderId="167" xfId="0" applyFill="1" applyBorder="1"/>
    <xf numFmtId="0" fontId="0" fillId="0" borderId="164" xfId="0" applyBorder="1"/>
    <xf numFmtId="0" fontId="0" fillId="0" borderId="162" xfId="0" applyBorder="1"/>
    <xf numFmtId="0" fontId="0" fillId="0" borderId="163" xfId="0" applyBorder="1"/>
    <xf numFmtId="0" fontId="0" fillId="0" borderId="7" xfId="0" applyBorder="1"/>
    <xf numFmtId="17" fontId="0" fillId="0" borderId="17" xfId="0" applyNumberFormat="1" applyBorder="1"/>
    <xf numFmtId="165" fontId="0" fillId="0" borderId="16" xfId="0" applyNumberFormat="1" applyBorder="1"/>
    <xf numFmtId="165" fontId="0" fillId="0" borderId="17" xfId="0" applyNumberFormat="1" applyBorder="1"/>
    <xf numFmtId="166" fontId="0" fillId="0" borderId="17" xfId="1" applyNumberFormat="1" applyFont="1" applyBorder="1"/>
    <xf numFmtId="165" fontId="12" fillId="0" borderId="17" xfId="2" applyNumberFormat="1" applyFont="1" applyBorder="1" applyAlignment="1">
      <alignment horizontal="center" vertical="center"/>
    </xf>
    <xf numFmtId="166" fontId="0" fillId="0" borderId="18" xfId="1" applyNumberFormat="1" applyFont="1" applyBorder="1"/>
    <xf numFmtId="169" fontId="0" fillId="0" borderId="16" xfId="4" applyNumberFormat="1" applyFont="1" applyBorder="1"/>
    <xf numFmtId="169" fontId="0" fillId="0" borderId="17" xfId="4" applyNumberFormat="1" applyFont="1" applyBorder="1"/>
    <xf numFmtId="165" fontId="12" fillId="0" borderId="17" xfId="2" applyNumberFormat="1" applyFont="1" applyBorder="1"/>
    <xf numFmtId="0" fontId="12" fillId="0" borderId="17" xfId="0" applyFont="1" applyBorder="1"/>
    <xf numFmtId="1" fontId="12" fillId="0" borderId="17" xfId="0" applyNumberFormat="1" applyFont="1" applyBorder="1"/>
    <xf numFmtId="166" fontId="0" fillId="0" borderId="17" xfId="0" applyNumberFormat="1" applyBorder="1"/>
    <xf numFmtId="9" fontId="0" fillId="0" borderId="18" xfId="1" applyFont="1" applyBorder="1"/>
    <xf numFmtId="167" fontId="0" fillId="0" borderId="17" xfId="0" applyNumberFormat="1" applyBorder="1"/>
    <xf numFmtId="44" fontId="0" fillId="0" borderId="17" xfId="4" applyFont="1" applyBorder="1"/>
    <xf numFmtId="168" fontId="0" fillId="0" borderId="17" xfId="4" applyNumberFormat="1" applyFont="1" applyBorder="1"/>
    <xf numFmtId="169" fontId="0" fillId="0" borderId="18" xfId="4" applyNumberFormat="1" applyFont="1" applyBorder="1"/>
    <xf numFmtId="9" fontId="0" fillId="0" borderId="17" xfId="1" applyFont="1" applyBorder="1" applyAlignment="1">
      <alignment horizontal="center"/>
    </xf>
    <xf numFmtId="169" fontId="0" fillId="0" borderId="17" xfId="0" applyNumberFormat="1" applyBorder="1"/>
    <xf numFmtId="3" fontId="0" fillId="0" borderId="17" xfId="0" applyNumberFormat="1" applyBorder="1"/>
    <xf numFmtId="44" fontId="0" fillId="0" borderId="17" xfId="0" applyNumberFormat="1" applyBorder="1"/>
    <xf numFmtId="1" fontId="0" fillId="0" borderId="17" xfId="0" applyNumberFormat="1" applyBorder="1"/>
    <xf numFmtId="174" fontId="0" fillId="0" borderId="17" xfId="1" applyNumberFormat="1" applyFont="1" applyBorder="1"/>
    <xf numFmtId="165" fontId="0" fillId="0" borderId="16" xfId="2" applyNumberFormat="1" applyFont="1" applyFill="1" applyBorder="1"/>
    <xf numFmtId="166" fontId="0" fillId="0" borderId="17" xfId="1" applyNumberFormat="1" applyFont="1" applyFill="1" applyBorder="1"/>
    <xf numFmtId="165" fontId="12" fillId="0" borderId="17" xfId="2" applyNumberFormat="1" applyFont="1" applyFill="1" applyBorder="1" applyAlignment="1">
      <alignment horizontal="center" vertical="center"/>
    </xf>
    <xf numFmtId="166" fontId="0" fillId="0" borderId="18" xfId="0" applyNumberFormat="1" applyBorder="1"/>
    <xf numFmtId="169" fontId="0" fillId="0" borderId="16" xfId="4" applyNumberFormat="1" applyFont="1" applyFill="1" applyBorder="1"/>
    <xf numFmtId="165" fontId="12" fillId="0" borderId="17" xfId="2" applyNumberFormat="1" applyFont="1" applyFill="1" applyBorder="1"/>
    <xf numFmtId="9" fontId="0" fillId="0" borderId="18" xfId="1" applyFont="1" applyFill="1" applyBorder="1"/>
    <xf numFmtId="165" fontId="0" fillId="0" borderId="18" xfId="2" applyNumberFormat="1" applyFont="1" applyFill="1" applyBorder="1"/>
    <xf numFmtId="169" fontId="0" fillId="0" borderId="17" xfId="4" applyNumberFormat="1" applyFont="1" applyFill="1" applyBorder="1"/>
    <xf numFmtId="166" fontId="0" fillId="0" borderId="18" xfId="1" applyNumberFormat="1" applyFont="1" applyFill="1" applyBorder="1"/>
    <xf numFmtId="168" fontId="0" fillId="0" borderId="17" xfId="4" applyNumberFormat="1" applyFont="1" applyFill="1" applyBorder="1"/>
    <xf numFmtId="169" fontId="0" fillId="0" borderId="18" xfId="4" applyNumberFormat="1" applyFont="1" applyFill="1" applyBorder="1"/>
    <xf numFmtId="9" fontId="0" fillId="0" borderId="17" xfId="1" applyFont="1" applyFill="1" applyBorder="1" applyAlignment="1">
      <alignment horizontal="center"/>
    </xf>
    <xf numFmtId="0" fontId="20" fillId="17" borderId="0" xfId="8" applyBorder="1" applyAlignment="1">
      <alignment horizontal="center" vertical="center" wrapText="1"/>
    </xf>
    <xf numFmtId="164" fontId="0" fillId="0" borderId="37" xfId="0" applyNumberFormat="1" applyBorder="1"/>
    <xf numFmtId="164" fontId="0" fillId="0" borderId="14" xfId="0" applyNumberFormat="1" applyBorder="1"/>
    <xf numFmtId="2" fontId="0" fillId="0" borderId="7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5" fillId="0" borderId="170" xfId="0" applyFont="1" applyBorder="1" applyAlignment="1">
      <alignment horizontal="center"/>
    </xf>
    <xf numFmtId="0" fontId="5" fillId="0" borderId="86" xfId="0" applyFont="1" applyBorder="1" applyAlignment="1">
      <alignment horizontal="center"/>
    </xf>
    <xf numFmtId="9" fontId="0" fillId="18" borderId="92" xfId="1" applyFont="1" applyFill="1" applyBorder="1" applyAlignment="1">
      <alignment horizontal="center"/>
    </xf>
    <xf numFmtId="9" fontId="0" fillId="0" borderId="59" xfId="1" applyFont="1" applyBorder="1" applyAlignment="1">
      <alignment horizontal="center"/>
    </xf>
    <xf numFmtId="9" fontId="0" fillId="18" borderId="63" xfId="1" applyFont="1" applyFill="1" applyBorder="1" applyAlignment="1">
      <alignment horizontal="center"/>
    </xf>
    <xf numFmtId="9" fontId="0" fillId="0" borderId="174" xfId="1" applyFont="1" applyBorder="1" applyAlignment="1">
      <alignment horizontal="center" vertical="center"/>
    </xf>
    <xf numFmtId="0" fontId="25" fillId="11" borderId="140" xfId="0" applyFont="1" applyFill="1" applyBorder="1" applyAlignment="1">
      <alignment horizontal="center"/>
    </xf>
    <xf numFmtId="1" fontId="25" fillId="11" borderId="115" xfId="1" applyNumberFormat="1" applyFont="1" applyFill="1" applyBorder="1" applyAlignment="1">
      <alignment horizontal="center"/>
    </xf>
    <xf numFmtId="9" fontId="25" fillId="11" borderId="173" xfId="1" applyFont="1" applyFill="1" applyBorder="1" applyAlignment="1">
      <alignment horizontal="center"/>
    </xf>
    <xf numFmtId="9" fontId="0" fillId="0" borderId="38" xfId="1" applyFont="1" applyBorder="1" applyAlignment="1">
      <alignment horizontal="center" vertical="center"/>
    </xf>
    <xf numFmtId="9" fontId="0" fillId="18" borderId="59" xfId="1" applyFont="1" applyFill="1" applyBorder="1" applyAlignment="1">
      <alignment horizontal="center" vertical="center"/>
    </xf>
    <xf numFmtId="9" fontId="0" fillId="0" borderId="59" xfId="1" applyFont="1" applyBorder="1" applyAlignment="1">
      <alignment horizontal="center" vertical="center"/>
    </xf>
    <xf numFmtId="0" fontId="5" fillId="0" borderId="175" xfId="0" applyFont="1" applyBorder="1" applyAlignment="1">
      <alignment horizontal="center"/>
    </xf>
    <xf numFmtId="1" fontId="0" fillId="18" borderId="137" xfId="0" applyNumberFormat="1" applyFill="1" applyBorder="1" applyAlignment="1">
      <alignment horizontal="center"/>
    </xf>
    <xf numFmtId="1" fontId="0" fillId="18" borderId="18" xfId="0" applyNumberFormat="1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18" borderId="176" xfId="0" applyFill="1" applyBorder="1" applyAlignment="1">
      <alignment horizontal="center"/>
    </xf>
    <xf numFmtId="0" fontId="0" fillId="0" borderId="68" xfId="0" applyBorder="1" applyAlignment="1">
      <alignment horizontal="center"/>
    </xf>
    <xf numFmtId="0" fontId="0" fillId="18" borderId="161" xfId="0" applyFill="1" applyBorder="1" applyAlignment="1">
      <alignment horizontal="center"/>
    </xf>
    <xf numFmtId="0" fontId="25" fillId="11" borderId="141" xfId="0" applyFont="1" applyFill="1" applyBorder="1" applyAlignment="1">
      <alignment horizontal="center"/>
    </xf>
    <xf numFmtId="0" fontId="0" fillId="0" borderId="177" xfId="0" applyBorder="1" applyAlignment="1">
      <alignment horizontal="center"/>
    </xf>
    <xf numFmtId="0" fontId="0" fillId="0" borderId="54" xfId="0" applyBorder="1" applyAlignment="1">
      <alignment horizontal="center" vertical="center"/>
    </xf>
    <xf numFmtId="0" fontId="0" fillId="18" borderId="68" xfId="0" applyFill="1" applyBorder="1" applyAlignment="1">
      <alignment horizontal="center"/>
    </xf>
    <xf numFmtId="0" fontId="0" fillId="18" borderId="28" xfId="0" applyFill="1" applyBorder="1" applyAlignment="1">
      <alignment horizontal="center"/>
    </xf>
    <xf numFmtId="1" fontId="25" fillId="11" borderId="145" xfId="1" applyNumberFormat="1" applyFont="1" applyFill="1" applyBorder="1" applyAlignment="1">
      <alignment horizontal="center"/>
    </xf>
    <xf numFmtId="9" fontId="25" fillId="11" borderId="132" xfId="1" applyFont="1" applyFill="1" applyBorder="1" applyAlignment="1">
      <alignment horizontal="center"/>
    </xf>
    <xf numFmtId="0" fontId="0" fillId="0" borderId="178" xfId="0" applyBorder="1" applyAlignment="1">
      <alignment horizontal="center"/>
    </xf>
    <xf numFmtId="9" fontId="0" fillId="0" borderId="179" xfId="1" applyFont="1" applyBorder="1" applyAlignment="1">
      <alignment horizontal="center" vertical="center"/>
    </xf>
    <xf numFmtId="165" fontId="0" fillId="0" borderId="36" xfId="2" applyNumberFormat="1" applyFont="1" applyBorder="1" applyAlignment="1">
      <alignment horizontal="center"/>
    </xf>
    <xf numFmtId="165" fontId="0" fillId="18" borderId="58" xfId="2" applyNumberFormat="1" applyFont="1" applyFill="1" applyBorder="1" applyAlignment="1">
      <alignment horizontal="center"/>
    </xf>
    <xf numFmtId="0" fontId="25" fillId="0" borderId="52" xfId="0" applyFont="1" applyBorder="1" applyAlignment="1">
      <alignment horizontal="center"/>
    </xf>
    <xf numFmtId="9" fontId="25" fillId="0" borderId="62" xfId="1" applyFont="1" applyBorder="1" applyAlignment="1">
      <alignment horizontal="center"/>
    </xf>
    <xf numFmtId="6" fontId="25" fillId="0" borderId="144" xfId="0" applyNumberFormat="1" applyFont="1" applyBorder="1" applyAlignment="1">
      <alignment horizontal="center"/>
    </xf>
    <xf numFmtId="9" fontId="25" fillId="0" borderId="116" xfId="1" applyFont="1" applyBorder="1" applyAlignment="1">
      <alignment horizontal="center"/>
    </xf>
    <xf numFmtId="0" fontId="5" fillId="0" borderId="52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18" borderId="12" xfId="0" applyFill="1" applyBorder="1" applyAlignment="1">
      <alignment horizontal="center"/>
    </xf>
    <xf numFmtId="9" fontId="0" fillId="0" borderId="63" xfId="1" applyFont="1" applyBorder="1" applyAlignment="1">
      <alignment horizontal="center" vertical="center"/>
    </xf>
    <xf numFmtId="9" fontId="0" fillId="0" borderId="10" xfId="1" applyFont="1" applyBorder="1" applyAlignment="1">
      <alignment horizontal="center" vertical="center"/>
    </xf>
    <xf numFmtId="9" fontId="0" fillId="18" borderId="27" xfId="1" applyFont="1" applyFill="1" applyBorder="1" applyAlignment="1">
      <alignment horizontal="center" vertical="center"/>
    </xf>
    <xf numFmtId="0" fontId="0" fillId="0" borderId="36" xfId="0" applyBorder="1" applyAlignment="1">
      <alignment horizontal="center"/>
    </xf>
    <xf numFmtId="9" fontId="0" fillId="0" borderId="41" xfId="1" applyFont="1" applyBorder="1" applyAlignment="1">
      <alignment horizontal="center"/>
    </xf>
    <xf numFmtId="165" fontId="0" fillId="0" borderId="39" xfId="2" applyNumberFormat="1" applyFont="1" applyBorder="1" applyAlignment="1">
      <alignment horizontal="center"/>
    </xf>
    <xf numFmtId="0" fontId="0" fillId="0" borderId="161" xfId="0" applyBorder="1" applyAlignment="1">
      <alignment horizontal="center"/>
    </xf>
    <xf numFmtId="0" fontId="25" fillId="20" borderId="52" xfId="0" applyFont="1" applyFill="1" applyBorder="1" applyAlignment="1">
      <alignment horizontal="center"/>
    </xf>
    <xf numFmtId="1" fontId="25" fillId="20" borderId="61" xfId="0" applyNumberFormat="1" applyFont="1" applyFill="1" applyBorder="1" applyAlignment="1">
      <alignment horizontal="center"/>
    </xf>
    <xf numFmtId="9" fontId="25" fillId="20" borderId="62" xfId="1" applyFont="1" applyFill="1" applyBorder="1" applyAlignment="1">
      <alignment horizontal="center" vertical="center"/>
    </xf>
    <xf numFmtId="1" fontId="25" fillId="20" borderId="74" xfId="0" applyNumberFormat="1" applyFont="1" applyFill="1" applyBorder="1" applyAlignment="1">
      <alignment horizontal="center"/>
    </xf>
    <xf numFmtId="165" fontId="0" fillId="0" borderId="71" xfId="2" applyNumberFormat="1" applyFont="1" applyBorder="1" applyAlignment="1">
      <alignment vertical="center" wrapText="1"/>
    </xf>
    <xf numFmtId="0" fontId="0" fillId="18" borderId="18" xfId="0" applyFill="1" applyBorder="1" applyAlignment="1">
      <alignment horizontal="center"/>
    </xf>
    <xf numFmtId="0" fontId="0" fillId="18" borderId="57" xfId="0" applyFill="1" applyBorder="1" applyAlignment="1">
      <alignment horizontal="center"/>
    </xf>
    <xf numFmtId="0" fontId="0" fillId="0" borderId="69" xfId="0" applyBorder="1" applyAlignment="1">
      <alignment horizontal="center" vertical="center"/>
    </xf>
    <xf numFmtId="0" fontId="0" fillId="18" borderId="136" xfId="0" applyFill="1" applyBorder="1" applyAlignment="1">
      <alignment horizontal="center"/>
    </xf>
    <xf numFmtId="9" fontId="0" fillId="18" borderId="180" xfId="1" applyFont="1" applyFill="1" applyBorder="1" applyAlignment="1">
      <alignment horizontal="center"/>
    </xf>
    <xf numFmtId="0" fontId="0" fillId="18" borderId="146" xfId="0" applyFill="1" applyBorder="1" applyAlignment="1">
      <alignment horizontal="center"/>
    </xf>
    <xf numFmtId="9" fontId="0" fillId="18" borderId="51" xfId="1" applyFont="1" applyFill="1" applyBorder="1" applyAlignment="1">
      <alignment horizontal="center"/>
    </xf>
    <xf numFmtId="9" fontId="0" fillId="0" borderId="41" xfId="1" applyFont="1" applyBorder="1" applyAlignment="1">
      <alignment horizontal="center" vertical="center"/>
    </xf>
    <xf numFmtId="0" fontId="0" fillId="18" borderId="60" xfId="0" applyFill="1" applyBorder="1" applyAlignment="1">
      <alignment horizontal="center"/>
    </xf>
    <xf numFmtId="1" fontId="25" fillId="0" borderId="61" xfId="0" applyNumberFormat="1" applyFont="1" applyBorder="1" applyAlignment="1">
      <alignment horizontal="center"/>
    </xf>
    <xf numFmtId="9" fontId="5" fillId="20" borderId="41" xfId="1" applyFont="1" applyFill="1" applyBorder="1" applyAlignment="1">
      <alignment horizontal="center" vertical="center"/>
    </xf>
    <xf numFmtId="1" fontId="0" fillId="0" borderId="13" xfId="0" applyNumberFormat="1" applyBorder="1" applyAlignment="1">
      <alignment horizontal="center"/>
    </xf>
    <xf numFmtId="1" fontId="5" fillId="20" borderId="29" xfId="0" applyNumberFormat="1" applyFont="1" applyFill="1" applyBorder="1" applyAlignment="1">
      <alignment horizontal="center"/>
    </xf>
    <xf numFmtId="0" fontId="5" fillId="20" borderId="42" xfId="0" applyFont="1" applyFill="1" applyBorder="1" applyAlignment="1">
      <alignment horizontal="center"/>
    </xf>
    <xf numFmtId="0" fontId="5" fillId="20" borderId="68" xfId="0" applyFont="1" applyFill="1" applyBorder="1" applyAlignment="1">
      <alignment horizontal="center"/>
    </xf>
    <xf numFmtId="165" fontId="0" fillId="0" borderId="68" xfId="2" applyNumberFormat="1" applyFont="1" applyBorder="1" applyAlignment="1">
      <alignment horizontal="center"/>
    </xf>
    <xf numFmtId="0" fontId="5" fillId="20" borderId="69" xfId="0" applyFont="1" applyFill="1" applyBorder="1" applyAlignment="1">
      <alignment horizontal="center"/>
    </xf>
    <xf numFmtId="0" fontId="5" fillId="0" borderId="181" xfId="0" applyFont="1" applyBorder="1" applyAlignment="1">
      <alignment horizontal="center"/>
    </xf>
    <xf numFmtId="9" fontId="0" fillId="0" borderId="27" xfId="1" applyFont="1" applyBorder="1" applyAlignment="1">
      <alignment horizontal="center" vertical="center"/>
    </xf>
    <xf numFmtId="9" fontId="5" fillId="20" borderId="27" xfId="1" applyFont="1" applyFill="1" applyBorder="1" applyAlignment="1">
      <alignment horizontal="center" vertical="center"/>
    </xf>
    <xf numFmtId="165" fontId="0" fillId="0" borderId="27" xfId="2" applyNumberFormat="1" applyFont="1" applyBorder="1" applyAlignment="1">
      <alignment horizontal="center"/>
    </xf>
    <xf numFmtId="9" fontId="5" fillId="20" borderId="11" xfId="1" applyFont="1" applyFill="1" applyBorder="1" applyAlignment="1">
      <alignment horizontal="center" vertical="center"/>
    </xf>
    <xf numFmtId="0" fontId="5" fillId="0" borderId="182" xfId="0" applyFont="1" applyBorder="1" applyAlignment="1">
      <alignment horizontal="center"/>
    </xf>
    <xf numFmtId="0" fontId="5" fillId="0" borderId="57" xfId="0" applyFont="1" applyBorder="1" applyAlignment="1">
      <alignment horizontal="center"/>
    </xf>
    <xf numFmtId="1" fontId="0" fillId="0" borderId="36" xfId="0" applyNumberFormat="1" applyBorder="1" applyAlignment="1">
      <alignment horizontal="center"/>
    </xf>
    <xf numFmtId="1" fontId="0" fillId="18" borderId="58" xfId="0" applyNumberFormat="1" applyFill="1" applyBorder="1" applyAlignment="1">
      <alignment horizontal="center"/>
    </xf>
    <xf numFmtId="1" fontId="5" fillId="20" borderId="58" xfId="0" applyNumberFormat="1" applyFont="1" applyFill="1" applyBorder="1" applyAlignment="1">
      <alignment horizontal="center"/>
    </xf>
    <xf numFmtId="0" fontId="5" fillId="20" borderId="39" xfId="0" applyFont="1" applyFill="1" applyBorder="1" applyAlignment="1">
      <alignment horizontal="center"/>
    </xf>
    <xf numFmtId="9" fontId="0" fillId="18" borderId="38" xfId="1" applyFont="1" applyFill="1" applyBorder="1" applyAlignment="1">
      <alignment horizontal="center" vertical="center"/>
    </xf>
    <xf numFmtId="0" fontId="5" fillId="20" borderId="46" xfId="0" applyFont="1" applyFill="1" applyBorder="1" applyAlignment="1">
      <alignment horizontal="center"/>
    </xf>
    <xf numFmtId="0" fontId="0" fillId="0" borderId="74" xfId="0" applyBorder="1" applyAlignment="1">
      <alignment horizontal="center"/>
    </xf>
    <xf numFmtId="9" fontId="0" fillId="0" borderId="62" xfId="1" applyFont="1" applyBorder="1" applyAlignment="1">
      <alignment horizontal="center" vertical="center"/>
    </xf>
    <xf numFmtId="0" fontId="0" fillId="0" borderId="61" xfId="0" applyBorder="1" applyAlignment="1">
      <alignment horizontal="center"/>
    </xf>
    <xf numFmtId="9" fontId="5" fillId="20" borderId="62" xfId="1" applyFont="1" applyFill="1" applyBorder="1" applyAlignment="1">
      <alignment horizontal="center" vertical="center"/>
    </xf>
    <xf numFmtId="0" fontId="5" fillId="20" borderId="74" xfId="0" applyFont="1" applyFill="1" applyBorder="1" applyAlignment="1">
      <alignment horizontal="center"/>
    </xf>
    <xf numFmtId="0" fontId="5" fillId="20" borderId="24" xfId="0" applyFont="1" applyFill="1" applyBorder="1" applyAlignment="1">
      <alignment horizontal="center"/>
    </xf>
    <xf numFmtId="0" fontId="5" fillId="20" borderId="61" xfId="0" applyFont="1" applyFill="1" applyBorder="1" applyAlignment="1">
      <alignment horizontal="center"/>
    </xf>
    <xf numFmtId="0" fontId="5" fillId="20" borderId="58" xfId="0" applyFont="1" applyFill="1" applyBorder="1" applyAlignment="1">
      <alignment horizontal="center"/>
    </xf>
    <xf numFmtId="1" fontId="0" fillId="0" borderId="58" xfId="0" applyNumberFormat="1" applyBorder="1" applyAlignment="1">
      <alignment horizontal="center"/>
    </xf>
    <xf numFmtId="0" fontId="5" fillId="0" borderId="52" xfId="0" applyFont="1" applyBorder="1"/>
    <xf numFmtId="0" fontId="5" fillId="0" borderId="183" xfId="0" applyFont="1" applyBorder="1" applyAlignment="1">
      <alignment horizontal="center"/>
    </xf>
    <xf numFmtId="1" fontId="0" fillId="18" borderId="43" xfId="0" applyNumberFormat="1" applyFill="1" applyBorder="1" applyAlignment="1">
      <alignment horizontal="center"/>
    </xf>
    <xf numFmtId="9" fontId="0" fillId="18" borderId="44" xfId="1" applyFont="1" applyFill="1" applyBorder="1" applyAlignment="1">
      <alignment horizontal="center"/>
    </xf>
    <xf numFmtId="9" fontId="0" fillId="18" borderId="59" xfId="1" applyFont="1" applyFill="1" applyBorder="1" applyAlignment="1">
      <alignment horizontal="center"/>
    </xf>
    <xf numFmtId="9" fontId="5" fillId="20" borderId="59" xfId="1" applyFont="1" applyFill="1" applyBorder="1" applyAlignment="1">
      <alignment horizontal="center"/>
    </xf>
    <xf numFmtId="9" fontId="5" fillId="20" borderId="41" xfId="1" applyFont="1" applyFill="1" applyBorder="1" applyAlignment="1">
      <alignment horizontal="center"/>
    </xf>
    <xf numFmtId="1" fontId="5" fillId="20" borderId="39" xfId="0" applyNumberFormat="1" applyFont="1" applyFill="1" applyBorder="1" applyAlignment="1">
      <alignment horizontal="center"/>
    </xf>
    <xf numFmtId="1" fontId="5" fillId="20" borderId="68" xfId="0" applyNumberFormat="1" applyFont="1" applyFill="1" applyBorder="1" applyAlignment="1">
      <alignment horizontal="center"/>
    </xf>
    <xf numFmtId="1" fontId="5" fillId="20" borderId="69" xfId="0" applyNumberFormat="1" applyFont="1" applyFill="1" applyBorder="1" applyAlignment="1">
      <alignment horizontal="center"/>
    </xf>
    <xf numFmtId="9" fontId="0" fillId="0" borderId="59" xfId="1" applyFont="1" applyFill="1" applyBorder="1" applyAlignment="1">
      <alignment horizontal="center"/>
    </xf>
    <xf numFmtId="0" fontId="0" fillId="18" borderId="54" xfId="0" applyFill="1" applyBorder="1" applyAlignment="1">
      <alignment horizontal="center"/>
    </xf>
    <xf numFmtId="9" fontId="0" fillId="18" borderId="38" xfId="1" applyFont="1" applyFill="1" applyBorder="1" applyAlignment="1">
      <alignment horizontal="center"/>
    </xf>
    <xf numFmtId="165" fontId="0" fillId="0" borderId="0" xfId="2" applyNumberFormat="1" applyFont="1" applyFill="1" applyAlignment="1">
      <alignment horizontal="center"/>
    </xf>
    <xf numFmtId="165" fontId="5" fillId="0" borderId="0" xfId="2" applyNumberFormat="1" applyFont="1" applyFill="1" applyBorder="1" applyAlignment="1">
      <alignment horizontal="center"/>
    </xf>
    <xf numFmtId="1" fontId="5" fillId="0" borderId="0" xfId="0" applyNumberFormat="1" applyFont="1" applyAlignment="1">
      <alignment horizontal="center"/>
    </xf>
    <xf numFmtId="9" fontId="5" fillId="0" borderId="0" xfId="1" applyFont="1" applyFill="1" applyBorder="1" applyAlignment="1">
      <alignment horizontal="center"/>
    </xf>
    <xf numFmtId="0" fontId="5" fillId="0" borderId="31" xfId="0" applyFont="1" applyBorder="1" applyAlignment="1">
      <alignment horizontal="center"/>
    </xf>
    <xf numFmtId="9" fontId="0" fillId="18" borderId="10" xfId="1" applyFont="1" applyFill="1" applyBorder="1" applyAlignment="1">
      <alignment horizontal="center" vertical="center"/>
    </xf>
    <xf numFmtId="9" fontId="0" fillId="0" borderId="76" xfId="1" applyFont="1" applyBorder="1" applyAlignment="1">
      <alignment horizontal="center" vertical="center"/>
    </xf>
    <xf numFmtId="9" fontId="5" fillId="20" borderId="76" xfId="1" applyFont="1" applyFill="1" applyBorder="1" applyAlignment="1">
      <alignment horizontal="center" vertical="center"/>
    </xf>
    <xf numFmtId="1" fontId="0" fillId="0" borderId="75" xfId="0" applyNumberFormat="1" applyBorder="1" applyAlignment="1">
      <alignment horizontal="center"/>
    </xf>
    <xf numFmtId="1" fontId="0" fillId="0" borderId="54" xfId="0" applyNumberFormat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1" fontId="0" fillId="0" borderId="56" xfId="0" applyNumberFormat="1" applyBorder="1" applyAlignment="1">
      <alignment horizontal="center"/>
    </xf>
    <xf numFmtId="0" fontId="5" fillId="0" borderId="0" xfId="0" applyFont="1" applyAlignment="1">
      <alignment horizontal="right"/>
    </xf>
    <xf numFmtId="0" fontId="5" fillId="0" borderId="17" xfId="0" applyFont="1" applyBorder="1" applyAlignment="1">
      <alignment horizontal="right"/>
    </xf>
    <xf numFmtId="1" fontId="0" fillId="0" borderId="73" xfId="0" applyNumberForma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1" fontId="0" fillId="18" borderId="54" xfId="0" applyNumberFormat="1" applyFill="1" applyBorder="1" applyAlignment="1">
      <alignment horizontal="center"/>
    </xf>
    <xf numFmtId="1" fontId="5" fillId="20" borderId="52" xfId="0" applyNumberFormat="1" applyFont="1" applyFill="1" applyBorder="1" applyAlignment="1">
      <alignment horizontal="center"/>
    </xf>
    <xf numFmtId="6" fontId="25" fillId="0" borderId="118" xfId="0" applyNumberFormat="1" applyFont="1" applyBorder="1" applyAlignment="1">
      <alignment horizontal="center"/>
    </xf>
    <xf numFmtId="6" fontId="25" fillId="0" borderId="184" xfId="0" applyNumberFormat="1" applyFont="1" applyBorder="1" applyAlignment="1">
      <alignment horizontal="center"/>
    </xf>
    <xf numFmtId="9" fontId="25" fillId="0" borderId="185" xfId="1" applyFont="1" applyBorder="1" applyAlignment="1">
      <alignment horizontal="center"/>
    </xf>
    <xf numFmtId="1" fontId="5" fillId="20" borderId="65" xfId="0" applyNumberFormat="1" applyFont="1" applyFill="1" applyBorder="1" applyAlignment="1">
      <alignment horizontal="center"/>
    </xf>
    <xf numFmtId="1" fontId="5" fillId="20" borderId="45" xfId="0" applyNumberFormat="1" applyFont="1" applyFill="1" applyBorder="1" applyAlignment="1">
      <alignment horizontal="center"/>
    </xf>
    <xf numFmtId="1" fontId="5" fillId="20" borderId="23" xfId="0" applyNumberFormat="1" applyFont="1" applyFill="1" applyBorder="1" applyAlignment="1">
      <alignment horizontal="center"/>
    </xf>
    <xf numFmtId="10" fontId="0" fillId="0" borderId="8" xfId="1" applyNumberFormat="1" applyFont="1" applyFill="1" applyBorder="1"/>
    <xf numFmtId="10" fontId="0" fillId="0" borderId="39" xfId="1" applyNumberFormat="1" applyFont="1" applyBorder="1" applyAlignment="1">
      <alignment horizontal="center" vertical="center"/>
    </xf>
    <xf numFmtId="10" fontId="0" fillId="0" borderId="40" xfId="1" applyNumberFormat="1" applyFont="1" applyBorder="1" applyAlignment="1">
      <alignment horizontal="center" vertical="center"/>
    </xf>
    <xf numFmtId="0" fontId="12" fillId="0" borderId="0" xfId="6"/>
    <xf numFmtId="44" fontId="0" fillId="0" borderId="0" xfId="4" applyFont="1" applyFill="1" applyBorder="1"/>
    <xf numFmtId="0" fontId="0" fillId="6" borderId="8" xfId="0" applyFill="1" applyBorder="1"/>
    <xf numFmtId="0" fontId="0" fillId="6" borderId="0" xfId="0" applyFill="1"/>
    <xf numFmtId="0" fontId="0" fillId="6" borderId="15" xfId="0" applyFill="1" applyBorder="1"/>
    <xf numFmtId="9" fontId="0" fillId="0" borderId="0" xfId="1" applyFont="1" applyBorder="1"/>
    <xf numFmtId="0" fontId="0" fillId="25" borderId="0" xfId="0" applyFill="1"/>
    <xf numFmtId="175" fontId="0" fillId="0" borderId="0" xfId="0" applyNumberFormat="1" applyAlignment="1">
      <alignment horizontal="center"/>
    </xf>
    <xf numFmtId="175" fontId="0" fillId="0" borderId="7" xfId="0" applyNumberFormat="1" applyBorder="1" applyAlignment="1">
      <alignment horizontal="center"/>
    </xf>
    <xf numFmtId="175" fontId="0" fillId="0" borderId="20" xfId="0" applyNumberFormat="1" applyBorder="1" applyAlignment="1">
      <alignment horizontal="center"/>
    </xf>
    <xf numFmtId="175" fontId="0" fillId="0" borderId="22" xfId="0" applyNumberFormat="1" applyBorder="1" applyAlignment="1">
      <alignment horizontal="center"/>
    </xf>
    <xf numFmtId="0" fontId="5" fillId="26" borderId="14" xfId="0" applyFont="1" applyFill="1" applyBorder="1" applyAlignment="1">
      <alignment horizontal="center"/>
    </xf>
    <xf numFmtId="0" fontId="5" fillId="26" borderId="28" xfId="0" applyFont="1" applyFill="1" applyBorder="1" applyAlignment="1">
      <alignment horizontal="center"/>
    </xf>
    <xf numFmtId="0" fontId="0" fillId="18" borderId="7" xfId="0" applyFill="1" applyBorder="1" applyAlignment="1">
      <alignment horizontal="center"/>
    </xf>
    <xf numFmtId="175" fontId="0" fillId="18" borderId="7" xfId="0" applyNumberFormat="1" applyFill="1" applyBorder="1" applyAlignment="1">
      <alignment horizontal="center"/>
    </xf>
    <xf numFmtId="175" fontId="0" fillId="18" borderId="0" xfId="0" applyNumberFormat="1" applyFill="1" applyAlignment="1">
      <alignment horizontal="center"/>
    </xf>
    <xf numFmtId="175" fontId="32" fillId="0" borderId="7" xfId="0" applyNumberFormat="1" applyFont="1" applyBorder="1" applyAlignment="1">
      <alignment horizontal="center"/>
    </xf>
    <xf numFmtId="175" fontId="32" fillId="0" borderId="0" xfId="0" applyNumberFormat="1" applyFont="1" applyAlignment="1">
      <alignment horizontal="center"/>
    </xf>
    <xf numFmtId="0" fontId="0" fillId="18" borderId="7" xfId="0" applyFill="1" applyBorder="1"/>
    <xf numFmtId="175" fontId="2" fillId="0" borderId="7" xfId="0" applyNumberFormat="1" applyFont="1" applyBorder="1" applyAlignment="1">
      <alignment horizontal="center"/>
    </xf>
    <xf numFmtId="175" fontId="2" fillId="0" borderId="0" xfId="0" applyNumberFormat="1" applyFont="1" applyAlignment="1">
      <alignment horizontal="center"/>
    </xf>
    <xf numFmtId="175" fontId="2" fillId="18" borderId="7" xfId="0" applyNumberFormat="1" applyFont="1" applyFill="1" applyBorder="1" applyAlignment="1">
      <alignment horizontal="center"/>
    </xf>
    <xf numFmtId="175" fontId="2" fillId="18" borderId="0" xfId="0" applyNumberFormat="1" applyFont="1" applyFill="1" applyAlignment="1">
      <alignment horizontal="center"/>
    </xf>
    <xf numFmtId="0" fontId="0" fillId="18" borderId="22" xfId="0" applyFill="1" applyBorder="1"/>
    <xf numFmtId="0" fontId="0" fillId="18" borderId="22" xfId="0" applyFill="1" applyBorder="1" applyAlignment="1">
      <alignment horizontal="center"/>
    </xf>
    <xf numFmtId="175" fontId="2" fillId="18" borderId="22" xfId="0" applyNumberFormat="1" applyFont="1" applyFill="1" applyBorder="1" applyAlignment="1">
      <alignment horizontal="center"/>
    </xf>
    <xf numFmtId="175" fontId="2" fillId="18" borderId="20" xfId="0" applyNumberFormat="1" applyFont="1" applyFill="1" applyBorder="1" applyAlignment="1">
      <alignment horizontal="center"/>
    </xf>
    <xf numFmtId="0" fontId="1" fillId="0" borderId="187" xfId="0" applyFont="1" applyBorder="1"/>
    <xf numFmtId="172" fontId="21" fillId="0" borderId="187" xfId="0" applyNumberFormat="1" applyFont="1" applyBorder="1"/>
    <xf numFmtId="0" fontId="0" fillId="0" borderId="187" xfId="0" applyBorder="1"/>
    <xf numFmtId="1" fontId="0" fillId="0" borderId="0" xfId="0" applyNumberFormat="1" applyAlignment="1">
      <alignment textRotation="90"/>
    </xf>
    <xf numFmtId="0" fontId="0" fillId="0" borderId="0" xfId="0" applyAlignment="1">
      <alignment horizontal="center" textRotation="90"/>
    </xf>
    <xf numFmtId="0" fontId="0" fillId="3" borderId="17" xfId="0" applyFill="1" applyBorder="1"/>
    <xf numFmtId="9" fontId="0" fillId="3" borderId="17" xfId="0" applyNumberFormat="1" applyFill="1" applyBorder="1"/>
    <xf numFmtId="1" fontId="0" fillId="3" borderId="17" xfId="0" applyNumberFormat="1" applyFill="1" applyBorder="1"/>
    <xf numFmtId="0" fontId="0" fillId="3" borderId="20" xfId="0" applyFill="1" applyBorder="1"/>
    <xf numFmtId="9" fontId="0" fillId="3" borderId="20" xfId="0" applyNumberFormat="1" applyFill="1" applyBorder="1"/>
    <xf numFmtId="1" fontId="0" fillId="3" borderId="20" xfId="0" applyNumberFormat="1" applyFill="1" applyBorder="1"/>
    <xf numFmtId="0" fontId="0" fillId="3" borderId="27" xfId="0" applyFill="1" applyBorder="1"/>
    <xf numFmtId="0" fontId="0" fillId="3" borderId="28" xfId="0" applyFill="1" applyBorder="1"/>
    <xf numFmtId="0" fontId="0" fillId="3" borderId="29" xfId="0" applyFill="1" applyBorder="1"/>
    <xf numFmtId="9" fontId="0" fillId="3" borderId="18" xfId="0" applyNumberFormat="1" applyFill="1" applyBorder="1"/>
    <xf numFmtId="0" fontId="0" fillId="3" borderId="21" xfId="0" applyFill="1" applyBorder="1"/>
    <xf numFmtId="9" fontId="0" fillId="3" borderId="21" xfId="0" applyNumberFormat="1" applyFill="1" applyBorder="1"/>
    <xf numFmtId="0" fontId="0" fillId="8" borderId="17" xfId="0" applyFill="1" applyBorder="1"/>
    <xf numFmtId="9" fontId="0" fillId="8" borderId="17" xfId="0" applyNumberFormat="1" applyFill="1" applyBorder="1"/>
    <xf numFmtId="1" fontId="0" fillId="8" borderId="17" xfId="0" applyNumberFormat="1" applyFill="1" applyBorder="1"/>
    <xf numFmtId="0" fontId="0" fillId="8" borderId="20" xfId="0" applyFill="1" applyBorder="1"/>
    <xf numFmtId="9" fontId="0" fillId="8" borderId="20" xfId="0" applyNumberFormat="1" applyFill="1" applyBorder="1"/>
    <xf numFmtId="1" fontId="0" fillId="8" borderId="20" xfId="0" applyNumberFormat="1" applyFill="1" applyBorder="1"/>
    <xf numFmtId="0" fontId="0" fillId="8" borderId="28" xfId="0" applyFill="1" applyBorder="1"/>
    <xf numFmtId="0" fontId="0" fillId="8" borderId="29" xfId="0" applyFill="1" applyBorder="1"/>
    <xf numFmtId="0" fontId="0" fillId="8" borderId="18" xfId="0" applyFill="1" applyBorder="1"/>
    <xf numFmtId="0" fontId="0" fillId="8" borderId="21" xfId="0" applyFill="1" applyBorder="1"/>
    <xf numFmtId="0" fontId="0" fillId="3" borderId="18" xfId="0" applyFill="1" applyBorder="1"/>
    <xf numFmtId="0" fontId="0" fillId="8" borderId="27" xfId="0" applyFill="1" applyBorder="1"/>
    <xf numFmtId="9" fontId="0" fillId="8" borderId="18" xfId="0" applyNumberFormat="1" applyFill="1" applyBorder="1"/>
    <xf numFmtId="9" fontId="0" fillId="8" borderId="21" xfId="0" applyNumberFormat="1" applyFill="1" applyBorder="1"/>
    <xf numFmtId="0" fontId="0" fillId="23" borderId="28" xfId="0" applyFill="1" applyBorder="1"/>
    <xf numFmtId="0" fontId="0" fillId="23" borderId="29" xfId="0" applyFill="1" applyBorder="1"/>
    <xf numFmtId="0" fontId="0" fillId="23" borderId="27" xfId="0" applyFill="1" applyBorder="1"/>
    <xf numFmtId="0" fontId="0" fillId="23" borderId="18" xfId="0" applyFill="1" applyBorder="1"/>
    <xf numFmtId="0" fontId="0" fillId="23" borderId="17" xfId="0" applyFill="1" applyBorder="1"/>
    <xf numFmtId="9" fontId="0" fillId="23" borderId="17" xfId="0" applyNumberFormat="1" applyFill="1" applyBorder="1"/>
    <xf numFmtId="9" fontId="0" fillId="23" borderId="18" xfId="0" applyNumberFormat="1" applyFill="1" applyBorder="1"/>
    <xf numFmtId="1" fontId="0" fillId="23" borderId="17" xfId="0" applyNumberFormat="1" applyFill="1" applyBorder="1"/>
    <xf numFmtId="0" fontId="0" fillId="23" borderId="21" xfId="0" applyFill="1" applyBorder="1"/>
    <xf numFmtId="0" fontId="0" fillId="23" borderId="20" xfId="0" applyFill="1" applyBorder="1"/>
    <xf numFmtId="9" fontId="0" fillId="23" borderId="20" xfId="0" applyNumberFormat="1" applyFill="1" applyBorder="1"/>
    <xf numFmtId="9" fontId="0" fillId="23" borderId="21" xfId="0" applyNumberFormat="1" applyFill="1" applyBorder="1"/>
    <xf numFmtId="1" fontId="0" fillId="23" borderId="20" xfId="0" applyNumberFormat="1" applyFill="1" applyBorder="1"/>
    <xf numFmtId="9" fontId="0" fillId="23" borderId="0" xfId="0" applyNumberFormat="1" applyFill="1"/>
    <xf numFmtId="0" fontId="0" fillId="9" borderId="0" xfId="0" applyFill="1"/>
    <xf numFmtId="9" fontId="0" fillId="9" borderId="0" xfId="0" applyNumberFormat="1" applyFill="1"/>
    <xf numFmtId="1" fontId="0" fillId="9" borderId="0" xfId="0" applyNumberFormat="1" applyFill="1"/>
    <xf numFmtId="0" fontId="0" fillId="9" borderId="20" xfId="0" applyFill="1" applyBorder="1"/>
    <xf numFmtId="9" fontId="0" fillId="9" borderId="20" xfId="0" applyNumberFormat="1" applyFill="1" applyBorder="1"/>
    <xf numFmtId="0" fontId="0" fillId="9" borderId="17" xfId="0" applyFill="1" applyBorder="1"/>
    <xf numFmtId="0" fontId="0" fillId="9" borderId="18" xfId="0" applyFill="1" applyBorder="1" applyAlignment="1">
      <alignment horizontal="center"/>
    </xf>
    <xf numFmtId="9" fontId="0" fillId="9" borderId="17" xfId="0" applyNumberFormat="1" applyFill="1" applyBorder="1"/>
    <xf numFmtId="1" fontId="0" fillId="9" borderId="17" xfId="0" applyNumberFormat="1" applyFill="1" applyBorder="1"/>
    <xf numFmtId="1" fontId="0" fillId="9" borderId="20" xfId="0" applyNumberFormat="1" applyFill="1" applyBorder="1"/>
    <xf numFmtId="0" fontId="0" fillId="9" borderId="18" xfId="0" applyFill="1" applyBorder="1"/>
    <xf numFmtId="0" fontId="0" fillId="9" borderId="21" xfId="0" applyFill="1" applyBorder="1"/>
    <xf numFmtId="0" fontId="0" fillId="9" borderId="15" xfId="0" applyFill="1" applyBorder="1"/>
    <xf numFmtId="0" fontId="0" fillId="9" borderId="16" xfId="0" applyFill="1" applyBorder="1"/>
    <xf numFmtId="9" fontId="0" fillId="9" borderId="18" xfId="0" applyNumberFormat="1" applyFill="1" applyBorder="1"/>
    <xf numFmtId="9" fontId="0" fillId="9" borderId="21" xfId="0" applyNumberFormat="1" applyFill="1" applyBorder="1"/>
    <xf numFmtId="9" fontId="0" fillId="9" borderId="15" xfId="0" applyNumberFormat="1" applyFill="1" applyBorder="1"/>
    <xf numFmtId="0" fontId="0" fillId="23" borderId="14" xfId="0" applyFill="1" applyBorder="1" applyAlignment="1">
      <alignment horizontal="center"/>
    </xf>
    <xf numFmtId="0" fontId="25" fillId="3" borderId="17" xfId="0" applyFont="1" applyFill="1" applyBorder="1"/>
    <xf numFmtId="0" fontId="25" fillId="8" borderId="28" xfId="0" applyFont="1" applyFill="1" applyBorder="1"/>
    <xf numFmtId="0" fontId="25" fillId="23" borderId="28" xfId="0" applyFont="1" applyFill="1" applyBorder="1"/>
    <xf numFmtId="0" fontId="25" fillId="9" borderId="17" xfId="0" applyFont="1" applyFill="1" applyBorder="1"/>
    <xf numFmtId="1" fontId="0" fillId="0" borderId="187" xfId="0" applyNumberFormat="1" applyBorder="1"/>
    <xf numFmtId="0" fontId="0" fillId="0" borderId="0" xfId="0" applyAlignment="1">
      <alignment textRotation="90"/>
    </xf>
    <xf numFmtId="0" fontId="0" fillId="2" borderId="20" xfId="0" applyFill="1" applyBorder="1"/>
    <xf numFmtId="0" fontId="0" fillId="0" borderId="187" xfId="0" applyBorder="1" applyAlignment="1">
      <alignment horizontal="center"/>
    </xf>
    <xf numFmtId="6" fontId="0" fillId="0" borderId="187" xfId="0" applyNumberFormat="1" applyBorder="1"/>
    <xf numFmtId="6" fontId="0" fillId="2" borderId="0" xfId="0" applyNumberFormat="1" applyFill="1" applyAlignment="1">
      <alignment horizontal="center"/>
    </xf>
    <xf numFmtId="0" fontId="5" fillId="0" borderId="0" xfId="0" applyFont="1" applyAlignment="1">
      <alignment horizontal="left"/>
    </xf>
    <xf numFmtId="6" fontId="5" fillId="0" borderId="0" xfId="0" applyNumberFormat="1" applyFont="1" applyAlignment="1">
      <alignment horizontal="center"/>
    </xf>
    <xf numFmtId="6" fontId="5" fillId="0" borderId="187" xfId="0" applyNumberFormat="1" applyFont="1" applyBorder="1" applyAlignment="1">
      <alignment horizontal="center"/>
    </xf>
    <xf numFmtId="0" fontId="0" fillId="3" borderId="0" xfId="0" applyFill="1"/>
    <xf numFmtId="0" fontId="0" fillId="3" borderId="187" xfId="0" applyFill="1" applyBorder="1"/>
    <xf numFmtId="1" fontId="21" fillId="3" borderId="0" xfId="0" applyNumberFormat="1" applyFont="1" applyFill="1"/>
    <xf numFmtId="1" fontId="21" fillId="3" borderId="187" xfId="0" applyNumberFormat="1" applyFont="1" applyFill="1" applyBorder="1"/>
    <xf numFmtId="0" fontId="0" fillId="27" borderId="0" xfId="0" applyFill="1"/>
    <xf numFmtId="0" fontId="0" fillId="27" borderId="187" xfId="0" applyFill="1" applyBorder="1"/>
    <xf numFmtId="1" fontId="21" fillId="27" borderId="0" xfId="0" applyNumberFormat="1" applyFont="1" applyFill="1"/>
    <xf numFmtId="1" fontId="21" fillId="27" borderId="187" xfId="0" applyNumberFormat="1" applyFont="1" applyFill="1" applyBorder="1"/>
    <xf numFmtId="0" fontId="25" fillId="22" borderId="17" xfId="0" applyFont="1" applyFill="1" applyBorder="1"/>
    <xf numFmtId="0" fontId="0" fillId="22" borderId="18" xfId="0" applyFill="1" applyBorder="1"/>
    <xf numFmtId="0" fontId="0" fillId="22" borderId="16" xfId="0" applyFill="1" applyBorder="1"/>
    <xf numFmtId="9" fontId="0" fillId="22" borderId="16" xfId="1" applyFont="1" applyFill="1" applyBorder="1"/>
    <xf numFmtId="9" fontId="0" fillId="22" borderId="17" xfId="0" applyNumberFormat="1" applyFill="1" applyBorder="1"/>
    <xf numFmtId="9" fontId="0" fillId="22" borderId="18" xfId="0" applyNumberFormat="1" applyFill="1" applyBorder="1"/>
    <xf numFmtId="1" fontId="0" fillId="22" borderId="17" xfId="0" applyNumberFormat="1" applyFill="1" applyBorder="1"/>
    <xf numFmtId="0" fontId="0" fillId="22" borderId="21" xfId="0" applyFill="1" applyBorder="1"/>
    <xf numFmtId="0" fontId="0" fillId="22" borderId="20" xfId="0" applyFill="1" applyBorder="1"/>
    <xf numFmtId="9" fontId="0" fillId="22" borderId="19" xfId="1" applyFont="1" applyFill="1" applyBorder="1"/>
    <xf numFmtId="9" fontId="0" fillId="22" borderId="20" xfId="0" applyNumberFormat="1" applyFill="1" applyBorder="1"/>
    <xf numFmtId="9" fontId="0" fillId="22" borderId="21" xfId="0" applyNumberFormat="1" applyFill="1" applyBorder="1"/>
    <xf numFmtId="1" fontId="0" fillId="22" borderId="20" xfId="0" applyNumberFormat="1" applyFill="1" applyBorder="1"/>
    <xf numFmtId="0" fontId="0" fillId="22" borderId="15" xfId="0" applyFill="1" applyBorder="1"/>
    <xf numFmtId="9" fontId="0" fillId="22" borderId="8" xfId="1" applyFont="1" applyFill="1" applyBorder="1"/>
    <xf numFmtId="9" fontId="0" fillId="22" borderId="0" xfId="0" applyNumberFormat="1" applyFill="1"/>
    <xf numFmtId="9" fontId="0" fillId="22" borderId="15" xfId="0" applyNumberFormat="1" applyFill="1" applyBorder="1"/>
    <xf numFmtId="1" fontId="0" fillId="22" borderId="0" xfId="0" applyNumberFormat="1" applyFill="1"/>
    <xf numFmtId="0" fontId="0" fillId="22" borderId="187" xfId="0" applyFill="1" applyBorder="1"/>
    <xf numFmtId="1" fontId="21" fillId="22" borderId="0" xfId="0" applyNumberFormat="1" applyFont="1" applyFill="1"/>
    <xf numFmtId="1" fontId="21" fillId="22" borderId="187" xfId="0" applyNumberFormat="1" applyFont="1" applyFill="1" applyBorder="1"/>
    <xf numFmtId="0" fontId="0" fillId="0" borderId="128" xfId="0" applyBorder="1"/>
    <xf numFmtId="0" fontId="0" fillId="0" borderId="118" xfId="0" applyBorder="1"/>
    <xf numFmtId="0" fontId="0" fillId="0" borderId="129" xfId="0" applyBorder="1"/>
    <xf numFmtId="169" fontId="0" fillId="0" borderId="128" xfId="4" applyNumberFormat="1" applyFont="1" applyBorder="1"/>
    <xf numFmtId="169" fontId="0" fillId="0" borderId="118" xfId="4" applyNumberFormat="1" applyFont="1" applyBorder="1"/>
    <xf numFmtId="169" fontId="0" fillId="0" borderId="129" xfId="4" applyNumberFormat="1" applyFont="1" applyBorder="1"/>
    <xf numFmtId="0" fontId="5" fillId="18" borderId="86" xfId="0" applyFont="1" applyFill="1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8" xfId="0" applyBorder="1" applyAlignment="1">
      <alignment horizontal="right"/>
    </xf>
    <xf numFmtId="175" fontId="5" fillId="0" borderId="122" xfId="0" applyNumberFormat="1" applyFont="1" applyBorder="1"/>
    <xf numFmtId="175" fontId="5" fillId="0" borderId="126" xfId="0" applyNumberFormat="1" applyFont="1" applyBorder="1"/>
    <xf numFmtId="0" fontId="5" fillId="0" borderId="86" xfId="0" applyFont="1" applyBorder="1" applyAlignment="1">
      <alignment horizontal="right"/>
    </xf>
    <xf numFmtId="0" fontId="5" fillId="18" borderId="193" xfId="0" applyFont="1" applyFill="1" applyBorder="1" applyAlignment="1">
      <alignment horizontal="right"/>
    </xf>
    <xf numFmtId="0" fontId="0" fillId="0" borderId="108" xfId="0" applyBorder="1" applyAlignment="1">
      <alignment horizontal="right"/>
    </xf>
    <xf numFmtId="0" fontId="5" fillId="18" borderId="105" xfId="0" applyFont="1" applyFill="1" applyBorder="1" applyAlignment="1">
      <alignment horizontal="right"/>
    </xf>
    <xf numFmtId="0" fontId="5" fillId="18" borderId="195" xfId="0" applyFont="1" applyFill="1" applyBorder="1" applyAlignment="1">
      <alignment horizontal="right"/>
    </xf>
    <xf numFmtId="0" fontId="5" fillId="18" borderId="196" xfId="0" applyFont="1" applyFill="1" applyBorder="1"/>
    <xf numFmtId="0" fontId="5" fillId="18" borderId="197" xfId="0" applyFont="1" applyFill="1" applyBorder="1"/>
    <xf numFmtId="169" fontId="5" fillId="18" borderId="196" xfId="4" applyNumberFormat="1" applyFont="1" applyFill="1" applyBorder="1"/>
    <xf numFmtId="169" fontId="5" fillId="18" borderId="197" xfId="4" applyNumberFormat="1" applyFont="1" applyFill="1" applyBorder="1"/>
    <xf numFmtId="0" fontId="5" fillId="18" borderId="198" xfId="0" applyFont="1" applyFill="1" applyBorder="1" applyAlignment="1">
      <alignment horizontal="center"/>
    </xf>
    <xf numFmtId="0" fontId="5" fillId="18" borderId="199" xfId="0" applyFont="1" applyFill="1" applyBorder="1" applyAlignment="1">
      <alignment horizontal="center"/>
    </xf>
    <xf numFmtId="0" fontId="5" fillId="18" borderId="200" xfId="0" applyFont="1" applyFill="1" applyBorder="1" applyAlignment="1">
      <alignment horizontal="center"/>
    </xf>
    <xf numFmtId="9" fontId="0" fillId="0" borderId="201" xfId="1" applyFont="1" applyBorder="1" applyAlignment="1">
      <alignment horizontal="center"/>
    </xf>
    <xf numFmtId="0" fontId="5" fillId="18" borderId="107" xfId="0" applyFont="1" applyFill="1" applyBorder="1" applyAlignment="1">
      <alignment horizontal="right"/>
    </xf>
    <xf numFmtId="1" fontId="0" fillId="0" borderId="8" xfId="0" applyNumberFormat="1" applyBorder="1" applyAlignment="1">
      <alignment horizontal="center" vertical="center"/>
    </xf>
    <xf numFmtId="0" fontId="0" fillId="0" borderId="202" xfId="0" applyBorder="1" applyAlignment="1">
      <alignment horizontal="center" wrapText="1"/>
    </xf>
    <xf numFmtId="0" fontId="0" fillId="22" borderId="204" xfId="0" applyFill="1" applyBorder="1"/>
    <xf numFmtId="0" fontId="0" fillId="22" borderId="189" xfId="0" applyFill="1" applyBorder="1"/>
    <xf numFmtId="9" fontId="0" fillId="22" borderId="205" xfId="1" applyFont="1" applyFill="1" applyBorder="1"/>
    <xf numFmtId="9" fontId="0" fillId="22" borderId="189" xfId="0" applyNumberFormat="1" applyFill="1" applyBorder="1"/>
    <xf numFmtId="9" fontId="0" fillId="22" borderId="204" xfId="0" applyNumberFormat="1" applyFill="1" applyBorder="1"/>
    <xf numFmtId="1" fontId="0" fillId="22" borderId="189" xfId="0" applyNumberFormat="1" applyFill="1" applyBorder="1"/>
    <xf numFmtId="0" fontId="0" fillId="22" borderId="208" xfId="0" applyFill="1" applyBorder="1"/>
    <xf numFmtId="0" fontId="0" fillId="22" borderId="190" xfId="0" applyFill="1" applyBorder="1"/>
    <xf numFmtId="9" fontId="0" fillId="22" borderId="209" xfId="1" applyFont="1" applyFill="1" applyBorder="1"/>
    <xf numFmtId="9" fontId="0" fillId="22" borderId="190" xfId="0" applyNumberFormat="1" applyFill="1" applyBorder="1"/>
    <xf numFmtId="9" fontId="0" fillId="22" borderId="208" xfId="0" applyNumberFormat="1" applyFill="1" applyBorder="1"/>
    <xf numFmtId="1" fontId="0" fillId="22" borderId="190" xfId="0" applyNumberFormat="1" applyFill="1" applyBorder="1"/>
    <xf numFmtId="1" fontId="0" fillId="23" borderId="0" xfId="0" applyNumberFormat="1" applyFill="1"/>
    <xf numFmtId="0" fontId="0" fillId="22" borderId="17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189" xfId="0" applyFill="1" applyBorder="1" applyAlignment="1">
      <alignment horizontal="center"/>
    </xf>
    <xf numFmtId="0" fontId="0" fillId="2" borderId="190" xfId="0" applyFill="1" applyBorder="1" applyAlignment="1">
      <alignment horizontal="center"/>
    </xf>
    <xf numFmtId="0" fontId="0" fillId="22" borderId="20" xfId="0" applyFill="1" applyBorder="1" applyAlignment="1">
      <alignment horizontal="center"/>
    </xf>
    <xf numFmtId="0" fontId="0" fillId="0" borderId="203" xfId="0" applyBorder="1"/>
    <xf numFmtId="0" fontId="0" fillId="0" borderId="189" xfId="0" applyBorder="1"/>
    <xf numFmtId="0" fontId="0" fillId="0" borderId="211" xfId="0" applyBorder="1"/>
    <xf numFmtId="0" fontId="0" fillId="0" borderId="206" xfId="0" applyBorder="1"/>
    <xf numFmtId="1" fontId="21" fillId="22" borderId="202" xfId="0" applyNumberFormat="1" applyFont="1" applyFill="1" applyBorder="1"/>
    <xf numFmtId="1" fontId="21" fillId="22" borderId="169" xfId="0" applyNumberFormat="1" applyFont="1" applyFill="1" applyBorder="1"/>
    <xf numFmtId="0" fontId="0" fillId="22" borderId="202" xfId="0" applyFill="1" applyBorder="1"/>
    <xf numFmtId="0" fontId="0" fillId="22" borderId="169" xfId="0" applyFill="1" applyBorder="1"/>
    <xf numFmtId="0" fontId="0" fillId="22" borderId="207" xfId="0" applyFill="1" applyBorder="1"/>
    <xf numFmtId="0" fontId="0" fillId="22" borderId="212" xfId="0" applyFill="1" applyBorder="1"/>
    <xf numFmtId="0" fontId="0" fillId="22" borderId="210" xfId="0" applyFill="1" applyBorder="1"/>
    <xf numFmtId="1" fontId="21" fillId="22" borderId="203" xfId="0" applyNumberFormat="1" applyFont="1" applyFill="1" applyBorder="1"/>
    <xf numFmtId="1" fontId="21" fillId="22" borderId="189" xfId="0" applyNumberFormat="1" applyFont="1" applyFill="1" applyBorder="1"/>
    <xf numFmtId="1" fontId="21" fillId="22" borderId="211" xfId="0" applyNumberFormat="1" applyFont="1" applyFill="1" applyBorder="1"/>
    <xf numFmtId="1" fontId="21" fillId="22" borderId="206" xfId="0" applyNumberFormat="1" applyFont="1" applyFill="1" applyBorder="1"/>
    <xf numFmtId="0" fontId="0" fillId="9" borderId="17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20" xfId="0" applyFill="1" applyBorder="1" applyAlignment="1">
      <alignment horizontal="center"/>
    </xf>
    <xf numFmtId="0" fontId="0" fillId="23" borderId="16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3" borderId="0" xfId="0" applyFill="1" applyAlignment="1">
      <alignment horizontal="center"/>
    </xf>
    <xf numFmtId="0" fontId="0" fillId="23" borderId="20" xfId="0" applyFill="1" applyBorder="1" applyAlignment="1">
      <alignment horizontal="center"/>
    </xf>
    <xf numFmtId="1" fontId="21" fillId="27" borderId="203" xfId="0" applyNumberFormat="1" applyFont="1" applyFill="1" applyBorder="1"/>
    <xf numFmtId="1" fontId="21" fillId="27" borderId="189" xfId="0" applyNumberFormat="1" applyFont="1" applyFill="1" applyBorder="1"/>
    <xf numFmtId="1" fontId="21" fillId="27" borderId="211" xfId="0" applyNumberFormat="1" applyFont="1" applyFill="1" applyBorder="1"/>
    <xf numFmtId="1" fontId="21" fillId="27" borderId="206" xfId="0" applyNumberFormat="1" applyFont="1" applyFill="1" applyBorder="1"/>
    <xf numFmtId="0" fontId="0" fillId="27" borderId="202" xfId="0" applyFill="1" applyBorder="1"/>
    <xf numFmtId="0" fontId="0" fillId="27" borderId="169" xfId="0" applyFill="1" applyBorder="1"/>
    <xf numFmtId="1" fontId="21" fillId="27" borderId="202" xfId="0" applyNumberFormat="1" applyFont="1" applyFill="1" applyBorder="1"/>
    <xf numFmtId="1" fontId="21" fillId="27" borderId="169" xfId="0" applyNumberFormat="1" applyFont="1" applyFill="1" applyBorder="1"/>
    <xf numFmtId="0" fontId="0" fillId="27" borderId="207" xfId="0" applyFill="1" applyBorder="1"/>
    <xf numFmtId="0" fontId="0" fillId="27" borderId="190" xfId="0" applyFill="1" applyBorder="1"/>
    <xf numFmtId="0" fontId="0" fillId="27" borderId="212" xfId="0" applyFill="1" applyBorder="1"/>
    <xf numFmtId="0" fontId="0" fillId="27" borderId="210" xfId="0" applyFill="1" applyBorder="1"/>
    <xf numFmtId="0" fontId="0" fillId="8" borderId="28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203" xfId="0" applyFill="1" applyBorder="1"/>
    <xf numFmtId="0" fontId="0" fillId="3" borderId="189" xfId="0" applyFill="1" applyBorder="1"/>
    <xf numFmtId="0" fontId="0" fillId="3" borderId="211" xfId="0" applyFill="1" applyBorder="1"/>
    <xf numFmtId="0" fontId="0" fillId="3" borderId="206" xfId="0" applyFill="1" applyBorder="1"/>
    <xf numFmtId="1" fontId="21" fillId="3" borderId="202" xfId="0" applyNumberFormat="1" applyFont="1" applyFill="1" applyBorder="1"/>
    <xf numFmtId="1" fontId="21" fillId="3" borderId="169" xfId="0" applyNumberFormat="1" applyFont="1" applyFill="1" applyBorder="1"/>
    <xf numFmtId="0" fontId="0" fillId="3" borderId="202" xfId="0" applyFill="1" applyBorder="1"/>
    <xf numFmtId="0" fontId="0" fillId="3" borderId="169" xfId="0" applyFill="1" applyBorder="1"/>
    <xf numFmtId="0" fontId="0" fillId="3" borderId="207" xfId="0" applyFill="1" applyBorder="1"/>
    <xf numFmtId="0" fontId="0" fillId="3" borderId="190" xfId="0" applyFill="1" applyBorder="1"/>
    <xf numFmtId="0" fontId="0" fillId="3" borderId="212" xfId="0" applyFill="1" applyBorder="1"/>
    <xf numFmtId="0" fontId="0" fillId="3" borderId="210" xfId="0" applyFill="1" applyBorder="1"/>
    <xf numFmtId="1" fontId="21" fillId="3" borderId="203" xfId="0" applyNumberFormat="1" applyFont="1" applyFill="1" applyBorder="1"/>
    <xf numFmtId="1" fontId="21" fillId="3" borderId="189" xfId="0" applyNumberFormat="1" applyFont="1" applyFill="1" applyBorder="1"/>
    <xf numFmtId="1" fontId="21" fillId="3" borderId="211" xfId="0" applyNumberFormat="1" applyFont="1" applyFill="1" applyBorder="1"/>
    <xf numFmtId="1" fontId="21" fillId="3" borderId="206" xfId="0" applyNumberFormat="1" applyFont="1" applyFill="1" applyBorder="1"/>
    <xf numFmtId="1" fontId="5" fillId="18" borderId="122" xfId="0" applyNumberFormat="1" applyFont="1" applyFill="1" applyBorder="1"/>
    <xf numFmtId="1" fontId="5" fillId="18" borderId="126" xfId="0" applyNumberFormat="1" applyFont="1" applyFill="1" applyBorder="1"/>
    <xf numFmtId="1" fontId="5" fillId="18" borderId="189" xfId="0" applyNumberFormat="1" applyFont="1" applyFill="1" applyBorder="1"/>
    <xf numFmtId="1" fontId="5" fillId="18" borderId="191" xfId="0" applyNumberFormat="1" applyFont="1" applyFill="1" applyBorder="1"/>
    <xf numFmtId="1" fontId="0" fillId="0" borderId="128" xfId="0" applyNumberFormat="1" applyBorder="1"/>
    <xf numFmtId="1" fontId="0" fillId="0" borderId="190" xfId="0" applyNumberFormat="1" applyBorder="1"/>
    <xf numFmtId="1" fontId="0" fillId="0" borderId="192" xfId="0" applyNumberFormat="1" applyBorder="1"/>
    <xf numFmtId="1" fontId="0" fillId="0" borderId="118" xfId="0" applyNumberFormat="1" applyBorder="1"/>
    <xf numFmtId="1" fontId="0" fillId="0" borderId="129" xfId="0" applyNumberFormat="1" applyBorder="1"/>
    <xf numFmtId="0" fontId="0" fillId="8" borderId="203" xfId="0" applyFill="1" applyBorder="1"/>
    <xf numFmtId="0" fontId="0" fillId="8" borderId="189" xfId="0" applyFill="1" applyBorder="1"/>
    <xf numFmtId="0" fontId="0" fillId="8" borderId="211" xfId="0" applyFill="1" applyBorder="1"/>
    <xf numFmtId="0" fontId="0" fillId="8" borderId="206" xfId="0" applyFill="1" applyBorder="1"/>
    <xf numFmtId="1" fontId="21" fillId="8" borderId="203" xfId="0" applyNumberFormat="1" applyFont="1" applyFill="1" applyBorder="1"/>
    <xf numFmtId="1" fontId="21" fillId="8" borderId="189" xfId="0" applyNumberFormat="1" applyFont="1" applyFill="1" applyBorder="1"/>
    <xf numFmtId="1" fontId="21" fillId="8" borderId="211" xfId="0" applyNumberFormat="1" applyFont="1" applyFill="1" applyBorder="1"/>
    <xf numFmtId="1" fontId="21" fillId="8" borderId="206" xfId="0" applyNumberFormat="1" applyFont="1" applyFill="1" applyBorder="1"/>
    <xf numFmtId="0" fontId="0" fillId="8" borderId="207" xfId="0" applyFill="1" applyBorder="1"/>
    <xf numFmtId="0" fontId="0" fillId="8" borderId="190" xfId="0" applyFill="1" applyBorder="1"/>
    <xf numFmtId="0" fontId="0" fillId="8" borderId="212" xfId="0" applyFill="1" applyBorder="1"/>
    <xf numFmtId="0" fontId="0" fillId="8" borderId="210" xfId="0" applyFill="1" applyBorder="1"/>
    <xf numFmtId="1" fontId="21" fillId="8" borderId="202" xfId="0" applyNumberFormat="1" applyFont="1" applyFill="1" applyBorder="1"/>
    <xf numFmtId="1" fontId="21" fillId="8" borderId="0" xfId="0" applyNumberFormat="1" applyFont="1" applyFill="1"/>
    <xf numFmtId="1" fontId="21" fillId="8" borderId="187" xfId="0" applyNumberFormat="1" applyFont="1" applyFill="1" applyBorder="1"/>
    <xf numFmtId="1" fontId="21" fillId="8" borderId="169" xfId="0" applyNumberFormat="1" applyFont="1" applyFill="1" applyBorder="1"/>
    <xf numFmtId="0" fontId="0" fillId="8" borderId="202" xfId="0" applyFill="1" applyBorder="1"/>
    <xf numFmtId="0" fontId="0" fillId="8" borderId="0" xfId="0" applyFill="1"/>
    <xf numFmtId="0" fontId="0" fillId="8" borderId="187" xfId="0" applyFill="1" applyBorder="1"/>
    <xf numFmtId="0" fontId="0" fillId="8" borderId="169" xfId="0" applyFill="1" applyBorder="1"/>
    <xf numFmtId="0" fontId="0" fillId="9" borderId="187" xfId="0" applyFill="1" applyBorder="1"/>
    <xf numFmtId="1" fontId="21" fillId="9" borderId="203" xfId="0" applyNumberFormat="1" applyFont="1" applyFill="1" applyBorder="1"/>
    <xf numFmtId="1" fontId="21" fillId="9" borderId="189" xfId="0" applyNumberFormat="1" applyFont="1" applyFill="1" applyBorder="1"/>
    <xf numFmtId="1" fontId="21" fillId="9" borderId="211" xfId="0" applyNumberFormat="1" applyFont="1" applyFill="1" applyBorder="1"/>
    <xf numFmtId="1" fontId="21" fillId="9" borderId="206" xfId="0" applyNumberFormat="1" applyFont="1" applyFill="1" applyBorder="1"/>
    <xf numFmtId="0" fontId="0" fillId="9" borderId="202" xfId="0" applyFill="1" applyBorder="1"/>
    <xf numFmtId="0" fontId="0" fillId="9" borderId="169" xfId="0" applyFill="1" applyBorder="1"/>
    <xf numFmtId="0" fontId="0" fillId="9" borderId="207" xfId="0" applyFill="1" applyBorder="1"/>
    <xf numFmtId="0" fontId="0" fillId="9" borderId="190" xfId="0" applyFill="1" applyBorder="1"/>
    <xf numFmtId="0" fontId="0" fillId="9" borderId="212" xfId="0" applyFill="1" applyBorder="1"/>
    <xf numFmtId="0" fontId="0" fillId="9" borderId="210" xfId="0" applyFill="1" applyBorder="1"/>
    <xf numFmtId="1" fontId="21" fillId="9" borderId="202" xfId="0" applyNumberFormat="1" applyFont="1" applyFill="1" applyBorder="1"/>
    <xf numFmtId="1" fontId="21" fillId="9" borderId="0" xfId="0" applyNumberFormat="1" applyFont="1" applyFill="1"/>
    <xf numFmtId="1" fontId="21" fillId="9" borderId="187" xfId="0" applyNumberFormat="1" applyFont="1" applyFill="1" applyBorder="1"/>
    <xf numFmtId="1" fontId="21" fillId="9" borderId="169" xfId="0" applyNumberFormat="1" applyFont="1" applyFill="1" applyBorder="1"/>
    <xf numFmtId="0" fontId="0" fillId="22" borderId="213" xfId="0" applyFill="1" applyBorder="1" applyAlignment="1">
      <alignment horizontal="center"/>
    </xf>
    <xf numFmtId="0" fontId="0" fillId="2" borderId="214" xfId="0" applyFill="1" applyBorder="1" applyAlignment="1">
      <alignment horizontal="center"/>
    </xf>
    <xf numFmtId="1" fontId="24" fillId="0" borderId="0" xfId="0" applyNumberFormat="1" applyFont="1"/>
    <xf numFmtId="0" fontId="5" fillId="18" borderId="87" xfId="0" applyFont="1" applyFill="1" applyBorder="1" applyAlignment="1">
      <alignment horizontal="right"/>
    </xf>
    <xf numFmtId="1" fontId="5" fillId="18" borderId="0" xfId="0" applyNumberFormat="1" applyFont="1" applyFill="1"/>
    <xf numFmtId="1" fontId="5" fillId="18" borderId="128" xfId="0" applyNumberFormat="1" applyFont="1" applyFill="1" applyBorder="1"/>
    <xf numFmtId="1" fontId="0" fillId="0" borderId="187" xfId="0" applyNumberFormat="1" applyBorder="1" applyAlignment="1">
      <alignment horizontal="center"/>
    </xf>
    <xf numFmtId="9" fontId="0" fillId="8" borderId="194" xfId="1" applyFont="1" applyFill="1" applyBorder="1" applyAlignment="1">
      <alignment horizontal="center"/>
    </xf>
    <xf numFmtId="9" fontId="0" fillId="8" borderId="188" xfId="1" applyFont="1" applyFill="1" applyBorder="1" applyAlignment="1">
      <alignment horizontal="center"/>
    </xf>
    <xf numFmtId="9" fontId="0" fillId="8" borderId="110" xfId="1" applyFont="1" applyFill="1" applyBorder="1" applyAlignment="1">
      <alignment horizontal="center"/>
    </xf>
    <xf numFmtId="175" fontId="0" fillId="0" borderId="14" xfId="0" applyNumberFormat="1" applyBorder="1"/>
    <xf numFmtId="3" fontId="0" fillId="0" borderId="14" xfId="0" applyNumberFormat="1" applyBorder="1"/>
    <xf numFmtId="169" fontId="0" fillId="0" borderId="14" xfId="4" applyNumberFormat="1" applyFont="1" applyBorder="1"/>
    <xf numFmtId="169" fontId="0" fillId="0" borderId="14" xfId="0" applyNumberFormat="1" applyBorder="1"/>
    <xf numFmtId="165" fontId="0" fillId="0" borderId="14" xfId="2" applyNumberFormat="1" applyFont="1" applyBorder="1"/>
    <xf numFmtId="175" fontId="0" fillId="0" borderId="59" xfId="0" applyNumberFormat="1" applyBorder="1"/>
    <xf numFmtId="3" fontId="0" fillId="0" borderId="59" xfId="0" applyNumberFormat="1" applyBorder="1"/>
    <xf numFmtId="169" fontId="0" fillId="0" borderId="59" xfId="4" applyNumberFormat="1" applyFont="1" applyBorder="1"/>
    <xf numFmtId="169" fontId="0" fillId="0" borderId="59" xfId="0" applyNumberFormat="1" applyBorder="1"/>
    <xf numFmtId="165" fontId="0" fillId="0" borderId="59" xfId="2" applyNumberFormat="1" applyFont="1" applyBorder="1"/>
    <xf numFmtId="169" fontId="0" fillId="0" borderId="40" xfId="4" applyNumberFormat="1" applyFont="1" applyBorder="1"/>
    <xf numFmtId="169" fontId="0" fillId="0" borderId="41" xfId="4" applyNumberFormat="1" applyFont="1" applyBorder="1"/>
    <xf numFmtId="175" fontId="0" fillId="0" borderId="37" xfId="0" applyNumberFormat="1" applyBorder="1"/>
    <xf numFmtId="175" fontId="0" fillId="0" borderId="38" xfId="0" applyNumberFormat="1" applyBorder="1"/>
    <xf numFmtId="0" fontId="0" fillId="0" borderId="53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2" applyNumberFormat="1" applyFont="1" applyBorder="1" applyAlignment="1">
      <alignment horizontal="right"/>
    </xf>
    <xf numFmtId="0" fontId="0" fillId="0" borderId="45" xfId="0" applyBorder="1" applyAlignment="1">
      <alignment horizontal="right"/>
    </xf>
    <xf numFmtId="3" fontId="0" fillId="8" borderId="36" xfId="0" applyNumberFormat="1" applyFill="1" applyBorder="1"/>
    <xf numFmtId="169" fontId="0" fillId="8" borderId="58" xfId="4" applyNumberFormat="1" applyFont="1" applyFill="1" applyBorder="1"/>
    <xf numFmtId="3" fontId="0" fillId="0" borderId="58" xfId="0" applyNumberFormat="1" applyBorder="1"/>
    <xf numFmtId="169" fontId="0" fillId="0" borderId="58" xfId="4" applyNumberFormat="1" applyFont="1" applyBorder="1"/>
    <xf numFmtId="169" fontId="0" fillId="0" borderId="58" xfId="0" applyNumberFormat="1" applyBorder="1"/>
    <xf numFmtId="165" fontId="0" fillId="0" borderId="58" xfId="2" applyNumberFormat="1" applyFont="1" applyBorder="1"/>
    <xf numFmtId="169" fontId="0" fillId="0" borderId="39" xfId="4" applyNumberFormat="1" applyFont="1" applyBorder="1"/>
    <xf numFmtId="9" fontId="0" fillId="8" borderId="36" xfId="1" applyFont="1" applyFill="1" applyBorder="1"/>
    <xf numFmtId="0" fontId="25" fillId="18" borderId="17" xfId="0" applyFont="1" applyFill="1" applyBorder="1"/>
    <xf numFmtId="0" fontId="0" fillId="18" borderId="17" xfId="0" applyFill="1" applyBorder="1"/>
    <xf numFmtId="0" fontId="0" fillId="18" borderId="18" xfId="0" applyFill="1" applyBorder="1"/>
    <xf numFmtId="0" fontId="0" fillId="18" borderId="16" xfId="0" applyFill="1" applyBorder="1"/>
    <xf numFmtId="0" fontId="0" fillId="18" borderId="203" xfId="0" applyFill="1" applyBorder="1"/>
    <xf numFmtId="0" fontId="0" fillId="18" borderId="189" xfId="0" applyFill="1" applyBorder="1"/>
    <xf numFmtId="0" fontId="0" fillId="18" borderId="211" xfId="0" applyFill="1" applyBorder="1"/>
    <xf numFmtId="0" fontId="0" fillId="18" borderId="206" xfId="0" applyFill="1" applyBorder="1"/>
    <xf numFmtId="9" fontId="0" fillId="18" borderId="16" xfId="1" applyFont="1" applyFill="1" applyBorder="1"/>
    <xf numFmtId="9" fontId="0" fillId="18" borderId="17" xfId="0" applyNumberFormat="1" applyFill="1" applyBorder="1"/>
    <xf numFmtId="9" fontId="0" fillId="18" borderId="18" xfId="0" applyNumberFormat="1" applyFill="1" applyBorder="1"/>
    <xf numFmtId="1" fontId="0" fillId="18" borderId="17" xfId="0" applyNumberFormat="1" applyFill="1" applyBorder="1"/>
    <xf numFmtId="1" fontId="21" fillId="18" borderId="203" xfId="0" applyNumberFormat="1" applyFont="1" applyFill="1" applyBorder="1"/>
    <xf numFmtId="1" fontId="21" fillId="18" borderId="189" xfId="0" applyNumberFormat="1" applyFont="1" applyFill="1" applyBorder="1"/>
    <xf numFmtId="1" fontId="21" fillId="18" borderId="211" xfId="0" applyNumberFormat="1" applyFont="1" applyFill="1" applyBorder="1"/>
    <xf numFmtId="1" fontId="21" fillId="18" borderId="206" xfId="0" applyNumberFormat="1" applyFont="1" applyFill="1" applyBorder="1"/>
    <xf numFmtId="0" fontId="0" fillId="18" borderId="21" xfId="0" applyFill="1" applyBorder="1"/>
    <xf numFmtId="0" fontId="0" fillId="18" borderId="20" xfId="0" applyFill="1" applyBorder="1"/>
    <xf numFmtId="9" fontId="0" fillId="18" borderId="19" xfId="1" applyFont="1" applyFill="1" applyBorder="1"/>
    <xf numFmtId="9" fontId="0" fillId="18" borderId="20" xfId="0" applyNumberFormat="1" applyFill="1" applyBorder="1"/>
    <xf numFmtId="9" fontId="0" fillId="18" borderId="21" xfId="0" applyNumberFormat="1" applyFill="1" applyBorder="1"/>
    <xf numFmtId="1" fontId="0" fillId="18" borderId="20" xfId="0" applyNumberFormat="1" applyFill="1" applyBorder="1"/>
    <xf numFmtId="0" fontId="0" fillId="18" borderId="20" xfId="0" applyFill="1" applyBorder="1" applyAlignment="1">
      <alignment horizontal="center"/>
    </xf>
    <xf numFmtId="0" fontId="0" fillId="18" borderId="207" xfId="0" applyFill="1" applyBorder="1"/>
    <xf numFmtId="0" fontId="0" fillId="18" borderId="190" xfId="0" applyFill="1" applyBorder="1"/>
    <xf numFmtId="0" fontId="0" fillId="18" borderId="212" xfId="0" applyFill="1" applyBorder="1"/>
    <xf numFmtId="0" fontId="0" fillId="18" borderId="210" xfId="0" applyFill="1" applyBorder="1"/>
    <xf numFmtId="0" fontId="0" fillId="18" borderId="15" xfId="0" applyFill="1" applyBorder="1"/>
    <xf numFmtId="0" fontId="0" fillId="18" borderId="0" xfId="0" applyFill="1"/>
    <xf numFmtId="9" fontId="0" fillId="18" borderId="8" xfId="1" applyFont="1" applyFill="1" applyBorder="1"/>
    <xf numFmtId="9" fontId="0" fillId="18" borderId="0" xfId="0" applyNumberFormat="1" applyFill="1"/>
    <xf numFmtId="9" fontId="0" fillId="18" borderId="15" xfId="0" applyNumberFormat="1" applyFill="1" applyBorder="1"/>
    <xf numFmtId="1" fontId="0" fillId="18" borderId="0" xfId="0" applyNumberFormat="1" applyFill="1"/>
    <xf numFmtId="0" fontId="0" fillId="18" borderId="0" xfId="0" applyFill="1" applyAlignment="1">
      <alignment horizontal="center"/>
    </xf>
    <xf numFmtId="1" fontId="21" fillId="18" borderId="202" xfId="0" applyNumberFormat="1" applyFont="1" applyFill="1" applyBorder="1"/>
    <xf numFmtId="1" fontId="21" fillId="18" borderId="0" xfId="0" applyNumberFormat="1" applyFont="1" applyFill="1"/>
    <xf numFmtId="1" fontId="21" fillId="18" borderId="187" xfId="0" applyNumberFormat="1" applyFont="1" applyFill="1" applyBorder="1"/>
    <xf numFmtId="1" fontId="21" fillId="18" borderId="169" xfId="0" applyNumberFormat="1" applyFont="1" applyFill="1" applyBorder="1"/>
    <xf numFmtId="0" fontId="0" fillId="18" borderId="202" xfId="0" applyFill="1" applyBorder="1"/>
    <xf numFmtId="0" fontId="0" fillId="18" borderId="187" xfId="0" applyFill="1" applyBorder="1"/>
    <xf numFmtId="0" fontId="0" fillId="18" borderId="169" xfId="0" applyFill="1" applyBorder="1"/>
    <xf numFmtId="0" fontId="0" fillId="18" borderId="204" xfId="0" applyFill="1" applyBorder="1"/>
    <xf numFmtId="9" fontId="0" fillId="18" borderId="205" xfId="1" applyFont="1" applyFill="1" applyBorder="1"/>
    <xf numFmtId="9" fontId="0" fillId="18" borderId="189" xfId="0" applyNumberFormat="1" applyFill="1" applyBorder="1"/>
    <xf numFmtId="9" fontId="0" fillId="18" borderId="204" xfId="0" applyNumberFormat="1" applyFill="1" applyBorder="1"/>
    <xf numFmtId="1" fontId="0" fillId="18" borderId="189" xfId="0" applyNumberFormat="1" applyFill="1" applyBorder="1"/>
    <xf numFmtId="0" fontId="0" fillId="18" borderId="189" xfId="0" applyFill="1" applyBorder="1" applyAlignment="1">
      <alignment horizontal="center"/>
    </xf>
    <xf numFmtId="0" fontId="0" fillId="18" borderId="208" xfId="0" applyFill="1" applyBorder="1"/>
    <xf numFmtId="9" fontId="0" fillId="18" borderId="209" xfId="1" applyFont="1" applyFill="1" applyBorder="1"/>
    <xf numFmtId="9" fontId="0" fillId="18" borderId="190" xfId="0" applyNumberFormat="1" applyFill="1" applyBorder="1"/>
    <xf numFmtId="9" fontId="0" fillId="18" borderId="208" xfId="0" applyNumberFormat="1" applyFill="1" applyBorder="1"/>
    <xf numFmtId="1" fontId="0" fillId="18" borderId="190" xfId="0" applyNumberFormat="1" applyFill="1" applyBorder="1"/>
    <xf numFmtId="0" fontId="0" fillId="18" borderId="190" xfId="0" applyFill="1" applyBorder="1" applyAlignment="1">
      <alignment horizontal="center"/>
    </xf>
    <xf numFmtId="0" fontId="0" fillId="18" borderId="213" xfId="0" applyFill="1" applyBorder="1" applyAlignment="1">
      <alignment horizontal="center"/>
    </xf>
    <xf numFmtId="0" fontId="0" fillId="18" borderId="214" xfId="0" applyFill="1" applyBorder="1" applyAlignment="1">
      <alignment horizontal="center"/>
    </xf>
    <xf numFmtId="0" fontId="0" fillId="18" borderId="19" xfId="0" applyFill="1" applyBorder="1"/>
    <xf numFmtId="9" fontId="0" fillId="18" borderId="20" xfId="1" applyFont="1" applyFill="1" applyBorder="1"/>
    <xf numFmtId="0" fontId="22" fillId="0" borderId="55" xfId="0" applyFont="1" applyBorder="1" applyAlignment="1">
      <alignment vertical="center" textRotation="90"/>
    </xf>
    <xf numFmtId="0" fontId="22" fillId="0" borderId="56" xfId="0" applyFont="1" applyBorder="1" applyAlignment="1">
      <alignment vertical="center" textRotation="90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62" xfId="0" applyBorder="1" applyAlignment="1">
      <alignment horizontal="center" wrapText="1"/>
    </xf>
    <xf numFmtId="0" fontId="0" fillId="0" borderId="52" xfId="0" applyBorder="1" applyAlignment="1">
      <alignment horizontal="center" wrapText="1"/>
    </xf>
    <xf numFmtId="0" fontId="0" fillId="8" borderId="0" xfId="0" applyFill="1" applyAlignment="1">
      <alignment horizontal="left"/>
    </xf>
    <xf numFmtId="0" fontId="0" fillId="8" borderId="187" xfId="0" applyFill="1" applyBorder="1" applyAlignment="1">
      <alignment horizontal="center"/>
    </xf>
    <xf numFmtId="1" fontId="0" fillId="8" borderId="0" xfId="0" applyNumberFormat="1" applyFill="1" applyAlignment="1">
      <alignment horizontal="center"/>
    </xf>
    <xf numFmtId="1" fontId="0" fillId="8" borderId="187" xfId="0" applyNumberFormat="1" applyFill="1" applyBorder="1" applyAlignment="1">
      <alignment horizontal="center"/>
    </xf>
    <xf numFmtId="165" fontId="0" fillId="0" borderId="14" xfId="2" applyNumberFormat="1" applyFont="1" applyBorder="1" applyAlignment="1">
      <alignment horizontal="center"/>
    </xf>
    <xf numFmtId="165" fontId="0" fillId="0" borderId="28" xfId="2" applyNumberFormat="1" applyFont="1" applyBorder="1" applyAlignment="1">
      <alignment horizontal="center"/>
    </xf>
    <xf numFmtId="166" fontId="0" fillId="0" borderId="20" xfId="0" applyNumberFormat="1" applyBorder="1"/>
    <xf numFmtId="166" fontId="0" fillId="0" borderId="20" xfId="1" applyNumberFormat="1" applyFont="1" applyBorder="1"/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65" fontId="0" fillId="0" borderId="0" xfId="2" applyNumberFormat="1" applyFont="1" applyBorder="1" applyAlignment="1">
      <alignment horizontal="center" vertical="center"/>
    </xf>
    <xf numFmtId="165" fontId="0" fillId="0" borderId="15" xfId="0" applyNumberFormat="1" applyBorder="1" applyAlignment="1">
      <alignment horizontal="center" vertical="center"/>
    </xf>
    <xf numFmtId="165" fontId="0" fillId="0" borderId="20" xfId="0" applyNumberFormat="1" applyBorder="1" applyAlignment="1">
      <alignment horizontal="center" vertical="center"/>
    </xf>
    <xf numFmtId="165" fontId="0" fillId="0" borderId="20" xfId="2" applyNumberFormat="1" applyFont="1" applyBorder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65" fontId="0" fillId="0" borderId="7" xfId="2" applyNumberFormat="1" applyFont="1" applyBorder="1" applyAlignment="1">
      <alignment horizontal="center"/>
    </xf>
    <xf numFmtId="165" fontId="0" fillId="0" borderId="7" xfId="2" applyNumberFormat="1" applyFont="1" applyBorder="1"/>
    <xf numFmtId="165" fontId="0" fillId="0" borderId="22" xfId="2" applyNumberFormat="1" applyFont="1" applyBorder="1"/>
    <xf numFmtId="165" fontId="0" fillId="0" borderId="8" xfId="2" applyNumberFormat="1" applyFont="1" applyBorder="1" applyAlignment="1">
      <alignment horizontal="center"/>
    </xf>
    <xf numFmtId="10" fontId="0" fillId="0" borderId="15" xfId="1" applyNumberFormat="1" applyFont="1" applyBorder="1" applyAlignment="1">
      <alignment horizontal="center"/>
    </xf>
    <xf numFmtId="165" fontId="0" fillId="0" borderId="8" xfId="2" applyNumberFormat="1" applyFont="1" applyBorder="1"/>
    <xf numFmtId="165" fontId="0" fillId="0" borderId="19" xfId="0" applyNumberFormat="1" applyBorder="1"/>
    <xf numFmtId="165" fontId="0" fillId="0" borderId="29" xfId="2" applyNumberFormat="1" applyFont="1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62" xfId="0" applyBorder="1" applyAlignment="1">
      <alignment horizontal="center"/>
    </xf>
    <xf numFmtId="10" fontId="0" fillId="0" borderId="16" xfId="1" applyNumberFormat="1" applyFont="1" applyFill="1" applyBorder="1"/>
    <xf numFmtId="44" fontId="0" fillId="0" borderId="17" xfId="4" applyFont="1" applyFill="1" applyBorder="1"/>
    <xf numFmtId="9" fontId="0" fillId="0" borderId="7" xfId="1" applyFont="1" applyBorder="1" applyAlignment="1">
      <alignment horizontal="center"/>
    </xf>
    <xf numFmtId="9" fontId="0" fillId="0" borderId="22" xfId="1" applyFont="1" applyBorder="1" applyAlignment="1">
      <alignment horizontal="center"/>
    </xf>
    <xf numFmtId="173" fontId="0" fillId="0" borderId="0" xfId="0" applyNumberFormat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3" fontId="0" fillId="0" borderId="215" xfId="0" applyNumberFormat="1" applyBorder="1" applyAlignment="1">
      <alignment horizontal="center"/>
    </xf>
    <xf numFmtId="173" fontId="0" fillId="0" borderId="19" xfId="0" applyNumberFormat="1" applyBorder="1" applyAlignment="1">
      <alignment horizontal="center"/>
    </xf>
    <xf numFmtId="0" fontId="0" fillId="0" borderId="45" xfId="0" applyBorder="1"/>
    <xf numFmtId="0" fontId="0" fillId="0" borderId="73" xfId="0" applyBorder="1"/>
    <xf numFmtId="0" fontId="0" fillId="0" borderId="52" xfId="0" applyBorder="1"/>
    <xf numFmtId="0" fontId="0" fillId="0" borderId="9" xfId="0" applyBorder="1" applyAlignment="1">
      <alignment horizontal="center" wrapText="1"/>
    </xf>
    <xf numFmtId="0" fontId="0" fillId="28" borderId="0" xfId="0" applyFill="1" applyAlignment="1">
      <alignment horizontal="center"/>
    </xf>
    <xf numFmtId="0" fontId="0" fillId="28" borderId="0" xfId="0" applyFill="1" applyAlignment="1">
      <alignment horizontal="left"/>
    </xf>
    <xf numFmtId="0" fontId="0" fillId="28" borderId="0" xfId="0" applyFill="1"/>
    <xf numFmtId="0" fontId="0" fillId="28" borderId="187" xfId="0" applyFill="1" applyBorder="1" applyAlignment="1">
      <alignment horizontal="center"/>
    </xf>
    <xf numFmtId="165" fontId="0" fillId="3" borderId="17" xfId="2" applyNumberFormat="1" applyFont="1" applyFill="1" applyBorder="1"/>
    <xf numFmtId="165" fontId="0" fillId="22" borderId="17" xfId="2" applyNumberFormat="1" applyFont="1" applyFill="1" applyBorder="1"/>
    <xf numFmtId="165" fontId="0" fillId="9" borderId="17" xfId="2" applyNumberFormat="1" applyFont="1" applyFill="1" applyBorder="1"/>
    <xf numFmtId="165" fontId="0" fillId="23" borderId="17" xfId="2" applyNumberFormat="1" applyFont="1" applyFill="1" applyBorder="1"/>
    <xf numFmtId="165" fontId="0" fillId="8" borderId="17" xfId="2" applyNumberFormat="1" applyFont="1" applyFill="1" applyBorder="1"/>
    <xf numFmtId="14" fontId="0" fillId="0" borderId="0" xfId="0" applyNumberFormat="1" applyAlignment="1">
      <alignment horizontal="center"/>
    </xf>
    <xf numFmtId="14" fontId="0" fillId="0" borderId="17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29" borderId="0" xfId="0" quotePrefix="1" applyFill="1" applyAlignment="1">
      <alignment horizontal="center"/>
    </xf>
    <xf numFmtId="9" fontId="0" fillId="0" borderId="8" xfId="1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33" fillId="0" borderId="0" xfId="9"/>
    <xf numFmtId="10" fontId="0" fillId="0" borderId="0" xfId="0" applyNumberFormat="1"/>
    <xf numFmtId="0" fontId="5" fillId="0" borderId="19" xfId="0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5" fillId="0" borderId="21" xfId="0" applyFont="1" applyBorder="1" applyAlignment="1">
      <alignment horizontal="center"/>
    </xf>
    <xf numFmtId="169" fontId="0" fillId="0" borderId="17" xfId="4" applyNumberFormat="1" applyFont="1" applyBorder="1" applyAlignment="1">
      <alignment horizontal="center"/>
    </xf>
    <xf numFmtId="44" fontId="0" fillId="0" borderId="15" xfId="0" applyNumberFormat="1" applyBorder="1" applyAlignment="1">
      <alignment horizontal="center"/>
    </xf>
    <xf numFmtId="169" fontId="0" fillId="0" borderId="15" xfId="0" applyNumberFormat="1" applyBorder="1" applyAlignment="1">
      <alignment horizontal="center"/>
    </xf>
    <xf numFmtId="169" fontId="0" fillId="0" borderId="8" xfId="0" applyNumberFormat="1" applyBorder="1" applyAlignment="1">
      <alignment horizontal="center"/>
    </xf>
    <xf numFmtId="169" fontId="0" fillId="0" borderId="0" xfId="4" applyNumberFormat="1" applyFont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1" fontId="0" fillId="0" borderId="15" xfId="0" applyNumberFormat="1" applyBorder="1"/>
    <xf numFmtId="1" fontId="0" fillId="3" borderId="20" xfId="0" applyNumberFormat="1" applyFill="1" applyBorder="1" applyAlignment="1">
      <alignment horizontal="center"/>
    </xf>
    <xf numFmtId="0" fontId="0" fillId="22" borderId="19" xfId="0" applyFill="1" applyBorder="1" applyAlignment="1">
      <alignment horizontal="center"/>
    </xf>
    <xf numFmtId="0" fontId="0" fillId="22" borderId="20" xfId="1" applyNumberFormat="1" applyFont="1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169" fontId="0" fillId="0" borderId="15" xfId="4" applyNumberFormat="1" applyFont="1" applyBorder="1" applyAlignment="1">
      <alignment horizontal="center"/>
    </xf>
    <xf numFmtId="44" fontId="0" fillId="0" borderId="0" xfId="0" applyNumberFormat="1" applyAlignment="1">
      <alignment horizontal="center"/>
    </xf>
    <xf numFmtId="169" fontId="0" fillId="0" borderId="55" xfId="4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169" fontId="0" fillId="0" borderId="55" xfId="0" applyNumberFormat="1" applyBorder="1" applyAlignment="1">
      <alignment horizontal="center"/>
    </xf>
    <xf numFmtId="169" fontId="0" fillId="0" borderId="56" xfId="0" applyNumberFormat="1" applyBorder="1" applyAlignment="1">
      <alignment horizontal="center"/>
    </xf>
    <xf numFmtId="0" fontId="0" fillId="0" borderId="77" xfId="0" applyBorder="1" applyAlignment="1">
      <alignment horizontal="center" wrapText="1"/>
    </xf>
    <xf numFmtId="0" fontId="0" fillId="0" borderId="77" xfId="0" applyBorder="1" applyAlignment="1">
      <alignment horizontal="center"/>
    </xf>
    <xf numFmtId="0" fontId="0" fillId="0" borderId="77" xfId="0" applyBorder="1"/>
    <xf numFmtId="1" fontId="0" fillId="9" borderId="16" xfId="1" applyNumberFormat="1" applyFon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1" fontId="0" fillId="9" borderId="20" xfId="0" applyNumberFormat="1" applyFill="1" applyBorder="1" applyAlignment="1">
      <alignment horizontal="center"/>
    </xf>
    <xf numFmtId="1" fontId="0" fillId="3" borderId="16" xfId="1" applyNumberFormat="1" applyFont="1" applyFill="1" applyBorder="1" applyAlignment="1">
      <alignment horizontal="center"/>
    </xf>
    <xf numFmtId="9" fontId="0" fillId="3" borderId="0" xfId="0" applyNumberFormat="1" applyFill="1"/>
    <xf numFmtId="0" fontId="0" fillId="3" borderId="0" xfId="0" applyFill="1" applyAlignment="1">
      <alignment horizontal="center"/>
    </xf>
    <xf numFmtId="1" fontId="0" fillId="8" borderId="16" xfId="1" applyNumberFormat="1" applyFont="1" applyFill="1" applyBorder="1" applyAlignment="1">
      <alignment horizontal="center"/>
    </xf>
    <xf numFmtId="9" fontId="0" fillId="8" borderId="0" xfId="0" applyNumberFormat="1" applyFill="1"/>
    <xf numFmtId="1" fontId="0" fillId="8" borderId="20" xfId="0" applyNumberFormat="1" applyFill="1" applyBorder="1" applyAlignment="1">
      <alignment horizontal="center"/>
    </xf>
    <xf numFmtId="1" fontId="0" fillId="23" borderId="16" xfId="1" applyNumberFormat="1" applyFont="1" applyFill="1" applyBorder="1" applyAlignment="1">
      <alignment horizontal="center"/>
    </xf>
    <xf numFmtId="1" fontId="21" fillId="23" borderId="203" xfId="0" applyNumberFormat="1" applyFont="1" applyFill="1" applyBorder="1"/>
    <xf numFmtId="1" fontId="21" fillId="23" borderId="189" xfId="0" applyNumberFormat="1" applyFont="1" applyFill="1" applyBorder="1"/>
    <xf numFmtId="1" fontId="21" fillId="23" borderId="211" xfId="0" applyNumberFormat="1" applyFont="1" applyFill="1" applyBorder="1"/>
    <xf numFmtId="1" fontId="21" fillId="23" borderId="206" xfId="0" applyNumberFormat="1" applyFont="1" applyFill="1" applyBorder="1"/>
    <xf numFmtId="1" fontId="0" fillId="23" borderId="20" xfId="0" applyNumberFormat="1" applyFill="1" applyBorder="1" applyAlignment="1">
      <alignment horizontal="center"/>
    </xf>
    <xf numFmtId="1" fontId="0" fillId="22" borderId="16" xfId="1" applyNumberFormat="1" applyFont="1" applyFill="1" applyBorder="1" applyAlignment="1">
      <alignment horizontal="center"/>
    </xf>
    <xf numFmtId="1" fontId="0" fillId="22" borderId="17" xfId="0" applyNumberFormat="1" applyFill="1" applyBorder="1" applyAlignment="1">
      <alignment horizontal="center"/>
    </xf>
    <xf numFmtId="1" fontId="0" fillId="22" borderId="20" xfId="0" applyNumberFormat="1" applyFill="1" applyBorder="1" applyAlignment="1">
      <alignment horizontal="center"/>
    </xf>
    <xf numFmtId="164" fontId="0" fillId="8" borderId="18" xfId="0" applyNumberFormat="1" applyFill="1" applyBorder="1"/>
    <xf numFmtId="164" fontId="0" fillId="3" borderId="18" xfId="0" applyNumberFormat="1" applyFill="1" applyBorder="1"/>
    <xf numFmtId="164" fontId="0" fillId="9" borderId="18" xfId="0" applyNumberFormat="1" applyFill="1" applyBorder="1"/>
    <xf numFmtId="164" fontId="0" fillId="23" borderId="18" xfId="0" applyNumberFormat="1" applyFill="1" applyBorder="1"/>
    <xf numFmtId="9" fontId="0" fillId="3" borderId="16" xfId="1" applyFont="1" applyFill="1" applyBorder="1" applyAlignment="1">
      <alignment horizontal="center"/>
    </xf>
    <xf numFmtId="9" fontId="0" fillId="3" borderId="17" xfId="0" applyNumberFormat="1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9" fontId="0" fillId="3" borderId="19" xfId="1" applyFont="1" applyFill="1" applyBorder="1" applyAlignment="1">
      <alignment horizontal="center"/>
    </xf>
    <xf numFmtId="9" fontId="0" fillId="3" borderId="20" xfId="0" applyNumberFormat="1" applyFill="1" applyBorder="1" applyAlignment="1">
      <alignment horizontal="center"/>
    </xf>
    <xf numFmtId="9" fontId="0" fillId="8" borderId="16" xfId="1" applyFont="1" applyFill="1" applyBorder="1" applyAlignment="1">
      <alignment horizontal="center"/>
    </xf>
    <xf numFmtId="9" fontId="0" fillId="8" borderId="17" xfId="0" applyNumberFormat="1" applyFill="1" applyBorder="1" applyAlignment="1">
      <alignment horizontal="center"/>
    </xf>
    <xf numFmtId="9" fontId="0" fillId="8" borderId="19" xfId="1" applyFont="1" applyFill="1" applyBorder="1" applyAlignment="1">
      <alignment horizontal="center"/>
    </xf>
    <xf numFmtId="9" fontId="0" fillId="8" borderId="20" xfId="0" applyNumberFormat="1" applyFill="1" applyBorder="1" applyAlignment="1">
      <alignment horizontal="center"/>
    </xf>
    <xf numFmtId="9" fontId="0" fillId="23" borderId="16" xfId="1" applyFont="1" applyFill="1" applyBorder="1" applyAlignment="1">
      <alignment horizontal="center"/>
    </xf>
    <xf numFmtId="9" fontId="0" fillId="23" borderId="17" xfId="0" applyNumberFormat="1" applyFill="1" applyBorder="1" applyAlignment="1">
      <alignment horizontal="center"/>
    </xf>
    <xf numFmtId="9" fontId="0" fillId="23" borderId="19" xfId="1" applyFont="1" applyFill="1" applyBorder="1" applyAlignment="1">
      <alignment horizontal="center"/>
    </xf>
    <xf numFmtId="9" fontId="0" fillId="23" borderId="20" xfId="0" applyNumberFormat="1" applyFill="1" applyBorder="1" applyAlignment="1">
      <alignment horizontal="center"/>
    </xf>
    <xf numFmtId="9" fontId="0" fillId="9" borderId="16" xfId="1" applyFont="1" applyFill="1" applyBorder="1" applyAlignment="1">
      <alignment horizontal="center"/>
    </xf>
    <xf numFmtId="9" fontId="0" fillId="9" borderId="17" xfId="0" applyNumberFormat="1" applyFill="1" applyBorder="1" applyAlignment="1">
      <alignment horizontal="center"/>
    </xf>
    <xf numFmtId="9" fontId="0" fillId="9" borderId="19" xfId="1" applyFont="1" applyFill="1" applyBorder="1" applyAlignment="1">
      <alignment horizontal="center"/>
    </xf>
    <xf numFmtId="9" fontId="0" fillId="9" borderId="20" xfId="0" applyNumberFormat="1" applyFill="1" applyBorder="1" applyAlignment="1">
      <alignment horizontal="center"/>
    </xf>
    <xf numFmtId="9" fontId="0" fillId="9" borderId="8" xfId="1" applyFont="1" applyFill="1" applyBorder="1" applyAlignment="1">
      <alignment horizontal="center"/>
    </xf>
    <xf numFmtId="9" fontId="0" fillId="9" borderId="0" xfId="0" applyNumberFormat="1" applyFill="1" applyAlignment="1">
      <alignment horizontal="center"/>
    </xf>
    <xf numFmtId="1" fontId="0" fillId="3" borderId="19" xfId="0" applyNumberFormat="1" applyFill="1" applyBorder="1" applyAlignment="1">
      <alignment horizontal="center"/>
    </xf>
    <xf numFmtId="1" fontId="0" fillId="3" borderId="20" xfId="1" applyNumberFormat="1" applyFont="1" applyFill="1" applyBorder="1" applyAlignment="1">
      <alignment horizontal="center"/>
    </xf>
    <xf numFmtId="1" fontId="0" fillId="8" borderId="19" xfId="0" applyNumberFormat="1" applyFill="1" applyBorder="1" applyAlignment="1">
      <alignment horizontal="center"/>
    </xf>
    <xf numFmtId="1" fontId="0" fillId="8" borderId="20" xfId="1" applyNumberFormat="1" applyFont="1" applyFill="1" applyBorder="1" applyAlignment="1">
      <alignment horizontal="center"/>
    </xf>
    <xf numFmtId="1" fontId="0" fillId="23" borderId="19" xfId="0" applyNumberFormat="1" applyFill="1" applyBorder="1" applyAlignment="1">
      <alignment horizontal="center"/>
    </xf>
    <xf numFmtId="1" fontId="0" fillId="23" borderId="20" xfId="1" applyNumberFormat="1" applyFont="1" applyFill="1" applyBorder="1" applyAlignment="1">
      <alignment horizontal="center"/>
    </xf>
    <xf numFmtId="1" fontId="0" fillId="9" borderId="19" xfId="0" applyNumberFormat="1" applyFill="1" applyBorder="1" applyAlignment="1">
      <alignment horizontal="center"/>
    </xf>
    <xf numFmtId="1" fontId="0" fillId="9" borderId="20" xfId="1" applyNumberFormat="1" applyFon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1" fontId="0" fillId="3" borderId="27" xfId="0" applyNumberFormat="1" applyFill="1" applyBorder="1" applyAlignment="1">
      <alignment horizontal="center"/>
    </xf>
    <xf numFmtId="1" fontId="0" fillId="3" borderId="28" xfId="0" applyNumberFormat="1" applyFill="1" applyBorder="1" applyAlignment="1">
      <alignment horizontal="center"/>
    </xf>
    <xf numFmtId="1" fontId="0" fillId="3" borderId="29" xfId="0" applyNumberFormat="1" applyFill="1" applyBorder="1" applyAlignment="1">
      <alignment horizontal="center"/>
    </xf>
    <xf numFmtId="9" fontId="0" fillId="8" borderId="28" xfId="0" applyNumberFormat="1" applyFill="1" applyBorder="1"/>
    <xf numFmtId="9" fontId="0" fillId="8" borderId="29" xfId="0" applyNumberFormat="1" applyFill="1" applyBorder="1"/>
    <xf numFmtId="1" fontId="0" fillId="23" borderId="0" xfId="0" applyNumberFormat="1" applyFill="1" applyAlignment="1">
      <alignment horizontal="center"/>
    </xf>
    <xf numFmtId="9" fontId="0" fillId="23" borderId="28" xfId="0" applyNumberFormat="1" applyFill="1" applyBorder="1"/>
    <xf numFmtId="9" fontId="0" fillId="23" borderId="29" xfId="0" applyNumberFormat="1" applyFill="1" applyBorder="1"/>
    <xf numFmtId="1" fontId="0" fillId="9" borderId="0" xfId="0" applyNumberFormat="1" applyFill="1" applyAlignment="1">
      <alignment horizontal="center"/>
    </xf>
    <xf numFmtId="1" fontId="0" fillId="9" borderId="0" xfId="1" applyNumberFormat="1" applyFont="1" applyFill="1" applyBorder="1" applyAlignment="1">
      <alignment horizontal="center"/>
    </xf>
    <xf numFmtId="0" fontId="0" fillId="0" borderId="0" xfId="0" applyAlignment="1">
      <alignment horizontal="left" indent="1"/>
    </xf>
    <xf numFmtId="168" fontId="0" fillId="0" borderId="0" xfId="4" applyNumberFormat="1" applyFont="1"/>
    <xf numFmtId="9" fontId="0" fillId="0" borderId="17" xfId="1" applyFont="1" applyBorder="1"/>
    <xf numFmtId="9" fontId="0" fillId="0" borderId="0" xfId="1" applyFont="1" applyFill="1" applyBorder="1"/>
    <xf numFmtId="165" fontId="0" fillId="0" borderId="0" xfId="2" applyNumberFormat="1" applyFont="1" applyFill="1" applyBorder="1"/>
    <xf numFmtId="10" fontId="0" fillId="0" borderId="0" xfId="1" applyNumberFormat="1" applyFont="1" applyFill="1" applyBorder="1"/>
    <xf numFmtId="44" fontId="5" fillId="0" borderId="0" xfId="4" applyFont="1" applyFill="1" applyAlignment="1">
      <alignment horizontal="right"/>
    </xf>
    <xf numFmtId="17" fontId="47" fillId="19" borderId="0" xfId="6" applyNumberFormat="1" applyFont="1" applyFill="1" applyAlignment="1">
      <alignment vertical="center"/>
    </xf>
    <xf numFmtId="8" fontId="4" fillId="0" borderId="0" xfId="4" applyNumberFormat="1" applyFont="1"/>
    <xf numFmtId="169" fontId="0" fillId="0" borderId="224" xfId="4" applyNumberFormat="1" applyFont="1" applyFill="1" applyBorder="1"/>
    <xf numFmtId="169" fontId="0" fillId="0" borderId="225" xfId="4" applyNumberFormat="1" applyFont="1" applyFill="1" applyBorder="1"/>
    <xf numFmtId="169" fontId="0" fillId="0" borderId="226" xfId="4" applyNumberFormat="1" applyFont="1" applyFill="1" applyBorder="1"/>
    <xf numFmtId="169" fontId="0" fillId="0" borderId="227" xfId="4" applyNumberFormat="1" applyFont="1" applyFill="1" applyBorder="1"/>
    <xf numFmtId="9" fontId="0" fillId="0" borderId="224" xfId="0" applyNumberFormat="1" applyBorder="1"/>
    <xf numFmtId="9" fontId="0" fillId="0" borderId="226" xfId="0" applyNumberFormat="1" applyBorder="1"/>
    <xf numFmtId="9" fontId="0" fillId="0" borderId="225" xfId="0" applyNumberFormat="1" applyBorder="1"/>
    <xf numFmtId="17" fontId="0" fillId="0" borderId="0" xfId="0" applyNumberFormat="1" applyAlignment="1">
      <alignment horizontal="center"/>
    </xf>
    <xf numFmtId="44" fontId="0" fillId="0" borderId="0" xfId="4" applyFont="1" applyAlignment="1">
      <alignment horizontal="center"/>
    </xf>
    <xf numFmtId="166" fontId="0" fillId="0" borderId="0" xfId="1" applyNumberFormat="1" applyFont="1" applyAlignment="1">
      <alignment horizontal="center"/>
    </xf>
    <xf numFmtId="17" fontId="0" fillId="0" borderId="0" xfId="0" applyNumberFormat="1" applyAlignment="1">
      <alignment horizontal="center" wrapText="1"/>
    </xf>
    <xf numFmtId="0" fontId="0" fillId="29" borderId="0" xfId="0" applyFill="1" applyAlignment="1">
      <alignment horizontal="center" wrapText="1"/>
    </xf>
    <xf numFmtId="0" fontId="0" fillId="57" borderId="8" xfId="0" applyFill="1" applyBorder="1" applyAlignment="1">
      <alignment horizontal="center" vertical="center"/>
    </xf>
    <xf numFmtId="0" fontId="0" fillId="57" borderId="0" xfId="0" applyFill="1" applyAlignment="1">
      <alignment horizontal="center" vertical="center"/>
    </xf>
    <xf numFmtId="0" fontId="0" fillId="57" borderId="15" xfId="0" applyFill="1" applyBorder="1" applyAlignment="1">
      <alignment horizontal="center" vertical="center"/>
    </xf>
    <xf numFmtId="0" fontId="0" fillId="57" borderId="8" xfId="0" applyFill="1" applyBorder="1" applyAlignment="1">
      <alignment horizontal="center"/>
    </xf>
    <xf numFmtId="0" fontId="0" fillId="57" borderId="0" xfId="0" applyFill="1" applyAlignment="1">
      <alignment horizontal="center"/>
    </xf>
    <xf numFmtId="0" fontId="0" fillId="57" borderId="15" xfId="0" applyFill="1" applyBorder="1" applyAlignment="1">
      <alignment horizontal="center"/>
    </xf>
    <xf numFmtId="0" fontId="0" fillId="0" borderId="228" xfId="0" applyBorder="1" applyAlignment="1">
      <alignment horizontal="center"/>
    </xf>
    <xf numFmtId="17" fontId="0" fillId="0" borderId="229" xfId="0" applyNumberFormat="1" applyBorder="1" applyAlignment="1">
      <alignment horizontal="center"/>
    </xf>
    <xf numFmtId="169" fontId="0" fillId="0" borderId="229" xfId="4" applyNumberFormat="1" applyFont="1" applyBorder="1" applyAlignment="1">
      <alignment horizontal="center"/>
    </xf>
    <xf numFmtId="9" fontId="0" fillId="0" borderId="229" xfId="1" applyFont="1" applyBorder="1" applyAlignment="1">
      <alignment horizontal="center"/>
    </xf>
    <xf numFmtId="9" fontId="0" fillId="0" borderId="229" xfId="0" applyNumberFormat="1" applyBorder="1" applyAlignment="1">
      <alignment horizontal="center"/>
    </xf>
    <xf numFmtId="44" fontId="0" fillId="0" borderId="229" xfId="4" applyFont="1" applyBorder="1" applyAlignment="1">
      <alignment horizontal="center"/>
    </xf>
    <xf numFmtId="44" fontId="0" fillId="0" borderId="229" xfId="0" applyNumberFormat="1" applyBorder="1" applyAlignment="1">
      <alignment horizontal="center"/>
    </xf>
    <xf numFmtId="43" fontId="0" fillId="0" borderId="229" xfId="0" applyNumberFormat="1" applyBorder="1" applyAlignment="1">
      <alignment horizontal="center"/>
    </xf>
    <xf numFmtId="0" fontId="0" fillId="0" borderId="229" xfId="0" applyBorder="1" applyAlignment="1">
      <alignment horizontal="center"/>
    </xf>
    <xf numFmtId="3" fontId="0" fillId="0" borderId="229" xfId="0" applyNumberFormat="1" applyBorder="1" applyAlignment="1">
      <alignment horizontal="center"/>
    </xf>
    <xf numFmtId="1" fontId="0" fillId="0" borderId="229" xfId="0" applyNumberFormat="1" applyBorder="1" applyAlignment="1">
      <alignment horizontal="center"/>
    </xf>
    <xf numFmtId="169" fontId="0" fillId="0" borderId="229" xfId="0" applyNumberFormat="1" applyBorder="1" applyAlignment="1">
      <alignment horizontal="center"/>
    </xf>
    <xf numFmtId="165" fontId="0" fillId="0" borderId="229" xfId="2" applyNumberFormat="1" applyFont="1" applyBorder="1" applyAlignment="1">
      <alignment horizontal="center"/>
    </xf>
    <xf numFmtId="166" fontId="0" fillId="0" borderId="229" xfId="1" applyNumberFormat="1" applyFont="1" applyBorder="1" applyAlignment="1">
      <alignment horizontal="center"/>
    </xf>
    <xf numFmtId="10" fontId="0" fillId="0" borderId="0" xfId="0" applyNumberFormat="1" applyAlignment="1">
      <alignment horizontal="center"/>
    </xf>
    <xf numFmtId="9" fontId="0" fillId="0" borderId="16" xfId="1" applyFont="1" applyBorder="1"/>
    <xf numFmtId="165" fontId="0" fillId="0" borderId="18" xfId="2" applyNumberFormat="1" applyFont="1" applyBorder="1"/>
    <xf numFmtId="9" fontId="0" fillId="0" borderId="17" xfId="0" applyNumberFormat="1" applyBorder="1"/>
    <xf numFmtId="9" fontId="0" fillId="0" borderId="8" xfId="1" applyFont="1" applyBorder="1"/>
    <xf numFmtId="1" fontId="0" fillId="0" borderId="16" xfId="0" applyNumberFormat="1" applyBorder="1"/>
    <xf numFmtId="1" fontId="0" fillId="0" borderId="18" xfId="0" applyNumberFormat="1" applyBorder="1"/>
    <xf numFmtId="1" fontId="0" fillId="3" borderId="0" xfId="0" applyNumberFormat="1" applyFill="1"/>
    <xf numFmtId="9" fontId="0" fillId="3" borderId="28" xfId="1" applyFont="1" applyFill="1" applyBorder="1" applyAlignment="1">
      <alignment horizontal="center"/>
    </xf>
    <xf numFmtId="1" fontId="24" fillId="8" borderId="20" xfId="0" applyNumberFormat="1" applyFont="1" applyFill="1" applyBorder="1" applyAlignment="1">
      <alignment horizontal="left"/>
    </xf>
    <xf numFmtId="1" fontId="0" fillId="3" borderId="21" xfId="0" applyNumberFormat="1" applyFill="1" applyBorder="1"/>
    <xf numFmtId="1" fontId="0" fillId="3" borderId="28" xfId="1" applyNumberFormat="1" applyFont="1" applyFill="1" applyBorder="1" applyAlignment="1">
      <alignment horizontal="center"/>
    </xf>
    <xf numFmtId="9" fontId="0" fillId="3" borderId="28" xfId="0" applyNumberFormat="1" applyFill="1" applyBorder="1"/>
    <xf numFmtId="9" fontId="0" fillId="3" borderId="29" xfId="0" applyNumberFormat="1" applyFill="1" applyBorder="1"/>
    <xf numFmtId="9" fontId="0" fillId="3" borderId="27" xfId="1" applyFont="1" applyFill="1" applyBorder="1" applyAlignment="1">
      <alignment horizontal="center"/>
    </xf>
    <xf numFmtId="1" fontId="0" fillId="23" borderId="21" xfId="0" applyNumberFormat="1" applyFill="1" applyBorder="1"/>
    <xf numFmtId="1" fontId="24" fillId="23" borderId="20" xfId="0" applyNumberFormat="1" applyFont="1" applyFill="1" applyBorder="1" applyAlignment="1">
      <alignment horizontal="left"/>
    </xf>
    <xf numFmtId="1" fontId="0" fillId="8" borderId="16" xfId="0" applyNumberFormat="1" applyFill="1" applyBorder="1" applyAlignment="1">
      <alignment horizontal="center"/>
    </xf>
    <xf numFmtId="1" fontId="0" fillId="8" borderId="17" xfId="1" applyNumberFormat="1" applyFont="1" applyFill="1" applyBorder="1" applyAlignment="1">
      <alignment horizontal="center"/>
    </xf>
    <xf numFmtId="1" fontId="0" fillId="8" borderId="17" xfId="0" applyNumberFormat="1" applyFill="1" applyBorder="1" applyAlignment="1">
      <alignment horizontal="center"/>
    </xf>
    <xf numFmtId="9" fontId="0" fillId="8" borderId="27" xfId="1" applyFont="1" applyFill="1" applyBorder="1" applyAlignment="1">
      <alignment horizontal="center"/>
    </xf>
    <xf numFmtId="9" fontId="0" fillId="8" borderId="28" xfId="1" applyFont="1" applyFill="1" applyBorder="1" applyAlignment="1">
      <alignment horizontal="center"/>
    </xf>
    <xf numFmtId="1" fontId="0" fillId="23" borderId="16" xfId="0" applyNumberFormat="1" applyFill="1" applyBorder="1" applyAlignment="1">
      <alignment horizontal="center"/>
    </xf>
    <xf numFmtId="1" fontId="0" fillId="23" borderId="0" xfId="1" applyNumberFormat="1" applyFont="1" applyFill="1" applyBorder="1" applyAlignment="1">
      <alignment horizontal="center"/>
    </xf>
    <xf numFmtId="9" fontId="0" fillId="23" borderId="15" xfId="0" applyNumberFormat="1" applyFill="1" applyBorder="1"/>
    <xf numFmtId="9" fontId="0" fillId="23" borderId="27" xfId="1" applyFont="1" applyFill="1" applyBorder="1" applyAlignment="1">
      <alignment horizontal="center"/>
    </xf>
    <xf numFmtId="9" fontId="0" fillId="23" borderId="28" xfId="1" applyFont="1" applyFill="1" applyBorder="1" applyAlignment="1">
      <alignment horizontal="center"/>
    </xf>
    <xf numFmtId="1" fontId="0" fillId="9" borderId="21" xfId="0" applyNumberFormat="1" applyFill="1" applyBorder="1"/>
    <xf numFmtId="9" fontId="0" fillId="9" borderId="28" xfId="1" applyFont="1" applyFill="1" applyBorder="1" applyAlignment="1">
      <alignment horizontal="center"/>
    </xf>
    <xf numFmtId="9" fontId="0" fillId="9" borderId="28" xfId="0" applyNumberFormat="1" applyFill="1" applyBorder="1"/>
    <xf numFmtId="9" fontId="0" fillId="9" borderId="29" xfId="0" applyNumberFormat="1" applyFill="1" applyBorder="1"/>
    <xf numFmtId="1" fontId="24" fillId="9" borderId="27" xfId="0" applyNumberFormat="1" applyFont="1" applyFill="1" applyBorder="1" applyAlignment="1">
      <alignment horizontal="left"/>
    </xf>
    <xf numFmtId="1" fontId="0" fillId="9" borderId="28" xfId="0" applyNumberFormat="1" applyFill="1" applyBorder="1" applyAlignment="1">
      <alignment horizontal="center"/>
    </xf>
    <xf numFmtId="9" fontId="0" fillId="0" borderId="8" xfId="1" applyFont="1" applyFill="1" applyBorder="1"/>
    <xf numFmtId="0" fontId="0" fillId="8" borderId="15" xfId="0" applyFill="1" applyBorder="1"/>
    <xf numFmtId="1" fontId="0" fillId="0" borderId="27" xfId="0" applyNumberForma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0" fillId="0" borderId="40" xfId="0" applyNumberFormat="1" applyBorder="1"/>
    <xf numFmtId="17" fontId="0" fillId="0" borderId="228" xfId="0" applyNumberFormat="1" applyBorder="1"/>
    <xf numFmtId="165" fontId="0" fillId="0" borderId="230" xfId="0" applyNumberFormat="1" applyBorder="1"/>
    <xf numFmtId="165" fontId="0" fillId="0" borderId="229" xfId="0" applyNumberFormat="1" applyBorder="1"/>
    <xf numFmtId="166" fontId="0" fillId="0" borderId="229" xfId="1" applyNumberFormat="1" applyFont="1" applyBorder="1"/>
    <xf numFmtId="165" fontId="12" fillId="0" borderId="229" xfId="2" applyNumberFormat="1" applyFont="1" applyBorder="1" applyAlignment="1">
      <alignment horizontal="center" vertical="center"/>
    </xf>
    <xf numFmtId="0" fontId="0" fillId="0" borderId="229" xfId="0" applyBorder="1"/>
    <xf numFmtId="166" fontId="0" fillId="0" borderId="231" xfId="1" applyNumberFormat="1" applyFont="1" applyBorder="1"/>
    <xf numFmtId="169" fontId="0" fillId="0" borderId="230" xfId="4" applyNumberFormat="1" applyFont="1" applyBorder="1"/>
    <xf numFmtId="169" fontId="0" fillId="0" borderId="229" xfId="4" applyNumberFormat="1" applyFont="1" applyBorder="1"/>
    <xf numFmtId="165" fontId="12" fillId="0" borderId="229" xfId="2" applyNumberFormat="1" applyFont="1" applyBorder="1"/>
    <xf numFmtId="0" fontId="12" fillId="0" borderId="229" xfId="0" applyFont="1" applyBorder="1"/>
    <xf numFmtId="1" fontId="12" fillId="0" borderId="229" xfId="0" applyNumberFormat="1" applyFont="1" applyBorder="1"/>
    <xf numFmtId="0" fontId="0" fillId="0" borderId="230" xfId="0" applyBorder="1"/>
    <xf numFmtId="166" fontId="0" fillId="0" borderId="229" xfId="0" applyNumberFormat="1" applyBorder="1"/>
    <xf numFmtId="9" fontId="0" fillId="0" borderId="231" xfId="1" applyFont="1" applyBorder="1"/>
    <xf numFmtId="167" fontId="0" fillId="0" borderId="229" xfId="0" applyNumberFormat="1" applyBorder="1"/>
    <xf numFmtId="10" fontId="0" fillId="0" borderId="230" xfId="1" applyNumberFormat="1" applyFont="1" applyFill="1" applyBorder="1"/>
    <xf numFmtId="44" fontId="0" fillId="0" borderId="229" xfId="4" applyFont="1" applyFill="1" applyBorder="1"/>
    <xf numFmtId="168" fontId="0" fillId="0" borderId="229" xfId="4" applyNumberFormat="1" applyFont="1" applyBorder="1"/>
    <xf numFmtId="169" fontId="0" fillId="0" borderId="231" xfId="4" applyNumberFormat="1" applyFont="1" applyBorder="1"/>
    <xf numFmtId="169" fontId="0" fillId="0" borderId="229" xfId="0" applyNumberFormat="1" applyBorder="1"/>
    <xf numFmtId="17" fontId="0" fillId="0" borderId="229" xfId="0" applyNumberFormat="1" applyBorder="1"/>
    <xf numFmtId="3" fontId="0" fillId="0" borderId="229" xfId="0" applyNumberFormat="1" applyBorder="1"/>
    <xf numFmtId="44" fontId="0" fillId="0" borderId="229" xfId="0" applyNumberFormat="1" applyBorder="1"/>
    <xf numFmtId="1" fontId="0" fillId="0" borderId="229" xfId="0" applyNumberFormat="1" applyBorder="1"/>
    <xf numFmtId="44" fontId="0" fillId="0" borderId="229" xfId="4" applyFont="1" applyBorder="1"/>
    <xf numFmtId="174" fontId="0" fillId="0" borderId="229" xfId="1" applyNumberFormat="1" applyFont="1" applyBorder="1"/>
    <xf numFmtId="10" fontId="0" fillId="0" borderId="229" xfId="0" applyNumberFormat="1" applyBorder="1"/>
    <xf numFmtId="9" fontId="0" fillId="0" borderId="229" xfId="1" applyFont="1" applyBorder="1"/>
    <xf numFmtId="9" fontId="0" fillId="0" borderId="229" xfId="0" applyNumberFormat="1" applyBorder="1"/>
    <xf numFmtId="43" fontId="0" fillId="0" borderId="229" xfId="0" applyNumberFormat="1" applyBorder="1"/>
    <xf numFmtId="176" fontId="0" fillId="0" borderId="0" xfId="0" applyNumberFormat="1"/>
    <xf numFmtId="176" fontId="0" fillId="0" borderId="17" xfId="0" applyNumberFormat="1" applyBorder="1"/>
    <xf numFmtId="176" fontId="0" fillId="0" borderId="229" xfId="0" applyNumberFormat="1" applyBorder="1"/>
    <xf numFmtId="10" fontId="0" fillId="0" borderId="229" xfId="0" applyNumberFormat="1" applyBorder="1" applyAlignment="1">
      <alignment horizontal="center"/>
    </xf>
    <xf numFmtId="0" fontId="0" fillId="0" borderId="0" xfId="0" applyAlignment="1">
      <alignment horizontal="left" vertic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8" borderId="15" xfId="0" applyFill="1" applyBorder="1" applyAlignment="1">
      <alignment horizontal="center" wrapText="1"/>
    </xf>
    <xf numFmtId="0" fontId="0" fillId="0" borderId="57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75" xfId="0" applyBorder="1" applyAlignment="1">
      <alignment horizontal="center" vertical="center" wrapText="1"/>
    </xf>
    <xf numFmtId="0" fontId="0" fillId="0" borderId="57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5" fillId="0" borderId="17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5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5" xfId="0" applyBorder="1" applyAlignment="1">
      <alignment horizontal="center" wrapText="1"/>
    </xf>
    <xf numFmtId="0" fontId="0" fillId="0" borderId="15" xfId="0" applyBorder="1" applyAlignment="1">
      <alignment horizontal="center" vertical="center" wrapText="1"/>
    </xf>
    <xf numFmtId="0" fontId="0" fillId="0" borderId="8" xfId="0" applyBorder="1" applyAlignment="1">
      <alignment horizont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textRotation="90"/>
    </xf>
    <xf numFmtId="0" fontId="3" fillId="0" borderId="7" xfId="0" applyFont="1" applyBorder="1" applyAlignment="1">
      <alignment horizontal="center" vertical="center" textRotation="90"/>
    </xf>
    <xf numFmtId="0" fontId="3" fillId="0" borderId="22" xfId="0" applyFont="1" applyBorder="1" applyAlignment="1">
      <alignment horizontal="center" vertical="center" textRotation="90"/>
    </xf>
    <xf numFmtId="0" fontId="0" fillId="0" borderId="16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6" xfId="0" quotePrefix="1" applyBorder="1" applyAlignment="1">
      <alignment horizontal="center" vertical="center" wrapText="1"/>
    </xf>
    <xf numFmtId="0" fontId="0" fillId="0" borderId="17" xfId="0" quotePrefix="1" applyBorder="1" applyAlignment="1">
      <alignment horizontal="center" vertical="center" wrapText="1"/>
    </xf>
    <xf numFmtId="0" fontId="0" fillId="0" borderId="18" xfId="0" quotePrefix="1" applyBorder="1" applyAlignment="1">
      <alignment horizontal="center" vertical="center" wrapText="1"/>
    </xf>
    <xf numFmtId="0" fontId="0" fillId="0" borderId="8" xfId="0" quotePrefix="1" applyBorder="1" applyAlignment="1">
      <alignment horizontal="center" vertical="center" wrapText="1"/>
    </xf>
    <xf numFmtId="0" fontId="0" fillId="0" borderId="0" xfId="0" quotePrefix="1" applyAlignment="1">
      <alignment horizontal="center" vertical="center" wrapText="1"/>
    </xf>
    <xf numFmtId="0" fontId="0" fillId="0" borderId="15" xfId="0" quotePrefix="1" applyBorder="1" applyAlignment="1">
      <alignment horizontal="center" vertical="center" wrapText="1"/>
    </xf>
    <xf numFmtId="0" fontId="0" fillId="0" borderId="19" xfId="0" quotePrefix="1" applyBorder="1" applyAlignment="1">
      <alignment horizontal="center" vertical="center" wrapText="1"/>
    </xf>
    <xf numFmtId="0" fontId="0" fillId="0" borderId="20" xfId="0" quotePrefix="1" applyBorder="1" applyAlignment="1">
      <alignment horizontal="center" vertical="center" wrapText="1"/>
    </xf>
    <xf numFmtId="0" fontId="0" fillId="0" borderId="21" xfId="0" quotePrefix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wrapText="1"/>
    </xf>
    <xf numFmtId="0" fontId="0" fillId="6" borderId="22" xfId="0" applyFill="1" applyBorder="1" applyAlignment="1">
      <alignment horizont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14" fontId="7" fillId="9" borderId="0" xfId="0" applyNumberFormat="1" applyFont="1" applyFill="1" applyAlignment="1">
      <alignment horizontal="center" vertical="center"/>
    </xf>
    <xf numFmtId="0" fontId="0" fillId="2" borderId="6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4" xfId="0" applyBorder="1" applyAlignment="1">
      <alignment horizontal="center" wrapText="1"/>
    </xf>
    <xf numFmtId="0" fontId="2" fillId="0" borderId="14" xfId="0" quotePrefix="1" applyFont="1" applyBorder="1" applyAlignment="1">
      <alignment horizontal="center" vertical="center"/>
    </xf>
    <xf numFmtId="0" fontId="2" fillId="0" borderId="14" xfId="0" quotePrefix="1" applyFont="1" applyBorder="1" applyAlignment="1">
      <alignment horizontal="center" vertical="center" wrapText="1"/>
    </xf>
    <xf numFmtId="0" fontId="24" fillId="18" borderId="0" xfId="0" applyFont="1" applyFill="1" applyAlignment="1">
      <alignment horizontal="left" vertical="center"/>
    </xf>
    <xf numFmtId="0" fontId="24" fillId="18" borderId="20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left" vertical="center"/>
    </xf>
    <xf numFmtId="0" fontId="24" fillId="18" borderId="189" xfId="0" applyFont="1" applyFill="1" applyBorder="1" applyAlignment="1">
      <alignment horizontal="left" vertical="center"/>
    </xf>
    <xf numFmtId="0" fontId="24" fillId="18" borderId="190" xfId="0" applyFont="1" applyFill="1" applyBorder="1" applyAlignment="1">
      <alignment horizontal="left" vertical="center"/>
    </xf>
    <xf numFmtId="0" fontId="0" fillId="2" borderId="0" xfId="0" applyFill="1" applyAlignment="1">
      <alignment horizontal="center" vertical="center" textRotation="90" wrapText="1"/>
    </xf>
    <xf numFmtId="0" fontId="24" fillId="9" borderId="0" xfId="0" applyFont="1" applyFill="1" applyAlignment="1">
      <alignment horizontal="left" vertical="center"/>
    </xf>
    <xf numFmtId="0" fontId="24" fillId="9" borderId="17" xfId="0" applyFont="1" applyFill="1" applyBorder="1" applyAlignment="1">
      <alignment horizontal="left" vertical="center"/>
    </xf>
    <xf numFmtId="0" fontId="24" fillId="9" borderId="20" xfId="0" applyFont="1" applyFill="1" applyBorder="1" applyAlignment="1">
      <alignment horizontal="left" vertical="center"/>
    </xf>
    <xf numFmtId="0" fontId="24" fillId="3" borderId="49" xfId="0" applyFont="1" applyFill="1" applyBorder="1" applyAlignment="1">
      <alignment horizontal="left" vertical="center"/>
    </xf>
    <xf numFmtId="0" fontId="24" fillId="3" borderId="17" xfId="0" applyFont="1" applyFill="1" applyBorder="1" applyAlignment="1">
      <alignment horizontal="left" vertical="center"/>
    </xf>
    <xf numFmtId="0" fontId="24" fillId="3" borderId="18" xfId="0" applyFont="1" applyFill="1" applyBorder="1" applyAlignment="1">
      <alignment horizontal="left" vertical="center"/>
    </xf>
    <xf numFmtId="0" fontId="24" fillId="3" borderId="73" xfId="0" applyFont="1" applyFill="1" applyBorder="1" applyAlignment="1">
      <alignment horizontal="left" vertical="center"/>
    </xf>
    <xf numFmtId="0" fontId="24" fillId="3" borderId="20" xfId="0" applyFont="1" applyFill="1" applyBorder="1" applyAlignment="1">
      <alignment horizontal="left" vertical="center"/>
    </xf>
    <xf numFmtId="0" fontId="24" fillId="3" borderId="21" xfId="0" applyFont="1" applyFill="1" applyBorder="1" applyAlignment="1">
      <alignment horizontal="left" vertical="center"/>
    </xf>
    <xf numFmtId="0" fontId="24" fillId="8" borderId="49" xfId="0" applyFont="1" applyFill="1" applyBorder="1" applyAlignment="1">
      <alignment horizontal="left" vertical="center"/>
    </xf>
    <xf numFmtId="0" fontId="24" fillId="8" borderId="17" xfId="0" applyFont="1" applyFill="1" applyBorder="1" applyAlignment="1">
      <alignment horizontal="left" vertical="center"/>
    </xf>
    <xf numFmtId="0" fontId="24" fillId="8" borderId="18" xfId="0" applyFont="1" applyFill="1" applyBorder="1" applyAlignment="1">
      <alignment horizontal="left" vertical="center"/>
    </xf>
    <xf numFmtId="0" fontId="24" fillId="9" borderId="27" xfId="0" applyFont="1" applyFill="1" applyBorder="1" applyAlignment="1">
      <alignment horizontal="left" vertical="center"/>
    </xf>
    <xf numFmtId="0" fontId="24" fillId="9" borderId="28" xfId="0" applyFont="1" applyFill="1" applyBorder="1" applyAlignment="1">
      <alignment horizontal="left" vertical="center"/>
    </xf>
    <xf numFmtId="0" fontId="24" fillId="9" borderId="29" xfId="0" applyFont="1" applyFill="1" applyBorder="1" applyAlignment="1">
      <alignment horizontal="left" vertical="center"/>
    </xf>
    <xf numFmtId="0" fontId="24" fillId="8" borderId="73" xfId="0" applyFont="1" applyFill="1" applyBorder="1" applyAlignment="1">
      <alignment horizontal="left" vertical="center"/>
    </xf>
    <xf numFmtId="0" fontId="24" fillId="8" borderId="20" xfId="0" applyFont="1" applyFill="1" applyBorder="1" applyAlignment="1">
      <alignment horizontal="left" vertical="center"/>
    </xf>
    <xf numFmtId="0" fontId="24" fillId="8" borderId="21" xfId="0" applyFont="1" applyFill="1" applyBorder="1" applyAlignment="1">
      <alignment horizontal="left" vertical="center"/>
    </xf>
    <xf numFmtId="0" fontId="24" fillId="23" borderId="49" xfId="0" applyFont="1" applyFill="1" applyBorder="1" applyAlignment="1">
      <alignment horizontal="left" vertical="center"/>
    </xf>
    <xf numFmtId="0" fontId="24" fillId="23" borderId="17" xfId="0" applyFont="1" applyFill="1" applyBorder="1" applyAlignment="1">
      <alignment horizontal="left" vertical="center"/>
    </xf>
    <xf numFmtId="0" fontId="24" fillId="23" borderId="18" xfId="0" applyFont="1" applyFill="1" applyBorder="1" applyAlignment="1">
      <alignment horizontal="left" vertical="center"/>
    </xf>
    <xf numFmtId="0" fontId="24" fillId="23" borderId="73" xfId="0" applyFont="1" applyFill="1" applyBorder="1" applyAlignment="1">
      <alignment horizontal="left" vertical="center"/>
    </xf>
    <xf numFmtId="0" fontId="24" fillId="23" borderId="20" xfId="0" applyFont="1" applyFill="1" applyBorder="1" applyAlignment="1">
      <alignment horizontal="left" vertical="center"/>
    </xf>
    <xf numFmtId="0" fontId="24" fillId="23" borderId="21" xfId="0" applyFont="1" applyFill="1" applyBorder="1" applyAlignment="1">
      <alignment horizontal="left" vertical="center"/>
    </xf>
    <xf numFmtId="0" fontId="24" fillId="9" borderId="49" xfId="0" applyFont="1" applyFill="1" applyBorder="1" applyAlignment="1">
      <alignment horizontal="left" vertical="center"/>
    </xf>
    <xf numFmtId="0" fontId="24" fillId="9" borderId="18" xfId="0" applyFont="1" applyFill="1" applyBorder="1" applyAlignment="1">
      <alignment horizontal="left" vertical="center"/>
    </xf>
    <xf numFmtId="0" fontId="24" fillId="9" borderId="73" xfId="0" applyFont="1" applyFill="1" applyBorder="1" applyAlignment="1">
      <alignment horizontal="left" vertical="center"/>
    </xf>
    <xf numFmtId="0" fontId="24" fillId="9" borderId="21" xfId="0" applyFont="1" applyFill="1" applyBorder="1" applyAlignment="1">
      <alignment horizontal="left" vertical="center"/>
    </xf>
    <xf numFmtId="0" fontId="24" fillId="3" borderId="27" xfId="0" applyFont="1" applyFill="1" applyBorder="1" applyAlignment="1">
      <alignment horizontal="left" vertical="center"/>
    </xf>
    <xf numFmtId="0" fontId="24" fillId="3" borderId="28" xfId="0" applyFont="1" applyFill="1" applyBorder="1" applyAlignment="1">
      <alignment horizontal="left" vertical="center"/>
    </xf>
    <xf numFmtId="0" fontId="24" fillId="3" borderId="29" xfId="0" applyFont="1" applyFill="1" applyBorder="1" applyAlignment="1">
      <alignment horizontal="left" vertical="center"/>
    </xf>
    <xf numFmtId="0" fontId="24" fillId="8" borderId="27" xfId="0" applyFont="1" applyFill="1" applyBorder="1" applyAlignment="1">
      <alignment horizontal="left" vertical="center"/>
    </xf>
    <xf numFmtId="0" fontId="24" fillId="8" borderId="28" xfId="0" applyFont="1" applyFill="1" applyBorder="1" applyAlignment="1">
      <alignment horizontal="left" vertical="center"/>
    </xf>
    <xf numFmtId="0" fontId="24" fillId="8" borderId="29" xfId="0" applyFont="1" applyFill="1" applyBorder="1" applyAlignment="1">
      <alignment horizontal="left" vertical="center"/>
    </xf>
    <xf numFmtId="0" fontId="24" fillId="23" borderId="27" xfId="0" applyFont="1" applyFill="1" applyBorder="1" applyAlignment="1">
      <alignment horizontal="left" vertical="center"/>
    </xf>
    <xf numFmtId="0" fontId="24" fillId="23" borderId="28" xfId="0" applyFont="1" applyFill="1" applyBorder="1" applyAlignment="1">
      <alignment horizontal="left" vertical="center"/>
    </xf>
    <xf numFmtId="0" fontId="24" fillId="23" borderId="29" xfId="0" applyFont="1" applyFill="1" applyBorder="1" applyAlignment="1">
      <alignment horizontal="left" vertical="center"/>
    </xf>
    <xf numFmtId="0" fontId="10" fillId="14" borderId="0" xfId="3" applyAlignment="1">
      <alignment horizontal="center"/>
    </xf>
    <xf numFmtId="0" fontId="0" fillId="0" borderId="0" xfId="0" applyAlignment="1">
      <alignment horizontal="center" vertical="center" textRotation="90"/>
    </xf>
    <xf numFmtId="0" fontId="19" fillId="16" borderId="0" xfId="7" applyAlignment="1">
      <alignment horizontal="center"/>
    </xf>
    <xf numFmtId="0" fontId="20" fillId="17" borderId="0" xfId="8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24" fillId="22" borderId="17" xfId="0" applyFont="1" applyFill="1" applyBorder="1" applyAlignment="1">
      <alignment horizontal="left" vertical="center"/>
    </xf>
    <xf numFmtId="0" fontId="24" fillId="22" borderId="20" xfId="0" applyFont="1" applyFill="1" applyBorder="1" applyAlignment="1">
      <alignment horizontal="left" vertical="center"/>
    </xf>
    <xf numFmtId="0" fontId="22" fillId="0" borderId="31" xfId="0" applyFont="1" applyBorder="1" applyAlignment="1">
      <alignment horizontal="center" vertical="center" textRotation="90"/>
    </xf>
    <xf numFmtId="0" fontId="22" fillId="0" borderId="33" xfId="0" applyFont="1" applyBorder="1" applyAlignment="1">
      <alignment horizontal="center" vertical="center" textRotation="90"/>
    </xf>
    <xf numFmtId="0" fontId="0" fillId="0" borderId="186" xfId="0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24" fillId="22" borderId="0" xfId="0" applyFont="1" applyFill="1" applyAlignment="1">
      <alignment horizontal="left" vertical="center"/>
    </xf>
    <xf numFmtId="0" fontId="24" fillId="22" borderId="189" xfId="0" applyFont="1" applyFill="1" applyBorder="1" applyAlignment="1">
      <alignment horizontal="left" vertical="center"/>
    </xf>
    <xf numFmtId="0" fontId="24" fillId="22" borderId="190" xfId="0" applyFont="1" applyFill="1" applyBorder="1" applyAlignment="1">
      <alignment horizontal="left" vertical="center"/>
    </xf>
    <xf numFmtId="9" fontId="0" fillId="3" borderId="16" xfId="0" applyNumberFormat="1" applyFill="1" applyBorder="1" applyAlignment="1">
      <alignment horizontal="center"/>
    </xf>
    <xf numFmtId="9" fontId="0" fillId="3" borderId="18" xfId="0" applyNumberFormat="1" applyFill="1" applyBorder="1" applyAlignment="1">
      <alignment horizontal="center"/>
    </xf>
    <xf numFmtId="1" fontId="24" fillId="3" borderId="27" xfId="0" applyNumberFormat="1" applyFont="1" applyFill="1" applyBorder="1" applyAlignment="1">
      <alignment horizontal="left"/>
    </xf>
    <xf numFmtId="1" fontId="24" fillId="3" borderId="28" xfId="0" applyNumberFormat="1" applyFont="1" applyFill="1" applyBorder="1" applyAlignment="1">
      <alignment horizontal="left"/>
    </xf>
    <xf numFmtId="1" fontId="24" fillId="3" borderId="29" xfId="0" applyNumberFormat="1" applyFont="1" applyFill="1" applyBorder="1" applyAlignment="1">
      <alignment horizontal="left"/>
    </xf>
    <xf numFmtId="9" fontId="0" fillId="8" borderId="16" xfId="0" applyNumberFormat="1" applyFill="1" applyBorder="1" applyAlignment="1">
      <alignment horizontal="center"/>
    </xf>
    <xf numFmtId="9" fontId="0" fillId="8" borderId="18" xfId="0" applyNumberFormat="1" applyFill="1" applyBorder="1" applyAlignment="1">
      <alignment horizontal="center"/>
    </xf>
    <xf numFmtId="9" fontId="0" fillId="23" borderId="16" xfId="0" applyNumberFormat="1" applyFill="1" applyBorder="1" applyAlignment="1">
      <alignment horizontal="center"/>
    </xf>
    <xf numFmtId="9" fontId="0" fillId="23" borderId="18" xfId="0" applyNumberFormat="1" applyFill="1" applyBorder="1" applyAlignment="1">
      <alignment horizontal="center"/>
    </xf>
    <xf numFmtId="9" fontId="0" fillId="9" borderId="16" xfId="0" applyNumberFormat="1" applyFill="1" applyBorder="1" applyAlignment="1">
      <alignment horizontal="center"/>
    </xf>
    <xf numFmtId="9" fontId="0" fillId="9" borderId="18" xfId="0" applyNumberFormat="1" applyFill="1" applyBorder="1" applyAlignment="1">
      <alignment horizontal="center"/>
    </xf>
    <xf numFmtId="0" fontId="0" fillId="0" borderId="0" xfId="0" applyAlignment="1">
      <alignment horizontal="center" vertical="center" textRotation="90" wrapText="1"/>
    </xf>
    <xf numFmtId="6" fontId="0" fillId="18" borderId="14" xfId="0" applyNumberFormat="1" applyFill="1" applyBorder="1" applyAlignment="1">
      <alignment horizontal="right" vertical="center"/>
    </xf>
    <xf numFmtId="0" fontId="0" fillId="18" borderId="14" xfId="0" applyFill="1" applyBorder="1" applyAlignment="1">
      <alignment horizontal="right" vertical="center"/>
    </xf>
    <xf numFmtId="0" fontId="0" fillId="0" borderId="43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5" fillId="26" borderId="6" xfId="0" applyFont="1" applyFill="1" applyBorder="1" applyAlignment="1">
      <alignment horizontal="center" vertical="center"/>
    </xf>
    <xf numFmtId="0" fontId="5" fillId="26" borderId="22" xfId="0" applyFont="1" applyFill="1" applyBorder="1" applyAlignment="1">
      <alignment horizontal="center" vertical="center"/>
    </xf>
    <xf numFmtId="0" fontId="5" fillId="26" borderId="16" xfId="0" applyFont="1" applyFill="1" applyBorder="1" applyAlignment="1">
      <alignment horizontal="center"/>
    </xf>
    <xf numFmtId="0" fontId="5" fillId="26" borderId="17" xfId="0" applyFont="1" applyFill="1" applyBorder="1" applyAlignment="1">
      <alignment horizontal="center"/>
    </xf>
    <xf numFmtId="0" fontId="5" fillId="26" borderId="18" xfId="0" applyFont="1" applyFill="1" applyBorder="1" applyAlignment="1">
      <alignment horizontal="center"/>
    </xf>
    <xf numFmtId="0" fontId="5" fillId="26" borderId="6" xfId="0" applyFont="1" applyFill="1" applyBorder="1" applyAlignment="1">
      <alignment horizontal="center" wrapText="1"/>
    </xf>
    <xf numFmtId="0" fontId="5" fillId="26" borderId="22" xfId="0" applyFont="1" applyFill="1" applyBorder="1" applyAlignment="1">
      <alignment horizontal="center" wrapText="1"/>
    </xf>
    <xf numFmtId="0" fontId="0" fillId="0" borderId="6" xfId="0" applyBorder="1" applyAlignment="1">
      <alignment horizontal="right" vertical="center"/>
    </xf>
    <xf numFmtId="0" fontId="0" fillId="0" borderId="147" xfId="0" applyBorder="1" applyAlignment="1">
      <alignment horizontal="right" vertical="center"/>
    </xf>
    <xf numFmtId="0" fontId="16" fillId="12" borderId="6" xfId="0" applyFont="1" applyFill="1" applyBorder="1" applyAlignment="1">
      <alignment horizontal="center" vertical="center" textRotation="90"/>
    </xf>
    <xf numFmtId="0" fontId="16" fillId="12" borderId="7" xfId="0" applyFont="1" applyFill="1" applyBorder="1" applyAlignment="1">
      <alignment horizontal="center" vertical="center" textRotation="90"/>
    </xf>
    <xf numFmtId="0" fontId="16" fillId="12" borderId="22" xfId="0" applyFont="1" applyFill="1" applyBorder="1" applyAlignment="1">
      <alignment horizontal="center" vertical="center" textRotation="90"/>
    </xf>
    <xf numFmtId="0" fontId="16" fillId="22" borderId="6" xfId="0" applyFont="1" applyFill="1" applyBorder="1" applyAlignment="1">
      <alignment horizontal="center" vertical="center" textRotation="90"/>
    </xf>
    <xf numFmtId="0" fontId="16" fillId="22" borderId="7" xfId="0" applyFont="1" applyFill="1" applyBorder="1" applyAlignment="1">
      <alignment horizontal="center" vertical="center" textRotation="90"/>
    </xf>
    <xf numFmtId="0" fontId="0" fillId="18" borderId="16" xfId="0" applyFill="1" applyBorder="1" applyAlignment="1">
      <alignment horizontal="left" vertical="top" wrapText="1"/>
    </xf>
    <xf numFmtId="0" fontId="0" fillId="18" borderId="19" xfId="0" applyFill="1" applyBorder="1" applyAlignment="1">
      <alignment horizontal="left" vertical="top" wrapText="1"/>
    </xf>
    <xf numFmtId="0" fontId="20" fillId="17" borderId="16" xfId="8" applyBorder="1" applyAlignment="1">
      <alignment horizontal="left" vertical="top" wrapText="1"/>
    </xf>
    <xf numFmtId="0" fontId="20" fillId="17" borderId="159" xfId="8" applyBorder="1" applyAlignment="1">
      <alignment horizontal="left" vertical="top" wrapText="1"/>
    </xf>
    <xf numFmtId="0" fontId="10" fillId="14" borderId="3" xfId="3" applyBorder="1" applyAlignment="1">
      <alignment horizontal="left" vertical="top" wrapText="1"/>
    </xf>
    <xf numFmtId="0" fontId="10" fillId="14" borderId="8" xfId="3" applyBorder="1" applyAlignment="1">
      <alignment horizontal="left" vertical="top" wrapText="1"/>
    </xf>
    <xf numFmtId="0" fontId="10" fillId="14" borderId="19" xfId="3" applyBorder="1" applyAlignment="1">
      <alignment horizontal="left" vertical="top" wrapText="1"/>
    </xf>
    <xf numFmtId="0" fontId="10" fillId="14" borderId="10" xfId="3" applyBorder="1" applyAlignment="1">
      <alignment horizontal="left" vertical="top" wrapText="1"/>
    </xf>
    <xf numFmtId="0" fontId="10" fillId="14" borderId="27" xfId="3" applyBorder="1" applyAlignment="1">
      <alignment horizontal="left" vertical="top" wrapText="1"/>
    </xf>
    <xf numFmtId="0" fontId="0" fillId="18" borderId="27" xfId="0" applyFill="1" applyBorder="1" applyAlignment="1">
      <alignment horizontal="left" vertical="top" wrapText="1"/>
    </xf>
    <xf numFmtId="0" fontId="20" fillId="17" borderId="27" xfId="8" applyBorder="1" applyAlignment="1">
      <alignment horizontal="left" vertical="top" wrapText="1"/>
    </xf>
    <xf numFmtId="0" fontId="20" fillId="17" borderId="11" xfId="8" applyBorder="1" applyAlignment="1">
      <alignment horizontal="left" vertical="top" wrapText="1"/>
    </xf>
    <xf numFmtId="0" fontId="20" fillId="17" borderId="16" xfId="8" applyBorder="1" applyAlignment="1">
      <alignment horizontal="left" vertical="center"/>
    </xf>
    <xf numFmtId="0" fontId="20" fillId="17" borderId="19" xfId="8" applyBorder="1" applyAlignment="1">
      <alignment horizontal="left" vertical="center"/>
    </xf>
    <xf numFmtId="6" fontId="0" fillId="0" borderId="14" xfId="0" applyNumberFormat="1" applyBorder="1" applyAlignment="1">
      <alignment horizontal="right" vertical="center"/>
    </xf>
    <xf numFmtId="0" fontId="0" fillId="0" borderId="14" xfId="0" applyBorder="1" applyAlignment="1">
      <alignment horizontal="right" vertical="center"/>
    </xf>
    <xf numFmtId="0" fontId="10" fillId="14" borderId="6" xfId="3" applyBorder="1" applyAlignment="1">
      <alignment horizontal="left" vertical="center" wrapText="1"/>
    </xf>
    <xf numFmtId="0" fontId="10" fillId="14" borderId="7" xfId="3" applyBorder="1" applyAlignment="1">
      <alignment horizontal="left" vertical="center" wrapText="1"/>
    </xf>
    <xf numFmtId="0" fontId="10" fillId="14" borderId="147" xfId="3" applyBorder="1" applyAlignment="1">
      <alignment horizontal="left" vertical="center" wrapText="1"/>
    </xf>
    <xf numFmtId="0" fontId="10" fillId="14" borderId="16" xfId="3" applyBorder="1" applyAlignment="1">
      <alignment horizontal="left" vertical="top" wrapText="1"/>
    </xf>
    <xf numFmtId="0" fontId="10" fillId="14" borderId="159" xfId="3" applyBorder="1" applyAlignment="1">
      <alignment horizontal="left" vertical="top" wrapText="1"/>
    </xf>
    <xf numFmtId="0" fontId="0" fillId="18" borderId="16" xfId="0" applyFill="1" applyBorder="1" applyAlignment="1">
      <alignment horizontal="left" vertical="top"/>
    </xf>
    <xf numFmtId="0" fontId="0" fillId="18" borderId="19" xfId="0" applyFill="1" applyBorder="1" applyAlignment="1">
      <alignment horizontal="left" vertical="top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0" fillId="0" borderId="58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4" xfId="0" applyBorder="1" applyAlignment="1">
      <alignment horizontal="center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left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38" xfId="0" applyBorder="1" applyAlignment="1">
      <alignment horizontal="center"/>
    </xf>
    <xf numFmtId="0" fontId="5" fillId="0" borderId="61" xfId="0" applyFont="1" applyBorder="1" applyAlignment="1">
      <alignment horizontal="left"/>
    </xf>
    <xf numFmtId="0" fontId="5" fillId="0" borderId="168" xfId="0" applyFont="1" applyBorder="1" applyAlignment="1">
      <alignment horizontal="left"/>
    </xf>
    <xf numFmtId="0" fontId="5" fillId="0" borderId="168" xfId="0" applyFont="1" applyBorder="1" applyAlignment="1">
      <alignment horizontal="center"/>
    </xf>
    <xf numFmtId="0" fontId="5" fillId="0" borderId="62" xfId="0" applyFont="1" applyBorder="1" applyAlignment="1">
      <alignment horizontal="center"/>
    </xf>
    <xf numFmtId="17" fontId="0" fillId="0" borderId="14" xfId="0" applyNumberFormat="1" applyBorder="1" applyAlignment="1">
      <alignment horizontal="center"/>
    </xf>
    <xf numFmtId="17" fontId="0" fillId="0" borderId="59" xfId="0" applyNumberFormat="1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9" xfId="0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73" xfId="0" applyBorder="1" applyAlignment="1">
      <alignment horizontal="left" wrapText="1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5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9" xfId="0" applyBorder="1" applyAlignment="1">
      <alignment horizontal="left"/>
    </xf>
    <xf numFmtId="0" fontId="0" fillId="0" borderId="40" xfId="0" applyBorder="1" applyAlignment="1">
      <alignment horizontal="left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9" fontId="0" fillId="0" borderId="0" xfId="1" applyFont="1" applyAlignment="1">
      <alignment horizontal="center" vertical="center"/>
    </xf>
    <xf numFmtId="0" fontId="5" fillId="10" borderId="8" xfId="0" applyFont="1" applyFill="1" applyBorder="1" applyAlignment="1">
      <alignment horizontal="center"/>
    </xf>
    <xf numFmtId="0" fontId="5" fillId="10" borderId="0" xfId="0" applyFont="1" applyFill="1" applyAlignment="1">
      <alignment horizontal="center"/>
    </xf>
    <xf numFmtId="3" fontId="0" fillId="0" borderId="27" xfId="0" applyNumberFormat="1" applyBorder="1" applyAlignment="1">
      <alignment horizontal="center"/>
    </xf>
    <xf numFmtId="3" fontId="0" fillId="0" borderId="29" xfId="0" applyNumberForma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0" fillId="0" borderId="161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25" fillId="20" borderId="61" xfId="0" applyFont="1" applyFill="1" applyBorder="1" applyAlignment="1">
      <alignment horizontal="center"/>
    </xf>
    <xf numFmtId="0" fontId="25" fillId="20" borderId="76" xfId="0" applyFont="1" applyFill="1" applyBorder="1" applyAlignment="1">
      <alignment horizontal="center"/>
    </xf>
    <xf numFmtId="165" fontId="0" fillId="0" borderId="54" xfId="2" applyNumberFormat="1" applyFont="1" applyBorder="1" applyAlignment="1">
      <alignment horizontal="center" vertical="center" wrapText="1"/>
    </xf>
    <xf numFmtId="165" fontId="0" fillId="0" borderId="68" xfId="2" applyNumberFormat="1" applyFont="1" applyBorder="1" applyAlignment="1">
      <alignment horizontal="center" vertical="center" wrapText="1"/>
    </xf>
    <xf numFmtId="165" fontId="0" fillId="0" borderId="161" xfId="2" applyNumberFormat="1" applyFont="1" applyBorder="1" applyAlignment="1">
      <alignment horizontal="center" vertical="center" wrapText="1"/>
    </xf>
    <xf numFmtId="0" fontId="24" fillId="0" borderId="57" xfId="0" applyFont="1" applyBorder="1" applyAlignment="1">
      <alignment horizontal="center" vertical="center" textRotation="90" wrapText="1"/>
    </xf>
    <xf numFmtId="0" fontId="24" fillId="0" borderId="55" xfId="0" applyFont="1" applyBorder="1" applyAlignment="1">
      <alignment horizontal="center" vertical="center" textRotation="90" wrapText="1"/>
    </xf>
    <xf numFmtId="0" fontId="24" fillId="0" borderId="56" xfId="0" applyFont="1" applyBorder="1" applyAlignment="1">
      <alignment horizontal="center" vertical="center" textRotation="90" wrapText="1"/>
    </xf>
    <xf numFmtId="0" fontId="2" fillId="0" borderId="57" xfId="0" applyFont="1" applyBorder="1" applyAlignment="1">
      <alignment horizontal="center" vertical="center" textRotation="90" wrapText="1"/>
    </xf>
    <xf numFmtId="0" fontId="2" fillId="0" borderId="55" xfId="0" applyFont="1" applyBorder="1" applyAlignment="1">
      <alignment horizontal="center" vertical="center" textRotation="90" wrapText="1"/>
    </xf>
    <xf numFmtId="0" fontId="2" fillId="0" borderId="56" xfId="0" applyFont="1" applyBorder="1" applyAlignment="1">
      <alignment horizontal="center" vertical="center" textRotation="90" wrapText="1"/>
    </xf>
    <xf numFmtId="0" fontId="25" fillId="0" borderId="23" xfId="0" applyFont="1" applyBorder="1" applyAlignment="1">
      <alignment horizontal="center"/>
    </xf>
    <xf numFmtId="0" fontId="25" fillId="0" borderId="24" xfId="0" applyFont="1" applyBorder="1" applyAlignment="1">
      <alignment horizontal="center"/>
    </xf>
    <xf numFmtId="0" fontId="25" fillId="0" borderId="25" xfId="0" applyFont="1" applyBorder="1" applyAlignment="1">
      <alignment horizontal="center"/>
    </xf>
    <xf numFmtId="165" fontId="5" fillId="0" borderId="89" xfId="2" applyNumberFormat="1" applyFont="1" applyBorder="1" applyAlignment="1">
      <alignment horizontal="center"/>
    </xf>
    <xf numFmtId="165" fontId="5" fillId="0" borderId="117" xfId="2" applyNumberFormat="1" applyFont="1" applyBorder="1" applyAlignment="1">
      <alignment horizontal="center"/>
    </xf>
    <xf numFmtId="0" fontId="5" fillId="0" borderId="89" xfId="0" applyFont="1" applyBorder="1" applyAlignment="1">
      <alignment horizontal="center"/>
    </xf>
    <xf numFmtId="0" fontId="5" fillId="0" borderId="117" xfId="0" applyFont="1" applyBorder="1" applyAlignment="1">
      <alignment horizontal="center"/>
    </xf>
    <xf numFmtId="165" fontId="5" fillId="0" borderId="122" xfId="2" applyNumberFormat="1" applyFont="1" applyBorder="1" applyAlignment="1">
      <alignment horizontal="center"/>
    </xf>
    <xf numFmtId="165" fontId="5" fillId="0" borderId="126" xfId="2" applyNumberFormat="1" applyFont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32" xfId="0" applyFill="1" applyBorder="1" applyAlignment="1">
      <alignment horizontal="center"/>
    </xf>
    <xf numFmtId="165" fontId="0" fillId="0" borderId="39" xfId="2" applyNumberFormat="1" applyFont="1" applyBorder="1" applyAlignment="1">
      <alignment horizontal="center"/>
    </xf>
    <xf numFmtId="165" fontId="0" fillId="0" borderId="41" xfId="2" applyNumberFormat="1" applyFont="1" applyBorder="1" applyAlignment="1">
      <alignment horizontal="center"/>
    </xf>
    <xf numFmtId="0" fontId="5" fillId="0" borderId="125" xfId="0" applyFont="1" applyBorder="1" applyAlignment="1">
      <alignment horizontal="center"/>
    </xf>
    <xf numFmtId="0" fontId="5" fillId="0" borderId="126" xfId="0" applyFont="1" applyBorder="1" applyAlignment="1">
      <alignment horizontal="center"/>
    </xf>
    <xf numFmtId="0" fontId="0" fillId="18" borderId="58" xfId="0" applyFill="1" applyBorder="1" applyAlignment="1">
      <alignment horizontal="center"/>
    </xf>
    <xf numFmtId="0" fontId="0" fillId="18" borderId="14" xfId="0" applyFill="1" applyBorder="1" applyAlignment="1">
      <alignment horizontal="center"/>
    </xf>
    <xf numFmtId="0" fontId="0" fillId="18" borderId="27" xfId="0" applyFill="1" applyBorder="1" applyAlignment="1">
      <alignment horizontal="center"/>
    </xf>
    <xf numFmtId="0" fontId="0" fillId="0" borderId="58" xfId="0" applyBorder="1" applyAlignment="1">
      <alignment horizontal="center"/>
    </xf>
    <xf numFmtId="165" fontId="0" fillId="0" borderId="58" xfId="2" applyNumberFormat="1" applyFont="1" applyBorder="1" applyAlignment="1">
      <alignment horizontal="center"/>
    </xf>
    <xf numFmtId="165" fontId="0" fillId="0" borderId="14" xfId="2" applyNumberFormat="1" applyFont="1" applyBorder="1" applyAlignment="1">
      <alignment horizontal="center"/>
    </xf>
    <xf numFmtId="165" fontId="0" fillId="0" borderId="27" xfId="2" applyNumberFormat="1" applyFont="1" applyBorder="1" applyAlignment="1">
      <alignment horizontal="center"/>
    </xf>
    <xf numFmtId="0" fontId="5" fillId="20" borderId="58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/>
    </xf>
    <xf numFmtId="0" fontId="5" fillId="20" borderId="27" xfId="0" applyFont="1" applyFill="1" applyBorder="1" applyAlignment="1">
      <alignment horizontal="center"/>
    </xf>
    <xf numFmtId="0" fontId="5" fillId="20" borderId="39" xfId="0" applyFont="1" applyFill="1" applyBorder="1" applyAlignment="1">
      <alignment horizontal="center"/>
    </xf>
    <xf numFmtId="0" fontId="5" fillId="20" borderId="40" xfId="0" applyFont="1" applyFill="1" applyBorder="1" applyAlignment="1">
      <alignment horizontal="center"/>
    </xf>
    <xf numFmtId="0" fontId="5" fillId="20" borderId="11" xfId="0" applyFont="1" applyFill="1" applyBorder="1" applyAlignment="1">
      <alignment horizontal="center"/>
    </xf>
    <xf numFmtId="0" fontId="0" fillId="18" borderId="136" xfId="0" applyFill="1" applyBorder="1" applyAlignment="1">
      <alignment horizontal="center"/>
    </xf>
    <xf numFmtId="0" fontId="0" fillId="18" borderId="146" xfId="0" applyFill="1" applyBorder="1" applyAlignment="1">
      <alignment horizontal="center"/>
    </xf>
    <xf numFmtId="0" fontId="0" fillId="18" borderId="51" xfId="0" applyFill="1" applyBorder="1" applyAlignment="1">
      <alignment horizontal="center"/>
    </xf>
    <xf numFmtId="0" fontId="5" fillId="0" borderId="53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53" xfId="2" applyNumberFormat="1" applyFont="1" applyBorder="1" applyAlignment="1">
      <alignment horizontal="center" vertical="center"/>
    </xf>
    <xf numFmtId="0" fontId="5" fillId="0" borderId="48" xfId="2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60" xfId="0" applyBorder="1" applyAlignment="1">
      <alignment horizontal="center" vertical="center" wrapText="1"/>
    </xf>
    <xf numFmtId="0" fontId="0" fillId="0" borderId="71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1" fontId="0" fillId="0" borderId="29" xfId="0" applyNumberFormat="1" applyBorder="1" applyAlignment="1">
      <alignment horizontal="center" vertical="center"/>
    </xf>
    <xf numFmtId="165" fontId="0" fillId="0" borderId="57" xfId="2" applyNumberFormat="1" applyFont="1" applyBorder="1" applyAlignment="1">
      <alignment horizontal="center" vertical="center" wrapText="1"/>
    </xf>
    <xf numFmtId="165" fontId="0" fillId="0" borderId="55" xfId="2" applyNumberFormat="1" applyFont="1" applyBorder="1" applyAlignment="1">
      <alignment horizontal="center" vertical="center" wrapText="1"/>
    </xf>
    <xf numFmtId="165" fontId="0" fillId="0" borderId="56" xfId="2" applyNumberFormat="1" applyFont="1" applyBorder="1" applyAlignment="1">
      <alignment horizontal="center" vertical="center" wrapText="1"/>
    </xf>
    <xf numFmtId="0" fontId="0" fillId="0" borderId="54" xfId="0" applyBorder="1" applyAlignment="1">
      <alignment horizontal="center" vertical="center"/>
    </xf>
    <xf numFmtId="1" fontId="0" fillId="0" borderId="13" xfId="1" applyNumberFormat="1" applyFont="1" applyBorder="1" applyAlignment="1">
      <alignment horizontal="center" vertical="center"/>
    </xf>
    <xf numFmtId="1" fontId="0" fillId="0" borderId="18" xfId="1" applyNumberFormat="1" applyFont="1" applyBorder="1" applyAlignment="1">
      <alignment horizontal="center" vertical="center"/>
    </xf>
    <xf numFmtId="9" fontId="0" fillId="0" borderId="172" xfId="1" applyFont="1" applyBorder="1" applyAlignment="1">
      <alignment horizontal="center" vertical="center"/>
    </xf>
    <xf numFmtId="9" fontId="0" fillId="0" borderId="97" xfId="1" applyFont="1" applyBorder="1" applyAlignment="1">
      <alignment horizontal="center" vertical="center"/>
    </xf>
    <xf numFmtId="1" fontId="0" fillId="0" borderId="171" xfId="1" applyNumberFormat="1" applyFont="1" applyBorder="1" applyAlignment="1">
      <alignment horizontal="center" vertical="center"/>
    </xf>
    <xf numFmtId="1" fontId="0" fillId="0" borderId="98" xfId="1" applyNumberFormat="1" applyFont="1" applyBorder="1" applyAlignment="1">
      <alignment horizontal="center" vertical="center"/>
    </xf>
    <xf numFmtId="9" fontId="0" fillId="0" borderId="38" xfId="1" applyFont="1" applyBorder="1" applyAlignment="1">
      <alignment horizontal="center" vertical="center"/>
    </xf>
    <xf numFmtId="9" fontId="0" fillId="0" borderId="63" xfId="1" applyFont="1" applyBorder="1" applyAlignment="1">
      <alignment horizontal="center" vertical="center"/>
    </xf>
    <xf numFmtId="165" fontId="0" fillId="0" borderId="6" xfId="2" applyNumberFormat="1" applyFont="1" applyBorder="1" applyAlignment="1">
      <alignment horizontal="center" vertical="center"/>
    </xf>
    <xf numFmtId="165" fontId="0" fillId="0" borderId="22" xfId="2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5" fontId="5" fillId="0" borderId="136" xfId="2" applyNumberFormat="1" applyFont="1" applyBorder="1" applyAlignment="1">
      <alignment horizontal="center"/>
    </xf>
    <xf numFmtId="165" fontId="5" fillId="0" borderId="51" xfId="2" applyNumberFormat="1" applyFont="1" applyBorder="1" applyAlignment="1">
      <alignment horizontal="center"/>
    </xf>
    <xf numFmtId="0" fontId="5" fillId="0" borderId="136" xfId="0" applyFont="1" applyBorder="1" applyAlignment="1">
      <alignment horizontal="center"/>
    </xf>
    <xf numFmtId="0" fontId="5" fillId="0" borderId="51" xfId="0" applyFont="1" applyBorder="1" applyAlignment="1">
      <alignment horizontal="center"/>
    </xf>
    <xf numFmtId="9" fontId="0" fillId="0" borderId="21" xfId="1" applyFont="1" applyBorder="1" applyAlignment="1">
      <alignment horizontal="center" vertical="center"/>
    </xf>
    <xf numFmtId="9" fontId="0" fillId="0" borderId="18" xfId="1" applyFont="1" applyBorder="1" applyAlignment="1">
      <alignment horizontal="center" vertical="center"/>
    </xf>
    <xf numFmtId="1" fontId="0" fillId="0" borderId="44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9" fontId="0" fillId="0" borderId="43" xfId="1" applyFont="1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0" fillId="0" borderId="56" xfId="0" applyBorder="1" applyAlignment="1">
      <alignment horizontal="center" vertical="center" wrapText="1"/>
    </xf>
    <xf numFmtId="0" fontId="0" fillId="0" borderId="58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5" fillId="0" borderId="36" xfId="0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5" fillId="0" borderId="99" xfId="0" applyFont="1" applyBorder="1" applyAlignment="1">
      <alignment horizontal="center"/>
    </xf>
    <xf numFmtId="0" fontId="5" fillId="0" borderId="83" xfId="0" applyFont="1" applyBorder="1" applyAlignment="1">
      <alignment horizontal="center"/>
    </xf>
    <xf numFmtId="0" fontId="0" fillId="0" borderId="43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64" fontId="0" fillId="0" borderId="51" xfId="0" applyNumberFormat="1" applyBorder="1" applyAlignment="1">
      <alignment horizontal="center" vertical="center" wrapText="1"/>
    </xf>
    <xf numFmtId="164" fontId="0" fillId="0" borderId="77" xfId="0" applyNumberFormat="1" applyBorder="1" applyAlignment="1">
      <alignment horizontal="center" vertical="center" wrapText="1"/>
    </xf>
    <xf numFmtId="164" fontId="0" fillId="0" borderId="44" xfId="0" applyNumberFormat="1" applyBorder="1" applyAlignment="1">
      <alignment horizontal="center" vertical="center" wrapText="1"/>
    </xf>
    <xf numFmtId="164" fontId="0" fillId="0" borderId="3" xfId="0" applyNumberFormat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wrapText="1"/>
    </xf>
    <xf numFmtId="164" fontId="0" fillId="0" borderId="19" xfId="0" applyNumberFormat="1" applyBorder="1" applyAlignment="1">
      <alignment horizontal="center" vertical="center" wrapText="1"/>
    </xf>
    <xf numFmtId="0" fontId="0" fillId="0" borderId="113" xfId="0" applyBorder="1" applyAlignment="1">
      <alignment horizontal="center"/>
    </xf>
    <xf numFmtId="0" fontId="0" fillId="0" borderId="114" xfId="0" applyBorder="1" applyAlignment="1">
      <alignment horizontal="center"/>
    </xf>
    <xf numFmtId="0" fontId="5" fillId="0" borderId="115" xfId="0" applyFont="1" applyBorder="1" applyAlignment="1">
      <alignment horizontal="center" vertical="center"/>
    </xf>
    <xf numFmtId="0" fontId="5" fillId="0" borderId="116" xfId="0" applyFont="1" applyBorder="1" applyAlignment="1">
      <alignment horizontal="center" vertic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1" fontId="0" fillId="0" borderId="57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18" borderId="75" xfId="0" applyNumberFormat="1" applyFill="1" applyBorder="1" applyAlignment="1">
      <alignment horizontal="center" vertical="center"/>
    </xf>
    <xf numFmtId="1" fontId="0" fillId="18" borderId="68" xfId="0" applyNumberFormat="1" applyFill="1" applyBorder="1" applyAlignment="1">
      <alignment horizontal="center" vertical="center"/>
    </xf>
    <xf numFmtId="1" fontId="0" fillId="21" borderId="75" xfId="0" applyNumberFormat="1" applyFill="1" applyBorder="1" applyAlignment="1">
      <alignment horizontal="center" vertical="center"/>
    </xf>
    <xf numFmtId="1" fontId="0" fillId="21" borderId="68" xfId="0" applyNumberFormat="1" applyFill="1" applyBorder="1" applyAlignment="1">
      <alignment horizontal="center" vertical="center"/>
    </xf>
    <xf numFmtId="1" fontId="0" fillId="21" borderId="57" xfId="0" applyNumberFormat="1" applyFill="1" applyBorder="1" applyAlignment="1">
      <alignment horizontal="center" vertical="center"/>
    </xf>
    <xf numFmtId="0" fontId="0" fillId="18" borderId="5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0" fontId="0" fillId="18" borderId="48" xfId="0" applyFill="1" applyBorder="1" applyAlignment="1">
      <alignment horizontal="center"/>
    </xf>
    <xf numFmtId="0" fontId="0" fillId="21" borderId="53" xfId="0" applyFill="1" applyBorder="1" applyAlignment="1">
      <alignment horizontal="center"/>
    </xf>
    <xf numFmtId="0" fontId="0" fillId="21" borderId="12" xfId="0" applyFill="1" applyBorder="1" applyAlignment="1">
      <alignment horizontal="center"/>
    </xf>
    <xf numFmtId="0" fontId="0" fillId="21" borderId="48" xfId="0" applyFill="1" applyBorder="1" applyAlignment="1">
      <alignment horizontal="center"/>
    </xf>
    <xf numFmtId="0" fontId="0" fillId="18" borderId="45" xfId="0" applyFill="1" applyBorder="1" applyAlignment="1">
      <alignment horizontal="center"/>
    </xf>
    <xf numFmtId="0" fontId="0" fillId="18" borderId="46" xfId="0" applyFill="1" applyBorder="1" applyAlignment="1">
      <alignment horizontal="center"/>
    </xf>
    <xf numFmtId="0" fontId="0" fillId="18" borderId="47" xfId="0" applyFill="1" applyBorder="1" applyAlignment="1">
      <alignment horizontal="center"/>
    </xf>
    <xf numFmtId="0" fontId="0" fillId="21" borderId="45" xfId="0" applyFill="1" applyBorder="1" applyAlignment="1">
      <alignment horizontal="center"/>
    </xf>
    <xf numFmtId="0" fontId="0" fillId="21" borderId="46" xfId="0" applyFill="1" applyBorder="1" applyAlignment="1">
      <alignment horizontal="center"/>
    </xf>
    <xf numFmtId="0" fontId="0" fillId="21" borderId="47" xfId="0" applyFill="1" applyBorder="1" applyAlignment="1">
      <alignment horizontal="center"/>
    </xf>
    <xf numFmtId="0" fontId="5" fillId="20" borderId="66" xfId="0" applyFont="1" applyFill="1" applyBorder="1" applyAlignment="1">
      <alignment horizontal="center"/>
    </xf>
    <xf numFmtId="0" fontId="5" fillId="20" borderId="147" xfId="0" applyFont="1" applyFill="1" applyBorder="1" applyAlignment="1">
      <alignment horizontal="center"/>
    </xf>
    <xf numFmtId="0" fontId="5" fillId="20" borderId="70" xfId="0" applyFont="1" applyFill="1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62" xfId="0" applyBorder="1" applyAlignment="1">
      <alignment horizontal="center"/>
    </xf>
    <xf numFmtId="0" fontId="5" fillId="20" borderId="61" xfId="0" applyFont="1" applyFill="1" applyBorder="1" applyAlignment="1">
      <alignment horizontal="center"/>
    </xf>
    <xf numFmtId="0" fontId="5" fillId="20" borderId="168" xfId="0" applyFont="1" applyFill="1" applyBorder="1" applyAlignment="1">
      <alignment horizontal="center"/>
    </xf>
    <xf numFmtId="0" fontId="5" fillId="20" borderId="62" xfId="0" applyFont="1" applyFill="1" applyBorder="1" applyAlignment="1">
      <alignment horizontal="center"/>
    </xf>
    <xf numFmtId="0" fontId="31" fillId="13" borderId="57" xfId="0" applyFont="1" applyFill="1" applyBorder="1" applyAlignment="1">
      <alignment horizontal="center" vertical="center" textRotation="90" wrapText="1"/>
    </xf>
    <xf numFmtId="0" fontId="31" fillId="13" borderId="55" xfId="0" applyFont="1" applyFill="1" applyBorder="1" applyAlignment="1">
      <alignment horizontal="center" vertical="center" textRotation="90" wrapText="1"/>
    </xf>
    <xf numFmtId="0" fontId="31" fillId="13" borderId="56" xfId="0" applyFont="1" applyFill="1" applyBorder="1" applyAlignment="1">
      <alignment horizontal="center" vertical="center" textRotation="90" wrapText="1"/>
    </xf>
    <xf numFmtId="0" fontId="31" fillId="13" borderId="57" xfId="0" applyFont="1" applyFill="1" applyBorder="1" applyAlignment="1">
      <alignment horizontal="center" vertical="center" textRotation="180" wrapText="1"/>
    </xf>
    <xf numFmtId="0" fontId="31" fillId="13" borderId="55" xfId="0" applyFont="1" applyFill="1" applyBorder="1" applyAlignment="1">
      <alignment horizontal="center" vertical="center" textRotation="180" wrapText="1"/>
    </xf>
    <xf numFmtId="0" fontId="31" fillId="13" borderId="56" xfId="0" applyFont="1" applyFill="1" applyBorder="1" applyAlignment="1">
      <alignment horizontal="center" vertical="center" textRotation="180" wrapText="1"/>
    </xf>
    <xf numFmtId="165" fontId="0" fillId="0" borderId="23" xfId="2" applyNumberFormat="1" applyFont="1" applyBorder="1" applyAlignment="1">
      <alignment horizontal="center"/>
    </xf>
    <xf numFmtId="165" fontId="0" fillId="0" borderId="24" xfId="2" applyNumberFormat="1" applyFont="1" applyBorder="1" applyAlignment="1">
      <alignment horizontal="center"/>
    </xf>
    <xf numFmtId="165" fontId="0" fillId="0" borderId="25" xfId="2" applyNumberFormat="1" applyFont="1" applyBorder="1" applyAlignment="1">
      <alignment horizontal="center"/>
    </xf>
    <xf numFmtId="1" fontId="0" fillId="0" borderId="14" xfId="0" applyNumberFormat="1" applyBorder="1" applyAlignment="1">
      <alignment horizontal="center" vertical="center"/>
    </xf>
    <xf numFmtId="1" fontId="0" fillId="0" borderId="59" xfId="0" applyNumberFormat="1" applyBorder="1" applyAlignment="1">
      <alignment horizontal="center" vertical="center"/>
    </xf>
    <xf numFmtId="1" fontId="0" fillId="0" borderId="58" xfId="0" applyNumberFormat="1" applyBorder="1" applyAlignment="1">
      <alignment horizontal="center" vertical="center"/>
    </xf>
    <xf numFmtId="165" fontId="0" fillId="9" borderId="39" xfId="2" applyNumberFormat="1" applyFont="1" applyFill="1" applyBorder="1" applyAlignment="1">
      <alignment horizontal="center"/>
    </xf>
    <xf numFmtId="165" fontId="0" fillId="9" borderId="41" xfId="2" applyNumberFormat="1" applyFont="1" applyFill="1" applyBorder="1" applyAlignment="1">
      <alignment horizontal="center"/>
    </xf>
    <xf numFmtId="165" fontId="0" fillId="18" borderId="36" xfId="2" applyNumberFormat="1" applyFont="1" applyFill="1" applyBorder="1" applyAlignment="1">
      <alignment horizontal="center"/>
    </xf>
    <xf numFmtId="165" fontId="0" fillId="18" borderId="37" xfId="2" applyNumberFormat="1" applyFont="1" applyFill="1" applyBorder="1" applyAlignment="1">
      <alignment horizontal="center"/>
    </xf>
    <xf numFmtId="165" fontId="0" fillId="18" borderId="38" xfId="2" applyNumberFormat="1" applyFont="1" applyFill="1" applyBorder="1" applyAlignment="1">
      <alignment horizontal="center"/>
    </xf>
    <xf numFmtId="165" fontId="5" fillId="0" borderId="31" xfId="2" applyNumberFormat="1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165" fontId="0" fillId="0" borderId="59" xfId="2" applyNumberFormat="1" applyFont="1" applyBorder="1" applyAlignment="1">
      <alignment horizontal="center"/>
    </xf>
    <xf numFmtId="165" fontId="0" fillId="18" borderId="58" xfId="2" applyNumberFormat="1" applyFont="1" applyFill="1" applyBorder="1" applyAlignment="1">
      <alignment horizontal="center"/>
    </xf>
    <xf numFmtId="165" fontId="0" fillId="18" borderId="14" xfId="2" applyNumberFormat="1" applyFont="1" applyFill="1" applyBorder="1" applyAlignment="1">
      <alignment horizontal="center"/>
    </xf>
    <xf numFmtId="165" fontId="0" fillId="18" borderId="59" xfId="2" applyNumberFormat="1" applyFont="1" applyFill="1" applyBorder="1" applyAlignment="1">
      <alignment horizontal="center"/>
    </xf>
    <xf numFmtId="165" fontId="5" fillId="20" borderId="58" xfId="2" applyNumberFormat="1" applyFont="1" applyFill="1" applyBorder="1" applyAlignment="1">
      <alignment horizontal="center"/>
    </xf>
    <xf numFmtId="165" fontId="5" fillId="20" borderId="14" xfId="2" applyNumberFormat="1" applyFont="1" applyFill="1" applyBorder="1" applyAlignment="1">
      <alignment horizontal="center"/>
    </xf>
    <xf numFmtId="165" fontId="5" fillId="20" borderId="59" xfId="2" applyNumberFormat="1" applyFont="1" applyFill="1" applyBorder="1" applyAlignment="1">
      <alignment horizontal="center"/>
    </xf>
    <xf numFmtId="165" fontId="5" fillId="20" borderId="39" xfId="2" applyNumberFormat="1" applyFont="1" applyFill="1" applyBorder="1" applyAlignment="1">
      <alignment horizontal="center"/>
    </xf>
    <xf numFmtId="165" fontId="5" fillId="20" borderId="40" xfId="2" applyNumberFormat="1" applyFont="1" applyFill="1" applyBorder="1" applyAlignment="1">
      <alignment horizontal="center"/>
    </xf>
    <xf numFmtId="165" fontId="5" fillId="20" borderId="41" xfId="2" applyNumberFormat="1" applyFont="1" applyFill="1" applyBorder="1" applyAlignment="1">
      <alignment horizontal="center"/>
    </xf>
    <xf numFmtId="165" fontId="0" fillId="18" borderId="10" xfId="2" applyNumberFormat="1" applyFont="1" applyFill="1" applyBorder="1" applyAlignment="1">
      <alignment horizontal="center"/>
    </xf>
    <xf numFmtId="165" fontId="0" fillId="18" borderId="27" xfId="2" applyNumberFormat="1" applyFont="1" applyFill="1" applyBorder="1" applyAlignment="1">
      <alignment horizontal="center"/>
    </xf>
    <xf numFmtId="165" fontId="5" fillId="20" borderId="27" xfId="2" applyNumberFormat="1" applyFont="1" applyFill="1" applyBorder="1" applyAlignment="1">
      <alignment horizontal="center"/>
    </xf>
    <xf numFmtId="165" fontId="5" fillId="20" borderId="11" xfId="2" applyNumberFormat="1" applyFont="1" applyFill="1" applyBorder="1" applyAlignment="1">
      <alignment horizontal="center"/>
    </xf>
    <xf numFmtId="165" fontId="0" fillId="0" borderId="65" xfId="2" applyNumberFormat="1" applyFont="1" applyBorder="1" applyAlignment="1">
      <alignment horizontal="center"/>
    </xf>
    <xf numFmtId="165" fontId="0" fillId="0" borderId="28" xfId="2" applyNumberFormat="1" applyFont="1" applyBorder="1" applyAlignment="1">
      <alignment horizontal="center"/>
    </xf>
    <xf numFmtId="165" fontId="0" fillId="0" borderId="64" xfId="2" applyNumberFormat="1" applyFont="1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119" xfId="0" applyBorder="1" applyAlignment="1">
      <alignment horizontal="center"/>
    </xf>
    <xf numFmtId="0" fontId="0" fillId="0" borderId="117" xfId="0" applyBorder="1" applyAlignment="1">
      <alignment horizontal="center"/>
    </xf>
    <xf numFmtId="0" fontId="30" fillId="0" borderId="6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166" fontId="0" fillId="0" borderId="128" xfId="1" applyNumberFormat="1" applyFont="1" applyBorder="1" applyAlignment="1">
      <alignment horizontal="center" vertical="center"/>
    </xf>
    <xf numFmtId="166" fontId="0" fillId="0" borderId="129" xfId="1" applyNumberFormat="1" applyFont="1" applyBorder="1" applyAlignment="1">
      <alignment horizontal="center" vertical="center"/>
    </xf>
    <xf numFmtId="0" fontId="0" fillId="0" borderId="125" xfId="0" applyBorder="1" applyAlignment="1">
      <alignment horizontal="center"/>
    </xf>
    <xf numFmtId="0" fontId="0" fillId="0" borderId="122" xfId="0" applyBorder="1" applyAlignment="1">
      <alignment horizontal="center"/>
    </xf>
    <xf numFmtId="0" fontId="0" fillId="0" borderId="126" xfId="0" applyBorder="1" applyAlignment="1">
      <alignment horizontal="center"/>
    </xf>
    <xf numFmtId="169" fontId="0" fillId="0" borderId="14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5" fontId="0" fillId="0" borderId="14" xfId="0" applyNumberFormat="1" applyBorder="1" applyAlignment="1">
      <alignment horizontal="center" vertical="center"/>
    </xf>
    <xf numFmtId="166" fontId="0" fillId="0" borderId="133" xfId="1" applyNumberFormat="1" applyFont="1" applyBorder="1" applyAlignment="1">
      <alignment horizontal="center" vertical="center"/>
    </xf>
    <xf numFmtId="166" fontId="0" fillId="0" borderId="134" xfId="1" applyNumberFormat="1" applyFont="1" applyBorder="1" applyAlignment="1">
      <alignment horizontal="center" vertical="center"/>
    </xf>
    <xf numFmtId="1" fontId="26" fillId="0" borderId="0" xfId="0" applyNumberFormat="1" applyFont="1" applyAlignment="1">
      <alignment horizontal="center" vertical="center"/>
    </xf>
    <xf numFmtId="1" fontId="26" fillId="0" borderId="15" xfId="0" applyNumberFormat="1" applyFont="1" applyBorder="1" applyAlignment="1">
      <alignment horizontal="center" vertical="center"/>
    </xf>
    <xf numFmtId="0" fontId="0" fillId="0" borderId="136" xfId="0" applyBorder="1" applyAlignment="1">
      <alignment horizontal="center"/>
    </xf>
    <xf numFmtId="0" fontId="0" fillId="0" borderId="51" xfId="0" applyBorder="1" applyAlignment="1">
      <alignment horizontal="center"/>
    </xf>
    <xf numFmtId="0" fontId="4" fillId="2" borderId="16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  <xf numFmtId="0" fontId="0" fillId="57" borderId="16" xfId="0" applyFill="1" applyBorder="1" applyAlignment="1">
      <alignment horizontal="center" vertical="center"/>
    </xf>
    <xf numFmtId="0" fontId="0" fillId="57" borderId="17" xfId="0" applyFill="1" applyBorder="1" applyAlignment="1">
      <alignment horizontal="center" vertical="center"/>
    </xf>
    <xf numFmtId="0" fontId="0" fillId="57" borderId="18" xfId="0" applyFill="1" applyBorder="1" applyAlignment="1">
      <alignment horizontal="center" vertical="center"/>
    </xf>
    <xf numFmtId="0" fontId="0" fillId="57" borderId="8" xfId="0" applyFill="1" applyBorder="1" applyAlignment="1">
      <alignment horizontal="center" vertical="center"/>
    </xf>
    <xf numFmtId="0" fontId="0" fillId="57" borderId="0" xfId="0" applyFill="1" applyAlignment="1">
      <alignment horizontal="center" vertical="center"/>
    </xf>
    <xf numFmtId="0" fontId="0" fillId="57" borderId="15" xfId="0" applyFill="1" applyBorder="1" applyAlignment="1">
      <alignment horizontal="center" vertical="center"/>
    </xf>
    <xf numFmtId="0" fontId="0" fillId="57" borderId="19" xfId="0" applyFill="1" applyBorder="1" applyAlignment="1">
      <alignment horizontal="center" vertical="center"/>
    </xf>
    <xf numFmtId="0" fontId="0" fillId="57" borderId="20" xfId="0" applyFill="1" applyBorder="1" applyAlignment="1">
      <alignment horizontal="center" vertical="center"/>
    </xf>
    <xf numFmtId="0" fontId="0" fillId="57" borderId="21" xfId="0" applyFill="1" applyBorder="1" applyAlignment="1">
      <alignment horizontal="center" vertical="center"/>
    </xf>
    <xf numFmtId="0" fontId="0" fillId="57" borderId="16" xfId="0" applyFill="1" applyBorder="1" applyAlignment="1">
      <alignment horizontal="center"/>
    </xf>
    <xf numFmtId="0" fontId="0" fillId="57" borderId="17" xfId="0" applyFill="1" applyBorder="1" applyAlignment="1">
      <alignment horizontal="center"/>
    </xf>
    <xf numFmtId="0" fontId="0" fillId="57" borderId="18" xfId="0" applyFill="1" applyBorder="1" applyAlignment="1">
      <alignment horizontal="center"/>
    </xf>
    <xf numFmtId="0" fontId="0" fillId="57" borderId="8" xfId="0" applyFill="1" applyBorder="1" applyAlignment="1">
      <alignment horizontal="center"/>
    </xf>
    <xf numFmtId="0" fontId="0" fillId="57" borderId="0" xfId="0" applyFill="1" applyAlignment="1">
      <alignment horizontal="center"/>
    </xf>
    <xf numFmtId="0" fontId="0" fillId="57" borderId="15" xfId="0" applyFill="1" applyBorder="1" applyAlignment="1">
      <alignment horizontal="center"/>
    </xf>
    <xf numFmtId="0" fontId="0" fillId="57" borderId="19" xfId="0" applyFill="1" applyBorder="1" applyAlignment="1">
      <alignment horizontal="center"/>
    </xf>
    <xf numFmtId="0" fontId="0" fillId="57" borderId="20" xfId="0" applyFill="1" applyBorder="1" applyAlignment="1">
      <alignment horizontal="center"/>
    </xf>
    <xf numFmtId="0" fontId="0" fillId="57" borderId="21" xfId="0" applyFill="1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8" fillId="24" borderId="16" xfId="0" applyFont="1" applyFill="1" applyBorder="1" applyAlignment="1">
      <alignment horizontal="center" vertical="center"/>
    </xf>
    <xf numFmtId="0" fontId="15" fillId="24" borderId="17" xfId="0" applyFont="1" applyFill="1" applyBorder="1" applyAlignment="1">
      <alignment horizontal="center" vertical="center"/>
    </xf>
    <xf numFmtId="0" fontId="15" fillId="24" borderId="18" xfId="0" applyFont="1" applyFill="1" applyBorder="1" applyAlignment="1">
      <alignment horizontal="center" vertical="center"/>
    </xf>
    <xf numFmtId="0" fontId="15" fillId="24" borderId="19" xfId="0" applyFont="1" applyFill="1" applyBorder="1" applyAlignment="1">
      <alignment horizontal="center" vertical="center"/>
    </xf>
    <xf numFmtId="0" fontId="15" fillId="24" borderId="20" xfId="0" applyFont="1" applyFill="1" applyBorder="1" applyAlignment="1">
      <alignment horizontal="center" vertical="center"/>
    </xf>
    <xf numFmtId="0" fontId="15" fillId="24" borderId="21" xfId="0" applyFont="1" applyFill="1" applyBorder="1" applyAlignment="1">
      <alignment horizontal="center" vertical="center"/>
    </xf>
    <xf numFmtId="0" fontId="18" fillId="24" borderId="17" xfId="0" applyFont="1" applyFill="1" applyBorder="1" applyAlignment="1">
      <alignment horizontal="center" vertical="center"/>
    </xf>
    <xf numFmtId="0" fontId="18" fillId="24" borderId="19" xfId="0" applyFont="1" applyFill="1" applyBorder="1" applyAlignment="1">
      <alignment horizontal="center" vertical="center"/>
    </xf>
    <xf numFmtId="0" fontId="18" fillId="24" borderId="20" xfId="0" applyFont="1" applyFill="1" applyBorder="1" applyAlignment="1">
      <alignment horizontal="center" vertical="center"/>
    </xf>
    <xf numFmtId="0" fontId="18" fillId="24" borderId="18" xfId="0" applyFont="1" applyFill="1" applyBorder="1" applyAlignment="1">
      <alignment horizontal="center" vertical="center"/>
    </xf>
    <xf numFmtId="0" fontId="18" fillId="24" borderId="21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170" fontId="16" fillId="0" borderId="39" xfId="2" applyNumberFormat="1" applyFont="1" applyBorder="1" applyAlignment="1">
      <alignment horizontal="center" vertical="center"/>
    </xf>
    <xf numFmtId="170" fontId="16" fillId="0" borderId="40" xfId="2" applyNumberFormat="1" applyFont="1" applyBorder="1" applyAlignment="1">
      <alignment horizontal="center" vertical="center"/>
    </xf>
    <xf numFmtId="170" fontId="16" fillId="0" borderId="41" xfId="2" applyNumberFormat="1" applyFont="1" applyBorder="1" applyAlignment="1">
      <alignment horizontal="center" vertical="center"/>
    </xf>
    <xf numFmtId="10" fontId="16" fillId="0" borderId="39" xfId="1" applyNumberFormat="1" applyFont="1" applyBorder="1" applyAlignment="1">
      <alignment horizontal="center" vertical="center"/>
    </xf>
    <xf numFmtId="10" fontId="16" fillId="0" borderId="40" xfId="1" applyNumberFormat="1" applyFont="1" applyBorder="1" applyAlignment="1">
      <alignment horizontal="center" vertical="center"/>
    </xf>
    <xf numFmtId="10" fontId="16" fillId="0" borderId="41" xfId="1" applyNumberFormat="1" applyFont="1" applyBorder="1" applyAlignment="1">
      <alignment horizontal="center" vertical="center"/>
    </xf>
    <xf numFmtId="167" fontId="16" fillId="0" borderId="39" xfId="4" applyNumberFormat="1" applyFont="1" applyBorder="1" applyAlignment="1">
      <alignment horizontal="center" vertical="center"/>
    </xf>
    <xf numFmtId="167" fontId="16" fillId="0" borderId="40" xfId="4" applyNumberFormat="1" applyFont="1" applyBorder="1" applyAlignment="1">
      <alignment horizontal="center" vertical="center"/>
    </xf>
    <xf numFmtId="167" fontId="16" fillId="0" borderId="41" xfId="4" applyNumberFormat="1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170" fontId="16" fillId="0" borderId="45" xfId="2" applyNumberFormat="1" applyFont="1" applyBorder="1" applyAlignment="1">
      <alignment horizontal="center" vertical="center"/>
    </xf>
    <xf numFmtId="170" fontId="16" fillId="0" borderId="46" xfId="2" applyNumberFormat="1" applyFont="1" applyBorder="1" applyAlignment="1">
      <alignment horizontal="center" vertical="center"/>
    </xf>
    <xf numFmtId="170" fontId="16" fillId="0" borderId="47" xfId="2" applyNumberFormat="1" applyFont="1" applyBorder="1" applyAlignment="1">
      <alignment horizontal="center" vertical="center"/>
    </xf>
    <xf numFmtId="166" fontId="16" fillId="0" borderId="39" xfId="1" applyNumberFormat="1" applyFont="1" applyBorder="1" applyAlignment="1">
      <alignment horizontal="center" vertical="center"/>
    </xf>
    <xf numFmtId="166" fontId="16" fillId="0" borderId="40" xfId="1" applyNumberFormat="1" applyFont="1" applyBorder="1" applyAlignment="1">
      <alignment horizontal="center" vertical="center"/>
    </xf>
    <xf numFmtId="166" fontId="16" fillId="0" borderId="41" xfId="1" applyNumberFormat="1" applyFont="1" applyBorder="1" applyAlignment="1">
      <alignment horizontal="center" vertical="center"/>
    </xf>
    <xf numFmtId="171" fontId="16" fillId="0" borderId="39" xfId="4" applyNumberFormat="1" applyFont="1" applyBorder="1" applyAlignment="1">
      <alignment horizontal="center" vertical="center"/>
    </xf>
    <xf numFmtId="171" fontId="16" fillId="0" borderId="40" xfId="4" applyNumberFormat="1" applyFont="1" applyBorder="1" applyAlignment="1">
      <alignment horizontal="center" vertical="center"/>
    </xf>
    <xf numFmtId="171" fontId="16" fillId="0" borderId="41" xfId="4" applyNumberFormat="1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 textRotation="90"/>
    </xf>
    <xf numFmtId="0" fontId="14" fillId="0" borderId="32" xfId="0" applyFont="1" applyBorder="1" applyAlignment="1">
      <alignment horizontal="center" vertical="center" textRotation="90"/>
    </xf>
    <xf numFmtId="0" fontId="14" fillId="0" borderId="33" xfId="0" applyFont="1" applyBorder="1" applyAlignment="1">
      <alignment horizontal="center" vertical="center" textRotation="90"/>
    </xf>
    <xf numFmtId="0" fontId="14" fillId="0" borderId="1" xfId="0" applyFont="1" applyBorder="1" applyAlignment="1">
      <alignment horizontal="center" vertical="center" textRotation="90"/>
    </xf>
    <xf numFmtId="0" fontId="14" fillId="0" borderId="34" xfId="0" applyFont="1" applyBorder="1" applyAlignment="1">
      <alignment horizontal="center" vertical="center" textRotation="90"/>
    </xf>
    <xf numFmtId="0" fontId="14" fillId="0" borderId="35" xfId="0" applyFont="1" applyBorder="1" applyAlignment="1">
      <alignment horizontal="center" vertical="center" textRotation="90"/>
    </xf>
    <xf numFmtId="0" fontId="14" fillId="0" borderId="31" xfId="0" applyFont="1" applyBorder="1" applyAlignment="1">
      <alignment horizontal="center" vertical="center" textRotation="90" wrapText="1"/>
    </xf>
    <xf numFmtId="0" fontId="14" fillId="0" borderId="32" xfId="0" applyFont="1" applyBorder="1" applyAlignment="1">
      <alignment horizontal="center" vertical="center" textRotation="90" wrapText="1"/>
    </xf>
    <xf numFmtId="0" fontId="14" fillId="0" borderId="33" xfId="0" applyFont="1" applyBorder="1" applyAlignment="1">
      <alignment horizontal="center" vertical="center" textRotation="90" wrapText="1"/>
    </xf>
    <xf numFmtId="0" fontId="14" fillId="0" borderId="1" xfId="0" applyFont="1" applyBorder="1" applyAlignment="1">
      <alignment horizontal="center" vertical="center" textRotation="90" wrapText="1"/>
    </xf>
    <xf numFmtId="0" fontId="14" fillId="0" borderId="34" xfId="0" applyFont="1" applyBorder="1" applyAlignment="1">
      <alignment horizontal="center" vertical="center" textRotation="90" wrapText="1"/>
    </xf>
    <xf numFmtId="0" fontId="14" fillId="0" borderId="35" xfId="0" applyFont="1" applyBorder="1" applyAlignment="1">
      <alignment horizontal="center" vertical="center" textRotation="90" wrapText="1"/>
    </xf>
  </cellXfs>
  <cellStyles count="63">
    <cellStyle name="20% - Accent1" xfId="23" builtinId="30" customBuiltin="1"/>
    <cellStyle name="20% - Accent2" xfId="26" builtinId="34" customBuiltin="1"/>
    <cellStyle name="20% - Accent3" xfId="29" builtinId="38" customBuiltin="1"/>
    <cellStyle name="20% - Accent4" xfId="32" builtinId="42" customBuiltin="1"/>
    <cellStyle name="20% - Accent5" xfId="35" builtinId="46" customBuiltin="1"/>
    <cellStyle name="20% - Accent6" xfId="38" builtinId="50" customBuiltin="1"/>
    <cellStyle name="40% - Accent1" xfId="24" builtinId="31" customBuiltin="1"/>
    <cellStyle name="40% - Accent2" xfId="27" builtinId="35" customBuiltin="1"/>
    <cellStyle name="40% - Accent3" xfId="30" builtinId="39" customBuiltin="1"/>
    <cellStyle name="40% - Accent4" xfId="33" builtinId="43" customBuiltin="1"/>
    <cellStyle name="40% - Accent5" xfId="36" builtinId="47" customBuiltin="1"/>
    <cellStyle name="40% - Accent6" xfId="39" builtinId="51" customBuiltin="1"/>
    <cellStyle name="60% - Accent1 2" xfId="55" xr:uid="{5DC3D830-7953-4787-B792-BAA56064B3BF}"/>
    <cellStyle name="60% - Accent2 2" xfId="56" xr:uid="{6691518A-86F5-4B01-B35A-D06ABD43A520}"/>
    <cellStyle name="60% - Accent3 2" xfId="57" xr:uid="{2480C132-8DFB-4921-995F-A0A41B236717}"/>
    <cellStyle name="60% - Accent4 2" xfId="58" xr:uid="{0E4956D3-FD40-4CF9-AAEE-AA713CC92EA0}"/>
    <cellStyle name="60% - Accent5 2" xfId="59" xr:uid="{5009741F-03F0-4532-8215-EC47CBAFE916}"/>
    <cellStyle name="60% - Accent6 2" xfId="60" xr:uid="{301FFFEA-916D-4AF9-9A6F-5D9271F63F6A}"/>
    <cellStyle name="Accent1" xfId="22" builtinId="29" customBuiltin="1"/>
    <cellStyle name="Accent2" xfId="25" builtinId="33" customBuiltin="1"/>
    <cellStyle name="Accent3" xfId="28" builtinId="37" customBuiltin="1"/>
    <cellStyle name="Accent4" xfId="31" builtinId="41" customBuiltin="1"/>
    <cellStyle name="Accent5" xfId="34" builtinId="45" customBuiltin="1"/>
    <cellStyle name="Accent6" xfId="37" builtinId="49" customBuiltin="1"/>
    <cellStyle name="Bad" xfId="3" builtinId="27" customBuiltin="1"/>
    <cellStyle name="Calculation" xfId="15" builtinId="22" customBuiltin="1"/>
    <cellStyle name="Check Cell" xfId="17" builtinId="23" customBuiltin="1"/>
    <cellStyle name="Comma" xfId="2" builtinId="3"/>
    <cellStyle name="Comma 2" xfId="46" xr:uid="{27ECEBA9-63C9-4948-B758-575B7C043600}"/>
    <cellStyle name="Comma 3" xfId="41" xr:uid="{1736C95F-1485-4F0B-9F89-32412E9A22F9}"/>
    <cellStyle name="Comma 3 2" xfId="44" xr:uid="{53A406A2-D1EE-484B-ADD9-D41C48B92198}"/>
    <cellStyle name="Comma 4" xfId="43" xr:uid="{F3FC57DF-E055-41F1-92CD-CE2A6DD29E0E}"/>
    <cellStyle name="Currency" xfId="4" builtinId="4"/>
    <cellStyle name="Currency 2" xfId="45" xr:uid="{58E19134-8336-4873-95C1-0CAE660BA37C}"/>
    <cellStyle name="Currency 3" xfId="42" xr:uid="{28986154-64C4-442C-BCCB-202F87D2E38D}"/>
    <cellStyle name="Explanatory Text" xfId="20" builtinId="53" customBuiltin="1"/>
    <cellStyle name="Good" xfId="7" builtinId="26" customBuiltin="1"/>
    <cellStyle name="Heading 1" xfId="10" builtinId="16" customBuiltin="1"/>
    <cellStyle name="Heading 2" xfId="11" builtinId="17" customBuiltin="1"/>
    <cellStyle name="Heading 3" xfId="12" builtinId="18" customBuiltin="1"/>
    <cellStyle name="Heading 4" xfId="13" builtinId="19" customBuiltin="1"/>
    <cellStyle name="Hyperlink" xfId="9" builtinId="8"/>
    <cellStyle name="Input" xfId="5" builtinId="20" customBuiltin="1"/>
    <cellStyle name="Linked Cell" xfId="16" builtinId="24" customBuiltin="1"/>
    <cellStyle name="Neutral" xfId="8" builtinId="28"/>
    <cellStyle name="Neutral 2" xfId="54" xr:uid="{EADA051F-A386-4490-AFCD-113A63919126}"/>
    <cellStyle name="Normal" xfId="0" builtinId="0"/>
    <cellStyle name="Normal 2" xfId="6" xr:uid="{A4996E0B-8263-4A5D-8526-540BBA22E484}"/>
    <cellStyle name="Normal 2 2" xfId="40" xr:uid="{63DAEAF2-6A2C-4FF0-920F-2E6EEB62106C}"/>
    <cellStyle name="Normal 2 3" xfId="61" xr:uid="{47F1568C-B0CE-4DC6-BAC8-99BD5F8EF4B9}"/>
    <cellStyle name="Normal 2 4" xfId="50" xr:uid="{319804EB-D0BD-4134-BEE8-CE1F20F1CA25}"/>
    <cellStyle name="Normal 3" xfId="47" xr:uid="{54E6FC91-FF3E-4892-8F50-8E838B449445}"/>
    <cellStyle name="Normal 3 2" xfId="52" xr:uid="{A02B2754-91A8-4AE7-B42A-DC219079E149}"/>
    <cellStyle name="Normal 4" xfId="49" xr:uid="{FF069B06-584C-4064-B897-81BE16B9D935}"/>
    <cellStyle name="Normal 4 2" xfId="62" xr:uid="{B2370A85-27AF-4FE6-8C67-01EA460F8D58}"/>
    <cellStyle name="Note" xfId="19" builtinId="10" customBuiltin="1"/>
    <cellStyle name="Output" xfId="14" builtinId="21" customBuiltin="1"/>
    <cellStyle name="Percent" xfId="1" builtinId="5"/>
    <cellStyle name="Percent 2" xfId="51" xr:uid="{E2F5B0C4-EAEF-4CCD-A4AF-409421A1032F}"/>
    <cellStyle name="Percent 3" xfId="48" xr:uid="{7AD11093-D738-4F8E-B34C-BC613AF27CEC}"/>
    <cellStyle name="Title 2" xfId="53" xr:uid="{8D782847-F725-4A18-8B49-EF2491ACDE7A}"/>
    <cellStyle name="Total" xfId="21" builtinId="25" customBuiltin="1"/>
    <cellStyle name="Warning Text" xfId="18" builtinId="11" customBuiltin="1"/>
  </cellStyles>
  <dxfs count="1491">
    <dxf>
      <numFmt numFmtId="169" formatCode="_-&quot;$&quot;* #,##0_-;\-&quot;$&quot;* #,##0_-;_-&quot;$&quot;* &quot;-&quot;??_-;_-@_-"/>
    </dxf>
    <dxf>
      <numFmt numFmtId="169" formatCode="_-&quot;$&quot;* #,##0_-;\-&quot;$&quot;* #,##0_-;_-&quot;$&quot;* &quot;-&quot;??_-;_-@_-"/>
    </dxf>
    <dxf>
      <numFmt numFmtId="169" formatCode="_-&quot;$&quot;* #,##0_-;\-&quot;$&quot;* #,##0_-;_-&quot;$&quot;* &quot;-&quot;??_-;_-@_-"/>
    </dxf>
    <dxf>
      <numFmt numFmtId="169" formatCode="_-&quot;$&quot;* #,##0_-;\-&quot;$&quot;* #,##0_-;_-&quot;$&quot;* &quot;-&quot;??_-;_-@_-"/>
    </dxf>
    <dxf>
      <numFmt numFmtId="169" formatCode="_-&quot;$&quot;* #,##0_-;\-&quot;$&quot;* #,##0_-;_-&quot;$&quot;* &quot;-&quot;??_-;_-@_-"/>
    </dxf>
    <dxf>
      <numFmt numFmtId="169" formatCode="_-&quot;$&quot;* #,##0_-;\-&quot;$&quot;* #,##0_-;_-&quot;$&quot;* &quot;-&quot;??_-;_-@_-"/>
    </dxf>
    <dxf>
      <numFmt numFmtId="169" formatCode="_-&quot;$&quot;* #,##0_-;\-&quot;$&quot;* #,##0_-;_-&quot;$&quot;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9" formatCode="_-&quot;$&quot;* #,##0_-;\-&quot;$&quot;* #,##0_-;_-&quot;$&quot;* &quot;-&quot;??_-;_-@_-"/>
    </dxf>
    <dxf>
      <numFmt numFmtId="169" formatCode="_-&quot;$&quot;* #,##0_-;\-&quot;$&quot;* #,##0_-;_-&quot;$&quot;* &quot;-&quot;??_-;_-@_-"/>
    </dxf>
    <dxf>
      <numFmt numFmtId="169" formatCode="_-&quot;$&quot;* #,##0_-;\-&quot;$&quot;* #,##0_-;_-&quot;$&quot;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9" formatCode="_-&quot;$&quot;* #,##0_-;\-&quot;$&quot;* #,##0_-;_-&quot;$&quot;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9" formatCode="_-&quot;$&quot;* #,##0_-;\-&quot;$&quot;* #,##0_-;_-&quot;$&quot;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9" formatCode="_-&quot;$&quot;* #,##0_-;\-&quot;$&quot;* #,##0_-;_-&quot;$&quot;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9" formatCode="_-&quot;$&quot;* #,##0_-;\-&quot;$&quot;* #,##0_-;_-&quot;$&quot;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9" formatCode="_-&quot;$&quot;* #,##0_-;\-&quot;$&quot;* #,##0_-;_-&quot;$&quot;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9" formatCode="_-&quot;$&quot;* #,##0_-;\-&quot;$&quot;* #,##0_-;_-&quot;$&quot;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9" formatCode="_-&quot;$&quot;* #,##0_-;\-&quot;$&quot;* #,##0_-;_-&quot;$&quot;* &quot;-&quot;??_-;_-@_-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7F30E1D9-4AB1-4681-B990-4A0FCAA64538}"/>
  </tableStyles>
  <colors>
    <mruColors>
      <color rgb="FFFF9900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microsoft.com/office/2017/10/relationships/person" Target="persons/person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3.xml"/><Relationship Id="rId38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SEC Bench Loadings (excl 986)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 Benches Data'!$EM$3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Data'!$EM$5:$EM$52</c:f>
              <c:numCache>
                <c:formatCode>0</c:formatCode>
                <c:ptCount val="48"/>
                <c:pt idx="0">
                  <c:v>89.5</c:v>
                </c:pt>
                <c:pt idx="1">
                  <c:v>106.25</c:v>
                </c:pt>
                <c:pt idx="2">
                  <c:v>115.5</c:v>
                </c:pt>
                <c:pt idx="3">
                  <c:v>112.125</c:v>
                </c:pt>
                <c:pt idx="4">
                  <c:v>108.875</c:v>
                </c:pt>
                <c:pt idx="5">
                  <c:v>106.75</c:v>
                </c:pt>
                <c:pt idx="6">
                  <c:v>92</c:v>
                </c:pt>
                <c:pt idx="7">
                  <c:v>92</c:v>
                </c:pt>
                <c:pt idx="8">
                  <c:v>85.625</c:v>
                </c:pt>
                <c:pt idx="9">
                  <c:v>68.25</c:v>
                </c:pt>
                <c:pt idx="10">
                  <c:v>48.625</c:v>
                </c:pt>
                <c:pt idx="11">
                  <c:v>45.75</c:v>
                </c:pt>
                <c:pt idx="12">
                  <c:v>41.25</c:v>
                </c:pt>
                <c:pt idx="13">
                  <c:v>40.125</c:v>
                </c:pt>
                <c:pt idx="14">
                  <c:v>40.875</c:v>
                </c:pt>
                <c:pt idx="15">
                  <c:v>37.75</c:v>
                </c:pt>
                <c:pt idx="16">
                  <c:v>40.75</c:v>
                </c:pt>
                <c:pt idx="17">
                  <c:v>46.375</c:v>
                </c:pt>
                <c:pt idx="18">
                  <c:v>45.75</c:v>
                </c:pt>
                <c:pt idx="19">
                  <c:v>40.125</c:v>
                </c:pt>
                <c:pt idx="20">
                  <c:v>41.5</c:v>
                </c:pt>
                <c:pt idx="21" formatCode="General">
                  <c:v>42.25</c:v>
                </c:pt>
                <c:pt idx="22">
                  <c:v>42.25</c:v>
                </c:pt>
                <c:pt idx="23">
                  <c:v>49.25</c:v>
                </c:pt>
                <c:pt idx="24">
                  <c:v>44.125</c:v>
                </c:pt>
                <c:pt idx="25">
                  <c:v>50.625</c:v>
                </c:pt>
                <c:pt idx="26">
                  <c:v>47.25</c:v>
                </c:pt>
                <c:pt idx="27">
                  <c:v>39.75</c:v>
                </c:pt>
                <c:pt idx="28">
                  <c:v>38.875</c:v>
                </c:pt>
                <c:pt idx="29">
                  <c:v>43.625</c:v>
                </c:pt>
                <c:pt idx="30">
                  <c:v>52.375</c:v>
                </c:pt>
                <c:pt idx="31">
                  <c:v>54.625</c:v>
                </c:pt>
                <c:pt idx="32">
                  <c:v>42</c:v>
                </c:pt>
                <c:pt idx="33">
                  <c:v>33.625</c:v>
                </c:pt>
                <c:pt idx="34">
                  <c:v>37</c:v>
                </c:pt>
                <c:pt idx="35">
                  <c:v>38.666666666666664</c:v>
                </c:pt>
                <c:pt idx="36">
                  <c:v>32.777777777777779</c:v>
                </c:pt>
                <c:pt idx="37">
                  <c:v>29.888888888888889</c:v>
                </c:pt>
                <c:pt idx="38">
                  <c:v>29.611111111111111</c:v>
                </c:pt>
                <c:pt idx="39">
                  <c:v>28.111111111111111</c:v>
                </c:pt>
                <c:pt idx="40">
                  <c:v>46.777777777777779</c:v>
                </c:pt>
                <c:pt idx="41">
                  <c:v>71.777777777777771</c:v>
                </c:pt>
                <c:pt idx="42">
                  <c:v>79.111111111111114</c:v>
                </c:pt>
                <c:pt idx="43">
                  <c:v>72.555555555555557</c:v>
                </c:pt>
                <c:pt idx="44">
                  <c:v>78.111111111111114</c:v>
                </c:pt>
                <c:pt idx="45">
                  <c:v>78.555555555555557</c:v>
                </c:pt>
                <c:pt idx="46">
                  <c:v>72.666666666666671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B-4B14-9E05-F76AC60F0447}"/>
            </c:ext>
          </c:extLst>
        </c:ser>
        <c:ser>
          <c:idx val="1"/>
          <c:order val="1"/>
          <c:tx>
            <c:strRef>
              <c:f>'SEC Benches Data'!$EN$3</c:f>
              <c:strCache>
                <c:ptCount val="1"/>
                <c:pt idx="0">
                  <c:v>14 - 26 Wks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  <c:extLst xmlns:c15="http://schemas.microsoft.com/office/drawing/2012/chart"/>
            </c:numRef>
          </c:cat>
          <c:val>
            <c:numRef>
              <c:f>'SEC Benches Data'!$EN$5:$EN$26</c:f>
              <c:numCache>
                <c:formatCode>0</c:formatCode>
                <c:ptCount val="22"/>
                <c:pt idx="19">
                  <c:v>46</c:v>
                </c:pt>
                <c:pt idx="20">
                  <c:v>46.375</c:v>
                </c:pt>
                <c:pt idx="21">
                  <c:v>51.25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D4B-4B14-9E05-F76AC60F0447}"/>
            </c:ext>
          </c:extLst>
        </c:ser>
        <c:ser>
          <c:idx val="2"/>
          <c:order val="2"/>
          <c:tx>
            <c:strRef>
              <c:f>'SEC Benches Data'!$EO$3</c:f>
              <c:strCache>
                <c:ptCount val="1"/>
                <c:pt idx="0">
                  <c:v>14 - 26 Wks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Data'!$EO$5:$EO$52</c:f>
              <c:numCache>
                <c:formatCode>0</c:formatCode>
                <c:ptCount val="48"/>
                <c:pt idx="19">
                  <c:v>46</c:v>
                </c:pt>
                <c:pt idx="20">
                  <c:v>46.375</c:v>
                </c:pt>
                <c:pt idx="21">
                  <c:v>51.25</c:v>
                </c:pt>
                <c:pt idx="22">
                  <c:v>44.125</c:v>
                </c:pt>
                <c:pt idx="23">
                  <c:v>42.5</c:v>
                </c:pt>
                <c:pt idx="24">
                  <c:v>39.75</c:v>
                </c:pt>
                <c:pt idx="25">
                  <c:v>38</c:v>
                </c:pt>
                <c:pt idx="26">
                  <c:v>34.25</c:v>
                </c:pt>
                <c:pt idx="27">
                  <c:v>34</c:v>
                </c:pt>
                <c:pt idx="28">
                  <c:v>30.375</c:v>
                </c:pt>
                <c:pt idx="29">
                  <c:v>43.625</c:v>
                </c:pt>
                <c:pt idx="30">
                  <c:v>46.75</c:v>
                </c:pt>
                <c:pt idx="31">
                  <c:v>39.125</c:v>
                </c:pt>
                <c:pt idx="32">
                  <c:v>51.6</c:v>
                </c:pt>
                <c:pt idx="33">
                  <c:v>41.1</c:v>
                </c:pt>
                <c:pt idx="34">
                  <c:v>44.666666666666664</c:v>
                </c:pt>
                <c:pt idx="35">
                  <c:v>37.866666666666667</c:v>
                </c:pt>
                <c:pt idx="36">
                  <c:v>36.93333333333333</c:v>
                </c:pt>
                <c:pt idx="37">
                  <c:v>31.066666666666666</c:v>
                </c:pt>
                <c:pt idx="38">
                  <c:v>32.733333333333334</c:v>
                </c:pt>
                <c:pt idx="39">
                  <c:v>35.133333333333333</c:v>
                </c:pt>
                <c:pt idx="40">
                  <c:v>55.999999999999993</c:v>
                </c:pt>
                <c:pt idx="41">
                  <c:v>62.93333333333333</c:v>
                </c:pt>
                <c:pt idx="42">
                  <c:v>58.533333333333331</c:v>
                </c:pt>
                <c:pt idx="43">
                  <c:v>65.86666666666666</c:v>
                </c:pt>
                <c:pt idx="44">
                  <c:v>69.86666666666666</c:v>
                </c:pt>
                <c:pt idx="45">
                  <c:v>66.666666666666671</c:v>
                </c:pt>
                <c:pt idx="46">
                  <c:v>39.06666666666667</c:v>
                </c:pt>
                <c:pt idx="47">
                  <c:v>53.48571428571428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B-4B14-9E05-F76AC60F0447}"/>
            </c:ext>
          </c:extLst>
        </c:ser>
        <c:ser>
          <c:idx val="3"/>
          <c:order val="3"/>
          <c:tx>
            <c:strRef>
              <c:f>'SEC Benches Data'!$EP$3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Data'!$EP$5:$EP$52</c:f>
              <c:numCache>
                <c:formatCode>0</c:formatCode>
                <c:ptCount val="48"/>
                <c:pt idx="0">
                  <c:v>139.70019199999999</c:v>
                </c:pt>
                <c:pt idx="1">
                  <c:v>165.84519999999995</c:v>
                </c:pt>
                <c:pt idx="2">
                  <c:v>180.28348799999995</c:v>
                </c:pt>
                <c:pt idx="3">
                  <c:v>175.01546399999998</c:v>
                </c:pt>
                <c:pt idx="4">
                  <c:v>169.94255199999998</c:v>
                </c:pt>
                <c:pt idx="5">
                  <c:v>166.23542399999994</c:v>
                </c:pt>
                <c:pt idx="6">
                  <c:v>166.8857973333333</c:v>
                </c:pt>
                <c:pt idx="7">
                  <c:v>163.17866933333332</c:v>
                </c:pt>
                <c:pt idx="8">
                  <c:v>155.40670799999998</c:v>
                </c:pt>
                <c:pt idx="9">
                  <c:v>143.99265599999995</c:v>
                </c:pt>
                <c:pt idx="10">
                  <c:v>128.31865866666664</c:v>
                </c:pt>
                <c:pt idx="11">
                  <c:v>112.44954933333331</c:v>
                </c:pt>
                <c:pt idx="12">
                  <c:v>99.246970666666641</c:v>
                </c:pt>
                <c:pt idx="13">
                  <c:v>85.751723999999982</c:v>
                </c:pt>
                <c:pt idx="14">
                  <c:v>74.110041333333314</c:v>
                </c:pt>
                <c:pt idx="15">
                  <c:v>66.175486666666657</c:v>
                </c:pt>
                <c:pt idx="16">
                  <c:v>64.126810666666657</c:v>
                </c:pt>
                <c:pt idx="17">
                  <c:v>64.28940399999999</c:v>
                </c:pt>
                <c:pt idx="18">
                  <c:v>65.460075999999987</c:v>
                </c:pt>
                <c:pt idx="19">
                  <c:v>65.460075999999987</c:v>
                </c:pt>
                <c:pt idx="20">
                  <c:v>65.622669333333306</c:v>
                </c:pt>
                <c:pt idx="21">
                  <c:v>66.793341333333316</c:v>
                </c:pt>
                <c:pt idx="22">
                  <c:v>67.18356533333332</c:v>
                </c:pt>
                <c:pt idx="23">
                  <c:v>67.931494666666666</c:v>
                </c:pt>
                <c:pt idx="24">
                  <c:v>67.508751999999987</c:v>
                </c:pt>
                <c:pt idx="25">
                  <c:v>70.240319999999983</c:v>
                </c:pt>
                <c:pt idx="26">
                  <c:v>71.73617866666666</c:v>
                </c:pt>
                <c:pt idx="27">
                  <c:v>71.085805333333312</c:v>
                </c:pt>
                <c:pt idx="28">
                  <c:v>70.207801333333322</c:v>
                </c:pt>
                <c:pt idx="29">
                  <c:v>68.744461333333319</c:v>
                </c:pt>
                <c:pt idx="30">
                  <c:v>70.890693333333317</c:v>
                </c:pt>
                <c:pt idx="31">
                  <c:v>71.931290666666655</c:v>
                </c:pt>
                <c:pt idx="32">
                  <c:v>70.56550666666665</c:v>
                </c:pt>
                <c:pt idx="33">
                  <c:v>68.972091999999975</c:v>
                </c:pt>
                <c:pt idx="34">
                  <c:v>68.484311999999989</c:v>
                </c:pt>
                <c:pt idx="35">
                  <c:v>67.194404888888883</c:v>
                </c:pt>
                <c:pt idx="36">
                  <c:v>62.096200592592581</c:v>
                </c:pt>
                <c:pt idx="37">
                  <c:v>55.661117777777768</c:v>
                </c:pt>
                <c:pt idx="38">
                  <c:v>52.438156592592577</c:v>
                </c:pt>
                <c:pt idx="39">
                  <c:v>51.003722074074062</c:v>
                </c:pt>
                <c:pt idx="40">
                  <c:v>53.547404444444425</c:v>
                </c:pt>
                <c:pt idx="41">
                  <c:v>62.161237925925924</c:v>
                </c:pt>
                <c:pt idx="42">
                  <c:v>74.214823703703686</c:v>
                </c:pt>
                <c:pt idx="43">
                  <c:v>85.31452859259258</c:v>
                </c:pt>
                <c:pt idx="44">
                  <c:v>97.931771259259222</c:v>
                </c:pt>
                <c:pt idx="45">
                  <c:v>111.05485985185184</c:v>
                </c:pt>
                <c:pt idx="46">
                  <c:v>117.789837037037</c:v>
                </c:pt>
                <c:pt idx="47">
                  <c:v>118.9402752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4B-4B14-9E05-F76AC60F0447}"/>
            </c:ext>
          </c:extLst>
        </c:ser>
        <c:ser>
          <c:idx val="4"/>
          <c:order val="4"/>
          <c:tx>
            <c:strRef>
              <c:f>'SEC Benches Data'!$EQ$3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Data'!$EQ$5:$EQ$52</c:f>
              <c:numCache>
                <c:formatCode>0</c:formatCode>
                <c:ptCount val="48"/>
                <c:pt idx="0">
                  <c:v>174.8046875</c:v>
                </c:pt>
                <c:pt idx="1">
                  <c:v>207.51953125</c:v>
                </c:pt>
                <c:pt idx="2">
                  <c:v>225.5859375</c:v>
                </c:pt>
                <c:pt idx="3">
                  <c:v>218.994140625</c:v>
                </c:pt>
                <c:pt idx="4">
                  <c:v>212.646484375</c:v>
                </c:pt>
                <c:pt idx="5">
                  <c:v>208.0078125</c:v>
                </c:pt>
                <c:pt idx="6">
                  <c:v>208.82161458333337</c:v>
                </c:pt>
                <c:pt idx="7">
                  <c:v>204.18294270833337</c:v>
                </c:pt>
                <c:pt idx="8">
                  <c:v>194.4580078125</c:v>
                </c:pt>
                <c:pt idx="9">
                  <c:v>180.17578125</c:v>
                </c:pt>
                <c:pt idx="10">
                  <c:v>160.56315104166663</c:v>
                </c:pt>
                <c:pt idx="11">
                  <c:v>140.70638020833337</c:v>
                </c:pt>
                <c:pt idx="12">
                  <c:v>124.18619791666669</c:v>
                </c:pt>
                <c:pt idx="13">
                  <c:v>107.2998046875</c:v>
                </c:pt>
                <c:pt idx="14">
                  <c:v>92.732747395833314</c:v>
                </c:pt>
                <c:pt idx="15">
                  <c:v>82.804361979166686</c:v>
                </c:pt>
                <c:pt idx="16">
                  <c:v>80.240885416666686</c:v>
                </c:pt>
                <c:pt idx="17">
                  <c:v>80.4443359375</c:v>
                </c:pt>
                <c:pt idx="18">
                  <c:v>81.9091796875</c:v>
                </c:pt>
                <c:pt idx="19">
                  <c:v>81.9091796875</c:v>
                </c:pt>
                <c:pt idx="20">
                  <c:v>82.112630208333314</c:v>
                </c:pt>
                <c:pt idx="21">
                  <c:v>83.577473958333314</c:v>
                </c:pt>
                <c:pt idx="22">
                  <c:v>84.065755208333314</c:v>
                </c:pt>
                <c:pt idx="23">
                  <c:v>85.001627604166686</c:v>
                </c:pt>
                <c:pt idx="24">
                  <c:v>84.47265625</c:v>
                </c:pt>
                <c:pt idx="25">
                  <c:v>87.890625</c:v>
                </c:pt>
                <c:pt idx="26">
                  <c:v>89.762369791666686</c:v>
                </c:pt>
                <c:pt idx="27">
                  <c:v>88.948567708333314</c:v>
                </c:pt>
                <c:pt idx="28">
                  <c:v>87.849934895833314</c:v>
                </c:pt>
                <c:pt idx="29">
                  <c:v>86.018880208333314</c:v>
                </c:pt>
                <c:pt idx="30">
                  <c:v>88.704427083333314</c:v>
                </c:pt>
                <c:pt idx="31">
                  <c:v>90.006510416666686</c:v>
                </c:pt>
                <c:pt idx="32">
                  <c:v>88.297526041666686</c:v>
                </c:pt>
                <c:pt idx="33">
                  <c:v>86.3037109375</c:v>
                </c:pt>
                <c:pt idx="34">
                  <c:v>85.693359375</c:v>
                </c:pt>
                <c:pt idx="35">
                  <c:v>84.079318576388886</c:v>
                </c:pt>
                <c:pt idx="36">
                  <c:v>77.700014467592581</c:v>
                </c:pt>
                <c:pt idx="37">
                  <c:v>69.647894965277771</c:v>
                </c:pt>
                <c:pt idx="38">
                  <c:v>65.615053530092581</c:v>
                </c:pt>
                <c:pt idx="39">
                  <c:v>63.820167824074062</c:v>
                </c:pt>
                <c:pt idx="40">
                  <c:v>67.003038194444429</c:v>
                </c:pt>
                <c:pt idx="41">
                  <c:v>77.781394675925938</c:v>
                </c:pt>
                <c:pt idx="42">
                  <c:v>92.863859953703695</c:v>
                </c:pt>
                <c:pt idx="43">
                  <c:v>106.7527488425926</c:v>
                </c:pt>
                <c:pt idx="44">
                  <c:v>122.54050925925925</c:v>
                </c:pt>
                <c:pt idx="45">
                  <c:v>138.96122685185188</c:v>
                </c:pt>
                <c:pt idx="46">
                  <c:v>147.38859953703701</c:v>
                </c:pt>
                <c:pt idx="47">
                  <c:v>148.82812500000003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4B-4B14-9E05-F76AC60F0447}"/>
            </c:ext>
          </c:extLst>
        </c:ser>
        <c:ser>
          <c:idx val="5"/>
          <c:order val="5"/>
          <c:tx>
            <c:strRef>
              <c:f>'SEC Benches Data'!$ER$3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Data'!$ER$5:$ER$52</c:f>
              <c:numCache>
                <c:formatCode>0</c:formatCode>
                <c:ptCount val="48"/>
                <c:pt idx="0">
                  <c:v>154.65599999999998</c:v>
                </c:pt>
                <c:pt idx="1">
                  <c:v>183.6</c:v>
                </c:pt>
                <c:pt idx="2">
                  <c:v>199.58399999999997</c:v>
                </c:pt>
                <c:pt idx="3">
                  <c:v>193.75199999999998</c:v>
                </c:pt>
                <c:pt idx="4">
                  <c:v>188.136</c:v>
                </c:pt>
                <c:pt idx="5">
                  <c:v>184.03199999999998</c:v>
                </c:pt>
                <c:pt idx="6">
                  <c:v>184.75200000000001</c:v>
                </c:pt>
                <c:pt idx="7">
                  <c:v>180.648</c:v>
                </c:pt>
                <c:pt idx="8">
                  <c:v>172.04399999999995</c:v>
                </c:pt>
                <c:pt idx="9">
                  <c:v>159.40799999999999</c:v>
                </c:pt>
                <c:pt idx="10">
                  <c:v>142.05599999999998</c:v>
                </c:pt>
                <c:pt idx="11">
                  <c:v>124.48799999999999</c:v>
                </c:pt>
                <c:pt idx="12">
                  <c:v>109.87199999999999</c:v>
                </c:pt>
                <c:pt idx="13">
                  <c:v>94.932000000000002</c:v>
                </c:pt>
                <c:pt idx="14">
                  <c:v>82.043999999999983</c:v>
                </c:pt>
                <c:pt idx="15">
                  <c:v>73.259999999999991</c:v>
                </c:pt>
                <c:pt idx="16">
                  <c:v>70.992000000000004</c:v>
                </c:pt>
                <c:pt idx="17">
                  <c:v>71.171999999999997</c:v>
                </c:pt>
                <c:pt idx="18">
                  <c:v>72.467999999999989</c:v>
                </c:pt>
                <c:pt idx="19">
                  <c:v>72.467999999999989</c:v>
                </c:pt>
                <c:pt idx="20">
                  <c:v>72.647999999999982</c:v>
                </c:pt>
                <c:pt idx="21">
                  <c:v>73.943999999999988</c:v>
                </c:pt>
                <c:pt idx="22">
                  <c:v>74.375999999999991</c:v>
                </c:pt>
                <c:pt idx="23">
                  <c:v>75.203999999999994</c:v>
                </c:pt>
                <c:pt idx="24">
                  <c:v>74.73599999999999</c:v>
                </c:pt>
                <c:pt idx="25">
                  <c:v>77.759999999999991</c:v>
                </c:pt>
                <c:pt idx="26">
                  <c:v>79.415999999999983</c:v>
                </c:pt>
                <c:pt idx="27">
                  <c:v>78.695999999999998</c:v>
                </c:pt>
                <c:pt idx="28">
                  <c:v>77.72399999999999</c:v>
                </c:pt>
                <c:pt idx="29">
                  <c:v>76.103999999999985</c:v>
                </c:pt>
                <c:pt idx="30">
                  <c:v>78.47999999999999</c:v>
                </c:pt>
                <c:pt idx="31">
                  <c:v>79.631999999999991</c:v>
                </c:pt>
                <c:pt idx="32">
                  <c:v>78.11999999999999</c:v>
                </c:pt>
                <c:pt idx="33">
                  <c:v>76.355999999999995</c:v>
                </c:pt>
                <c:pt idx="34">
                  <c:v>75.815999999999988</c:v>
                </c:pt>
                <c:pt idx="35">
                  <c:v>74.388000000000005</c:v>
                </c:pt>
                <c:pt idx="36">
                  <c:v>68.743999999999986</c:v>
                </c:pt>
                <c:pt idx="37">
                  <c:v>61.61999999999999</c:v>
                </c:pt>
                <c:pt idx="38">
                  <c:v>58.051999999999985</c:v>
                </c:pt>
                <c:pt idx="39">
                  <c:v>56.463999999999992</c:v>
                </c:pt>
                <c:pt idx="40">
                  <c:v>59.27999999999998</c:v>
                </c:pt>
                <c:pt idx="41">
                  <c:v>68.816000000000003</c:v>
                </c:pt>
                <c:pt idx="42">
                  <c:v>82.16</c:v>
                </c:pt>
                <c:pt idx="43">
                  <c:v>94.447999999999993</c:v>
                </c:pt>
                <c:pt idx="44">
                  <c:v>108.416</c:v>
                </c:pt>
                <c:pt idx="45">
                  <c:v>122.94399999999999</c:v>
                </c:pt>
                <c:pt idx="46">
                  <c:v>130.4</c:v>
                </c:pt>
                <c:pt idx="47">
                  <c:v>131.67359999999999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4B-4B14-9E05-F76AC60F0447}"/>
            </c:ext>
          </c:extLst>
        </c:ser>
        <c:ser>
          <c:idx val="6"/>
          <c:order val="6"/>
          <c:tx>
            <c:strRef>
              <c:f>'SEC Benches Data'!$ES$3</c:f>
              <c:strCache>
                <c:ptCount val="1"/>
                <c:pt idx="0">
                  <c:v>Ideal Capacity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Data'!$ES$5:$ES$52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4B-4B14-9E05-F76AC60F0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30912"/>
        <c:axId val="566346368"/>
        <c:extLst/>
      </c:lineChart>
      <c:dateAx>
        <c:axId val="5683309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46368"/>
        <c:crosses val="autoZero"/>
        <c:auto val="1"/>
        <c:lblOffset val="100"/>
        <c:baseTimeUnit val="days"/>
      </c:dateAx>
      <c:valAx>
        <c:axId val="56634636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SEC Pooled Labour - Excluding</a:t>
            </a:r>
            <a:r>
              <a:rPr lang="en-US" baseline="0"/>
              <a:t> Type 1 Cabinet Room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 Benches Data'!$EM$3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Data'!$AL$5:$AL$52</c:f>
              <c:numCache>
                <c:formatCode>General</c:formatCode>
                <c:ptCount val="48"/>
                <c:pt idx="19">
                  <c:v>79</c:v>
                </c:pt>
                <c:pt idx="20">
                  <c:v>79</c:v>
                </c:pt>
                <c:pt idx="21">
                  <c:v>79</c:v>
                </c:pt>
                <c:pt idx="22">
                  <c:v>90</c:v>
                </c:pt>
                <c:pt idx="23">
                  <c:v>100</c:v>
                </c:pt>
                <c:pt idx="24">
                  <c:v>91</c:v>
                </c:pt>
                <c:pt idx="25">
                  <c:v>101</c:v>
                </c:pt>
                <c:pt idx="26">
                  <c:v>99</c:v>
                </c:pt>
                <c:pt idx="27">
                  <c:v>89</c:v>
                </c:pt>
                <c:pt idx="28">
                  <c:v>98</c:v>
                </c:pt>
                <c:pt idx="29">
                  <c:v>105</c:v>
                </c:pt>
                <c:pt idx="30">
                  <c:v>122</c:v>
                </c:pt>
                <c:pt idx="31">
                  <c:v>105</c:v>
                </c:pt>
                <c:pt idx="32">
                  <c:v>83</c:v>
                </c:pt>
                <c:pt idx="33">
                  <c:v>85</c:v>
                </c:pt>
                <c:pt idx="34">
                  <c:v>102</c:v>
                </c:pt>
                <c:pt idx="35">
                  <c:v>103</c:v>
                </c:pt>
                <c:pt idx="36">
                  <c:v>100</c:v>
                </c:pt>
                <c:pt idx="37">
                  <c:v>102</c:v>
                </c:pt>
                <c:pt idx="38">
                  <c:v>99</c:v>
                </c:pt>
                <c:pt idx="39">
                  <c:v>100</c:v>
                </c:pt>
                <c:pt idx="40">
                  <c:v>158</c:v>
                </c:pt>
                <c:pt idx="41">
                  <c:v>146</c:v>
                </c:pt>
                <c:pt idx="42">
                  <c:v>135</c:v>
                </c:pt>
                <c:pt idx="43">
                  <c:v>104</c:v>
                </c:pt>
                <c:pt idx="44">
                  <c:v>102</c:v>
                </c:pt>
                <c:pt idx="45">
                  <c:v>105</c:v>
                </c:pt>
                <c:pt idx="47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7-4918-9A6E-82BA6A3035A4}"/>
            </c:ext>
          </c:extLst>
        </c:ser>
        <c:ser>
          <c:idx val="1"/>
          <c:order val="1"/>
          <c:tx>
            <c:strRef>
              <c:f>'SEC Benches Data'!$EN$3</c:f>
              <c:strCache>
                <c:ptCount val="1"/>
                <c:pt idx="0">
                  <c:v>14 - 26 Wks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  <c:extLst xmlns:c15="http://schemas.microsoft.com/office/drawing/2012/chart"/>
            </c:numRef>
          </c:cat>
          <c:val>
            <c:numRef>
              <c:f>'SEC Benches Data'!$EN$5:$EN$26</c:f>
              <c:numCache>
                <c:formatCode>0</c:formatCode>
                <c:ptCount val="22"/>
                <c:pt idx="19">
                  <c:v>46</c:v>
                </c:pt>
                <c:pt idx="20">
                  <c:v>46.375</c:v>
                </c:pt>
                <c:pt idx="21">
                  <c:v>51.25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9AB7-4918-9A6E-82BA6A3035A4}"/>
            </c:ext>
          </c:extLst>
        </c:ser>
        <c:ser>
          <c:idx val="2"/>
          <c:order val="2"/>
          <c:tx>
            <c:strRef>
              <c:f>'SEC Benches Data'!$EO$3</c:f>
              <c:strCache>
                <c:ptCount val="1"/>
                <c:pt idx="0">
                  <c:v>14 - 26 Wks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Data'!$HQ$5:$HQ$52</c:f>
              <c:numCache>
                <c:formatCode>General</c:formatCode>
                <c:ptCount val="48"/>
                <c:pt idx="19">
                  <c:v>88</c:v>
                </c:pt>
                <c:pt idx="20">
                  <c:v>88</c:v>
                </c:pt>
                <c:pt idx="21">
                  <c:v>92</c:v>
                </c:pt>
                <c:pt idx="22">
                  <c:v>90</c:v>
                </c:pt>
                <c:pt idx="23">
                  <c:v>89</c:v>
                </c:pt>
                <c:pt idx="24">
                  <c:v>85</c:v>
                </c:pt>
                <c:pt idx="25">
                  <c:v>72</c:v>
                </c:pt>
                <c:pt idx="26">
                  <c:v>72</c:v>
                </c:pt>
                <c:pt idx="27">
                  <c:v>69</c:v>
                </c:pt>
                <c:pt idx="28">
                  <c:v>81</c:v>
                </c:pt>
                <c:pt idx="29">
                  <c:v>115</c:v>
                </c:pt>
                <c:pt idx="30">
                  <c:v>115</c:v>
                </c:pt>
                <c:pt idx="31">
                  <c:v>79</c:v>
                </c:pt>
                <c:pt idx="32">
                  <c:v>88</c:v>
                </c:pt>
                <c:pt idx="33">
                  <c:v>88</c:v>
                </c:pt>
                <c:pt idx="34">
                  <c:v>102</c:v>
                </c:pt>
                <c:pt idx="35">
                  <c:v>84</c:v>
                </c:pt>
                <c:pt idx="36">
                  <c:v>97</c:v>
                </c:pt>
                <c:pt idx="37">
                  <c:v>85</c:v>
                </c:pt>
                <c:pt idx="38">
                  <c:v>90</c:v>
                </c:pt>
                <c:pt idx="39">
                  <c:v>101</c:v>
                </c:pt>
                <c:pt idx="40">
                  <c:v>159</c:v>
                </c:pt>
                <c:pt idx="41">
                  <c:v>101</c:v>
                </c:pt>
                <c:pt idx="42">
                  <c:v>65</c:v>
                </c:pt>
                <c:pt idx="43">
                  <c:v>74</c:v>
                </c:pt>
                <c:pt idx="44">
                  <c:v>81</c:v>
                </c:pt>
                <c:pt idx="45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7-4918-9A6E-82BA6A3035A4}"/>
            </c:ext>
          </c:extLst>
        </c:ser>
        <c:ser>
          <c:idx val="3"/>
          <c:order val="3"/>
          <c:tx>
            <c:strRef>
              <c:f>'SEC Benches Data'!$EP$3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Data'!$HR$5:$HR$52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123.31078399999998</c:v>
                </c:pt>
                <c:pt idx="20">
                  <c:v>123.31078399999998</c:v>
                </c:pt>
                <c:pt idx="21">
                  <c:v>123.31078399999998</c:v>
                </c:pt>
                <c:pt idx="22">
                  <c:v>127.60324799999998</c:v>
                </c:pt>
                <c:pt idx="23">
                  <c:v>133.30051839999996</c:v>
                </c:pt>
                <c:pt idx="24">
                  <c:v>134.75735466666666</c:v>
                </c:pt>
                <c:pt idx="25">
                  <c:v>140.48063999999997</c:v>
                </c:pt>
                <c:pt idx="26">
                  <c:v>145.68362666666661</c:v>
                </c:pt>
                <c:pt idx="27">
                  <c:v>148.28511999999998</c:v>
                </c:pt>
                <c:pt idx="28">
                  <c:v>150.36631466666663</c:v>
                </c:pt>
                <c:pt idx="29">
                  <c:v>151.66706133333329</c:v>
                </c:pt>
                <c:pt idx="30">
                  <c:v>159.73169066666662</c:v>
                </c:pt>
                <c:pt idx="31">
                  <c:v>160.77228799999995</c:v>
                </c:pt>
                <c:pt idx="32">
                  <c:v>156.60989866666662</c:v>
                </c:pt>
                <c:pt idx="33">
                  <c:v>155.5693013333333</c:v>
                </c:pt>
                <c:pt idx="34">
                  <c:v>156.60989866666662</c:v>
                </c:pt>
                <c:pt idx="35">
                  <c:v>156.08959999999996</c:v>
                </c:pt>
                <c:pt idx="36">
                  <c:v>150.36631466666663</c:v>
                </c:pt>
                <c:pt idx="37">
                  <c:v>149.58586666666665</c:v>
                </c:pt>
                <c:pt idx="38">
                  <c:v>153.74825599999997</c:v>
                </c:pt>
                <c:pt idx="39">
                  <c:v>157.65049599999998</c:v>
                </c:pt>
                <c:pt idx="40">
                  <c:v>172.21885866666662</c:v>
                </c:pt>
                <c:pt idx="41">
                  <c:v>183.40527999999995</c:v>
                </c:pt>
                <c:pt idx="42">
                  <c:v>192.51050666666663</c:v>
                </c:pt>
                <c:pt idx="43">
                  <c:v>193.03080533333329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7-4918-9A6E-82BA6A3035A4}"/>
            </c:ext>
          </c:extLst>
        </c:ser>
        <c:ser>
          <c:idx val="4"/>
          <c:order val="4"/>
          <c:tx>
            <c:strRef>
              <c:f>'SEC Benches Data'!$EQ$3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Data'!$HS$5:$HS$52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154.296875</c:v>
                </c:pt>
                <c:pt idx="20">
                  <c:v>154.296875</c:v>
                </c:pt>
                <c:pt idx="21">
                  <c:v>154.296875</c:v>
                </c:pt>
                <c:pt idx="22">
                  <c:v>159.66796875</c:v>
                </c:pt>
                <c:pt idx="23">
                  <c:v>166.796875</c:v>
                </c:pt>
                <c:pt idx="24">
                  <c:v>168.61979166666663</c:v>
                </c:pt>
                <c:pt idx="25">
                  <c:v>175.78125</c:v>
                </c:pt>
                <c:pt idx="26">
                  <c:v>182.29166666666663</c:v>
                </c:pt>
                <c:pt idx="27">
                  <c:v>185.546875</c:v>
                </c:pt>
                <c:pt idx="28">
                  <c:v>188.15104166666663</c:v>
                </c:pt>
                <c:pt idx="29">
                  <c:v>189.77864583333337</c:v>
                </c:pt>
                <c:pt idx="30">
                  <c:v>199.86979166666663</c:v>
                </c:pt>
                <c:pt idx="31">
                  <c:v>201.171875</c:v>
                </c:pt>
                <c:pt idx="32">
                  <c:v>195.96354166666663</c:v>
                </c:pt>
                <c:pt idx="33">
                  <c:v>194.66145833333337</c:v>
                </c:pt>
                <c:pt idx="34">
                  <c:v>195.96354166666663</c:v>
                </c:pt>
                <c:pt idx="35">
                  <c:v>195.3125</c:v>
                </c:pt>
                <c:pt idx="36">
                  <c:v>188.15104166666663</c:v>
                </c:pt>
                <c:pt idx="37">
                  <c:v>187.17447916666663</c:v>
                </c:pt>
                <c:pt idx="38">
                  <c:v>192.3828125</c:v>
                </c:pt>
                <c:pt idx="39">
                  <c:v>197.265625</c:v>
                </c:pt>
                <c:pt idx="40">
                  <c:v>215.49479166666663</c:v>
                </c:pt>
                <c:pt idx="41">
                  <c:v>229.4921875</c:v>
                </c:pt>
                <c:pt idx="42">
                  <c:v>240.88541666666663</c:v>
                </c:pt>
                <c:pt idx="43">
                  <c:v>241.53645833333337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B7-4918-9A6E-82BA6A3035A4}"/>
            </c:ext>
          </c:extLst>
        </c:ser>
        <c:ser>
          <c:idx val="5"/>
          <c:order val="5"/>
          <c:tx>
            <c:strRef>
              <c:f>'SEC Benches Data'!$ER$3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Data'!$HT$5:$HT$52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136.51199999999997</c:v>
                </c:pt>
                <c:pt idx="20">
                  <c:v>136.51199999999997</c:v>
                </c:pt>
                <c:pt idx="21">
                  <c:v>136.51199999999997</c:v>
                </c:pt>
                <c:pt idx="22">
                  <c:v>141.26399999999998</c:v>
                </c:pt>
                <c:pt idx="23">
                  <c:v>147.5712</c:v>
                </c:pt>
                <c:pt idx="24">
                  <c:v>149.184</c:v>
                </c:pt>
                <c:pt idx="25">
                  <c:v>155.51999999999998</c:v>
                </c:pt>
                <c:pt idx="26">
                  <c:v>161.27999999999997</c:v>
                </c:pt>
                <c:pt idx="27">
                  <c:v>164.15999999999997</c:v>
                </c:pt>
                <c:pt idx="28">
                  <c:v>166.464</c:v>
                </c:pt>
                <c:pt idx="29">
                  <c:v>167.90399999999997</c:v>
                </c:pt>
                <c:pt idx="30">
                  <c:v>176.83199999999997</c:v>
                </c:pt>
                <c:pt idx="31">
                  <c:v>177.98399999999998</c:v>
                </c:pt>
                <c:pt idx="32">
                  <c:v>173.37599999999998</c:v>
                </c:pt>
                <c:pt idx="33">
                  <c:v>172.22399999999996</c:v>
                </c:pt>
                <c:pt idx="34">
                  <c:v>173.37599999999998</c:v>
                </c:pt>
                <c:pt idx="35">
                  <c:v>172.79999999999998</c:v>
                </c:pt>
                <c:pt idx="36">
                  <c:v>166.464</c:v>
                </c:pt>
                <c:pt idx="37">
                  <c:v>165.59999999999997</c:v>
                </c:pt>
                <c:pt idx="38">
                  <c:v>170.20799999999997</c:v>
                </c:pt>
                <c:pt idx="39">
                  <c:v>174.52799999999996</c:v>
                </c:pt>
                <c:pt idx="40">
                  <c:v>190.65599999999995</c:v>
                </c:pt>
                <c:pt idx="41">
                  <c:v>203.04</c:v>
                </c:pt>
                <c:pt idx="42">
                  <c:v>213.11999999999998</c:v>
                </c:pt>
                <c:pt idx="43">
                  <c:v>213.696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B7-4918-9A6E-82BA6A3035A4}"/>
            </c:ext>
          </c:extLst>
        </c:ser>
        <c:ser>
          <c:idx val="6"/>
          <c:order val="6"/>
          <c:tx>
            <c:strRef>
              <c:f>'SEC Benches Data'!$HU$3</c:f>
              <c:strCache>
                <c:ptCount val="1"/>
                <c:pt idx="0">
                  <c:v>Ideal Target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Data'!$HU$5:$HU$52</c:f>
              <c:numCache>
                <c:formatCode>0</c:formatCode>
                <c:ptCount val="4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7-41DC-8917-0722C3554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30912"/>
        <c:axId val="566346368"/>
        <c:extLst/>
      </c:lineChart>
      <c:dateAx>
        <c:axId val="5683309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46368"/>
        <c:crosses val="autoZero"/>
        <c:auto val="1"/>
        <c:lblOffset val="100"/>
        <c:baseTimeUnit val="days"/>
      </c:dateAx>
      <c:valAx>
        <c:axId val="566346368"/>
        <c:scaling>
          <c:orientation val="minMax"/>
          <c:max val="22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982/983/984 Bench Loadings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 Benches Data'!$EM$3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Data'!$ET$5:$ET$52</c:f>
              <c:numCache>
                <c:formatCode>0</c:formatCode>
                <c:ptCount val="48"/>
                <c:pt idx="0">
                  <c:v>61</c:v>
                </c:pt>
                <c:pt idx="1">
                  <c:v>65.25</c:v>
                </c:pt>
                <c:pt idx="2">
                  <c:v>65.75</c:v>
                </c:pt>
                <c:pt idx="3">
                  <c:v>65.75</c:v>
                </c:pt>
                <c:pt idx="4">
                  <c:v>72</c:v>
                </c:pt>
                <c:pt idx="5">
                  <c:v>71.25</c:v>
                </c:pt>
                <c:pt idx="6">
                  <c:v>71.75</c:v>
                </c:pt>
                <c:pt idx="7">
                  <c:v>71.75</c:v>
                </c:pt>
                <c:pt idx="8">
                  <c:v>73.5</c:v>
                </c:pt>
                <c:pt idx="9">
                  <c:v>64.25</c:v>
                </c:pt>
                <c:pt idx="10">
                  <c:v>48.5</c:v>
                </c:pt>
                <c:pt idx="11">
                  <c:v>50</c:v>
                </c:pt>
                <c:pt idx="12">
                  <c:v>48</c:v>
                </c:pt>
                <c:pt idx="13">
                  <c:v>44</c:v>
                </c:pt>
                <c:pt idx="14">
                  <c:v>40</c:v>
                </c:pt>
                <c:pt idx="15">
                  <c:v>39.5</c:v>
                </c:pt>
                <c:pt idx="16">
                  <c:v>42.5</c:v>
                </c:pt>
                <c:pt idx="17">
                  <c:v>50.75</c:v>
                </c:pt>
                <c:pt idx="18">
                  <c:v>49.5</c:v>
                </c:pt>
                <c:pt idx="19">
                  <c:v>45.5</c:v>
                </c:pt>
                <c:pt idx="20">
                  <c:v>48</c:v>
                </c:pt>
                <c:pt idx="21" formatCode="General">
                  <c:v>46</c:v>
                </c:pt>
                <c:pt idx="22">
                  <c:v>44.5</c:v>
                </c:pt>
                <c:pt idx="23">
                  <c:v>52</c:v>
                </c:pt>
                <c:pt idx="24">
                  <c:v>48</c:v>
                </c:pt>
                <c:pt idx="25">
                  <c:v>51.75</c:v>
                </c:pt>
                <c:pt idx="26">
                  <c:v>49</c:v>
                </c:pt>
                <c:pt idx="27">
                  <c:v>40</c:v>
                </c:pt>
                <c:pt idx="28">
                  <c:v>35</c:v>
                </c:pt>
                <c:pt idx="29">
                  <c:v>40.75</c:v>
                </c:pt>
                <c:pt idx="30">
                  <c:v>48.25</c:v>
                </c:pt>
                <c:pt idx="31">
                  <c:v>50</c:v>
                </c:pt>
                <c:pt idx="32">
                  <c:v>39</c:v>
                </c:pt>
                <c:pt idx="33">
                  <c:v>32.25</c:v>
                </c:pt>
                <c:pt idx="34">
                  <c:v>27</c:v>
                </c:pt>
                <c:pt idx="35">
                  <c:v>29.25</c:v>
                </c:pt>
                <c:pt idx="36">
                  <c:v>30</c:v>
                </c:pt>
                <c:pt idx="37">
                  <c:v>24</c:v>
                </c:pt>
                <c:pt idx="38">
                  <c:v>27.75</c:v>
                </c:pt>
                <c:pt idx="39">
                  <c:v>28.25</c:v>
                </c:pt>
                <c:pt idx="40">
                  <c:v>52</c:v>
                </c:pt>
                <c:pt idx="41">
                  <c:v>74.5</c:v>
                </c:pt>
                <c:pt idx="42">
                  <c:v>82.5</c:v>
                </c:pt>
                <c:pt idx="43">
                  <c:v>72.25</c:v>
                </c:pt>
                <c:pt idx="44">
                  <c:v>78.75</c:v>
                </c:pt>
                <c:pt idx="45">
                  <c:v>93.75</c:v>
                </c:pt>
                <c:pt idx="46">
                  <c:v>92</c:v>
                </c:pt>
                <c:pt idx="47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A16-AE98-A4D4465491C0}"/>
            </c:ext>
          </c:extLst>
        </c:ser>
        <c:ser>
          <c:idx val="1"/>
          <c:order val="1"/>
          <c:tx>
            <c:strRef>
              <c:f>'SEC Benches Data'!$EN$3</c:f>
              <c:strCache>
                <c:ptCount val="1"/>
                <c:pt idx="0">
                  <c:v>14 - 26 Wks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  <c:extLst xmlns:c15="http://schemas.microsoft.com/office/drawing/2012/chart"/>
            </c:numRef>
          </c:cat>
          <c:val>
            <c:numRef>
              <c:f>'SEC Benches Data'!$EN$5:$EN$26</c:f>
              <c:numCache>
                <c:formatCode>0</c:formatCode>
                <c:ptCount val="22"/>
                <c:pt idx="19">
                  <c:v>46</c:v>
                </c:pt>
                <c:pt idx="20">
                  <c:v>46.375</c:v>
                </c:pt>
                <c:pt idx="21">
                  <c:v>51.25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84FC-4A16-AE98-A4D4465491C0}"/>
            </c:ext>
          </c:extLst>
        </c:ser>
        <c:ser>
          <c:idx val="2"/>
          <c:order val="2"/>
          <c:tx>
            <c:strRef>
              <c:f>'SEC Benches Data'!$EO$3</c:f>
              <c:strCache>
                <c:ptCount val="1"/>
                <c:pt idx="0">
                  <c:v>14 - 26 Wks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Data'!$EV$5:$EV$52</c:f>
              <c:numCache>
                <c:formatCode>0</c:formatCode>
                <c:ptCount val="48"/>
                <c:pt idx="19">
                  <c:v>50</c:v>
                </c:pt>
                <c:pt idx="20">
                  <c:v>52</c:v>
                </c:pt>
                <c:pt idx="21">
                  <c:v>59.25</c:v>
                </c:pt>
                <c:pt idx="22">
                  <c:v>47</c:v>
                </c:pt>
                <c:pt idx="23">
                  <c:v>48.75</c:v>
                </c:pt>
                <c:pt idx="24">
                  <c:v>39.5</c:v>
                </c:pt>
                <c:pt idx="25">
                  <c:v>43.25</c:v>
                </c:pt>
                <c:pt idx="26">
                  <c:v>35</c:v>
                </c:pt>
                <c:pt idx="27">
                  <c:v>35.5</c:v>
                </c:pt>
                <c:pt idx="28">
                  <c:v>31.75</c:v>
                </c:pt>
                <c:pt idx="29">
                  <c:v>41</c:v>
                </c:pt>
                <c:pt idx="30">
                  <c:v>47.25</c:v>
                </c:pt>
                <c:pt idx="31">
                  <c:v>36.75</c:v>
                </c:pt>
                <c:pt idx="32">
                  <c:v>51.6</c:v>
                </c:pt>
                <c:pt idx="33">
                  <c:v>37.799999999999997</c:v>
                </c:pt>
                <c:pt idx="34">
                  <c:v>46.199999999999996</c:v>
                </c:pt>
                <c:pt idx="35">
                  <c:v>36.6</c:v>
                </c:pt>
                <c:pt idx="36">
                  <c:v>31.799999999999997</c:v>
                </c:pt>
                <c:pt idx="37">
                  <c:v>30</c:v>
                </c:pt>
                <c:pt idx="38">
                  <c:v>30.299999999999997</c:v>
                </c:pt>
                <c:pt idx="39">
                  <c:v>39</c:v>
                </c:pt>
                <c:pt idx="40">
                  <c:v>57.9</c:v>
                </c:pt>
                <c:pt idx="41">
                  <c:v>68.399999999999991</c:v>
                </c:pt>
                <c:pt idx="42">
                  <c:v>60</c:v>
                </c:pt>
                <c:pt idx="43">
                  <c:v>74.099999999999994</c:v>
                </c:pt>
                <c:pt idx="44">
                  <c:v>84.3</c:v>
                </c:pt>
                <c:pt idx="45">
                  <c:v>90.899999999999991</c:v>
                </c:pt>
                <c:pt idx="46">
                  <c:v>62.4</c:v>
                </c:pt>
                <c:pt idx="47">
                  <c:v>68.399999999999991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A16-AE98-A4D4465491C0}"/>
            </c:ext>
          </c:extLst>
        </c:ser>
        <c:ser>
          <c:idx val="3"/>
          <c:order val="3"/>
          <c:tx>
            <c:strRef>
              <c:f>'SEC Benches Data'!$EP$3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Data'!$EW$5:$EW$52</c:f>
              <c:numCache>
                <c:formatCode>0</c:formatCode>
                <c:ptCount val="48"/>
                <c:pt idx="0">
                  <c:v>95.214655999999977</c:v>
                </c:pt>
                <c:pt idx="1">
                  <c:v>101.84846399999999</c:v>
                </c:pt>
                <c:pt idx="2">
                  <c:v>102.62891199999999</c:v>
                </c:pt>
                <c:pt idx="3">
                  <c:v>102.62891199999999</c:v>
                </c:pt>
                <c:pt idx="4">
                  <c:v>112.38451199999997</c:v>
                </c:pt>
                <c:pt idx="5">
                  <c:v>104.31988266666664</c:v>
                </c:pt>
                <c:pt idx="6">
                  <c:v>107.11648799999996</c:v>
                </c:pt>
                <c:pt idx="7">
                  <c:v>108.80745866666663</c:v>
                </c:pt>
                <c:pt idx="8">
                  <c:v>110.82361599999999</c:v>
                </c:pt>
                <c:pt idx="9">
                  <c:v>110.43339199999997</c:v>
                </c:pt>
                <c:pt idx="10">
                  <c:v>104.31988266666664</c:v>
                </c:pt>
                <c:pt idx="11">
                  <c:v>98.791709333333316</c:v>
                </c:pt>
                <c:pt idx="12">
                  <c:v>92.613162666666653</c:v>
                </c:pt>
                <c:pt idx="13">
                  <c:v>85.394018666666653</c:v>
                </c:pt>
                <c:pt idx="14">
                  <c:v>76.67901599999999</c:v>
                </c:pt>
                <c:pt idx="15">
                  <c:v>70.240319999999983</c:v>
                </c:pt>
                <c:pt idx="16">
                  <c:v>68.679423999999983</c:v>
                </c:pt>
                <c:pt idx="17">
                  <c:v>68.874535999999992</c:v>
                </c:pt>
                <c:pt idx="18">
                  <c:v>69.264759999999981</c:v>
                </c:pt>
                <c:pt idx="19">
                  <c:v>69.654983999999985</c:v>
                </c:pt>
                <c:pt idx="20">
                  <c:v>71.73617866666666</c:v>
                </c:pt>
                <c:pt idx="21">
                  <c:v>73.427149333333318</c:v>
                </c:pt>
                <c:pt idx="22">
                  <c:v>73.94744799999998</c:v>
                </c:pt>
                <c:pt idx="23">
                  <c:v>74.272634666666661</c:v>
                </c:pt>
                <c:pt idx="24">
                  <c:v>73.882410666666658</c:v>
                </c:pt>
                <c:pt idx="25">
                  <c:v>75.50834399999998</c:v>
                </c:pt>
                <c:pt idx="26">
                  <c:v>75.768493333333311</c:v>
                </c:pt>
                <c:pt idx="27">
                  <c:v>74.207597333333311</c:v>
                </c:pt>
                <c:pt idx="28">
                  <c:v>71.73617866666666</c:v>
                </c:pt>
                <c:pt idx="29">
                  <c:v>68.809498666666656</c:v>
                </c:pt>
                <c:pt idx="30">
                  <c:v>68.874535999999992</c:v>
                </c:pt>
                <c:pt idx="31">
                  <c:v>68.419274666666652</c:v>
                </c:pt>
                <c:pt idx="32">
                  <c:v>65.817781333333315</c:v>
                </c:pt>
                <c:pt idx="33">
                  <c:v>63.80162399999999</c:v>
                </c:pt>
                <c:pt idx="34">
                  <c:v>61.720429333333314</c:v>
                </c:pt>
                <c:pt idx="35">
                  <c:v>58.728711999999987</c:v>
                </c:pt>
                <c:pt idx="36">
                  <c:v>53.980986666666666</c:v>
                </c:pt>
                <c:pt idx="37">
                  <c:v>47.217103999999985</c:v>
                </c:pt>
                <c:pt idx="38">
                  <c:v>44.290423999999994</c:v>
                </c:pt>
                <c:pt idx="39">
                  <c:v>43.249826666666657</c:v>
                </c:pt>
                <c:pt idx="40">
                  <c:v>49.753559999999986</c:v>
                </c:pt>
                <c:pt idx="41">
                  <c:v>61.525317333333319</c:v>
                </c:pt>
                <c:pt idx="42">
                  <c:v>75.183157333333313</c:v>
                </c:pt>
                <c:pt idx="43">
                  <c:v>87.73536266666666</c:v>
                </c:pt>
                <c:pt idx="44">
                  <c:v>101.00297866666664</c:v>
                </c:pt>
                <c:pt idx="45">
                  <c:v>118.04275999999997</c:v>
                </c:pt>
                <c:pt idx="46">
                  <c:v>128.44873333333331</c:v>
                </c:pt>
                <c:pt idx="47">
                  <c:v>131.9607493333333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A16-AE98-A4D4465491C0}"/>
            </c:ext>
          </c:extLst>
        </c:ser>
        <c:ser>
          <c:idx val="4"/>
          <c:order val="4"/>
          <c:tx>
            <c:strRef>
              <c:f>'SEC Benches Data'!$EQ$3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Data'!$EX$5:$EX$52</c:f>
              <c:numCache>
                <c:formatCode>0</c:formatCode>
                <c:ptCount val="48"/>
                <c:pt idx="0">
                  <c:v>119.140625</c:v>
                </c:pt>
                <c:pt idx="1">
                  <c:v>127.44140625</c:v>
                </c:pt>
                <c:pt idx="2">
                  <c:v>128.41796875</c:v>
                </c:pt>
                <c:pt idx="3">
                  <c:v>128.41796875</c:v>
                </c:pt>
                <c:pt idx="4">
                  <c:v>140.625</c:v>
                </c:pt>
                <c:pt idx="5">
                  <c:v>130.53385416666663</c:v>
                </c:pt>
                <c:pt idx="6">
                  <c:v>134.033203125</c:v>
                </c:pt>
                <c:pt idx="7">
                  <c:v>136.14908854166663</c:v>
                </c:pt>
                <c:pt idx="8">
                  <c:v>138.671875</c:v>
                </c:pt>
                <c:pt idx="9">
                  <c:v>138.18359375</c:v>
                </c:pt>
                <c:pt idx="10">
                  <c:v>130.53385416666663</c:v>
                </c:pt>
                <c:pt idx="11">
                  <c:v>123.61653645833331</c:v>
                </c:pt>
                <c:pt idx="12">
                  <c:v>115.88541666666669</c:v>
                </c:pt>
                <c:pt idx="13">
                  <c:v>106.85221354166669</c:v>
                </c:pt>
                <c:pt idx="14">
                  <c:v>95.947265625</c:v>
                </c:pt>
                <c:pt idx="15">
                  <c:v>87.890625</c:v>
                </c:pt>
                <c:pt idx="16">
                  <c:v>85.9375</c:v>
                </c:pt>
                <c:pt idx="17">
                  <c:v>86.181640625</c:v>
                </c:pt>
                <c:pt idx="18">
                  <c:v>86.669921875</c:v>
                </c:pt>
                <c:pt idx="19">
                  <c:v>87.158203125</c:v>
                </c:pt>
                <c:pt idx="20">
                  <c:v>89.762369791666686</c:v>
                </c:pt>
                <c:pt idx="21">
                  <c:v>91.878255208333314</c:v>
                </c:pt>
                <c:pt idx="22">
                  <c:v>92.529296875</c:v>
                </c:pt>
                <c:pt idx="23">
                  <c:v>92.936197916666686</c:v>
                </c:pt>
                <c:pt idx="24">
                  <c:v>92.447916666666686</c:v>
                </c:pt>
                <c:pt idx="25">
                  <c:v>94.482421875</c:v>
                </c:pt>
                <c:pt idx="26">
                  <c:v>94.807942708333314</c:v>
                </c:pt>
                <c:pt idx="27">
                  <c:v>92.854817708333314</c:v>
                </c:pt>
                <c:pt idx="28">
                  <c:v>89.762369791666686</c:v>
                </c:pt>
                <c:pt idx="29">
                  <c:v>86.100260416666686</c:v>
                </c:pt>
                <c:pt idx="30">
                  <c:v>86.181640625</c:v>
                </c:pt>
                <c:pt idx="31">
                  <c:v>85.611979166666686</c:v>
                </c:pt>
                <c:pt idx="32">
                  <c:v>82.356770833333314</c:v>
                </c:pt>
                <c:pt idx="33">
                  <c:v>79.833984375</c:v>
                </c:pt>
                <c:pt idx="34">
                  <c:v>77.229817708333314</c:v>
                </c:pt>
                <c:pt idx="35">
                  <c:v>73.486328125</c:v>
                </c:pt>
                <c:pt idx="36">
                  <c:v>67.545572916666686</c:v>
                </c:pt>
                <c:pt idx="37">
                  <c:v>59.08203125</c:v>
                </c:pt>
                <c:pt idx="38">
                  <c:v>55.419921875</c:v>
                </c:pt>
                <c:pt idx="39">
                  <c:v>54.117838541666657</c:v>
                </c:pt>
                <c:pt idx="40">
                  <c:v>62.255859375</c:v>
                </c:pt>
                <c:pt idx="41">
                  <c:v>76.985677083333314</c:v>
                </c:pt>
                <c:pt idx="42">
                  <c:v>94.075520833333314</c:v>
                </c:pt>
                <c:pt idx="43">
                  <c:v>109.78190104166669</c:v>
                </c:pt>
                <c:pt idx="44">
                  <c:v>126.38346354166664</c:v>
                </c:pt>
                <c:pt idx="45">
                  <c:v>147.705078125</c:v>
                </c:pt>
                <c:pt idx="46">
                  <c:v>160.72591145833337</c:v>
                </c:pt>
                <c:pt idx="47">
                  <c:v>165.12044270833337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FC-4A16-AE98-A4D4465491C0}"/>
            </c:ext>
          </c:extLst>
        </c:ser>
        <c:ser>
          <c:idx val="5"/>
          <c:order val="5"/>
          <c:tx>
            <c:strRef>
              <c:f>'SEC Benches Data'!$ER$3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Data'!$EY$5:$EY$52</c:f>
              <c:numCache>
                <c:formatCode>0</c:formatCode>
                <c:ptCount val="48"/>
                <c:pt idx="0">
                  <c:v>105.408</c:v>
                </c:pt>
                <c:pt idx="1">
                  <c:v>112.752</c:v>
                </c:pt>
                <c:pt idx="2">
                  <c:v>113.61599999999999</c:v>
                </c:pt>
                <c:pt idx="3">
                  <c:v>113.61599999999999</c:v>
                </c:pt>
                <c:pt idx="4">
                  <c:v>124.41599999999998</c:v>
                </c:pt>
                <c:pt idx="5">
                  <c:v>115.48799999999997</c:v>
                </c:pt>
                <c:pt idx="6">
                  <c:v>118.58399999999999</c:v>
                </c:pt>
                <c:pt idx="7">
                  <c:v>120.45599999999997</c:v>
                </c:pt>
                <c:pt idx="8">
                  <c:v>122.68799999999999</c:v>
                </c:pt>
                <c:pt idx="9">
                  <c:v>122.25599999999997</c:v>
                </c:pt>
                <c:pt idx="10">
                  <c:v>115.48799999999997</c:v>
                </c:pt>
                <c:pt idx="11">
                  <c:v>109.36799999999998</c:v>
                </c:pt>
                <c:pt idx="12">
                  <c:v>102.52799999999999</c:v>
                </c:pt>
                <c:pt idx="13">
                  <c:v>94.536000000000001</c:v>
                </c:pt>
                <c:pt idx="14">
                  <c:v>84.887999999999991</c:v>
                </c:pt>
                <c:pt idx="15">
                  <c:v>77.759999999999991</c:v>
                </c:pt>
                <c:pt idx="16">
                  <c:v>76.031999999999982</c:v>
                </c:pt>
                <c:pt idx="17">
                  <c:v>76.24799999999999</c:v>
                </c:pt>
                <c:pt idx="18">
                  <c:v>76.679999999999993</c:v>
                </c:pt>
                <c:pt idx="19">
                  <c:v>77.111999999999981</c:v>
                </c:pt>
                <c:pt idx="20">
                  <c:v>79.415999999999983</c:v>
                </c:pt>
                <c:pt idx="21">
                  <c:v>81.287999999999997</c:v>
                </c:pt>
                <c:pt idx="22">
                  <c:v>81.86399999999999</c:v>
                </c:pt>
                <c:pt idx="23">
                  <c:v>82.22399999999999</c:v>
                </c:pt>
                <c:pt idx="24">
                  <c:v>81.791999999999987</c:v>
                </c:pt>
                <c:pt idx="25">
                  <c:v>83.591999999999999</c:v>
                </c:pt>
                <c:pt idx="26">
                  <c:v>83.879999999999981</c:v>
                </c:pt>
                <c:pt idx="27">
                  <c:v>82.151999999999987</c:v>
                </c:pt>
                <c:pt idx="28">
                  <c:v>79.415999999999983</c:v>
                </c:pt>
                <c:pt idx="29">
                  <c:v>76.175999999999988</c:v>
                </c:pt>
                <c:pt idx="30">
                  <c:v>76.24799999999999</c:v>
                </c:pt>
                <c:pt idx="31">
                  <c:v>75.744</c:v>
                </c:pt>
                <c:pt idx="32">
                  <c:v>72.86399999999999</c:v>
                </c:pt>
                <c:pt idx="33">
                  <c:v>70.631999999999991</c:v>
                </c:pt>
                <c:pt idx="34">
                  <c:v>68.327999999999989</c:v>
                </c:pt>
                <c:pt idx="35">
                  <c:v>65.015999999999991</c:v>
                </c:pt>
                <c:pt idx="36">
                  <c:v>59.759999999999991</c:v>
                </c:pt>
                <c:pt idx="37">
                  <c:v>52.271999999999991</c:v>
                </c:pt>
                <c:pt idx="38">
                  <c:v>49.031999999999989</c:v>
                </c:pt>
                <c:pt idx="39">
                  <c:v>47.879999999999995</c:v>
                </c:pt>
                <c:pt idx="40">
                  <c:v>55.08</c:v>
                </c:pt>
                <c:pt idx="41">
                  <c:v>68.111999999999995</c:v>
                </c:pt>
                <c:pt idx="42">
                  <c:v>83.231999999999999</c:v>
                </c:pt>
                <c:pt idx="43">
                  <c:v>97.128</c:v>
                </c:pt>
                <c:pt idx="44">
                  <c:v>111.81599999999999</c:v>
                </c:pt>
                <c:pt idx="45">
                  <c:v>130.67999999999998</c:v>
                </c:pt>
                <c:pt idx="46">
                  <c:v>142.19999999999999</c:v>
                </c:pt>
                <c:pt idx="47">
                  <c:v>146.08799999999999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FC-4A16-AE98-A4D4465491C0}"/>
            </c:ext>
          </c:extLst>
        </c:ser>
        <c:ser>
          <c:idx val="6"/>
          <c:order val="6"/>
          <c:tx>
            <c:strRef>
              <c:f>'SEC Benches Data'!$ES$3</c:f>
              <c:strCache>
                <c:ptCount val="1"/>
                <c:pt idx="0">
                  <c:v>Ideal Capacity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Data'!$ES$5:$ES$52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FC-4A16-AE98-A4D446549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30912"/>
        <c:axId val="566346368"/>
        <c:extLst/>
      </c:lineChart>
      <c:dateAx>
        <c:axId val="568330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66346368"/>
        <c:crosses val="autoZero"/>
        <c:auto val="1"/>
        <c:lblOffset val="100"/>
        <c:baseTimeUnit val="days"/>
      </c:dateAx>
      <c:valAx>
        <c:axId val="56634636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3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985/987/988</a:t>
            </a:r>
            <a:r>
              <a:rPr lang="en-US" baseline="0"/>
              <a:t> T</a:t>
            </a:r>
            <a:r>
              <a:rPr lang="en-US"/>
              <a:t>-Series Reader Bench Loadings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 Benches Data'!$EM$3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Data'!$EZ$5:$EZ$52</c:f>
              <c:numCache>
                <c:formatCode>0</c:formatCode>
                <c:ptCount val="48"/>
                <c:pt idx="0">
                  <c:v>95.5</c:v>
                </c:pt>
                <c:pt idx="1">
                  <c:v>99</c:v>
                </c:pt>
                <c:pt idx="2">
                  <c:v>105.5</c:v>
                </c:pt>
                <c:pt idx="3">
                  <c:v>104.5</c:v>
                </c:pt>
                <c:pt idx="4">
                  <c:v>113</c:v>
                </c:pt>
                <c:pt idx="5">
                  <c:v>117</c:v>
                </c:pt>
                <c:pt idx="6">
                  <c:v>121</c:v>
                </c:pt>
                <c:pt idx="7">
                  <c:v>121</c:v>
                </c:pt>
                <c:pt idx="8">
                  <c:v>125.5</c:v>
                </c:pt>
                <c:pt idx="9">
                  <c:v>109</c:v>
                </c:pt>
                <c:pt idx="10">
                  <c:v>63</c:v>
                </c:pt>
                <c:pt idx="11">
                  <c:v>51</c:v>
                </c:pt>
                <c:pt idx="12">
                  <c:v>45</c:v>
                </c:pt>
                <c:pt idx="13">
                  <c:v>46.5</c:v>
                </c:pt>
                <c:pt idx="14">
                  <c:v>57.5</c:v>
                </c:pt>
                <c:pt idx="15">
                  <c:v>51.5</c:v>
                </c:pt>
                <c:pt idx="16">
                  <c:v>54</c:v>
                </c:pt>
                <c:pt idx="17">
                  <c:v>57</c:v>
                </c:pt>
                <c:pt idx="18">
                  <c:v>58.5</c:v>
                </c:pt>
                <c:pt idx="19">
                  <c:v>49.5</c:v>
                </c:pt>
                <c:pt idx="20">
                  <c:v>49.5</c:v>
                </c:pt>
                <c:pt idx="21" formatCode="General">
                  <c:v>50.5</c:v>
                </c:pt>
                <c:pt idx="22">
                  <c:v>59</c:v>
                </c:pt>
                <c:pt idx="23">
                  <c:v>75</c:v>
                </c:pt>
                <c:pt idx="24">
                  <c:v>70</c:v>
                </c:pt>
                <c:pt idx="25">
                  <c:v>71</c:v>
                </c:pt>
                <c:pt idx="26">
                  <c:v>70.5</c:v>
                </c:pt>
                <c:pt idx="27">
                  <c:v>65.5</c:v>
                </c:pt>
                <c:pt idx="28">
                  <c:v>66</c:v>
                </c:pt>
                <c:pt idx="29">
                  <c:v>60</c:v>
                </c:pt>
                <c:pt idx="30">
                  <c:v>71</c:v>
                </c:pt>
                <c:pt idx="31">
                  <c:v>71.5</c:v>
                </c:pt>
                <c:pt idx="32">
                  <c:v>62.5</c:v>
                </c:pt>
                <c:pt idx="33">
                  <c:v>53.5</c:v>
                </c:pt>
                <c:pt idx="34">
                  <c:v>56</c:v>
                </c:pt>
                <c:pt idx="35">
                  <c:v>56.666666666666664</c:v>
                </c:pt>
                <c:pt idx="36">
                  <c:v>43</c:v>
                </c:pt>
                <c:pt idx="37">
                  <c:v>43</c:v>
                </c:pt>
                <c:pt idx="38">
                  <c:v>33.5</c:v>
                </c:pt>
                <c:pt idx="39">
                  <c:v>35.666666666666664</c:v>
                </c:pt>
                <c:pt idx="40">
                  <c:v>49.666666666666664</c:v>
                </c:pt>
                <c:pt idx="41">
                  <c:v>86</c:v>
                </c:pt>
                <c:pt idx="42">
                  <c:v>85.666666666666671</c:v>
                </c:pt>
                <c:pt idx="43">
                  <c:v>76.333333333333329</c:v>
                </c:pt>
                <c:pt idx="44">
                  <c:v>43.333333333333336</c:v>
                </c:pt>
                <c:pt idx="45">
                  <c:v>23.666666666666668</c:v>
                </c:pt>
                <c:pt idx="46">
                  <c:v>28.666666666666668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FA-46BF-A9EF-141A215FBBEC}"/>
            </c:ext>
          </c:extLst>
        </c:ser>
        <c:ser>
          <c:idx val="1"/>
          <c:order val="1"/>
          <c:tx>
            <c:strRef>
              <c:f>'SEC Benches Data'!$EN$3</c:f>
              <c:strCache>
                <c:ptCount val="1"/>
                <c:pt idx="0">
                  <c:v>14 - 26 Wks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  <c:extLst xmlns:c15="http://schemas.microsoft.com/office/drawing/2012/chart"/>
            </c:numRef>
          </c:cat>
          <c:val>
            <c:numRef>
              <c:f>'SEC Benches Data'!$EN$5:$EN$26</c:f>
              <c:numCache>
                <c:formatCode>0</c:formatCode>
                <c:ptCount val="22"/>
                <c:pt idx="19">
                  <c:v>46</c:v>
                </c:pt>
                <c:pt idx="20">
                  <c:v>46.375</c:v>
                </c:pt>
                <c:pt idx="21">
                  <c:v>51.25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BFA-46BF-A9EF-141A215FBBEC}"/>
            </c:ext>
          </c:extLst>
        </c:ser>
        <c:ser>
          <c:idx val="2"/>
          <c:order val="2"/>
          <c:tx>
            <c:strRef>
              <c:f>'SEC Benches Data'!$EO$3</c:f>
              <c:strCache>
                <c:ptCount val="1"/>
                <c:pt idx="0">
                  <c:v>14 - 26 Wks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Data'!$FB$5:$FB$52</c:f>
              <c:numCache>
                <c:formatCode>0</c:formatCode>
                <c:ptCount val="48"/>
                <c:pt idx="19">
                  <c:v>62</c:v>
                </c:pt>
                <c:pt idx="20">
                  <c:v>62</c:v>
                </c:pt>
                <c:pt idx="21">
                  <c:v>59</c:v>
                </c:pt>
                <c:pt idx="22">
                  <c:v>53</c:v>
                </c:pt>
                <c:pt idx="23">
                  <c:v>58</c:v>
                </c:pt>
                <c:pt idx="24">
                  <c:v>59</c:v>
                </c:pt>
                <c:pt idx="25">
                  <c:v>55.5</c:v>
                </c:pt>
                <c:pt idx="26">
                  <c:v>53</c:v>
                </c:pt>
                <c:pt idx="27">
                  <c:v>45</c:v>
                </c:pt>
                <c:pt idx="28">
                  <c:v>45.5</c:v>
                </c:pt>
                <c:pt idx="29">
                  <c:v>72</c:v>
                </c:pt>
                <c:pt idx="30">
                  <c:v>69</c:v>
                </c:pt>
                <c:pt idx="31">
                  <c:v>56.5</c:v>
                </c:pt>
                <c:pt idx="32">
                  <c:v>81</c:v>
                </c:pt>
                <c:pt idx="33">
                  <c:v>64.2</c:v>
                </c:pt>
                <c:pt idx="34">
                  <c:v>52.4</c:v>
                </c:pt>
                <c:pt idx="35">
                  <c:v>47.599999999999994</c:v>
                </c:pt>
                <c:pt idx="36">
                  <c:v>53.2</c:v>
                </c:pt>
                <c:pt idx="37">
                  <c:v>39.6</c:v>
                </c:pt>
                <c:pt idx="38">
                  <c:v>42.199999999999996</c:v>
                </c:pt>
                <c:pt idx="39">
                  <c:v>39.799999999999997</c:v>
                </c:pt>
                <c:pt idx="40">
                  <c:v>75.199999999999989</c:v>
                </c:pt>
                <c:pt idx="41">
                  <c:v>77.199999999999989</c:v>
                </c:pt>
                <c:pt idx="42">
                  <c:v>60</c:v>
                </c:pt>
                <c:pt idx="43">
                  <c:v>61.999999999999993</c:v>
                </c:pt>
                <c:pt idx="44">
                  <c:v>44.800000000000004</c:v>
                </c:pt>
                <c:pt idx="45">
                  <c:v>23.6</c:v>
                </c:pt>
                <c:pt idx="46">
                  <c:v>18.399999999999999</c:v>
                </c:pt>
                <c:pt idx="47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FA-46BF-A9EF-141A215FBBEC}"/>
            </c:ext>
          </c:extLst>
        </c:ser>
        <c:ser>
          <c:idx val="3"/>
          <c:order val="3"/>
          <c:tx>
            <c:strRef>
              <c:f>'SEC Benches Data'!$EP$3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Data'!$FC$5:$FC$52</c:f>
              <c:numCache>
                <c:formatCode>0</c:formatCode>
                <c:ptCount val="48"/>
                <c:pt idx="0">
                  <c:v>149.06556799999998</c:v>
                </c:pt>
                <c:pt idx="1">
                  <c:v>154.52870399999998</c:v>
                </c:pt>
                <c:pt idx="2">
                  <c:v>164.67452799999995</c:v>
                </c:pt>
                <c:pt idx="3">
                  <c:v>163.11363199999994</c:v>
                </c:pt>
                <c:pt idx="4">
                  <c:v>176.38124799999994</c:v>
                </c:pt>
                <c:pt idx="5">
                  <c:v>165.06475199999997</c:v>
                </c:pt>
                <c:pt idx="6">
                  <c:v>171.69855999999999</c:v>
                </c:pt>
                <c:pt idx="7">
                  <c:v>177.42184533333329</c:v>
                </c:pt>
                <c:pt idx="8">
                  <c:v>182.62483199999997</c:v>
                </c:pt>
                <c:pt idx="9">
                  <c:v>183.79550399999999</c:v>
                </c:pt>
                <c:pt idx="10">
                  <c:v>170.78803733333331</c:v>
                </c:pt>
                <c:pt idx="11">
                  <c:v>153.6181813333333</c:v>
                </c:pt>
                <c:pt idx="12">
                  <c:v>133.84683199999998</c:v>
                </c:pt>
                <c:pt idx="13">
                  <c:v>114.46570666666663</c:v>
                </c:pt>
                <c:pt idx="14">
                  <c:v>96.77555199999999</c:v>
                </c:pt>
                <c:pt idx="15">
                  <c:v>81.816965333333314</c:v>
                </c:pt>
                <c:pt idx="16">
                  <c:v>79.475621333333322</c:v>
                </c:pt>
                <c:pt idx="17">
                  <c:v>81.036517333333322</c:v>
                </c:pt>
                <c:pt idx="18">
                  <c:v>84.54853333333331</c:v>
                </c:pt>
                <c:pt idx="19">
                  <c:v>85.328981333333303</c:v>
                </c:pt>
                <c:pt idx="20">
                  <c:v>83.247786666666656</c:v>
                </c:pt>
                <c:pt idx="21">
                  <c:v>82.987637333333311</c:v>
                </c:pt>
                <c:pt idx="22">
                  <c:v>84.288383999999979</c:v>
                </c:pt>
                <c:pt idx="23">
                  <c:v>88.971071999999978</c:v>
                </c:pt>
                <c:pt idx="24">
                  <c:v>91.962789333333291</c:v>
                </c:pt>
                <c:pt idx="25">
                  <c:v>97.555999999999983</c:v>
                </c:pt>
                <c:pt idx="26">
                  <c:v>103.01913599999996</c:v>
                </c:pt>
                <c:pt idx="27">
                  <c:v>106.92137599999998</c:v>
                </c:pt>
                <c:pt idx="28">
                  <c:v>108.74242133333333</c:v>
                </c:pt>
                <c:pt idx="29">
                  <c:v>104.84018133333332</c:v>
                </c:pt>
                <c:pt idx="30">
                  <c:v>105.10033066666664</c:v>
                </c:pt>
                <c:pt idx="31">
                  <c:v>105.23040533333331</c:v>
                </c:pt>
                <c:pt idx="32">
                  <c:v>103.14921066666663</c:v>
                </c:pt>
                <c:pt idx="33">
                  <c:v>100.02741866666663</c:v>
                </c:pt>
                <c:pt idx="34">
                  <c:v>97.425925333333311</c:v>
                </c:pt>
                <c:pt idx="35">
                  <c:v>96.558760888888884</c:v>
                </c:pt>
                <c:pt idx="36">
                  <c:v>89.274579555555547</c:v>
                </c:pt>
                <c:pt idx="37">
                  <c:v>81.860323555555524</c:v>
                </c:pt>
                <c:pt idx="38">
                  <c:v>74.315992888888857</c:v>
                </c:pt>
                <c:pt idx="39">
                  <c:v>69.676663111111083</c:v>
                </c:pt>
                <c:pt idx="40">
                  <c:v>68.029050666666649</c:v>
                </c:pt>
                <c:pt idx="41">
                  <c:v>75.660097777777764</c:v>
                </c:pt>
                <c:pt idx="42">
                  <c:v>86.759802666666644</c:v>
                </c:pt>
                <c:pt idx="43">
                  <c:v>95.431447111111083</c:v>
                </c:pt>
                <c:pt idx="44">
                  <c:v>97.989582222222182</c:v>
                </c:pt>
                <c:pt idx="45">
                  <c:v>94.867790222222197</c:v>
                </c:pt>
                <c:pt idx="46">
                  <c:v>89.404654222222206</c:v>
                </c:pt>
                <c:pt idx="47">
                  <c:v>80.438173866666645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FA-46BF-A9EF-141A215FBBEC}"/>
            </c:ext>
          </c:extLst>
        </c:ser>
        <c:ser>
          <c:idx val="4"/>
          <c:order val="4"/>
          <c:tx>
            <c:strRef>
              <c:f>'SEC Benches Data'!$EQ$3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Data'!$FD$5:$FD$52</c:f>
              <c:numCache>
                <c:formatCode>0</c:formatCode>
                <c:ptCount val="48"/>
                <c:pt idx="0">
                  <c:v>186.5234375</c:v>
                </c:pt>
                <c:pt idx="1">
                  <c:v>193.359375</c:v>
                </c:pt>
                <c:pt idx="2">
                  <c:v>206.0546875</c:v>
                </c:pt>
                <c:pt idx="3">
                  <c:v>204.1015625</c:v>
                </c:pt>
                <c:pt idx="4">
                  <c:v>220.703125</c:v>
                </c:pt>
                <c:pt idx="5">
                  <c:v>206.54296875</c:v>
                </c:pt>
                <c:pt idx="6">
                  <c:v>214.84375</c:v>
                </c:pt>
                <c:pt idx="7">
                  <c:v>222.00520833333337</c:v>
                </c:pt>
                <c:pt idx="8">
                  <c:v>228.515625</c:v>
                </c:pt>
                <c:pt idx="9">
                  <c:v>229.98046875</c:v>
                </c:pt>
                <c:pt idx="10">
                  <c:v>213.70442708333337</c:v>
                </c:pt>
                <c:pt idx="11">
                  <c:v>192.22005208333337</c:v>
                </c:pt>
                <c:pt idx="12">
                  <c:v>167.48046875</c:v>
                </c:pt>
                <c:pt idx="13">
                  <c:v>143.22916666666663</c:v>
                </c:pt>
                <c:pt idx="14">
                  <c:v>121.09375</c:v>
                </c:pt>
                <c:pt idx="15">
                  <c:v>102.37630208333331</c:v>
                </c:pt>
                <c:pt idx="16">
                  <c:v>99.446614583333314</c:v>
                </c:pt>
                <c:pt idx="17">
                  <c:v>101.39973958333331</c:v>
                </c:pt>
                <c:pt idx="18">
                  <c:v>105.79427083333331</c:v>
                </c:pt>
                <c:pt idx="19">
                  <c:v>106.77083333333331</c:v>
                </c:pt>
                <c:pt idx="20">
                  <c:v>104.16666666666669</c:v>
                </c:pt>
                <c:pt idx="21">
                  <c:v>103.84114583333331</c:v>
                </c:pt>
                <c:pt idx="22">
                  <c:v>105.46875</c:v>
                </c:pt>
                <c:pt idx="23">
                  <c:v>111.328125</c:v>
                </c:pt>
                <c:pt idx="24">
                  <c:v>115.07161458333331</c:v>
                </c:pt>
                <c:pt idx="25">
                  <c:v>122.0703125</c:v>
                </c:pt>
                <c:pt idx="26">
                  <c:v>128.90625</c:v>
                </c:pt>
                <c:pt idx="27">
                  <c:v>133.7890625</c:v>
                </c:pt>
                <c:pt idx="28">
                  <c:v>136.06770833333337</c:v>
                </c:pt>
                <c:pt idx="29">
                  <c:v>131.18489583333337</c:v>
                </c:pt>
                <c:pt idx="30">
                  <c:v>131.51041666666663</c:v>
                </c:pt>
                <c:pt idx="31">
                  <c:v>131.67317708333337</c:v>
                </c:pt>
                <c:pt idx="32">
                  <c:v>129.06901041666663</c:v>
                </c:pt>
                <c:pt idx="33">
                  <c:v>125.16276041666664</c:v>
                </c:pt>
                <c:pt idx="34">
                  <c:v>121.90755208333331</c:v>
                </c:pt>
                <c:pt idx="35">
                  <c:v>120.82248263888889</c:v>
                </c:pt>
                <c:pt idx="36">
                  <c:v>111.70789930555556</c:v>
                </c:pt>
                <c:pt idx="37">
                  <c:v>102.43055555555554</c:v>
                </c:pt>
                <c:pt idx="38">
                  <c:v>92.990451388888886</c:v>
                </c:pt>
                <c:pt idx="39">
                  <c:v>87.185329861111114</c:v>
                </c:pt>
                <c:pt idx="40">
                  <c:v>85.123697916666686</c:v>
                </c:pt>
                <c:pt idx="41">
                  <c:v>94.672309027777786</c:v>
                </c:pt>
                <c:pt idx="42">
                  <c:v>108.56119791666669</c:v>
                </c:pt>
                <c:pt idx="43">
                  <c:v>119.41189236111111</c:v>
                </c:pt>
                <c:pt idx="44">
                  <c:v>122.61284722222221</c:v>
                </c:pt>
                <c:pt idx="45">
                  <c:v>118.70659722222221</c:v>
                </c:pt>
                <c:pt idx="46">
                  <c:v>111.87065972222223</c:v>
                </c:pt>
                <c:pt idx="47">
                  <c:v>100.65104166666669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FA-46BF-A9EF-141A215FBBEC}"/>
            </c:ext>
          </c:extLst>
        </c:ser>
        <c:ser>
          <c:idx val="5"/>
          <c:order val="5"/>
          <c:tx>
            <c:strRef>
              <c:f>'SEC Benches Data'!$ER$3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Data'!$FE$5:$FE$52</c:f>
              <c:numCache>
                <c:formatCode>0</c:formatCode>
                <c:ptCount val="48"/>
                <c:pt idx="0">
                  <c:v>165.02399999999997</c:v>
                </c:pt>
                <c:pt idx="1">
                  <c:v>171.072</c:v>
                </c:pt>
                <c:pt idx="2">
                  <c:v>182.30399999999997</c:v>
                </c:pt>
                <c:pt idx="3">
                  <c:v>180.57599999999999</c:v>
                </c:pt>
                <c:pt idx="4">
                  <c:v>195.26399999999998</c:v>
                </c:pt>
                <c:pt idx="5">
                  <c:v>182.73599999999996</c:v>
                </c:pt>
                <c:pt idx="6">
                  <c:v>190.08</c:v>
                </c:pt>
                <c:pt idx="7">
                  <c:v>196.416</c:v>
                </c:pt>
                <c:pt idx="8">
                  <c:v>202.17599999999999</c:v>
                </c:pt>
                <c:pt idx="9">
                  <c:v>203.47199999999995</c:v>
                </c:pt>
                <c:pt idx="10">
                  <c:v>189.072</c:v>
                </c:pt>
                <c:pt idx="11">
                  <c:v>170.06399999999999</c:v>
                </c:pt>
                <c:pt idx="12">
                  <c:v>148.17599999999999</c:v>
                </c:pt>
                <c:pt idx="13">
                  <c:v>126.71999999999997</c:v>
                </c:pt>
                <c:pt idx="14">
                  <c:v>107.13599999999998</c:v>
                </c:pt>
                <c:pt idx="15">
                  <c:v>90.575999999999979</c:v>
                </c:pt>
                <c:pt idx="16">
                  <c:v>87.983999999999995</c:v>
                </c:pt>
                <c:pt idx="17">
                  <c:v>89.711999999999989</c:v>
                </c:pt>
                <c:pt idx="18">
                  <c:v>93.6</c:v>
                </c:pt>
                <c:pt idx="19">
                  <c:v>94.463999999999984</c:v>
                </c:pt>
                <c:pt idx="20">
                  <c:v>92.16</c:v>
                </c:pt>
                <c:pt idx="21">
                  <c:v>91.871999999999986</c:v>
                </c:pt>
                <c:pt idx="22">
                  <c:v>93.311999999999983</c:v>
                </c:pt>
                <c:pt idx="23">
                  <c:v>98.495999999999981</c:v>
                </c:pt>
                <c:pt idx="24">
                  <c:v>101.80799999999998</c:v>
                </c:pt>
                <c:pt idx="25">
                  <c:v>108</c:v>
                </c:pt>
                <c:pt idx="26">
                  <c:v>114.048</c:v>
                </c:pt>
                <c:pt idx="27">
                  <c:v>118.36799999999999</c:v>
                </c:pt>
                <c:pt idx="28">
                  <c:v>120.384</c:v>
                </c:pt>
                <c:pt idx="29">
                  <c:v>116.06400000000001</c:v>
                </c:pt>
                <c:pt idx="30">
                  <c:v>116.35199999999999</c:v>
                </c:pt>
                <c:pt idx="31">
                  <c:v>116.496</c:v>
                </c:pt>
                <c:pt idx="32">
                  <c:v>114.19199999999999</c:v>
                </c:pt>
                <c:pt idx="33">
                  <c:v>110.73599999999998</c:v>
                </c:pt>
                <c:pt idx="34">
                  <c:v>107.85599999999998</c:v>
                </c:pt>
                <c:pt idx="35">
                  <c:v>106.896</c:v>
                </c:pt>
                <c:pt idx="36">
                  <c:v>98.831999999999994</c:v>
                </c:pt>
                <c:pt idx="37">
                  <c:v>90.623999999999981</c:v>
                </c:pt>
                <c:pt idx="38">
                  <c:v>82.271999999999977</c:v>
                </c:pt>
                <c:pt idx="39">
                  <c:v>77.135999999999981</c:v>
                </c:pt>
                <c:pt idx="40">
                  <c:v>75.311999999999998</c:v>
                </c:pt>
                <c:pt idx="41">
                  <c:v>83.759999999999991</c:v>
                </c:pt>
                <c:pt idx="42">
                  <c:v>96.048000000000002</c:v>
                </c:pt>
                <c:pt idx="43">
                  <c:v>105.64799999999998</c:v>
                </c:pt>
                <c:pt idx="44">
                  <c:v>108.47999999999999</c:v>
                </c:pt>
                <c:pt idx="45">
                  <c:v>105.02399999999997</c:v>
                </c:pt>
                <c:pt idx="46">
                  <c:v>98.975999999999999</c:v>
                </c:pt>
                <c:pt idx="47">
                  <c:v>89.049599999999998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FA-46BF-A9EF-141A215FBBEC}"/>
            </c:ext>
          </c:extLst>
        </c:ser>
        <c:ser>
          <c:idx val="6"/>
          <c:order val="6"/>
          <c:tx>
            <c:strRef>
              <c:f>'SEC Benches Data'!$ES$3</c:f>
              <c:strCache>
                <c:ptCount val="1"/>
                <c:pt idx="0">
                  <c:v>Ideal Capacity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Data'!$ES$5:$ES$52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FA-46BF-A9EF-141A215FB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30912"/>
        <c:axId val="566346368"/>
        <c:extLst/>
      </c:lineChart>
      <c:dateAx>
        <c:axId val="568330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66346368"/>
        <c:crosses val="autoZero"/>
        <c:auto val="1"/>
        <c:lblOffset val="100"/>
        <c:baseTimeUnit val="days"/>
      </c:dateAx>
      <c:valAx>
        <c:axId val="56634636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3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2 Day Energizer</a:t>
            </a:r>
            <a:r>
              <a:rPr lang="en-NZ" baseline="0"/>
              <a:t> Bench Loadings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 Benches Data'!$K$3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Data'!$K$5:$K$52</c:f>
              <c:numCache>
                <c:formatCode>0</c:formatCode>
                <c:ptCount val="48"/>
                <c:pt idx="0">
                  <c:v>26.375</c:v>
                </c:pt>
                <c:pt idx="1">
                  <c:v>29.75</c:v>
                </c:pt>
                <c:pt idx="2">
                  <c:v>30</c:v>
                </c:pt>
                <c:pt idx="3">
                  <c:v>33.125</c:v>
                </c:pt>
                <c:pt idx="4">
                  <c:v>30.25</c:v>
                </c:pt>
                <c:pt idx="5">
                  <c:v>31</c:v>
                </c:pt>
                <c:pt idx="6">
                  <c:v>30.125</c:v>
                </c:pt>
                <c:pt idx="7">
                  <c:v>30.125</c:v>
                </c:pt>
                <c:pt idx="8">
                  <c:v>30.375</c:v>
                </c:pt>
                <c:pt idx="9">
                  <c:v>32.375</c:v>
                </c:pt>
                <c:pt idx="10">
                  <c:v>33</c:v>
                </c:pt>
                <c:pt idx="11">
                  <c:v>29.375</c:v>
                </c:pt>
                <c:pt idx="12">
                  <c:v>28.125</c:v>
                </c:pt>
                <c:pt idx="13">
                  <c:v>28.25</c:v>
                </c:pt>
                <c:pt idx="14">
                  <c:v>23.625</c:v>
                </c:pt>
                <c:pt idx="15">
                  <c:v>24</c:v>
                </c:pt>
                <c:pt idx="16">
                  <c:v>25.375</c:v>
                </c:pt>
                <c:pt idx="17">
                  <c:v>25.375</c:v>
                </c:pt>
                <c:pt idx="18">
                  <c:v>26.25</c:v>
                </c:pt>
                <c:pt idx="19">
                  <c:v>25.25</c:v>
                </c:pt>
                <c:pt idx="20">
                  <c:v>24</c:v>
                </c:pt>
                <c:pt idx="21" formatCode="General">
                  <c:v>49</c:v>
                </c:pt>
                <c:pt idx="22" formatCode="General">
                  <c:v>55</c:v>
                </c:pt>
                <c:pt idx="23" formatCode="General">
                  <c:v>52</c:v>
                </c:pt>
                <c:pt idx="24" formatCode="General">
                  <c:v>59</c:v>
                </c:pt>
                <c:pt idx="25" formatCode="General">
                  <c:v>56</c:v>
                </c:pt>
                <c:pt idx="26" formatCode="General">
                  <c:v>50</c:v>
                </c:pt>
                <c:pt idx="27" formatCode="General">
                  <c:v>48.5</c:v>
                </c:pt>
                <c:pt idx="28" formatCode="General">
                  <c:v>45</c:v>
                </c:pt>
                <c:pt idx="29" formatCode="General">
                  <c:v>42</c:v>
                </c:pt>
                <c:pt idx="30" formatCode="General">
                  <c:v>45</c:v>
                </c:pt>
                <c:pt idx="31" formatCode="General">
                  <c:v>51.5</c:v>
                </c:pt>
                <c:pt idx="32" formatCode="General">
                  <c:v>65</c:v>
                </c:pt>
                <c:pt idx="33" formatCode="General">
                  <c:v>68</c:v>
                </c:pt>
                <c:pt idx="34" formatCode="General">
                  <c:v>81.5</c:v>
                </c:pt>
                <c:pt idx="35" formatCode="General">
                  <c:v>100</c:v>
                </c:pt>
                <c:pt idx="36" formatCode="General">
                  <c:v>90</c:v>
                </c:pt>
                <c:pt idx="37" formatCode="General">
                  <c:v>76</c:v>
                </c:pt>
                <c:pt idx="38" formatCode="General">
                  <c:v>70</c:v>
                </c:pt>
                <c:pt idx="39" formatCode="General">
                  <c:v>69</c:v>
                </c:pt>
                <c:pt idx="40" formatCode="General">
                  <c:v>73.5</c:v>
                </c:pt>
                <c:pt idx="41" formatCode="General">
                  <c:v>79</c:v>
                </c:pt>
                <c:pt idx="42" formatCode="General">
                  <c:v>97</c:v>
                </c:pt>
                <c:pt idx="43" formatCode="General">
                  <c:v>109</c:v>
                </c:pt>
                <c:pt idx="44" formatCode="General">
                  <c:v>98</c:v>
                </c:pt>
                <c:pt idx="45" formatCode="General">
                  <c:v>66</c:v>
                </c:pt>
                <c:pt idx="46" formatCode="General">
                  <c:v>60</c:v>
                </c:pt>
                <c:pt idx="47" formatCode="General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6-456E-8C04-703BB7612F2B}"/>
            </c:ext>
          </c:extLst>
        </c:ser>
        <c:ser>
          <c:idx val="2"/>
          <c:order val="2"/>
          <c:tx>
            <c:strRef>
              <c:f>'AM Benches Data'!$AN$3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Data'!$AN$5:$AN$52</c:f>
              <c:numCache>
                <c:formatCode>0</c:formatCode>
                <c:ptCount val="48"/>
                <c:pt idx="19">
                  <c:v>20.399999999999999</c:v>
                </c:pt>
                <c:pt idx="20">
                  <c:v>19.349999999999998</c:v>
                </c:pt>
                <c:pt idx="21">
                  <c:v>49.8</c:v>
                </c:pt>
                <c:pt idx="22">
                  <c:v>43.199999999999996</c:v>
                </c:pt>
                <c:pt idx="23">
                  <c:v>52.8</c:v>
                </c:pt>
                <c:pt idx="24">
                  <c:v>40.799999999999997</c:v>
                </c:pt>
                <c:pt idx="25">
                  <c:v>48</c:v>
                </c:pt>
                <c:pt idx="26">
                  <c:v>44.4</c:v>
                </c:pt>
                <c:pt idx="27">
                  <c:v>36</c:v>
                </c:pt>
                <c:pt idx="28">
                  <c:v>38.4</c:v>
                </c:pt>
                <c:pt idx="29">
                  <c:v>56.4</c:v>
                </c:pt>
                <c:pt idx="30">
                  <c:v>56.4</c:v>
                </c:pt>
                <c:pt idx="31">
                  <c:v>56.4</c:v>
                </c:pt>
                <c:pt idx="32">
                  <c:v>75.599999999999994</c:v>
                </c:pt>
                <c:pt idx="33">
                  <c:v>80.399999999999991</c:v>
                </c:pt>
                <c:pt idx="34">
                  <c:v>78</c:v>
                </c:pt>
                <c:pt idx="35">
                  <c:v>63.599999999999994</c:v>
                </c:pt>
                <c:pt idx="36">
                  <c:v>57.599999999999994</c:v>
                </c:pt>
                <c:pt idx="37">
                  <c:v>64.8</c:v>
                </c:pt>
                <c:pt idx="38">
                  <c:v>55.199999999999996</c:v>
                </c:pt>
                <c:pt idx="39">
                  <c:v>58.8</c:v>
                </c:pt>
                <c:pt idx="40">
                  <c:v>115.19999999999999</c:v>
                </c:pt>
                <c:pt idx="41">
                  <c:v>105.6</c:v>
                </c:pt>
                <c:pt idx="42">
                  <c:v>73.2</c:v>
                </c:pt>
                <c:pt idx="43">
                  <c:v>66</c:v>
                </c:pt>
                <c:pt idx="44">
                  <c:v>81.599999999999994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6-456E-8C04-703BB7612F2B}"/>
            </c:ext>
          </c:extLst>
        </c:ser>
        <c:ser>
          <c:idx val="3"/>
          <c:order val="3"/>
          <c:tx>
            <c:strRef>
              <c:f>'AM Benches Data'!$AO$3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Data'!$AO$5:$AO$52</c:f>
              <c:numCache>
                <c:formatCode>0</c:formatCode>
                <c:ptCount val="48"/>
                <c:pt idx="0">
                  <c:v>41.168631999999988</c:v>
                </c:pt>
                <c:pt idx="1">
                  <c:v>46.436655999999992</c:v>
                </c:pt>
                <c:pt idx="2">
                  <c:v>46.826879999999989</c:v>
                </c:pt>
                <c:pt idx="3">
                  <c:v>51.704679999999989</c:v>
                </c:pt>
                <c:pt idx="4">
                  <c:v>47.217103999999985</c:v>
                </c:pt>
                <c:pt idx="5">
                  <c:v>48.387775999999995</c:v>
                </c:pt>
                <c:pt idx="6">
                  <c:v>47.932514666666656</c:v>
                </c:pt>
                <c:pt idx="7">
                  <c:v>48.030070666666646</c:v>
                </c:pt>
                <c:pt idx="8">
                  <c:v>48.127626666666657</c:v>
                </c:pt>
                <c:pt idx="9">
                  <c:v>47.932514666666656</c:v>
                </c:pt>
                <c:pt idx="10">
                  <c:v>48.647925333333319</c:v>
                </c:pt>
                <c:pt idx="11">
                  <c:v>48.225182666666655</c:v>
                </c:pt>
                <c:pt idx="12">
                  <c:v>47.704883999999993</c:v>
                </c:pt>
                <c:pt idx="13">
                  <c:v>47.217103999999985</c:v>
                </c:pt>
                <c:pt idx="14">
                  <c:v>45.461095999999991</c:v>
                </c:pt>
                <c:pt idx="15">
                  <c:v>43.282345333333325</c:v>
                </c:pt>
                <c:pt idx="16">
                  <c:v>41.298706666666654</c:v>
                </c:pt>
                <c:pt idx="17">
                  <c:v>40.25810933333333</c:v>
                </c:pt>
                <c:pt idx="18">
                  <c:v>39.770329333333329</c:v>
                </c:pt>
                <c:pt idx="19">
                  <c:v>38.989881333333329</c:v>
                </c:pt>
                <c:pt idx="20">
                  <c:v>39.08743733333332</c:v>
                </c:pt>
                <c:pt idx="21">
                  <c:v>45.591170666666649</c:v>
                </c:pt>
                <c:pt idx="22">
                  <c:v>53.298094666666657</c:v>
                </c:pt>
                <c:pt idx="23">
                  <c:v>60.224570666666658</c:v>
                </c:pt>
                <c:pt idx="24">
                  <c:v>68.744461333333319</c:v>
                </c:pt>
                <c:pt idx="25">
                  <c:v>76.744053333333312</c:v>
                </c:pt>
                <c:pt idx="26">
                  <c:v>83.507935999999987</c:v>
                </c:pt>
                <c:pt idx="27">
                  <c:v>83.377861333333314</c:v>
                </c:pt>
                <c:pt idx="28">
                  <c:v>80.776367999999977</c:v>
                </c:pt>
                <c:pt idx="29">
                  <c:v>78.174874666666639</c:v>
                </c:pt>
                <c:pt idx="30">
                  <c:v>74.532783999999992</c:v>
                </c:pt>
                <c:pt idx="31">
                  <c:v>73.362111999999982</c:v>
                </c:pt>
                <c:pt idx="32">
                  <c:v>77.264351999999988</c:v>
                </c:pt>
                <c:pt idx="33">
                  <c:v>82.337263999999976</c:v>
                </c:pt>
                <c:pt idx="34">
                  <c:v>91.832714666666661</c:v>
                </c:pt>
                <c:pt idx="35">
                  <c:v>106.92137599999998</c:v>
                </c:pt>
                <c:pt idx="36">
                  <c:v>118.62809599999999</c:v>
                </c:pt>
                <c:pt idx="37">
                  <c:v>125.00175466666664</c:v>
                </c:pt>
                <c:pt idx="38">
                  <c:v>126.30250133333331</c:v>
                </c:pt>
                <c:pt idx="39">
                  <c:v>126.56265066666664</c:v>
                </c:pt>
                <c:pt idx="40">
                  <c:v>124.48145599999998</c:v>
                </c:pt>
                <c:pt idx="41">
                  <c:v>119.01831999999996</c:v>
                </c:pt>
                <c:pt idx="42">
                  <c:v>120.83936533333332</c:v>
                </c:pt>
                <c:pt idx="43">
                  <c:v>129.42429333333331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6-456E-8C04-703BB7612F2B}"/>
            </c:ext>
          </c:extLst>
        </c:ser>
        <c:ser>
          <c:idx val="4"/>
          <c:order val="4"/>
          <c:tx>
            <c:strRef>
              <c:f>'AM Benches Data'!$AP$3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Data'!$AP$5:$AP$52</c:f>
              <c:numCache>
                <c:formatCode>0</c:formatCode>
                <c:ptCount val="48"/>
                <c:pt idx="0">
                  <c:v>51.513671875</c:v>
                </c:pt>
                <c:pt idx="1">
                  <c:v>58.10546875</c:v>
                </c:pt>
                <c:pt idx="2">
                  <c:v>58.59375</c:v>
                </c:pt>
                <c:pt idx="3">
                  <c:v>64.697265625</c:v>
                </c:pt>
                <c:pt idx="4">
                  <c:v>59.08203125</c:v>
                </c:pt>
                <c:pt idx="5">
                  <c:v>60.546875</c:v>
                </c:pt>
                <c:pt idx="6">
                  <c:v>59.977213541666657</c:v>
                </c:pt>
                <c:pt idx="7">
                  <c:v>60.099283854166657</c:v>
                </c:pt>
                <c:pt idx="8">
                  <c:v>60.221354166666657</c:v>
                </c:pt>
                <c:pt idx="9">
                  <c:v>59.977213541666657</c:v>
                </c:pt>
                <c:pt idx="10">
                  <c:v>60.872395833333343</c:v>
                </c:pt>
                <c:pt idx="11">
                  <c:v>60.343424479166657</c:v>
                </c:pt>
                <c:pt idx="12">
                  <c:v>59.6923828125</c:v>
                </c:pt>
                <c:pt idx="13">
                  <c:v>59.08203125</c:v>
                </c:pt>
                <c:pt idx="14">
                  <c:v>56.884765625</c:v>
                </c:pt>
                <c:pt idx="15">
                  <c:v>54.158528645833343</c:v>
                </c:pt>
                <c:pt idx="16">
                  <c:v>51.676432291666657</c:v>
                </c:pt>
                <c:pt idx="17">
                  <c:v>50.374348958333343</c:v>
                </c:pt>
                <c:pt idx="18">
                  <c:v>49.763997395833343</c:v>
                </c:pt>
                <c:pt idx="19">
                  <c:v>48.787434895833343</c:v>
                </c:pt>
                <c:pt idx="20">
                  <c:v>48.909505208333343</c:v>
                </c:pt>
                <c:pt idx="21">
                  <c:v>57.047526041666657</c:v>
                </c:pt>
                <c:pt idx="22">
                  <c:v>66.691080729166686</c:v>
                </c:pt>
                <c:pt idx="23">
                  <c:v>75.358072916666686</c:v>
                </c:pt>
                <c:pt idx="24">
                  <c:v>86.018880208333314</c:v>
                </c:pt>
                <c:pt idx="25">
                  <c:v>96.028645833333314</c:v>
                </c:pt>
                <c:pt idx="26">
                  <c:v>104.4921875</c:v>
                </c:pt>
                <c:pt idx="27">
                  <c:v>104.32942708333331</c:v>
                </c:pt>
                <c:pt idx="28">
                  <c:v>101.07421875</c:v>
                </c:pt>
                <c:pt idx="29">
                  <c:v>97.819010416666686</c:v>
                </c:pt>
                <c:pt idx="30">
                  <c:v>93.26171875</c:v>
                </c:pt>
                <c:pt idx="31">
                  <c:v>91.796875</c:v>
                </c:pt>
                <c:pt idx="32">
                  <c:v>96.6796875</c:v>
                </c:pt>
                <c:pt idx="33">
                  <c:v>103.02734375</c:v>
                </c:pt>
                <c:pt idx="34">
                  <c:v>114.90885416666669</c:v>
                </c:pt>
                <c:pt idx="35">
                  <c:v>133.7890625</c:v>
                </c:pt>
                <c:pt idx="36">
                  <c:v>148.4375</c:v>
                </c:pt>
                <c:pt idx="37">
                  <c:v>156.41276041666663</c:v>
                </c:pt>
                <c:pt idx="38">
                  <c:v>158.04036458333337</c:v>
                </c:pt>
                <c:pt idx="39">
                  <c:v>158.36588541666663</c:v>
                </c:pt>
                <c:pt idx="40">
                  <c:v>155.76171875</c:v>
                </c:pt>
                <c:pt idx="41">
                  <c:v>148.92578125</c:v>
                </c:pt>
                <c:pt idx="42">
                  <c:v>151.20442708333337</c:v>
                </c:pt>
                <c:pt idx="43">
                  <c:v>161.94661458333337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96-456E-8C04-703BB7612F2B}"/>
            </c:ext>
          </c:extLst>
        </c:ser>
        <c:ser>
          <c:idx val="5"/>
          <c:order val="5"/>
          <c:tx>
            <c:strRef>
              <c:f>'AM Benches Data'!$AQ$3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Data'!$AQ$5:$AQ$52</c:f>
              <c:numCache>
                <c:formatCode>0</c:formatCode>
                <c:ptCount val="48"/>
                <c:pt idx="0">
                  <c:v>45.575999999999993</c:v>
                </c:pt>
                <c:pt idx="1">
                  <c:v>51.407999999999994</c:v>
                </c:pt>
                <c:pt idx="2">
                  <c:v>51.839999999999996</c:v>
                </c:pt>
                <c:pt idx="3">
                  <c:v>57.239999999999995</c:v>
                </c:pt>
                <c:pt idx="4">
                  <c:v>52.271999999999991</c:v>
                </c:pt>
                <c:pt idx="5">
                  <c:v>53.567999999999991</c:v>
                </c:pt>
                <c:pt idx="6">
                  <c:v>53.063999999999986</c:v>
                </c:pt>
                <c:pt idx="7">
                  <c:v>53.17199999999999</c:v>
                </c:pt>
                <c:pt idx="8">
                  <c:v>53.279999999999994</c:v>
                </c:pt>
                <c:pt idx="9">
                  <c:v>53.063999999999986</c:v>
                </c:pt>
                <c:pt idx="10">
                  <c:v>53.855999999999995</c:v>
                </c:pt>
                <c:pt idx="11">
                  <c:v>53.387999999999991</c:v>
                </c:pt>
                <c:pt idx="12">
                  <c:v>52.811999999999998</c:v>
                </c:pt>
                <c:pt idx="13">
                  <c:v>52.271999999999991</c:v>
                </c:pt>
                <c:pt idx="14">
                  <c:v>50.327999999999989</c:v>
                </c:pt>
                <c:pt idx="15">
                  <c:v>47.915999999999997</c:v>
                </c:pt>
                <c:pt idx="16">
                  <c:v>45.719999999999992</c:v>
                </c:pt>
                <c:pt idx="17">
                  <c:v>44.567999999999998</c:v>
                </c:pt>
                <c:pt idx="18">
                  <c:v>44.027999999999999</c:v>
                </c:pt>
                <c:pt idx="19">
                  <c:v>43.163999999999994</c:v>
                </c:pt>
                <c:pt idx="20">
                  <c:v>43.271999999999998</c:v>
                </c:pt>
                <c:pt idx="21">
                  <c:v>50.471999999999994</c:v>
                </c:pt>
                <c:pt idx="22">
                  <c:v>59.003999999999998</c:v>
                </c:pt>
                <c:pt idx="23">
                  <c:v>66.671999999999997</c:v>
                </c:pt>
                <c:pt idx="24">
                  <c:v>76.103999999999985</c:v>
                </c:pt>
                <c:pt idx="25">
                  <c:v>84.95999999999998</c:v>
                </c:pt>
                <c:pt idx="26">
                  <c:v>92.448000000000008</c:v>
                </c:pt>
                <c:pt idx="27">
                  <c:v>92.303999999999988</c:v>
                </c:pt>
                <c:pt idx="28">
                  <c:v>89.423999999999992</c:v>
                </c:pt>
                <c:pt idx="29">
                  <c:v>86.543999999999997</c:v>
                </c:pt>
                <c:pt idx="30">
                  <c:v>82.511999999999986</c:v>
                </c:pt>
                <c:pt idx="31">
                  <c:v>81.215999999999994</c:v>
                </c:pt>
                <c:pt idx="32">
                  <c:v>85.536000000000001</c:v>
                </c:pt>
                <c:pt idx="33">
                  <c:v>91.151999999999987</c:v>
                </c:pt>
                <c:pt idx="34">
                  <c:v>101.66399999999997</c:v>
                </c:pt>
                <c:pt idx="35">
                  <c:v>118.36799999999999</c:v>
                </c:pt>
                <c:pt idx="36">
                  <c:v>131.328</c:v>
                </c:pt>
                <c:pt idx="37">
                  <c:v>138.38399999999999</c:v>
                </c:pt>
                <c:pt idx="38">
                  <c:v>139.82400000000001</c:v>
                </c:pt>
                <c:pt idx="39">
                  <c:v>140.11199999999999</c:v>
                </c:pt>
                <c:pt idx="40">
                  <c:v>137.80799999999999</c:v>
                </c:pt>
                <c:pt idx="41">
                  <c:v>131.76</c:v>
                </c:pt>
                <c:pt idx="42">
                  <c:v>133.77600000000001</c:v>
                </c:pt>
                <c:pt idx="43">
                  <c:v>143.27999999999997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96-456E-8C04-703BB7612F2B}"/>
            </c:ext>
          </c:extLst>
        </c:ser>
        <c:ser>
          <c:idx val="6"/>
          <c:order val="6"/>
          <c:tx>
            <c:strRef>
              <c:f>'AM Benches Data'!$AR$3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Data'!$AR$5:$AR$52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96-456E-8C04-703BB7612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931232"/>
        <c:axId val="9215100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'AM Benches Data'!$U$3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'AM Benches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'AM Benches Data'!$U$5:$U$25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17</c:v>
                      </c:pt>
                      <c:pt idx="20">
                        <c:v>16.125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E96-456E-8C04-703BB7612F2B}"/>
                  </c:ext>
                </c:extLst>
              </c15:ser>
            </c15:filteredLineSeries>
          </c:ext>
        </c:extLst>
      </c:lineChart>
      <c:dateAx>
        <c:axId val="1142931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510064"/>
        <c:crosses val="autoZero"/>
        <c:auto val="1"/>
        <c:lblOffset val="100"/>
        <c:baseTimeUnit val="days"/>
      </c:dateAx>
      <c:valAx>
        <c:axId val="921510064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3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AM Pooled Labour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 Benches Data'!$K$3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Data'!$AD$5:$AD$52</c:f>
              <c:numCache>
                <c:formatCode>General</c:formatCode>
                <c:ptCount val="48"/>
                <c:pt idx="19">
                  <c:v>78</c:v>
                </c:pt>
                <c:pt idx="20">
                  <c:v>78</c:v>
                </c:pt>
                <c:pt idx="21">
                  <c:v>81</c:v>
                </c:pt>
                <c:pt idx="22">
                  <c:v>89</c:v>
                </c:pt>
                <c:pt idx="23">
                  <c:v>99</c:v>
                </c:pt>
                <c:pt idx="24">
                  <c:v>116</c:v>
                </c:pt>
                <c:pt idx="25">
                  <c:v>110</c:v>
                </c:pt>
                <c:pt idx="26">
                  <c:v>110</c:v>
                </c:pt>
                <c:pt idx="27">
                  <c:v>102</c:v>
                </c:pt>
                <c:pt idx="28">
                  <c:v>98</c:v>
                </c:pt>
                <c:pt idx="29">
                  <c:v>104</c:v>
                </c:pt>
                <c:pt idx="30">
                  <c:v>115</c:v>
                </c:pt>
                <c:pt idx="31">
                  <c:v>113</c:v>
                </c:pt>
                <c:pt idx="32">
                  <c:v>106</c:v>
                </c:pt>
                <c:pt idx="33">
                  <c:v>101</c:v>
                </c:pt>
                <c:pt idx="34">
                  <c:v>134</c:v>
                </c:pt>
                <c:pt idx="35">
                  <c:v>153</c:v>
                </c:pt>
                <c:pt idx="36">
                  <c:v>126</c:v>
                </c:pt>
                <c:pt idx="37">
                  <c:v>103</c:v>
                </c:pt>
                <c:pt idx="38">
                  <c:v>104</c:v>
                </c:pt>
                <c:pt idx="39">
                  <c:v>95</c:v>
                </c:pt>
                <c:pt idx="40">
                  <c:v>107</c:v>
                </c:pt>
                <c:pt idx="41">
                  <c:v>94</c:v>
                </c:pt>
                <c:pt idx="42">
                  <c:v>112</c:v>
                </c:pt>
                <c:pt idx="43">
                  <c:v>125</c:v>
                </c:pt>
                <c:pt idx="44">
                  <c:v>113</c:v>
                </c:pt>
                <c:pt idx="45">
                  <c:v>113</c:v>
                </c:pt>
                <c:pt idx="47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B-4FBF-B8F5-5689BC5B5C9B}"/>
            </c:ext>
          </c:extLst>
        </c:ser>
        <c:ser>
          <c:idx val="2"/>
          <c:order val="2"/>
          <c:tx>
            <c:strRef>
              <c:f>'AM Benches Data'!$AN$3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Data'!$EM$5:$EM$52</c:f>
              <c:numCache>
                <c:formatCode>General</c:formatCode>
                <c:ptCount val="48"/>
                <c:pt idx="19">
                  <c:v>75.599999999999994</c:v>
                </c:pt>
                <c:pt idx="20">
                  <c:v>75.599999999999994</c:v>
                </c:pt>
                <c:pt idx="21">
                  <c:v>88.8</c:v>
                </c:pt>
                <c:pt idx="22">
                  <c:v>74.399999999999991</c:v>
                </c:pt>
                <c:pt idx="23">
                  <c:v>112.8</c:v>
                </c:pt>
                <c:pt idx="24">
                  <c:v>87.6</c:v>
                </c:pt>
                <c:pt idx="25">
                  <c:v>99.6</c:v>
                </c:pt>
                <c:pt idx="26">
                  <c:v>92.399999999999991</c:v>
                </c:pt>
                <c:pt idx="27">
                  <c:v>67.2</c:v>
                </c:pt>
                <c:pt idx="28">
                  <c:v>73.2</c:v>
                </c:pt>
                <c:pt idx="29">
                  <c:v>96</c:v>
                </c:pt>
                <c:pt idx="30">
                  <c:v>109.2</c:v>
                </c:pt>
                <c:pt idx="31">
                  <c:v>104.39999999999999</c:v>
                </c:pt>
                <c:pt idx="32">
                  <c:v>112.8</c:v>
                </c:pt>
                <c:pt idx="33">
                  <c:v>114</c:v>
                </c:pt>
                <c:pt idx="34">
                  <c:v>128.4</c:v>
                </c:pt>
                <c:pt idx="35">
                  <c:v>108</c:v>
                </c:pt>
                <c:pt idx="36">
                  <c:v>92.399999999999991</c:v>
                </c:pt>
                <c:pt idx="37">
                  <c:v>102</c:v>
                </c:pt>
                <c:pt idx="38">
                  <c:v>84</c:v>
                </c:pt>
                <c:pt idx="39">
                  <c:v>96</c:v>
                </c:pt>
                <c:pt idx="40">
                  <c:v>122.39999999999999</c:v>
                </c:pt>
                <c:pt idx="41">
                  <c:v>116.39999999999999</c:v>
                </c:pt>
                <c:pt idx="42">
                  <c:v>102</c:v>
                </c:pt>
                <c:pt idx="43">
                  <c:v>105.6</c:v>
                </c:pt>
                <c:pt idx="44">
                  <c:v>88.8</c:v>
                </c:pt>
                <c:pt idx="45">
                  <c:v>74.399999999999991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B-4FBF-B8F5-5689BC5B5C9B}"/>
            </c:ext>
          </c:extLst>
        </c:ser>
        <c:ser>
          <c:idx val="3"/>
          <c:order val="3"/>
          <c:tx>
            <c:strRef>
              <c:f>'AM Benches Data'!$AO$3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Data'!$EN$5:$EN$52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121.74988799999997</c:v>
                </c:pt>
                <c:pt idx="20">
                  <c:v>121.74988799999997</c:v>
                </c:pt>
                <c:pt idx="21">
                  <c:v>123.31078399999998</c:v>
                </c:pt>
                <c:pt idx="22">
                  <c:v>127.21302399999998</c:v>
                </c:pt>
                <c:pt idx="23">
                  <c:v>132.67615999999998</c:v>
                </c:pt>
                <c:pt idx="24">
                  <c:v>140.74078933333331</c:v>
                </c:pt>
                <c:pt idx="25">
                  <c:v>149.06556799999998</c:v>
                </c:pt>
                <c:pt idx="26">
                  <c:v>157.3903466666666</c:v>
                </c:pt>
                <c:pt idx="27">
                  <c:v>162.85348266666665</c:v>
                </c:pt>
                <c:pt idx="28">
                  <c:v>165.19482666666661</c:v>
                </c:pt>
                <c:pt idx="29">
                  <c:v>166.49557333333331</c:v>
                </c:pt>
                <c:pt idx="30">
                  <c:v>166.23542399999994</c:v>
                </c:pt>
                <c:pt idx="31">
                  <c:v>167.01587199999997</c:v>
                </c:pt>
                <c:pt idx="32">
                  <c:v>165.97527466666662</c:v>
                </c:pt>
                <c:pt idx="33">
                  <c:v>165.71512533333333</c:v>
                </c:pt>
                <c:pt idx="34">
                  <c:v>175.08050133333333</c:v>
                </c:pt>
                <c:pt idx="35">
                  <c:v>187.82781866666662</c:v>
                </c:pt>
                <c:pt idx="36">
                  <c:v>190.6894613333333</c:v>
                </c:pt>
                <c:pt idx="37">
                  <c:v>188.08796799999999</c:v>
                </c:pt>
                <c:pt idx="38">
                  <c:v>187.5676693333333</c:v>
                </c:pt>
                <c:pt idx="39">
                  <c:v>186.00677333333329</c:v>
                </c:pt>
                <c:pt idx="40">
                  <c:v>178.98274133333328</c:v>
                </c:pt>
                <c:pt idx="41">
                  <c:v>163.63393066666663</c:v>
                </c:pt>
                <c:pt idx="42">
                  <c:v>159.99183999999997</c:v>
                </c:pt>
                <c:pt idx="43">
                  <c:v>165.71512533333333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BB-4FBF-B8F5-5689BC5B5C9B}"/>
            </c:ext>
          </c:extLst>
        </c:ser>
        <c:ser>
          <c:idx val="4"/>
          <c:order val="4"/>
          <c:tx>
            <c:strRef>
              <c:f>'AM Benches Data'!$AP$3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Data'!$EO$5:$EO$52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152.34375</c:v>
                </c:pt>
                <c:pt idx="20">
                  <c:v>152.34375</c:v>
                </c:pt>
                <c:pt idx="21">
                  <c:v>154.296875</c:v>
                </c:pt>
                <c:pt idx="22">
                  <c:v>159.1796875</c:v>
                </c:pt>
                <c:pt idx="23">
                  <c:v>166.015625</c:v>
                </c:pt>
                <c:pt idx="24">
                  <c:v>176.10677083333337</c:v>
                </c:pt>
                <c:pt idx="25">
                  <c:v>186.5234375</c:v>
                </c:pt>
                <c:pt idx="26">
                  <c:v>196.94010416666663</c:v>
                </c:pt>
                <c:pt idx="27">
                  <c:v>203.77604166666663</c:v>
                </c:pt>
                <c:pt idx="28">
                  <c:v>206.70572916666663</c:v>
                </c:pt>
                <c:pt idx="29">
                  <c:v>208.33333333333337</c:v>
                </c:pt>
                <c:pt idx="30">
                  <c:v>208.0078125</c:v>
                </c:pt>
                <c:pt idx="31">
                  <c:v>208.984375</c:v>
                </c:pt>
                <c:pt idx="32">
                  <c:v>207.68229166666663</c:v>
                </c:pt>
                <c:pt idx="33">
                  <c:v>207.35677083333337</c:v>
                </c:pt>
                <c:pt idx="34">
                  <c:v>219.07552083333337</c:v>
                </c:pt>
                <c:pt idx="35">
                  <c:v>235.02604166666663</c:v>
                </c:pt>
                <c:pt idx="36">
                  <c:v>238.60677083333337</c:v>
                </c:pt>
                <c:pt idx="37">
                  <c:v>235.3515625</c:v>
                </c:pt>
                <c:pt idx="38">
                  <c:v>234.70052083333337</c:v>
                </c:pt>
                <c:pt idx="39">
                  <c:v>232.74739583333337</c:v>
                </c:pt>
                <c:pt idx="40">
                  <c:v>223.95833333333337</c:v>
                </c:pt>
                <c:pt idx="41">
                  <c:v>204.75260416666663</c:v>
                </c:pt>
                <c:pt idx="42">
                  <c:v>200.1953125</c:v>
                </c:pt>
                <c:pt idx="43">
                  <c:v>207.35677083333337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BB-4FBF-B8F5-5689BC5B5C9B}"/>
            </c:ext>
          </c:extLst>
        </c:ser>
        <c:ser>
          <c:idx val="5"/>
          <c:order val="5"/>
          <c:tx>
            <c:strRef>
              <c:f>'AM Benches Data'!$AQ$3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Data'!$EP$5:$EP$52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134.78399999999999</c:v>
                </c:pt>
                <c:pt idx="20">
                  <c:v>134.78399999999999</c:v>
                </c:pt>
                <c:pt idx="21">
                  <c:v>136.51199999999997</c:v>
                </c:pt>
                <c:pt idx="22">
                  <c:v>140.83199999999997</c:v>
                </c:pt>
                <c:pt idx="23">
                  <c:v>146.88</c:v>
                </c:pt>
                <c:pt idx="24">
                  <c:v>155.80799999999999</c:v>
                </c:pt>
                <c:pt idx="25">
                  <c:v>165.02399999999997</c:v>
                </c:pt>
                <c:pt idx="26">
                  <c:v>174.23999999999998</c:v>
                </c:pt>
                <c:pt idx="27">
                  <c:v>180.28799999999998</c:v>
                </c:pt>
                <c:pt idx="28">
                  <c:v>182.87999999999997</c:v>
                </c:pt>
                <c:pt idx="29">
                  <c:v>184.32</c:v>
                </c:pt>
                <c:pt idx="30">
                  <c:v>184.03199999999998</c:v>
                </c:pt>
                <c:pt idx="31">
                  <c:v>184.89600000000002</c:v>
                </c:pt>
                <c:pt idx="32">
                  <c:v>183.74399999999997</c:v>
                </c:pt>
                <c:pt idx="33">
                  <c:v>183.45599999999999</c:v>
                </c:pt>
                <c:pt idx="34">
                  <c:v>193.82399999999998</c:v>
                </c:pt>
                <c:pt idx="35">
                  <c:v>207.93599999999995</c:v>
                </c:pt>
                <c:pt idx="36">
                  <c:v>211.10399999999998</c:v>
                </c:pt>
                <c:pt idx="37">
                  <c:v>208.22399999999996</c:v>
                </c:pt>
                <c:pt idx="38">
                  <c:v>207.648</c:v>
                </c:pt>
                <c:pt idx="39">
                  <c:v>205.92</c:v>
                </c:pt>
                <c:pt idx="40">
                  <c:v>198.14399999999998</c:v>
                </c:pt>
                <c:pt idx="41">
                  <c:v>181.15199999999996</c:v>
                </c:pt>
                <c:pt idx="42">
                  <c:v>177.11999999999998</c:v>
                </c:pt>
                <c:pt idx="43">
                  <c:v>183.45599999999999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BB-4FBF-B8F5-5689BC5B5C9B}"/>
            </c:ext>
          </c:extLst>
        </c:ser>
        <c:ser>
          <c:idx val="6"/>
          <c:order val="6"/>
          <c:tx>
            <c:strRef>
              <c:f>'AM Benches Data'!$EQ$3</c:f>
              <c:strCache>
                <c:ptCount val="1"/>
                <c:pt idx="0">
                  <c:v>Ideal Target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Data'!$EQ$5:$EQ$52</c:f>
              <c:numCache>
                <c:formatCode>0</c:formatCode>
                <c:ptCount val="4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9-4C8D-8ECE-B3E382AD7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931232"/>
        <c:axId val="9215100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'AM Benches Data'!$U$3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'AM Benches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'AM Benches Data'!$U$5:$U$25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17</c:v>
                      </c:pt>
                      <c:pt idx="20">
                        <c:v>16.125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0BB-4FBF-B8F5-5689BC5B5C9B}"/>
                  </c:ext>
                </c:extLst>
              </c15:ser>
            </c15:filteredLineSeries>
          </c:ext>
        </c:extLst>
      </c:lineChart>
      <c:dateAx>
        <c:axId val="1142931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510064"/>
        <c:crosses val="autoZero"/>
        <c:auto val="1"/>
        <c:lblOffset val="100"/>
        <c:baseTimeUnit val="days"/>
      </c:dateAx>
      <c:valAx>
        <c:axId val="921510064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3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Single Day</a:t>
            </a:r>
            <a:r>
              <a:rPr lang="en-NZ" baseline="0"/>
              <a:t> Solar 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 Benches Data'!$K$3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Data'!$B$5:$B$52</c:f>
              <c:numCache>
                <c:formatCode>General</c:formatCode>
                <c:ptCount val="48"/>
                <c:pt idx="0">
                  <c:v>77</c:v>
                </c:pt>
                <c:pt idx="1">
                  <c:v>79</c:v>
                </c:pt>
                <c:pt idx="2">
                  <c:v>87</c:v>
                </c:pt>
                <c:pt idx="3">
                  <c:v>92</c:v>
                </c:pt>
                <c:pt idx="4">
                  <c:v>85</c:v>
                </c:pt>
                <c:pt idx="5">
                  <c:v>85</c:v>
                </c:pt>
                <c:pt idx="6">
                  <c:v>81</c:v>
                </c:pt>
                <c:pt idx="7">
                  <c:v>81</c:v>
                </c:pt>
                <c:pt idx="8">
                  <c:v>77</c:v>
                </c:pt>
                <c:pt idx="9">
                  <c:v>76</c:v>
                </c:pt>
                <c:pt idx="10">
                  <c:v>78</c:v>
                </c:pt>
                <c:pt idx="11">
                  <c:v>73</c:v>
                </c:pt>
                <c:pt idx="12">
                  <c:v>68</c:v>
                </c:pt>
                <c:pt idx="13">
                  <c:v>76</c:v>
                </c:pt>
                <c:pt idx="14">
                  <c:v>67</c:v>
                </c:pt>
                <c:pt idx="15">
                  <c:v>61</c:v>
                </c:pt>
                <c:pt idx="16">
                  <c:v>66</c:v>
                </c:pt>
                <c:pt idx="17">
                  <c:v>67</c:v>
                </c:pt>
                <c:pt idx="18">
                  <c:v>72</c:v>
                </c:pt>
                <c:pt idx="19">
                  <c:v>66</c:v>
                </c:pt>
                <c:pt idx="20">
                  <c:v>57</c:v>
                </c:pt>
                <c:pt idx="21">
                  <c:v>56</c:v>
                </c:pt>
                <c:pt idx="22">
                  <c:v>63</c:v>
                </c:pt>
                <c:pt idx="23">
                  <c:v>61</c:v>
                </c:pt>
                <c:pt idx="24">
                  <c:v>71</c:v>
                </c:pt>
                <c:pt idx="25">
                  <c:v>75</c:v>
                </c:pt>
                <c:pt idx="26">
                  <c:v>76</c:v>
                </c:pt>
                <c:pt idx="27">
                  <c:v>74</c:v>
                </c:pt>
                <c:pt idx="28">
                  <c:v>75</c:v>
                </c:pt>
                <c:pt idx="29">
                  <c:v>90</c:v>
                </c:pt>
                <c:pt idx="30">
                  <c:v>93</c:v>
                </c:pt>
                <c:pt idx="31">
                  <c:v>55</c:v>
                </c:pt>
                <c:pt idx="32">
                  <c:v>64</c:v>
                </c:pt>
                <c:pt idx="33">
                  <c:v>86</c:v>
                </c:pt>
                <c:pt idx="34">
                  <c:v>115</c:v>
                </c:pt>
                <c:pt idx="35">
                  <c:v>138</c:v>
                </c:pt>
                <c:pt idx="36">
                  <c:v>128</c:v>
                </c:pt>
                <c:pt idx="37">
                  <c:v>123</c:v>
                </c:pt>
                <c:pt idx="38">
                  <c:v>134</c:v>
                </c:pt>
                <c:pt idx="39">
                  <c:v>110</c:v>
                </c:pt>
                <c:pt idx="40">
                  <c:v>122</c:v>
                </c:pt>
                <c:pt idx="41">
                  <c:v>108</c:v>
                </c:pt>
                <c:pt idx="42">
                  <c:v>100</c:v>
                </c:pt>
                <c:pt idx="43">
                  <c:v>125</c:v>
                </c:pt>
                <c:pt idx="44">
                  <c:v>125</c:v>
                </c:pt>
                <c:pt idx="45">
                  <c:v>158</c:v>
                </c:pt>
                <c:pt idx="46">
                  <c:v>156</c:v>
                </c:pt>
                <c:pt idx="47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5-42D8-9F40-EAC5C2533740}"/>
            </c:ext>
          </c:extLst>
        </c:ser>
        <c:ser>
          <c:idx val="2"/>
          <c:order val="2"/>
          <c:tx>
            <c:strRef>
              <c:f>'AM Benches Data'!$AN$3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Data'!$BA$5:$BA$52</c:f>
              <c:numCache>
                <c:formatCode>General</c:formatCode>
                <c:ptCount val="48"/>
                <c:pt idx="19">
                  <c:v>72</c:v>
                </c:pt>
                <c:pt idx="20">
                  <c:v>61.199999999999996</c:v>
                </c:pt>
                <c:pt idx="21">
                  <c:v>55.199999999999996</c:v>
                </c:pt>
                <c:pt idx="22">
                  <c:v>57.599999999999994</c:v>
                </c:pt>
                <c:pt idx="23">
                  <c:v>80.399999999999991</c:v>
                </c:pt>
                <c:pt idx="24">
                  <c:v>63.599999999999994</c:v>
                </c:pt>
                <c:pt idx="25">
                  <c:v>66</c:v>
                </c:pt>
                <c:pt idx="26">
                  <c:v>58.8</c:v>
                </c:pt>
                <c:pt idx="27">
                  <c:v>40.799999999999997</c:v>
                </c:pt>
                <c:pt idx="28">
                  <c:v>45.6</c:v>
                </c:pt>
                <c:pt idx="29">
                  <c:v>60</c:v>
                </c:pt>
                <c:pt idx="30">
                  <c:v>61.199999999999996</c:v>
                </c:pt>
                <c:pt idx="31">
                  <c:v>84</c:v>
                </c:pt>
                <c:pt idx="32">
                  <c:v>99.6</c:v>
                </c:pt>
                <c:pt idx="33">
                  <c:v>102</c:v>
                </c:pt>
                <c:pt idx="34">
                  <c:v>123.6</c:v>
                </c:pt>
                <c:pt idx="35">
                  <c:v>99.6</c:v>
                </c:pt>
                <c:pt idx="36">
                  <c:v>120</c:v>
                </c:pt>
                <c:pt idx="37">
                  <c:v>118.8</c:v>
                </c:pt>
                <c:pt idx="38">
                  <c:v>88.8</c:v>
                </c:pt>
                <c:pt idx="39">
                  <c:v>124.8</c:v>
                </c:pt>
                <c:pt idx="40">
                  <c:v>157.19999999999999</c:v>
                </c:pt>
                <c:pt idx="41">
                  <c:v>114</c:v>
                </c:pt>
                <c:pt idx="42">
                  <c:v>130.79999999999998</c:v>
                </c:pt>
                <c:pt idx="43">
                  <c:v>108</c:v>
                </c:pt>
                <c:pt idx="44">
                  <c:v>99.6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5-42D8-9F40-EAC5C2533740}"/>
            </c:ext>
          </c:extLst>
        </c:ser>
        <c:ser>
          <c:idx val="3"/>
          <c:order val="3"/>
          <c:tx>
            <c:strRef>
              <c:f>'AM Benches Data'!$AO$3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Data'!$BB$5:$BB$52</c:f>
              <c:numCache>
                <c:formatCode>0</c:formatCode>
                <c:ptCount val="48"/>
                <c:pt idx="0">
                  <c:v>120.18899199999997</c:v>
                </c:pt>
                <c:pt idx="1">
                  <c:v>123.31078399999998</c:v>
                </c:pt>
                <c:pt idx="2">
                  <c:v>135.79795199999995</c:v>
                </c:pt>
                <c:pt idx="3">
                  <c:v>143.60243199999999</c:v>
                </c:pt>
                <c:pt idx="4">
                  <c:v>132.67615999999998</c:v>
                </c:pt>
                <c:pt idx="5">
                  <c:v>132.67615999999998</c:v>
                </c:pt>
                <c:pt idx="6">
                  <c:v>132.41601066666664</c:v>
                </c:pt>
                <c:pt idx="7">
                  <c:v>132.9363093333333</c:v>
                </c:pt>
                <c:pt idx="8">
                  <c:v>130.33481599999999</c:v>
                </c:pt>
                <c:pt idx="9">
                  <c:v>126.17242666666662</c:v>
                </c:pt>
                <c:pt idx="10">
                  <c:v>124.35138133333331</c:v>
                </c:pt>
                <c:pt idx="11">
                  <c:v>121.22958933333331</c:v>
                </c:pt>
                <c:pt idx="12">
                  <c:v>117.84764799999999</c:v>
                </c:pt>
                <c:pt idx="13">
                  <c:v>116.54690133333331</c:v>
                </c:pt>
                <c:pt idx="14">
                  <c:v>113.94540799999997</c:v>
                </c:pt>
                <c:pt idx="15">
                  <c:v>110.04316799999998</c:v>
                </c:pt>
                <c:pt idx="16">
                  <c:v>106.92137599999998</c:v>
                </c:pt>
                <c:pt idx="17">
                  <c:v>105.36047999999998</c:v>
                </c:pt>
                <c:pt idx="18">
                  <c:v>106.40107733333332</c:v>
                </c:pt>
                <c:pt idx="19">
                  <c:v>103.799584</c:v>
                </c:pt>
                <c:pt idx="20">
                  <c:v>101.19809066666663</c:v>
                </c:pt>
                <c:pt idx="21">
                  <c:v>99.89734399999999</c:v>
                </c:pt>
                <c:pt idx="22">
                  <c:v>99.116895999999969</c:v>
                </c:pt>
                <c:pt idx="23">
                  <c:v>97.555999999999983</c:v>
                </c:pt>
                <c:pt idx="24">
                  <c:v>97.295850666666638</c:v>
                </c:pt>
                <c:pt idx="25">
                  <c:v>99.637194666666659</c:v>
                </c:pt>
                <c:pt idx="26">
                  <c:v>104.58003199999999</c:v>
                </c:pt>
                <c:pt idx="27">
                  <c:v>109.26271999999997</c:v>
                </c:pt>
                <c:pt idx="28">
                  <c:v>112.38451199999997</c:v>
                </c:pt>
                <c:pt idx="29">
                  <c:v>119.92884266666663</c:v>
                </c:pt>
                <c:pt idx="30">
                  <c:v>125.65212799999998</c:v>
                </c:pt>
                <c:pt idx="31">
                  <c:v>120.44914133333332</c:v>
                </c:pt>
                <c:pt idx="32">
                  <c:v>117.3273493333333</c:v>
                </c:pt>
                <c:pt idx="33">
                  <c:v>120.44914133333332</c:v>
                </c:pt>
                <c:pt idx="34">
                  <c:v>130.85511466666662</c:v>
                </c:pt>
                <c:pt idx="35">
                  <c:v>143.34228266666665</c:v>
                </c:pt>
                <c:pt idx="36">
                  <c:v>152.44750933333333</c:v>
                </c:pt>
                <c:pt idx="37">
                  <c:v>170.137664</c:v>
                </c:pt>
                <c:pt idx="38">
                  <c:v>188.34811733333328</c:v>
                </c:pt>
                <c:pt idx="39">
                  <c:v>194.59170133333328</c:v>
                </c:pt>
                <c:pt idx="40">
                  <c:v>196.41274666666661</c:v>
                </c:pt>
                <c:pt idx="41">
                  <c:v>188.60826666666662</c:v>
                </c:pt>
                <c:pt idx="42">
                  <c:v>181.3240853333333</c:v>
                </c:pt>
                <c:pt idx="43">
                  <c:v>181.84438399999996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5-42D8-9F40-EAC5C2533740}"/>
            </c:ext>
          </c:extLst>
        </c:ser>
        <c:ser>
          <c:idx val="4"/>
          <c:order val="4"/>
          <c:tx>
            <c:strRef>
              <c:f>'AM Benches Data'!$AP$3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Data'!$BC$5:$BC$52</c:f>
              <c:numCache>
                <c:formatCode>0</c:formatCode>
                <c:ptCount val="48"/>
                <c:pt idx="0">
                  <c:v>150.390625</c:v>
                </c:pt>
                <c:pt idx="1">
                  <c:v>154.296875</c:v>
                </c:pt>
                <c:pt idx="2">
                  <c:v>169.921875</c:v>
                </c:pt>
                <c:pt idx="3">
                  <c:v>179.6875</c:v>
                </c:pt>
                <c:pt idx="4">
                  <c:v>166.015625</c:v>
                </c:pt>
                <c:pt idx="5">
                  <c:v>166.015625</c:v>
                </c:pt>
                <c:pt idx="6">
                  <c:v>165.69010416666663</c:v>
                </c:pt>
                <c:pt idx="7">
                  <c:v>166.34114583333337</c:v>
                </c:pt>
                <c:pt idx="8">
                  <c:v>163.0859375</c:v>
                </c:pt>
                <c:pt idx="9">
                  <c:v>157.87760416666663</c:v>
                </c:pt>
                <c:pt idx="10">
                  <c:v>155.59895833333337</c:v>
                </c:pt>
                <c:pt idx="11">
                  <c:v>151.69270833333337</c:v>
                </c:pt>
                <c:pt idx="12">
                  <c:v>147.4609375</c:v>
                </c:pt>
                <c:pt idx="13">
                  <c:v>145.83333333333337</c:v>
                </c:pt>
                <c:pt idx="14">
                  <c:v>142.578125</c:v>
                </c:pt>
                <c:pt idx="15">
                  <c:v>137.6953125</c:v>
                </c:pt>
                <c:pt idx="16">
                  <c:v>133.7890625</c:v>
                </c:pt>
                <c:pt idx="17">
                  <c:v>131.8359375</c:v>
                </c:pt>
                <c:pt idx="18">
                  <c:v>133.13802083333337</c:v>
                </c:pt>
                <c:pt idx="19">
                  <c:v>129.8828125</c:v>
                </c:pt>
                <c:pt idx="20">
                  <c:v>126.62760416666664</c:v>
                </c:pt>
                <c:pt idx="21">
                  <c:v>125</c:v>
                </c:pt>
                <c:pt idx="22">
                  <c:v>124.0234375</c:v>
                </c:pt>
                <c:pt idx="23">
                  <c:v>122.0703125</c:v>
                </c:pt>
                <c:pt idx="24">
                  <c:v>121.74479166666669</c:v>
                </c:pt>
                <c:pt idx="25">
                  <c:v>124.67447916666669</c:v>
                </c:pt>
                <c:pt idx="26">
                  <c:v>130.859375</c:v>
                </c:pt>
                <c:pt idx="27">
                  <c:v>136.71875</c:v>
                </c:pt>
                <c:pt idx="28">
                  <c:v>140.625</c:v>
                </c:pt>
                <c:pt idx="29">
                  <c:v>150.06510416666663</c:v>
                </c:pt>
                <c:pt idx="30">
                  <c:v>157.2265625</c:v>
                </c:pt>
                <c:pt idx="31">
                  <c:v>150.71614583333337</c:v>
                </c:pt>
                <c:pt idx="32">
                  <c:v>146.80989583333337</c:v>
                </c:pt>
                <c:pt idx="33">
                  <c:v>150.71614583333337</c:v>
                </c:pt>
                <c:pt idx="34">
                  <c:v>163.73697916666663</c:v>
                </c:pt>
                <c:pt idx="35">
                  <c:v>179.36197916666663</c:v>
                </c:pt>
                <c:pt idx="36">
                  <c:v>190.75520833333337</c:v>
                </c:pt>
                <c:pt idx="37">
                  <c:v>212.890625</c:v>
                </c:pt>
                <c:pt idx="38">
                  <c:v>235.67708333333337</c:v>
                </c:pt>
                <c:pt idx="39">
                  <c:v>243.48958333333337</c:v>
                </c:pt>
                <c:pt idx="40">
                  <c:v>245.76822916666663</c:v>
                </c:pt>
                <c:pt idx="41">
                  <c:v>236.00260416666663</c:v>
                </c:pt>
                <c:pt idx="42">
                  <c:v>226.88802083333337</c:v>
                </c:pt>
                <c:pt idx="43">
                  <c:v>227.5390625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E5-42D8-9F40-EAC5C2533740}"/>
            </c:ext>
          </c:extLst>
        </c:ser>
        <c:ser>
          <c:idx val="5"/>
          <c:order val="5"/>
          <c:tx>
            <c:strRef>
              <c:f>'AM Benches Data'!$AQ$3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Data'!$BD$5:$BD$52</c:f>
              <c:numCache>
                <c:formatCode>0</c:formatCode>
                <c:ptCount val="48"/>
                <c:pt idx="0">
                  <c:v>133.05599999999998</c:v>
                </c:pt>
                <c:pt idx="1">
                  <c:v>136.51199999999997</c:v>
                </c:pt>
                <c:pt idx="2">
                  <c:v>150.33599999999998</c:v>
                </c:pt>
                <c:pt idx="3">
                  <c:v>158.97599999999997</c:v>
                </c:pt>
                <c:pt idx="4">
                  <c:v>146.88</c:v>
                </c:pt>
                <c:pt idx="5">
                  <c:v>146.88</c:v>
                </c:pt>
                <c:pt idx="6">
                  <c:v>146.59199999999998</c:v>
                </c:pt>
                <c:pt idx="7">
                  <c:v>147.16800000000001</c:v>
                </c:pt>
                <c:pt idx="8">
                  <c:v>144.28799999999998</c:v>
                </c:pt>
                <c:pt idx="9">
                  <c:v>139.67999999999998</c:v>
                </c:pt>
                <c:pt idx="10">
                  <c:v>137.66400000000002</c:v>
                </c:pt>
                <c:pt idx="11">
                  <c:v>134.208</c:v>
                </c:pt>
                <c:pt idx="12">
                  <c:v>130.46399999999997</c:v>
                </c:pt>
                <c:pt idx="13">
                  <c:v>129.024</c:v>
                </c:pt>
                <c:pt idx="14">
                  <c:v>126.14399999999998</c:v>
                </c:pt>
                <c:pt idx="15">
                  <c:v>121.82399999999998</c:v>
                </c:pt>
                <c:pt idx="16">
                  <c:v>118.36799999999999</c:v>
                </c:pt>
                <c:pt idx="17">
                  <c:v>116.64</c:v>
                </c:pt>
                <c:pt idx="18">
                  <c:v>117.79199999999999</c:v>
                </c:pt>
                <c:pt idx="19">
                  <c:v>114.91199999999999</c:v>
                </c:pt>
                <c:pt idx="20">
                  <c:v>112.032</c:v>
                </c:pt>
                <c:pt idx="21">
                  <c:v>110.592</c:v>
                </c:pt>
                <c:pt idx="22">
                  <c:v>109.72799999999999</c:v>
                </c:pt>
                <c:pt idx="23">
                  <c:v>108</c:v>
                </c:pt>
                <c:pt idx="24">
                  <c:v>107.71199999999999</c:v>
                </c:pt>
                <c:pt idx="25">
                  <c:v>110.30399999999999</c:v>
                </c:pt>
                <c:pt idx="26">
                  <c:v>115.77599999999998</c:v>
                </c:pt>
                <c:pt idx="27">
                  <c:v>120.96</c:v>
                </c:pt>
                <c:pt idx="28">
                  <c:v>124.41599999999998</c:v>
                </c:pt>
                <c:pt idx="29">
                  <c:v>132.76799999999997</c:v>
                </c:pt>
                <c:pt idx="30">
                  <c:v>139.10399999999998</c:v>
                </c:pt>
                <c:pt idx="31">
                  <c:v>133.34399999999999</c:v>
                </c:pt>
                <c:pt idx="32">
                  <c:v>129.88799999999998</c:v>
                </c:pt>
                <c:pt idx="33">
                  <c:v>133.34399999999999</c:v>
                </c:pt>
                <c:pt idx="34">
                  <c:v>144.86399999999998</c:v>
                </c:pt>
                <c:pt idx="35">
                  <c:v>158.68799999999996</c:v>
                </c:pt>
                <c:pt idx="36">
                  <c:v>168.76799999999997</c:v>
                </c:pt>
                <c:pt idx="37">
                  <c:v>188.35199999999998</c:v>
                </c:pt>
                <c:pt idx="38">
                  <c:v>208.51200000000003</c:v>
                </c:pt>
                <c:pt idx="39">
                  <c:v>215.42399999999998</c:v>
                </c:pt>
                <c:pt idx="40">
                  <c:v>217.43999999999997</c:v>
                </c:pt>
                <c:pt idx="41">
                  <c:v>208.79999999999998</c:v>
                </c:pt>
                <c:pt idx="42">
                  <c:v>200.73599999999999</c:v>
                </c:pt>
                <c:pt idx="43">
                  <c:v>201.31199999999995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E5-42D8-9F40-EAC5C2533740}"/>
            </c:ext>
          </c:extLst>
        </c:ser>
        <c:ser>
          <c:idx val="6"/>
          <c:order val="6"/>
          <c:tx>
            <c:strRef>
              <c:f>'AM Benches Data'!$AR$3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Data'!$AR$5:$AR$52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E5-42D8-9F40-EAC5C2533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931232"/>
        <c:axId val="9215100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'AM Benches Data'!$U$3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'AM Benches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'AM Benches Data'!$U$5:$U$25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17</c:v>
                      </c:pt>
                      <c:pt idx="20">
                        <c:v>16.125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7E5-42D8-9F40-EAC5C2533740}"/>
                  </c:ext>
                </c:extLst>
              </c15:ser>
            </c15:filteredLineSeries>
          </c:ext>
        </c:extLst>
      </c:lineChart>
      <c:dateAx>
        <c:axId val="11429312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21510064"/>
        <c:crosses val="autoZero"/>
        <c:auto val="1"/>
        <c:lblOffset val="100"/>
        <c:baseTimeUnit val="days"/>
      </c:dateAx>
      <c:valAx>
        <c:axId val="921510064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3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Single Day and Weighscale Family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'AM Benches Data'!$K$3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Data'!$AS$5:$AS$52</c:f>
              <c:numCache>
                <c:formatCode>0</c:formatCode>
                <c:ptCount val="48"/>
                <c:pt idx="0">
                  <c:v>44.666666666666664</c:v>
                </c:pt>
                <c:pt idx="1">
                  <c:v>42.666666666666664</c:v>
                </c:pt>
                <c:pt idx="2">
                  <c:v>37.333333333333336</c:v>
                </c:pt>
                <c:pt idx="3">
                  <c:v>37</c:v>
                </c:pt>
                <c:pt idx="4">
                  <c:v>30.333333333333332</c:v>
                </c:pt>
                <c:pt idx="5">
                  <c:v>33.666666666666664</c:v>
                </c:pt>
                <c:pt idx="6">
                  <c:v>30.666666666666668</c:v>
                </c:pt>
                <c:pt idx="7">
                  <c:v>30.666666666666668</c:v>
                </c:pt>
                <c:pt idx="8">
                  <c:v>34.666666666666664</c:v>
                </c:pt>
                <c:pt idx="9">
                  <c:v>39.333333333333336</c:v>
                </c:pt>
                <c:pt idx="10">
                  <c:v>40</c:v>
                </c:pt>
                <c:pt idx="11">
                  <c:v>38.333333333333336</c:v>
                </c:pt>
                <c:pt idx="12">
                  <c:v>36</c:v>
                </c:pt>
                <c:pt idx="13">
                  <c:v>35.333333333333336</c:v>
                </c:pt>
                <c:pt idx="14">
                  <c:v>31</c:v>
                </c:pt>
                <c:pt idx="15">
                  <c:v>31</c:v>
                </c:pt>
                <c:pt idx="16">
                  <c:v>34.333333333333336</c:v>
                </c:pt>
                <c:pt idx="17">
                  <c:v>38.666666666666664</c:v>
                </c:pt>
                <c:pt idx="18">
                  <c:v>37</c:v>
                </c:pt>
                <c:pt idx="19">
                  <c:v>33.333333333333336</c:v>
                </c:pt>
                <c:pt idx="20">
                  <c:v>34.666666666666664</c:v>
                </c:pt>
                <c:pt idx="21">
                  <c:v>26.666666666666668</c:v>
                </c:pt>
                <c:pt idx="22">
                  <c:v>28</c:v>
                </c:pt>
                <c:pt idx="23">
                  <c:v>32</c:v>
                </c:pt>
                <c:pt idx="24">
                  <c:v>36</c:v>
                </c:pt>
                <c:pt idx="25">
                  <c:v>47</c:v>
                </c:pt>
                <c:pt idx="26">
                  <c:v>56</c:v>
                </c:pt>
                <c:pt idx="27">
                  <c:v>54.5</c:v>
                </c:pt>
                <c:pt idx="28">
                  <c:v>52.5</c:v>
                </c:pt>
                <c:pt idx="29">
                  <c:v>58.5</c:v>
                </c:pt>
                <c:pt idx="30">
                  <c:v>56.5</c:v>
                </c:pt>
                <c:pt idx="31">
                  <c:v>79.5</c:v>
                </c:pt>
                <c:pt idx="32">
                  <c:v>74.5</c:v>
                </c:pt>
                <c:pt idx="33">
                  <c:v>55.5</c:v>
                </c:pt>
                <c:pt idx="34">
                  <c:v>63</c:v>
                </c:pt>
                <c:pt idx="35">
                  <c:v>55.5</c:v>
                </c:pt>
                <c:pt idx="36">
                  <c:v>60</c:v>
                </c:pt>
                <c:pt idx="37">
                  <c:v>47.5</c:v>
                </c:pt>
                <c:pt idx="38">
                  <c:v>51.5</c:v>
                </c:pt>
                <c:pt idx="39">
                  <c:v>66.5</c:v>
                </c:pt>
                <c:pt idx="40">
                  <c:v>76.5</c:v>
                </c:pt>
                <c:pt idx="41">
                  <c:v>50</c:v>
                </c:pt>
                <c:pt idx="42">
                  <c:v>40</c:v>
                </c:pt>
                <c:pt idx="43">
                  <c:v>37.5</c:v>
                </c:pt>
                <c:pt idx="44">
                  <c:v>62.5</c:v>
                </c:pt>
                <c:pt idx="45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E-48A6-82C9-345E8B792ACA}"/>
            </c:ext>
          </c:extLst>
        </c:ser>
        <c:ser>
          <c:idx val="2"/>
          <c:order val="2"/>
          <c:tx>
            <c:strRef>
              <c:f>'AM Benches Data'!$AN$3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Data'!$AU$5:$AU$52</c:f>
              <c:numCache>
                <c:formatCode>0</c:formatCode>
                <c:ptCount val="48"/>
                <c:pt idx="19">
                  <c:v>26.4</c:v>
                </c:pt>
                <c:pt idx="20">
                  <c:v>29.199999999999996</c:v>
                </c:pt>
                <c:pt idx="21">
                  <c:v>33.6</c:v>
                </c:pt>
                <c:pt idx="22">
                  <c:v>27.2</c:v>
                </c:pt>
                <c:pt idx="23">
                  <c:v>38</c:v>
                </c:pt>
                <c:pt idx="24">
                  <c:v>27.2</c:v>
                </c:pt>
                <c:pt idx="25">
                  <c:v>53.4</c:v>
                </c:pt>
                <c:pt idx="26">
                  <c:v>49.199999999999996</c:v>
                </c:pt>
                <c:pt idx="27">
                  <c:v>39</c:v>
                </c:pt>
                <c:pt idx="28">
                  <c:v>42</c:v>
                </c:pt>
                <c:pt idx="29">
                  <c:v>43.199999999999996</c:v>
                </c:pt>
                <c:pt idx="30">
                  <c:v>45.6</c:v>
                </c:pt>
                <c:pt idx="31">
                  <c:v>39.6</c:v>
                </c:pt>
                <c:pt idx="32">
                  <c:v>41.4</c:v>
                </c:pt>
                <c:pt idx="33">
                  <c:v>64.2</c:v>
                </c:pt>
                <c:pt idx="34">
                  <c:v>57.599999999999994</c:v>
                </c:pt>
                <c:pt idx="35">
                  <c:v>57</c:v>
                </c:pt>
                <c:pt idx="36">
                  <c:v>65.399999999999991</c:v>
                </c:pt>
                <c:pt idx="37">
                  <c:v>70.8</c:v>
                </c:pt>
                <c:pt idx="38">
                  <c:v>66</c:v>
                </c:pt>
                <c:pt idx="39">
                  <c:v>70.8</c:v>
                </c:pt>
                <c:pt idx="40">
                  <c:v>60.599999999999994</c:v>
                </c:pt>
                <c:pt idx="41">
                  <c:v>60.599999999999994</c:v>
                </c:pt>
                <c:pt idx="42">
                  <c:v>53.4</c:v>
                </c:pt>
                <c:pt idx="43">
                  <c:v>63.599999999999994</c:v>
                </c:pt>
                <c:pt idx="44">
                  <c:v>54.6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E-48A6-82C9-345E8B792ACA}"/>
            </c:ext>
          </c:extLst>
        </c:ser>
        <c:ser>
          <c:idx val="3"/>
          <c:order val="3"/>
          <c:tx>
            <c:strRef>
              <c:f>'AM Benches Data'!$AO$3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Data'!$AV$5:$AV$52</c:f>
              <c:numCache>
                <c:formatCode>0</c:formatCode>
                <c:ptCount val="48"/>
                <c:pt idx="0">
                  <c:v>69.720021333333321</c:v>
                </c:pt>
                <c:pt idx="1">
                  <c:v>66.598229333333308</c:v>
                </c:pt>
                <c:pt idx="2">
                  <c:v>58.273450666666655</c:v>
                </c:pt>
                <c:pt idx="3">
                  <c:v>57.753151999999986</c:v>
                </c:pt>
                <c:pt idx="4">
                  <c:v>47.347178666666657</c:v>
                </c:pt>
                <c:pt idx="5">
                  <c:v>52.550165333333318</c:v>
                </c:pt>
                <c:pt idx="6">
                  <c:v>47.867477333333326</c:v>
                </c:pt>
                <c:pt idx="7">
                  <c:v>47.867477333333326</c:v>
                </c:pt>
                <c:pt idx="8">
                  <c:v>54.111061333333318</c:v>
                </c:pt>
                <c:pt idx="9">
                  <c:v>61.395242666666661</c:v>
                </c:pt>
                <c:pt idx="10">
                  <c:v>62.435839999999992</c:v>
                </c:pt>
                <c:pt idx="11">
                  <c:v>57.146136888888869</c:v>
                </c:pt>
                <c:pt idx="12">
                  <c:v>56.018823111111097</c:v>
                </c:pt>
                <c:pt idx="13">
                  <c:v>55.064942222222193</c:v>
                </c:pt>
                <c:pt idx="14">
                  <c:v>54.241135999999976</c:v>
                </c:pt>
                <c:pt idx="15">
                  <c:v>53.46068799999999</c:v>
                </c:pt>
                <c:pt idx="16">
                  <c:v>53.980986666666666</c:v>
                </c:pt>
                <c:pt idx="17">
                  <c:v>54.631359999999987</c:v>
                </c:pt>
                <c:pt idx="18">
                  <c:v>55.455166222222218</c:v>
                </c:pt>
                <c:pt idx="19">
                  <c:v>54.679387569230748</c:v>
                </c:pt>
                <c:pt idx="20">
                  <c:v>54.029300114285704</c:v>
                </c:pt>
                <c:pt idx="21">
                  <c:v>52.60566385777777</c:v>
                </c:pt>
                <c:pt idx="22">
                  <c:v>50.800661066666663</c:v>
                </c:pt>
                <c:pt idx="23">
                  <c:v>50.719938258823525</c:v>
                </c:pt>
                <c:pt idx="24">
                  <c:v>50.260851200000012</c:v>
                </c:pt>
                <c:pt idx="25">
                  <c:v>52.960927438596485</c:v>
                </c:pt>
                <c:pt idx="26">
                  <c:v>56.103805226666658</c:v>
                </c:pt>
                <c:pt idx="27">
                  <c:v>58.077719263492064</c:v>
                </c:pt>
                <c:pt idx="28">
                  <c:v>59.706636993939391</c:v>
                </c:pt>
                <c:pt idx="29">
                  <c:v>61.388456162318839</c:v>
                </c:pt>
                <c:pt idx="30">
                  <c:v>63.064534222222235</c:v>
                </c:pt>
                <c:pt idx="31">
                  <c:v>66.925583911111104</c:v>
                </c:pt>
                <c:pt idx="32">
                  <c:v>70.309693155555564</c:v>
                </c:pt>
                <c:pt idx="33">
                  <c:v>74.175078666666664</c:v>
                </c:pt>
                <c:pt idx="34">
                  <c:v>78.428520266666666</c:v>
                </c:pt>
                <c:pt idx="35">
                  <c:v>81.192606933333337</c:v>
                </c:pt>
                <c:pt idx="36">
                  <c:v>85.237929066666666</c:v>
                </c:pt>
                <c:pt idx="37">
                  <c:v>86.402097333333316</c:v>
                </c:pt>
                <c:pt idx="38">
                  <c:v>87.202056533333305</c:v>
                </c:pt>
                <c:pt idx="39">
                  <c:v>90.050691733333309</c:v>
                </c:pt>
                <c:pt idx="40">
                  <c:v>92.821282133333298</c:v>
                </c:pt>
                <c:pt idx="41">
                  <c:v>93.400114399999964</c:v>
                </c:pt>
                <c:pt idx="42">
                  <c:v>92.834289599999963</c:v>
                </c:pt>
                <c:pt idx="43">
                  <c:v>91.663617599999967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9E-48A6-82C9-345E8B792ACA}"/>
            </c:ext>
          </c:extLst>
        </c:ser>
        <c:ser>
          <c:idx val="4"/>
          <c:order val="4"/>
          <c:tx>
            <c:strRef>
              <c:f>'AM Benches Data'!$AP$3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Data'!$AW$5:$AW$52</c:f>
              <c:numCache>
                <c:formatCode>0</c:formatCode>
                <c:ptCount val="48"/>
                <c:pt idx="0">
                  <c:v>87.239583333333314</c:v>
                </c:pt>
                <c:pt idx="1">
                  <c:v>83.333333333333314</c:v>
                </c:pt>
                <c:pt idx="2">
                  <c:v>72.916666666666686</c:v>
                </c:pt>
                <c:pt idx="3">
                  <c:v>72.265625</c:v>
                </c:pt>
                <c:pt idx="4">
                  <c:v>59.244791666666657</c:v>
                </c:pt>
                <c:pt idx="5">
                  <c:v>65.755208333333314</c:v>
                </c:pt>
                <c:pt idx="6">
                  <c:v>59.895833333333343</c:v>
                </c:pt>
                <c:pt idx="7">
                  <c:v>59.895833333333343</c:v>
                </c:pt>
                <c:pt idx="8">
                  <c:v>67.708333333333314</c:v>
                </c:pt>
                <c:pt idx="9">
                  <c:v>76.822916666666686</c:v>
                </c:pt>
                <c:pt idx="10">
                  <c:v>78.125</c:v>
                </c:pt>
                <c:pt idx="11">
                  <c:v>71.506076388888886</c:v>
                </c:pt>
                <c:pt idx="12">
                  <c:v>70.095486111111114</c:v>
                </c:pt>
                <c:pt idx="13">
                  <c:v>68.901909722222214</c:v>
                </c:pt>
                <c:pt idx="14">
                  <c:v>67.871093749999986</c:v>
                </c:pt>
                <c:pt idx="15">
                  <c:v>66.89453125</c:v>
                </c:pt>
                <c:pt idx="16">
                  <c:v>67.545572916666686</c:v>
                </c:pt>
                <c:pt idx="17">
                  <c:v>68.359375</c:v>
                </c:pt>
                <c:pt idx="18">
                  <c:v>69.390190972222229</c:v>
                </c:pt>
                <c:pt idx="19">
                  <c:v>68.41947115384616</c:v>
                </c:pt>
                <c:pt idx="20">
                  <c:v>67.606026785714278</c:v>
                </c:pt>
                <c:pt idx="21">
                  <c:v>65.824652777777786</c:v>
                </c:pt>
                <c:pt idx="22">
                  <c:v>63.566080729166679</c:v>
                </c:pt>
                <c:pt idx="23">
                  <c:v>63.465073529411775</c:v>
                </c:pt>
                <c:pt idx="24">
                  <c:v>62.890625000000014</c:v>
                </c:pt>
                <c:pt idx="25">
                  <c:v>66.269188596491233</c:v>
                </c:pt>
                <c:pt idx="26">
                  <c:v>70.201822916666671</c:v>
                </c:pt>
                <c:pt idx="27">
                  <c:v>72.671750992063522</c:v>
                </c:pt>
                <c:pt idx="28">
                  <c:v>74.709990530303031</c:v>
                </c:pt>
                <c:pt idx="29">
                  <c:v>76.814424818840607</c:v>
                </c:pt>
                <c:pt idx="30">
                  <c:v>78.911675347222257</c:v>
                </c:pt>
                <c:pt idx="31">
                  <c:v>83.742947048611128</c:v>
                </c:pt>
                <c:pt idx="32">
                  <c:v>87.977430555555571</c:v>
                </c:pt>
                <c:pt idx="33">
                  <c:v>92.814127604166686</c:v>
                </c:pt>
                <c:pt idx="34">
                  <c:v>98.136393229166686</c:v>
                </c:pt>
                <c:pt idx="35">
                  <c:v>101.59505208333336</c:v>
                </c:pt>
                <c:pt idx="36">
                  <c:v>106.65690104166669</c:v>
                </c:pt>
                <c:pt idx="37">
                  <c:v>108.11360677083331</c:v>
                </c:pt>
                <c:pt idx="38">
                  <c:v>109.11458333333331</c:v>
                </c:pt>
                <c:pt idx="39">
                  <c:v>112.67903645833336</c:v>
                </c:pt>
                <c:pt idx="40">
                  <c:v>116.14583333333336</c:v>
                </c:pt>
                <c:pt idx="41">
                  <c:v>116.8701171875</c:v>
                </c:pt>
                <c:pt idx="42">
                  <c:v>116.162109375</c:v>
                </c:pt>
                <c:pt idx="43">
                  <c:v>114.697265625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9E-48A6-82C9-345E8B792ACA}"/>
            </c:ext>
          </c:extLst>
        </c:ser>
        <c:ser>
          <c:idx val="5"/>
          <c:order val="5"/>
          <c:tx>
            <c:strRef>
              <c:f>'AM Benches Data'!$AQ$3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Data'!$AX$5:$AX$52</c:f>
              <c:numCache>
                <c:formatCode>0</c:formatCode>
                <c:ptCount val="48"/>
                <c:pt idx="0">
                  <c:v>77.183999999999983</c:v>
                </c:pt>
                <c:pt idx="1">
                  <c:v>73.72799999999998</c:v>
                </c:pt>
                <c:pt idx="2">
                  <c:v>64.512</c:v>
                </c:pt>
                <c:pt idx="3">
                  <c:v>63.935999999999993</c:v>
                </c:pt>
                <c:pt idx="4">
                  <c:v>52.415999999999997</c:v>
                </c:pt>
                <c:pt idx="5">
                  <c:v>58.175999999999995</c:v>
                </c:pt>
                <c:pt idx="6">
                  <c:v>52.991999999999997</c:v>
                </c:pt>
                <c:pt idx="7">
                  <c:v>52.991999999999997</c:v>
                </c:pt>
                <c:pt idx="8">
                  <c:v>59.903999999999989</c:v>
                </c:pt>
                <c:pt idx="9">
                  <c:v>67.968000000000004</c:v>
                </c:pt>
                <c:pt idx="10">
                  <c:v>69.11999999999999</c:v>
                </c:pt>
                <c:pt idx="11">
                  <c:v>63.263999999999989</c:v>
                </c:pt>
                <c:pt idx="12">
                  <c:v>62.015999999999991</c:v>
                </c:pt>
                <c:pt idx="13">
                  <c:v>60.95999999999998</c:v>
                </c:pt>
                <c:pt idx="14">
                  <c:v>60.047999999999981</c:v>
                </c:pt>
                <c:pt idx="15">
                  <c:v>59.183999999999997</c:v>
                </c:pt>
                <c:pt idx="16">
                  <c:v>59.759999999999991</c:v>
                </c:pt>
                <c:pt idx="17">
                  <c:v>60.48</c:v>
                </c:pt>
                <c:pt idx="18">
                  <c:v>61.391999999999996</c:v>
                </c:pt>
                <c:pt idx="19">
                  <c:v>60.533169230769225</c:v>
                </c:pt>
                <c:pt idx="20">
                  <c:v>59.813485714285704</c:v>
                </c:pt>
                <c:pt idx="21">
                  <c:v>58.237439999999992</c:v>
                </c:pt>
                <c:pt idx="22">
                  <c:v>56.239199999999997</c:v>
                </c:pt>
                <c:pt idx="23">
                  <c:v>56.149835294117658</c:v>
                </c:pt>
                <c:pt idx="24">
                  <c:v>55.641600000000011</c:v>
                </c:pt>
                <c:pt idx="25">
                  <c:v>58.630736842105271</c:v>
                </c:pt>
                <c:pt idx="26">
                  <c:v>62.110079999999989</c:v>
                </c:pt>
                <c:pt idx="27">
                  <c:v>64.295314285714298</c:v>
                </c:pt>
                <c:pt idx="28">
                  <c:v>66.098618181818182</c:v>
                </c:pt>
                <c:pt idx="29">
                  <c:v>67.960486956521748</c:v>
                </c:pt>
                <c:pt idx="30">
                  <c:v>69.816000000000017</c:v>
                </c:pt>
                <c:pt idx="31">
                  <c:v>74.090400000000002</c:v>
                </c:pt>
                <c:pt idx="32">
                  <c:v>77.836800000000025</c:v>
                </c:pt>
                <c:pt idx="33">
                  <c:v>82.116</c:v>
                </c:pt>
                <c:pt idx="34">
                  <c:v>86.824799999999996</c:v>
                </c:pt>
                <c:pt idx="35">
                  <c:v>89.884799999999998</c:v>
                </c:pt>
                <c:pt idx="36">
                  <c:v>94.363199999999992</c:v>
                </c:pt>
                <c:pt idx="37">
                  <c:v>95.651999999999987</c:v>
                </c:pt>
                <c:pt idx="38">
                  <c:v>96.537599999999983</c:v>
                </c:pt>
                <c:pt idx="39">
                  <c:v>99.691200000000009</c:v>
                </c:pt>
                <c:pt idx="40">
                  <c:v>102.75839999999998</c:v>
                </c:pt>
                <c:pt idx="41">
                  <c:v>103.39919999999998</c:v>
                </c:pt>
                <c:pt idx="42">
                  <c:v>102.77279999999999</c:v>
                </c:pt>
                <c:pt idx="43">
                  <c:v>101.47679999999997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9E-48A6-82C9-345E8B792ACA}"/>
            </c:ext>
          </c:extLst>
        </c:ser>
        <c:ser>
          <c:idx val="6"/>
          <c:order val="6"/>
          <c:tx>
            <c:strRef>
              <c:f>'AM Benches Data'!$AR$3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'AM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Data'!$AR$5:$AR$52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9E-48A6-82C9-345E8B792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931232"/>
        <c:axId val="9215100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'AM Benches Data'!$U$3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'AM Benches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'AM Benches Data'!$U$5:$U$25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17</c:v>
                      </c:pt>
                      <c:pt idx="20">
                        <c:v>16.125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C09E-48A6-82C9-345E8B792ACA}"/>
                  </c:ext>
                </c:extLst>
              </c15:ser>
            </c15:filteredLineSeries>
          </c:ext>
        </c:extLst>
      </c:lineChart>
      <c:dateAx>
        <c:axId val="11429312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21510064"/>
        <c:crosses val="autoZero"/>
        <c:auto val="1"/>
        <c:lblOffset val="100"/>
        <c:baseTimeUnit val="days"/>
      </c:dateAx>
      <c:valAx>
        <c:axId val="921510064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3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PCB Average</a:t>
            </a:r>
            <a:r>
              <a:rPr lang="en-NZ" baseline="0"/>
              <a:t> for SMT/RPS/PVA/Towers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'PCB Data'!$AA$3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Data'!$AA$5:$AA$52</c:f>
              <c:numCache>
                <c:formatCode>0</c:formatCode>
                <c:ptCount val="48"/>
                <c:pt idx="0">
                  <c:v>68</c:v>
                </c:pt>
                <c:pt idx="1">
                  <c:v>65.599999999999994</c:v>
                </c:pt>
                <c:pt idx="2">
                  <c:v>69</c:v>
                </c:pt>
                <c:pt idx="3">
                  <c:v>66.2</c:v>
                </c:pt>
                <c:pt idx="4">
                  <c:v>63.8</c:v>
                </c:pt>
                <c:pt idx="5">
                  <c:v>62.6</c:v>
                </c:pt>
                <c:pt idx="6">
                  <c:v>60.4</c:v>
                </c:pt>
                <c:pt idx="7">
                  <c:v>60.4</c:v>
                </c:pt>
                <c:pt idx="8">
                  <c:v>61.2</c:v>
                </c:pt>
                <c:pt idx="9">
                  <c:v>65.599999999999994</c:v>
                </c:pt>
                <c:pt idx="10">
                  <c:v>61.1</c:v>
                </c:pt>
                <c:pt idx="11">
                  <c:v>57</c:v>
                </c:pt>
                <c:pt idx="12">
                  <c:v>58.2</c:v>
                </c:pt>
                <c:pt idx="13">
                  <c:v>59.6</c:v>
                </c:pt>
                <c:pt idx="14">
                  <c:v>62.6</c:v>
                </c:pt>
                <c:pt idx="15">
                  <c:v>62.2</c:v>
                </c:pt>
                <c:pt idx="16">
                  <c:v>68.3</c:v>
                </c:pt>
                <c:pt idx="17">
                  <c:v>63.6</c:v>
                </c:pt>
                <c:pt idx="18">
                  <c:v>64.400000000000006</c:v>
                </c:pt>
                <c:pt idx="19">
                  <c:v>63.4</c:v>
                </c:pt>
                <c:pt idx="20">
                  <c:v>57.8</c:v>
                </c:pt>
                <c:pt idx="21">
                  <c:v>51.4</c:v>
                </c:pt>
                <c:pt idx="22">
                  <c:v>59.2</c:v>
                </c:pt>
                <c:pt idx="23">
                  <c:v>81</c:v>
                </c:pt>
                <c:pt idx="24">
                  <c:v>76.400000000000006</c:v>
                </c:pt>
                <c:pt idx="25">
                  <c:v>69.2</c:v>
                </c:pt>
                <c:pt idx="26">
                  <c:v>54.6</c:v>
                </c:pt>
                <c:pt idx="27">
                  <c:v>52.4</c:v>
                </c:pt>
                <c:pt idx="28">
                  <c:v>46.4</c:v>
                </c:pt>
                <c:pt idx="29">
                  <c:v>52.8</c:v>
                </c:pt>
                <c:pt idx="30">
                  <c:v>57.8</c:v>
                </c:pt>
                <c:pt idx="31">
                  <c:v>57.6</c:v>
                </c:pt>
                <c:pt idx="32">
                  <c:v>61.2</c:v>
                </c:pt>
                <c:pt idx="33">
                  <c:v>66.400000000000006</c:v>
                </c:pt>
                <c:pt idx="34">
                  <c:v>78.400000000000006</c:v>
                </c:pt>
                <c:pt idx="35">
                  <c:v>76.8</c:v>
                </c:pt>
                <c:pt idx="36">
                  <c:v>68.8</c:v>
                </c:pt>
                <c:pt idx="37">
                  <c:v>56.8</c:v>
                </c:pt>
                <c:pt idx="38">
                  <c:v>58</c:v>
                </c:pt>
                <c:pt idx="39">
                  <c:v>53.4</c:v>
                </c:pt>
                <c:pt idx="40">
                  <c:v>65.2</c:v>
                </c:pt>
                <c:pt idx="41">
                  <c:v>74.2</c:v>
                </c:pt>
                <c:pt idx="42">
                  <c:v>73.400000000000006</c:v>
                </c:pt>
                <c:pt idx="43">
                  <c:v>83.2</c:v>
                </c:pt>
                <c:pt idx="44">
                  <c:v>77.2</c:v>
                </c:pt>
                <c:pt idx="45">
                  <c:v>72.400000000000006</c:v>
                </c:pt>
                <c:pt idx="46">
                  <c:v>79.2</c:v>
                </c:pt>
                <c:pt idx="47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B-470D-9379-386DD1663D75}"/>
            </c:ext>
          </c:extLst>
        </c:ser>
        <c:ser>
          <c:idx val="2"/>
          <c:order val="2"/>
          <c:tx>
            <c:strRef>
              <c:f>'PCB Data'!$AC$3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Data'!$AC$5:$AC$52</c:f>
              <c:numCache>
                <c:formatCode>0</c:formatCode>
                <c:ptCount val="48"/>
                <c:pt idx="19">
                  <c:v>66</c:v>
                </c:pt>
                <c:pt idx="20">
                  <c:v>60</c:v>
                </c:pt>
                <c:pt idx="21">
                  <c:v>56.4</c:v>
                </c:pt>
                <c:pt idx="22">
                  <c:v>47.76</c:v>
                </c:pt>
                <c:pt idx="23">
                  <c:v>67.44</c:v>
                </c:pt>
                <c:pt idx="24">
                  <c:v>45.84</c:v>
                </c:pt>
                <c:pt idx="25">
                  <c:v>49.68</c:v>
                </c:pt>
                <c:pt idx="26">
                  <c:v>56.4</c:v>
                </c:pt>
                <c:pt idx="27">
                  <c:v>37.68</c:v>
                </c:pt>
                <c:pt idx="28">
                  <c:v>42.959999999999994</c:v>
                </c:pt>
                <c:pt idx="29">
                  <c:v>57.84</c:v>
                </c:pt>
                <c:pt idx="30">
                  <c:v>52.8</c:v>
                </c:pt>
                <c:pt idx="31">
                  <c:v>59.759999999999991</c:v>
                </c:pt>
                <c:pt idx="32">
                  <c:v>66</c:v>
                </c:pt>
                <c:pt idx="33">
                  <c:v>72.959999999999994</c:v>
                </c:pt>
                <c:pt idx="34">
                  <c:v>57.84</c:v>
                </c:pt>
                <c:pt idx="35">
                  <c:v>57.84</c:v>
                </c:pt>
                <c:pt idx="36">
                  <c:v>48.959999999999994</c:v>
                </c:pt>
                <c:pt idx="37">
                  <c:v>53.04</c:v>
                </c:pt>
                <c:pt idx="38">
                  <c:v>47.279999999999994</c:v>
                </c:pt>
                <c:pt idx="39">
                  <c:v>56.879999999999995</c:v>
                </c:pt>
                <c:pt idx="40">
                  <c:v>92.88000000000001</c:v>
                </c:pt>
                <c:pt idx="41">
                  <c:v>73.44</c:v>
                </c:pt>
                <c:pt idx="42">
                  <c:v>63.12</c:v>
                </c:pt>
                <c:pt idx="43">
                  <c:v>71.040000000000006</c:v>
                </c:pt>
                <c:pt idx="44">
                  <c:v>57.84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B-470D-9379-386DD1663D75}"/>
            </c:ext>
          </c:extLst>
        </c:ser>
        <c:ser>
          <c:idx val="3"/>
          <c:order val="3"/>
          <c:tx>
            <c:strRef>
              <c:f>'PCB Data'!$AD$3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Data'!$AD$5:$AD$52</c:f>
              <c:numCache>
                <c:formatCode>0</c:formatCode>
                <c:ptCount val="48"/>
                <c:pt idx="0">
                  <c:v>106.14092799999997</c:v>
                </c:pt>
                <c:pt idx="1">
                  <c:v>102.39477759999998</c:v>
                </c:pt>
                <c:pt idx="2">
                  <c:v>107.70182399999997</c:v>
                </c:pt>
                <c:pt idx="3">
                  <c:v>103.33131519999998</c:v>
                </c:pt>
                <c:pt idx="4">
                  <c:v>99.585164799999987</c:v>
                </c:pt>
                <c:pt idx="5">
                  <c:v>97.712089599999985</c:v>
                </c:pt>
                <c:pt idx="6">
                  <c:v>94.278118399999983</c:v>
                </c:pt>
                <c:pt idx="7">
                  <c:v>94.278118399999983</c:v>
                </c:pt>
                <c:pt idx="8">
                  <c:v>95.526835199999994</c:v>
                </c:pt>
                <c:pt idx="9">
                  <c:v>102.39477759999998</c:v>
                </c:pt>
                <c:pt idx="10">
                  <c:v>95.370745599999978</c:v>
                </c:pt>
                <c:pt idx="11">
                  <c:v>98.97381386666666</c:v>
                </c:pt>
                <c:pt idx="12">
                  <c:v>97.69908213333332</c:v>
                </c:pt>
                <c:pt idx="13">
                  <c:v>96.918634133333299</c:v>
                </c:pt>
                <c:pt idx="14">
                  <c:v>96.086156266666663</c:v>
                </c:pt>
                <c:pt idx="15">
                  <c:v>95.565857600000015</c:v>
                </c:pt>
                <c:pt idx="16">
                  <c:v>96.151193599999985</c:v>
                </c:pt>
                <c:pt idx="17">
                  <c:v>96.281268266666657</c:v>
                </c:pt>
                <c:pt idx="18">
                  <c:v>96.801566933333305</c:v>
                </c:pt>
                <c:pt idx="19">
                  <c:v>97.191790933333323</c:v>
                </c:pt>
                <c:pt idx="20">
                  <c:v>96.749537066666633</c:v>
                </c:pt>
                <c:pt idx="21">
                  <c:v>94.90247679999996</c:v>
                </c:pt>
                <c:pt idx="22">
                  <c:v>94.655334933333336</c:v>
                </c:pt>
                <c:pt idx="23">
                  <c:v>97.777126933333307</c:v>
                </c:pt>
                <c:pt idx="24">
                  <c:v>100.14448586666667</c:v>
                </c:pt>
                <c:pt idx="25">
                  <c:v>101.39320266666664</c:v>
                </c:pt>
                <c:pt idx="26">
                  <c:v>100.35260533333332</c:v>
                </c:pt>
                <c:pt idx="27">
                  <c:v>99.07787359999999</c:v>
                </c:pt>
                <c:pt idx="28">
                  <c:v>96.229238399999986</c:v>
                </c:pt>
                <c:pt idx="29">
                  <c:v>94.824431999999987</c:v>
                </c:pt>
                <c:pt idx="30">
                  <c:v>93.965939199999966</c:v>
                </c:pt>
                <c:pt idx="31">
                  <c:v>93.211506133333302</c:v>
                </c:pt>
                <c:pt idx="32">
                  <c:v>93.653759999999977</c:v>
                </c:pt>
                <c:pt idx="33">
                  <c:v>95.60487999999998</c:v>
                </c:pt>
                <c:pt idx="34">
                  <c:v>98.102313599999974</c:v>
                </c:pt>
                <c:pt idx="35">
                  <c:v>97.555999999999983</c:v>
                </c:pt>
                <c:pt idx="36">
                  <c:v>96.567432533333317</c:v>
                </c:pt>
                <c:pt idx="37">
                  <c:v>94.954506666666617</c:v>
                </c:pt>
                <c:pt idx="38">
                  <c:v>95.396760533333293</c:v>
                </c:pt>
                <c:pt idx="39">
                  <c:v>95.526835199999965</c:v>
                </c:pt>
                <c:pt idx="40">
                  <c:v>97.972238933333287</c:v>
                </c:pt>
                <c:pt idx="41">
                  <c:v>100.75583680000001</c:v>
                </c:pt>
                <c:pt idx="42">
                  <c:v>102.78500159999999</c:v>
                </c:pt>
                <c:pt idx="43">
                  <c:v>106.11491306666666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B-470D-9379-386DD1663D75}"/>
            </c:ext>
          </c:extLst>
        </c:ser>
        <c:ser>
          <c:idx val="4"/>
          <c:order val="4"/>
          <c:tx>
            <c:strRef>
              <c:f>'PCB Data'!$AE$3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Data'!$AE$5:$AE$52</c:f>
              <c:numCache>
                <c:formatCode>0</c:formatCode>
                <c:ptCount val="48"/>
                <c:pt idx="0">
                  <c:v>132.8125</c:v>
                </c:pt>
                <c:pt idx="1">
                  <c:v>128.125</c:v>
                </c:pt>
                <c:pt idx="2">
                  <c:v>134.765625</c:v>
                </c:pt>
                <c:pt idx="3">
                  <c:v>129.296875</c:v>
                </c:pt>
                <c:pt idx="4">
                  <c:v>124.609375</c:v>
                </c:pt>
                <c:pt idx="5">
                  <c:v>122.265625</c:v>
                </c:pt>
                <c:pt idx="6">
                  <c:v>117.96875</c:v>
                </c:pt>
                <c:pt idx="7">
                  <c:v>117.96875</c:v>
                </c:pt>
                <c:pt idx="8">
                  <c:v>119.53125</c:v>
                </c:pt>
                <c:pt idx="9">
                  <c:v>128.125</c:v>
                </c:pt>
                <c:pt idx="10">
                  <c:v>119.3359375</c:v>
                </c:pt>
                <c:pt idx="11">
                  <c:v>123.84440104166669</c:v>
                </c:pt>
                <c:pt idx="12">
                  <c:v>122.24934895833336</c:v>
                </c:pt>
                <c:pt idx="13">
                  <c:v>121.27278645833336</c:v>
                </c:pt>
                <c:pt idx="14">
                  <c:v>120.23111979166669</c:v>
                </c:pt>
                <c:pt idx="15">
                  <c:v>119.58007812500001</c:v>
                </c:pt>
                <c:pt idx="16">
                  <c:v>120.3125</c:v>
                </c:pt>
                <c:pt idx="17">
                  <c:v>120.47526041666669</c:v>
                </c:pt>
                <c:pt idx="18">
                  <c:v>121.12630208333331</c:v>
                </c:pt>
                <c:pt idx="19">
                  <c:v>121.61458333333336</c:v>
                </c:pt>
                <c:pt idx="20">
                  <c:v>121.06119791666664</c:v>
                </c:pt>
                <c:pt idx="21">
                  <c:v>118.74999999999999</c:v>
                </c:pt>
                <c:pt idx="22">
                  <c:v>118.44075520833336</c:v>
                </c:pt>
                <c:pt idx="23">
                  <c:v>122.34700520833336</c:v>
                </c:pt>
                <c:pt idx="24">
                  <c:v>125.3092447916667</c:v>
                </c:pt>
                <c:pt idx="25">
                  <c:v>126.87174479166664</c:v>
                </c:pt>
                <c:pt idx="26">
                  <c:v>125.56966145833336</c:v>
                </c:pt>
                <c:pt idx="27">
                  <c:v>123.974609375</c:v>
                </c:pt>
                <c:pt idx="28">
                  <c:v>120.41015625</c:v>
                </c:pt>
                <c:pt idx="29">
                  <c:v>118.65234375</c:v>
                </c:pt>
                <c:pt idx="30">
                  <c:v>117.57812499999999</c:v>
                </c:pt>
                <c:pt idx="31">
                  <c:v>116.63411458333331</c:v>
                </c:pt>
                <c:pt idx="32">
                  <c:v>117.1875</c:v>
                </c:pt>
                <c:pt idx="33">
                  <c:v>119.62890625</c:v>
                </c:pt>
                <c:pt idx="34">
                  <c:v>122.75390625</c:v>
                </c:pt>
                <c:pt idx="35">
                  <c:v>122.0703125</c:v>
                </c:pt>
                <c:pt idx="36">
                  <c:v>120.83333333333331</c:v>
                </c:pt>
                <c:pt idx="37">
                  <c:v>118.81510416666664</c:v>
                </c:pt>
                <c:pt idx="38">
                  <c:v>119.3684895833333</c:v>
                </c:pt>
                <c:pt idx="39">
                  <c:v>119.53125</c:v>
                </c:pt>
                <c:pt idx="40">
                  <c:v>122.59114583333331</c:v>
                </c:pt>
                <c:pt idx="41">
                  <c:v>126.07421875000001</c:v>
                </c:pt>
                <c:pt idx="42">
                  <c:v>128.61328125000003</c:v>
                </c:pt>
                <c:pt idx="43">
                  <c:v>132.77994791666669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EB-470D-9379-386DD1663D75}"/>
            </c:ext>
          </c:extLst>
        </c:ser>
        <c:ser>
          <c:idx val="5"/>
          <c:order val="5"/>
          <c:tx>
            <c:strRef>
              <c:f>'PCB Data'!$AF$3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Data'!$AF$5:$AF$52</c:f>
              <c:numCache>
                <c:formatCode>0</c:formatCode>
                <c:ptCount val="48"/>
                <c:pt idx="0">
                  <c:v>117.50399999999998</c:v>
                </c:pt>
                <c:pt idx="1">
                  <c:v>113.35679999999998</c:v>
                </c:pt>
                <c:pt idx="2">
                  <c:v>119.232</c:v>
                </c:pt>
                <c:pt idx="3">
                  <c:v>114.39359999999998</c:v>
                </c:pt>
                <c:pt idx="4">
                  <c:v>110.24639999999998</c:v>
                </c:pt>
                <c:pt idx="5">
                  <c:v>108.17280000000001</c:v>
                </c:pt>
                <c:pt idx="6">
                  <c:v>104.37119999999997</c:v>
                </c:pt>
                <c:pt idx="7">
                  <c:v>104.37119999999997</c:v>
                </c:pt>
                <c:pt idx="8">
                  <c:v>105.75359999999999</c:v>
                </c:pt>
                <c:pt idx="9">
                  <c:v>113.35679999999998</c:v>
                </c:pt>
                <c:pt idx="10">
                  <c:v>105.5808</c:v>
                </c:pt>
                <c:pt idx="11">
                  <c:v>109.56960000000001</c:v>
                </c:pt>
                <c:pt idx="12">
                  <c:v>108.15839999999999</c:v>
                </c:pt>
                <c:pt idx="13">
                  <c:v>107.29440000000001</c:v>
                </c:pt>
                <c:pt idx="14">
                  <c:v>106.3728</c:v>
                </c:pt>
                <c:pt idx="15">
                  <c:v>105.79680000000002</c:v>
                </c:pt>
                <c:pt idx="16">
                  <c:v>106.44479999999999</c:v>
                </c:pt>
                <c:pt idx="17">
                  <c:v>106.58879999999999</c:v>
                </c:pt>
                <c:pt idx="18">
                  <c:v>107.16479999999999</c:v>
                </c:pt>
                <c:pt idx="19">
                  <c:v>107.5968</c:v>
                </c:pt>
                <c:pt idx="20">
                  <c:v>107.10719999999998</c:v>
                </c:pt>
                <c:pt idx="21">
                  <c:v>105.06239999999997</c:v>
                </c:pt>
                <c:pt idx="22">
                  <c:v>104.78880000000001</c:v>
                </c:pt>
                <c:pt idx="23">
                  <c:v>108.24479999999998</c:v>
                </c:pt>
                <c:pt idx="24">
                  <c:v>110.8656</c:v>
                </c:pt>
                <c:pt idx="25">
                  <c:v>112.24799999999998</c:v>
                </c:pt>
                <c:pt idx="26">
                  <c:v>111.09599999999999</c:v>
                </c:pt>
                <c:pt idx="27">
                  <c:v>109.6848</c:v>
                </c:pt>
                <c:pt idx="28">
                  <c:v>106.53119999999997</c:v>
                </c:pt>
                <c:pt idx="29">
                  <c:v>104.97599999999998</c:v>
                </c:pt>
                <c:pt idx="30">
                  <c:v>104.02559999999997</c:v>
                </c:pt>
                <c:pt idx="31">
                  <c:v>103.19039999999998</c:v>
                </c:pt>
                <c:pt idx="32">
                  <c:v>103.67999999999999</c:v>
                </c:pt>
                <c:pt idx="33">
                  <c:v>105.84</c:v>
                </c:pt>
                <c:pt idx="34">
                  <c:v>108.6048</c:v>
                </c:pt>
                <c:pt idx="35">
                  <c:v>108</c:v>
                </c:pt>
                <c:pt idx="36">
                  <c:v>106.90559999999999</c:v>
                </c:pt>
                <c:pt idx="37">
                  <c:v>105.11999999999998</c:v>
                </c:pt>
                <c:pt idx="38">
                  <c:v>105.60959999999996</c:v>
                </c:pt>
                <c:pt idx="39">
                  <c:v>105.75359999999999</c:v>
                </c:pt>
                <c:pt idx="40">
                  <c:v>108.46079999999998</c:v>
                </c:pt>
                <c:pt idx="41">
                  <c:v>111.54240000000001</c:v>
                </c:pt>
                <c:pt idx="42">
                  <c:v>113.78880000000001</c:v>
                </c:pt>
                <c:pt idx="43">
                  <c:v>117.47520000000002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EB-470D-9379-386DD1663D75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EB-470D-9379-386DD1663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'PCB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6BEB-470D-9379-386DD1663D75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PCB Labour</a:t>
            </a:r>
            <a:r>
              <a:rPr lang="en-NZ" baseline="0"/>
              <a:t> Pool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'PCB Data'!$AA$3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Data'!$N$5:$N$52</c:f>
              <c:numCache>
                <c:formatCode>General</c:formatCode>
                <c:ptCount val="48"/>
                <c:pt idx="19">
                  <c:v>82</c:v>
                </c:pt>
                <c:pt idx="20">
                  <c:v>82</c:v>
                </c:pt>
                <c:pt idx="21">
                  <c:v>75</c:v>
                </c:pt>
                <c:pt idx="22">
                  <c:v>78</c:v>
                </c:pt>
                <c:pt idx="23">
                  <c:v>109</c:v>
                </c:pt>
                <c:pt idx="24">
                  <c:v>118</c:v>
                </c:pt>
                <c:pt idx="25">
                  <c:v>108</c:v>
                </c:pt>
                <c:pt idx="26">
                  <c:v>95</c:v>
                </c:pt>
                <c:pt idx="27">
                  <c:v>97</c:v>
                </c:pt>
                <c:pt idx="28">
                  <c:v>79</c:v>
                </c:pt>
                <c:pt idx="29">
                  <c:v>84</c:v>
                </c:pt>
                <c:pt idx="30">
                  <c:v>96</c:v>
                </c:pt>
                <c:pt idx="31">
                  <c:v>94</c:v>
                </c:pt>
                <c:pt idx="32">
                  <c:v>102</c:v>
                </c:pt>
                <c:pt idx="33">
                  <c:v>104</c:v>
                </c:pt>
                <c:pt idx="34">
                  <c:v>130</c:v>
                </c:pt>
                <c:pt idx="35">
                  <c:v>103</c:v>
                </c:pt>
                <c:pt idx="36">
                  <c:v>86</c:v>
                </c:pt>
                <c:pt idx="37">
                  <c:v>87</c:v>
                </c:pt>
                <c:pt idx="38">
                  <c:v>94</c:v>
                </c:pt>
                <c:pt idx="39">
                  <c:v>103</c:v>
                </c:pt>
                <c:pt idx="40">
                  <c:v>119</c:v>
                </c:pt>
                <c:pt idx="41">
                  <c:v>126</c:v>
                </c:pt>
                <c:pt idx="42">
                  <c:v>123</c:v>
                </c:pt>
                <c:pt idx="43">
                  <c:v>117</c:v>
                </c:pt>
                <c:pt idx="44">
                  <c:v>116</c:v>
                </c:pt>
                <c:pt idx="45">
                  <c:v>98</c:v>
                </c:pt>
                <c:pt idx="47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3-44A5-86E2-CD0419093039}"/>
            </c:ext>
          </c:extLst>
        </c:ser>
        <c:ser>
          <c:idx val="2"/>
          <c:order val="2"/>
          <c:tx>
            <c:strRef>
              <c:f>'PCB Data'!$AC$3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Data'!$BH$5:$BH$52</c:f>
              <c:numCache>
                <c:formatCode>General</c:formatCode>
                <c:ptCount val="48"/>
                <c:pt idx="19">
                  <c:v>84</c:v>
                </c:pt>
                <c:pt idx="20">
                  <c:v>84</c:v>
                </c:pt>
                <c:pt idx="21">
                  <c:v>76.8</c:v>
                </c:pt>
                <c:pt idx="22">
                  <c:v>72</c:v>
                </c:pt>
                <c:pt idx="23">
                  <c:v>105.6</c:v>
                </c:pt>
                <c:pt idx="24">
                  <c:v>73.2</c:v>
                </c:pt>
                <c:pt idx="25">
                  <c:v>80.399999999999991</c:v>
                </c:pt>
                <c:pt idx="26">
                  <c:v>93.6</c:v>
                </c:pt>
                <c:pt idx="27">
                  <c:v>67.2</c:v>
                </c:pt>
                <c:pt idx="28">
                  <c:v>70.8</c:v>
                </c:pt>
                <c:pt idx="29">
                  <c:v>97.2</c:v>
                </c:pt>
                <c:pt idx="30">
                  <c:v>91.2</c:v>
                </c:pt>
                <c:pt idx="31">
                  <c:v>103.2</c:v>
                </c:pt>
                <c:pt idx="32">
                  <c:v>110.39999999999999</c:v>
                </c:pt>
                <c:pt idx="33">
                  <c:v>110.39999999999999</c:v>
                </c:pt>
                <c:pt idx="34">
                  <c:v>92.399999999999991</c:v>
                </c:pt>
                <c:pt idx="35">
                  <c:v>64.8</c:v>
                </c:pt>
                <c:pt idx="36">
                  <c:v>60</c:v>
                </c:pt>
                <c:pt idx="37">
                  <c:v>78</c:v>
                </c:pt>
                <c:pt idx="38">
                  <c:v>74.399999999999991</c:v>
                </c:pt>
                <c:pt idx="39">
                  <c:v>102</c:v>
                </c:pt>
                <c:pt idx="40">
                  <c:v>157.19999999999999</c:v>
                </c:pt>
                <c:pt idx="41">
                  <c:v>138</c:v>
                </c:pt>
                <c:pt idx="42">
                  <c:v>110.39999999999999</c:v>
                </c:pt>
                <c:pt idx="43">
                  <c:v>102</c:v>
                </c:pt>
                <c:pt idx="44">
                  <c:v>76.8</c:v>
                </c:pt>
                <c:pt idx="45">
                  <c:v>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3-44A5-86E2-CD0419093039}"/>
            </c:ext>
          </c:extLst>
        </c:ser>
        <c:ser>
          <c:idx val="3"/>
          <c:order val="3"/>
          <c:tx>
            <c:strRef>
              <c:f>'PCB Data'!$AD$3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Data'!$BI$5:$BI$52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127.99347199999997</c:v>
                </c:pt>
                <c:pt idx="20">
                  <c:v>127.99347199999997</c:v>
                </c:pt>
                <c:pt idx="21">
                  <c:v>124.35138133333331</c:v>
                </c:pt>
                <c:pt idx="22">
                  <c:v>123.70100799999997</c:v>
                </c:pt>
                <c:pt idx="23">
                  <c:v>132.98833919999998</c:v>
                </c:pt>
                <c:pt idx="24">
                  <c:v>141.52123733333332</c:v>
                </c:pt>
                <c:pt idx="25">
                  <c:v>148.28511999999998</c:v>
                </c:pt>
                <c:pt idx="26">
                  <c:v>151.66706133333329</c:v>
                </c:pt>
                <c:pt idx="27">
                  <c:v>157.3903466666666</c:v>
                </c:pt>
                <c:pt idx="28">
                  <c:v>157.65049599999998</c:v>
                </c:pt>
                <c:pt idx="29">
                  <c:v>151.14676266666663</c:v>
                </c:pt>
                <c:pt idx="30">
                  <c:v>145.42347733333332</c:v>
                </c:pt>
                <c:pt idx="31">
                  <c:v>141.78138666666663</c:v>
                </c:pt>
                <c:pt idx="32">
                  <c:v>143.60243199999999</c:v>
                </c:pt>
                <c:pt idx="33">
                  <c:v>145.42347733333332</c:v>
                </c:pt>
                <c:pt idx="34">
                  <c:v>158.6910933333333</c:v>
                </c:pt>
                <c:pt idx="35">
                  <c:v>163.63393066666663</c:v>
                </c:pt>
                <c:pt idx="36">
                  <c:v>161.03243733333332</c:v>
                </c:pt>
                <c:pt idx="37">
                  <c:v>159.21139199999996</c:v>
                </c:pt>
                <c:pt idx="38">
                  <c:v>157.13019733333331</c:v>
                </c:pt>
                <c:pt idx="39">
                  <c:v>156.870048</c:v>
                </c:pt>
                <c:pt idx="40">
                  <c:v>154.00840533333331</c:v>
                </c:pt>
                <c:pt idx="41">
                  <c:v>159.99183999999997</c:v>
                </c:pt>
                <c:pt idx="42">
                  <c:v>169.61736533333328</c:v>
                </c:pt>
                <c:pt idx="43">
                  <c:v>177.42184533333329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3-44A5-86E2-CD0419093039}"/>
            </c:ext>
          </c:extLst>
        </c:ser>
        <c:ser>
          <c:idx val="4"/>
          <c:order val="4"/>
          <c:tx>
            <c:strRef>
              <c:f>'PCB Data'!$AE$3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Data'!$BJ$5:$BJ$52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160.15625</c:v>
                </c:pt>
                <c:pt idx="20">
                  <c:v>160.15625</c:v>
                </c:pt>
                <c:pt idx="21">
                  <c:v>155.59895833333337</c:v>
                </c:pt>
                <c:pt idx="22">
                  <c:v>154.78515625</c:v>
                </c:pt>
                <c:pt idx="23">
                  <c:v>166.40625</c:v>
                </c:pt>
                <c:pt idx="24">
                  <c:v>177.08333333333337</c:v>
                </c:pt>
                <c:pt idx="25">
                  <c:v>185.546875</c:v>
                </c:pt>
                <c:pt idx="26">
                  <c:v>189.77864583333337</c:v>
                </c:pt>
                <c:pt idx="27">
                  <c:v>196.94010416666663</c:v>
                </c:pt>
                <c:pt idx="28">
                  <c:v>197.265625</c:v>
                </c:pt>
                <c:pt idx="29">
                  <c:v>189.12760416666663</c:v>
                </c:pt>
                <c:pt idx="30">
                  <c:v>181.96614583333337</c:v>
                </c:pt>
                <c:pt idx="31">
                  <c:v>177.40885416666663</c:v>
                </c:pt>
                <c:pt idx="32">
                  <c:v>179.6875</c:v>
                </c:pt>
                <c:pt idx="33">
                  <c:v>181.96614583333337</c:v>
                </c:pt>
                <c:pt idx="34">
                  <c:v>198.56770833333337</c:v>
                </c:pt>
                <c:pt idx="35">
                  <c:v>204.75260416666663</c:v>
                </c:pt>
                <c:pt idx="36">
                  <c:v>201.49739583333337</c:v>
                </c:pt>
                <c:pt idx="37">
                  <c:v>199.21875</c:v>
                </c:pt>
                <c:pt idx="38">
                  <c:v>196.61458333333337</c:v>
                </c:pt>
                <c:pt idx="39">
                  <c:v>196.2890625</c:v>
                </c:pt>
                <c:pt idx="40">
                  <c:v>192.70833333333337</c:v>
                </c:pt>
                <c:pt idx="41">
                  <c:v>200.1953125</c:v>
                </c:pt>
                <c:pt idx="42">
                  <c:v>212.23958333333337</c:v>
                </c:pt>
                <c:pt idx="43">
                  <c:v>222.00520833333337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B3-44A5-86E2-CD0419093039}"/>
            </c:ext>
          </c:extLst>
        </c:ser>
        <c:ser>
          <c:idx val="5"/>
          <c:order val="5"/>
          <c:tx>
            <c:strRef>
              <c:f>'PCB Data'!$AF$3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Data'!$BK$5:$BK$52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141.69599999999997</c:v>
                </c:pt>
                <c:pt idx="20">
                  <c:v>141.69599999999997</c:v>
                </c:pt>
                <c:pt idx="21">
                  <c:v>137.66400000000002</c:v>
                </c:pt>
                <c:pt idx="22">
                  <c:v>136.94399999999999</c:v>
                </c:pt>
                <c:pt idx="23">
                  <c:v>147.22559999999999</c:v>
                </c:pt>
                <c:pt idx="24">
                  <c:v>156.672</c:v>
                </c:pt>
                <c:pt idx="25">
                  <c:v>164.15999999999997</c:v>
                </c:pt>
                <c:pt idx="26">
                  <c:v>167.90399999999997</c:v>
                </c:pt>
                <c:pt idx="27">
                  <c:v>174.23999999999998</c:v>
                </c:pt>
                <c:pt idx="28">
                  <c:v>174.52799999999996</c:v>
                </c:pt>
                <c:pt idx="29">
                  <c:v>167.32799999999995</c:v>
                </c:pt>
                <c:pt idx="30">
                  <c:v>160.99199999999999</c:v>
                </c:pt>
                <c:pt idx="31">
                  <c:v>156.95999999999998</c:v>
                </c:pt>
                <c:pt idx="32">
                  <c:v>158.97599999999997</c:v>
                </c:pt>
                <c:pt idx="33">
                  <c:v>160.99199999999999</c:v>
                </c:pt>
                <c:pt idx="34">
                  <c:v>175.68</c:v>
                </c:pt>
                <c:pt idx="35">
                  <c:v>181.15199999999996</c:v>
                </c:pt>
                <c:pt idx="36">
                  <c:v>178.27199999999999</c:v>
                </c:pt>
                <c:pt idx="37">
                  <c:v>176.256</c:v>
                </c:pt>
                <c:pt idx="38">
                  <c:v>173.95199999999997</c:v>
                </c:pt>
                <c:pt idx="39">
                  <c:v>173.66399999999999</c:v>
                </c:pt>
                <c:pt idx="40">
                  <c:v>170.49600000000001</c:v>
                </c:pt>
                <c:pt idx="41">
                  <c:v>177.11999999999998</c:v>
                </c:pt>
                <c:pt idx="42">
                  <c:v>187.77599999999998</c:v>
                </c:pt>
                <c:pt idx="43">
                  <c:v>196.416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B3-44A5-86E2-CD0419093039}"/>
            </c:ext>
          </c:extLst>
        </c:ser>
        <c:ser>
          <c:idx val="6"/>
          <c:order val="6"/>
          <c:tx>
            <c:strRef>
              <c:f>'AM Benches Data'!$EQ$3</c:f>
              <c:strCache>
                <c:ptCount val="1"/>
                <c:pt idx="0">
                  <c:v>Ideal Target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'AM Benches Data'!$EQ$5:$EQ$52</c:f>
              <c:numCache>
                <c:formatCode>0</c:formatCode>
                <c:ptCount val="4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C3-46F3-BCA1-A76D44944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'PCB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9B3-44A5-86E2-CD0419093039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SMT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'PCB Data'!$AA$3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Data'!$B$5:$B$52</c:f>
              <c:numCache>
                <c:formatCode>General</c:formatCode>
                <c:ptCount val="48"/>
                <c:pt idx="0">
                  <c:v>93</c:v>
                </c:pt>
                <c:pt idx="1">
                  <c:v>97</c:v>
                </c:pt>
                <c:pt idx="2">
                  <c:v>99</c:v>
                </c:pt>
                <c:pt idx="3">
                  <c:v>95</c:v>
                </c:pt>
                <c:pt idx="4">
                  <c:v>94</c:v>
                </c:pt>
                <c:pt idx="5">
                  <c:v>97</c:v>
                </c:pt>
                <c:pt idx="6">
                  <c:v>100</c:v>
                </c:pt>
                <c:pt idx="7">
                  <c:v>100</c:v>
                </c:pt>
                <c:pt idx="8">
                  <c:v>103</c:v>
                </c:pt>
                <c:pt idx="9">
                  <c:v>100</c:v>
                </c:pt>
                <c:pt idx="10">
                  <c:v>87.5</c:v>
                </c:pt>
                <c:pt idx="11">
                  <c:v>80</c:v>
                </c:pt>
                <c:pt idx="12">
                  <c:v>78</c:v>
                </c:pt>
                <c:pt idx="13">
                  <c:v>78</c:v>
                </c:pt>
                <c:pt idx="14">
                  <c:v>83</c:v>
                </c:pt>
                <c:pt idx="15">
                  <c:v>83</c:v>
                </c:pt>
                <c:pt idx="16">
                  <c:v>86.5</c:v>
                </c:pt>
                <c:pt idx="17">
                  <c:v>64</c:v>
                </c:pt>
                <c:pt idx="18">
                  <c:v>65</c:v>
                </c:pt>
                <c:pt idx="19">
                  <c:v>68</c:v>
                </c:pt>
                <c:pt idx="20">
                  <c:v>63</c:v>
                </c:pt>
                <c:pt idx="21">
                  <c:v>60</c:v>
                </c:pt>
                <c:pt idx="22">
                  <c:v>65</c:v>
                </c:pt>
                <c:pt idx="23">
                  <c:v>86</c:v>
                </c:pt>
                <c:pt idx="24">
                  <c:v>85</c:v>
                </c:pt>
                <c:pt idx="25">
                  <c:v>79</c:v>
                </c:pt>
                <c:pt idx="26">
                  <c:v>67</c:v>
                </c:pt>
                <c:pt idx="27">
                  <c:v>60</c:v>
                </c:pt>
                <c:pt idx="28">
                  <c:v>48</c:v>
                </c:pt>
                <c:pt idx="29">
                  <c:v>62</c:v>
                </c:pt>
                <c:pt idx="30">
                  <c:v>65</c:v>
                </c:pt>
                <c:pt idx="31">
                  <c:v>64</c:v>
                </c:pt>
                <c:pt idx="32">
                  <c:v>62</c:v>
                </c:pt>
                <c:pt idx="33">
                  <c:v>64</c:v>
                </c:pt>
                <c:pt idx="34">
                  <c:v>67</c:v>
                </c:pt>
                <c:pt idx="35">
                  <c:v>62</c:v>
                </c:pt>
                <c:pt idx="36">
                  <c:v>51</c:v>
                </c:pt>
                <c:pt idx="37">
                  <c:v>47</c:v>
                </c:pt>
                <c:pt idx="38">
                  <c:v>45</c:v>
                </c:pt>
                <c:pt idx="39">
                  <c:v>48</c:v>
                </c:pt>
                <c:pt idx="40">
                  <c:v>73</c:v>
                </c:pt>
                <c:pt idx="41">
                  <c:v>94</c:v>
                </c:pt>
                <c:pt idx="42">
                  <c:v>98</c:v>
                </c:pt>
                <c:pt idx="43">
                  <c:v>119</c:v>
                </c:pt>
                <c:pt idx="44">
                  <c:v>101</c:v>
                </c:pt>
                <c:pt idx="45">
                  <c:v>104</c:v>
                </c:pt>
                <c:pt idx="46">
                  <c:v>119</c:v>
                </c:pt>
                <c:pt idx="47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4-4BFC-8602-7EF70D0F105F}"/>
            </c:ext>
          </c:extLst>
        </c:ser>
        <c:ser>
          <c:idx val="2"/>
          <c:order val="2"/>
          <c:tx>
            <c:strRef>
              <c:f>'PCB Data'!$AC$3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Data'!$AJ$5:$AJ$52</c:f>
              <c:numCache>
                <c:formatCode>General</c:formatCode>
                <c:ptCount val="48"/>
                <c:pt idx="19" formatCode="0">
                  <c:v>76.8</c:v>
                </c:pt>
                <c:pt idx="20" formatCode="0">
                  <c:v>70.8</c:v>
                </c:pt>
                <c:pt idx="21" formatCode="0">
                  <c:v>69.599999999999994</c:v>
                </c:pt>
                <c:pt idx="22" formatCode="0">
                  <c:v>58.8</c:v>
                </c:pt>
                <c:pt idx="23" formatCode="0">
                  <c:v>81.599999999999994</c:v>
                </c:pt>
                <c:pt idx="24" formatCode="0">
                  <c:v>62.4</c:v>
                </c:pt>
                <c:pt idx="25" formatCode="0">
                  <c:v>62.4</c:v>
                </c:pt>
                <c:pt idx="26" formatCode="0">
                  <c:v>80.399999999999991</c:v>
                </c:pt>
                <c:pt idx="27" formatCode="0">
                  <c:v>46.8</c:v>
                </c:pt>
                <c:pt idx="28" formatCode="0">
                  <c:v>52.8</c:v>
                </c:pt>
                <c:pt idx="29" formatCode="0">
                  <c:v>64.8</c:v>
                </c:pt>
                <c:pt idx="30" formatCode="0">
                  <c:v>62.4</c:v>
                </c:pt>
                <c:pt idx="31" formatCode="0">
                  <c:v>56.4</c:v>
                </c:pt>
                <c:pt idx="32" formatCode="0">
                  <c:v>66</c:v>
                </c:pt>
                <c:pt idx="33" formatCode="0">
                  <c:v>67.2</c:v>
                </c:pt>
                <c:pt idx="34" formatCode="0">
                  <c:v>49.199999999999996</c:v>
                </c:pt>
                <c:pt idx="35" formatCode="0">
                  <c:v>75.599999999999994</c:v>
                </c:pt>
                <c:pt idx="36" formatCode="0">
                  <c:v>46.8</c:v>
                </c:pt>
                <c:pt idx="37" formatCode="0">
                  <c:v>48</c:v>
                </c:pt>
                <c:pt idx="38" formatCode="0">
                  <c:v>44.4</c:v>
                </c:pt>
                <c:pt idx="39" formatCode="0">
                  <c:v>60</c:v>
                </c:pt>
                <c:pt idx="40" formatCode="0">
                  <c:v>105.6</c:v>
                </c:pt>
                <c:pt idx="41" formatCode="0">
                  <c:v>92.399999999999991</c:v>
                </c:pt>
                <c:pt idx="42" formatCode="0">
                  <c:v>82.8</c:v>
                </c:pt>
                <c:pt idx="43" formatCode="0">
                  <c:v>105.6</c:v>
                </c:pt>
                <c:pt idx="44" formatCode="0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4-4BFC-8602-7EF70D0F105F}"/>
            </c:ext>
          </c:extLst>
        </c:ser>
        <c:ser>
          <c:idx val="3"/>
          <c:order val="3"/>
          <c:tx>
            <c:strRef>
              <c:f>'PCB Data'!$AD$3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Data'!$AK$5:$AK$52</c:f>
              <c:numCache>
                <c:formatCode>0</c:formatCode>
                <c:ptCount val="48"/>
                <c:pt idx="0">
                  <c:v>145.16332799999998</c:v>
                </c:pt>
                <c:pt idx="1">
                  <c:v>151.40691199999995</c:v>
                </c:pt>
                <c:pt idx="2">
                  <c:v>154.52870399999998</c:v>
                </c:pt>
                <c:pt idx="3">
                  <c:v>148.28511999999998</c:v>
                </c:pt>
                <c:pt idx="4">
                  <c:v>146.72422399999996</c:v>
                </c:pt>
                <c:pt idx="5">
                  <c:v>151.40691199999995</c:v>
                </c:pt>
                <c:pt idx="6">
                  <c:v>151.40691199999995</c:v>
                </c:pt>
                <c:pt idx="7">
                  <c:v>152.18735999999998</c:v>
                </c:pt>
                <c:pt idx="8">
                  <c:v>153.22795733333331</c:v>
                </c:pt>
                <c:pt idx="9">
                  <c:v>154.52870399999998</c:v>
                </c:pt>
                <c:pt idx="10">
                  <c:v>152.83773333333332</c:v>
                </c:pt>
                <c:pt idx="11">
                  <c:v>148.41519466666662</c:v>
                </c:pt>
                <c:pt idx="12">
                  <c:v>142.69190933333331</c:v>
                </c:pt>
                <c:pt idx="13">
                  <c:v>136.96862399999998</c:v>
                </c:pt>
                <c:pt idx="14">
                  <c:v>131.76563733333333</c:v>
                </c:pt>
                <c:pt idx="15">
                  <c:v>127.34309866666663</c:v>
                </c:pt>
                <c:pt idx="16">
                  <c:v>127.0829493333333</c:v>
                </c:pt>
                <c:pt idx="17">
                  <c:v>122.92055999999997</c:v>
                </c:pt>
                <c:pt idx="18">
                  <c:v>119.53861866666664</c:v>
                </c:pt>
                <c:pt idx="19">
                  <c:v>116.93712533333333</c:v>
                </c:pt>
                <c:pt idx="20">
                  <c:v>111.73413866666665</c:v>
                </c:pt>
                <c:pt idx="21">
                  <c:v>105.75070399999997</c:v>
                </c:pt>
                <c:pt idx="22">
                  <c:v>100.15749333333332</c:v>
                </c:pt>
                <c:pt idx="23">
                  <c:v>105.88077866666663</c:v>
                </c:pt>
                <c:pt idx="24">
                  <c:v>111.0837653333333</c:v>
                </c:pt>
                <c:pt idx="25">
                  <c:v>113.94540799999997</c:v>
                </c:pt>
                <c:pt idx="26">
                  <c:v>114.98600533333331</c:v>
                </c:pt>
                <c:pt idx="27">
                  <c:v>114.98600533333331</c:v>
                </c:pt>
                <c:pt idx="28">
                  <c:v>110.56346666666664</c:v>
                </c:pt>
                <c:pt idx="29">
                  <c:v>104.31988266666664</c:v>
                </c:pt>
                <c:pt idx="30">
                  <c:v>99.116895999999969</c:v>
                </c:pt>
                <c:pt idx="31">
                  <c:v>95.214655999999977</c:v>
                </c:pt>
                <c:pt idx="32">
                  <c:v>93.913909333333308</c:v>
                </c:pt>
                <c:pt idx="33">
                  <c:v>94.95450666666666</c:v>
                </c:pt>
                <c:pt idx="34">
                  <c:v>99.89734399999999</c:v>
                </c:pt>
                <c:pt idx="35">
                  <c:v>99.89734399999999</c:v>
                </c:pt>
                <c:pt idx="36">
                  <c:v>96.255253333333314</c:v>
                </c:pt>
                <c:pt idx="37">
                  <c:v>91.832714666666661</c:v>
                </c:pt>
                <c:pt idx="38">
                  <c:v>87.410175999999979</c:v>
                </c:pt>
                <c:pt idx="39">
                  <c:v>83.247786666666656</c:v>
                </c:pt>
                <c:pt idx="40">
                  <c:v>84.808682666666641</c:v>
                </c:pt>
                <c:pt idx="41">
                  <c:v>93.133461333333301</c:v>
                </c:pt>
                <c:pt idx="42">
                  <c:v>105.36047999999998</c:v>
                </c:pt>
                <c:pt idx="43">
                  <c:v>124.09123199999998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4-4BFC-8602-7EF70D0F105F}"/>
            </c:ext>
          </c:extLst>
        </c:ser>
        <c:ser>
          <c:idx val="4"/>
          <c:order val="4"/>
          <c:tx>
            <c:strRef>
              <c:f>'PCB Data'!$AE$3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Data'!$AL$5:$AL$52</c:f>
              <c:numCache>
                <c:formatCode>0</c:formatCode>
                <c:ptCount val="48"/>
                <c:pt idx="0">
                  <c:v>181.640625</c:v>
                </c:pt>
                <c:pt idx="1">
                  <c:v>189.453125</c:v>
                </c:pt>
                <c:pt idx="2">
                  <c:v>193.359375</c:v>
                </c:pt>
                <c:pt idx="3">
                  <c:v>185.546875</c:v>
                </c:pt>
                <c:pt idx="4">
                  <c:v>183.59375</c:v>
                </c:pt>
                <c:pt idx="5">
                  <c:v>189.453125</c:v>
                </c:pt>
                <c:pt idx="6">
                  <c:v>189.453125</c:v>
                </c:pt>
                <c:pt idx="7">
                  <c:v>190.4296875</c:v>
                </c:pt>
                <c:pt idx="8">
                  <c:v>191.73177083333337</c:v>
                </c:pt>
                <c:pt idx="9">
                  <c:v>193.359375</c:v>
                </c:pt>
                <c:pt idx="10">
                  <c:v>191.24348958333337</c:v>
                </c:pt>
                <c:pt idx="11">
                  <c:v>185.70963541666663</c:v>
                </c:pt>
                <c:pt idx="12">
                  <c:v>178.54817708333337</c:v>
                </c:pt>
                <c:pt idx="13">
                  <c:v>171.38671875</c:v>
                </c:pt>
                <c:pt idx="14">
                  <c:v>164.87630208333337</c:v>
                </c:pt>
                <c:pt idx="15">
                  <c:v>159.34244791666663</c:v>
                </c:pt>
                <c:pt idx="16">
                  <c:v>159.01692708333337</c:v>
                </c:pt>
                <c:pt idx="17">
                  <c:v>153.80859375</c:v>
                </c:pt>
                <c:pt idx="18">
                  <c:v>149.57682291666663</c:v>
                </c:pt>
                <c:pt idx="19">
                  <c:v>146.32161458333337</c:v>
                </c:pt>
                <c:pt idx="20">
                  <c:v>139.81119791666663</c:v>
                </c:pt>
                <c:pt idx="21">
                  <c:v>132.32421875</c:v>
                </c:pt>
                <c:pt idx="22">
                  <c:v>125.32552083333336</c:v>
                </c:pt>
                <c:pt idx="23">
                  <c:v>132.48697916666663</c:v>
                </c:pt>
                <c:pt idx="24">
                  <c:v>138.99739583333337</c:v>
                </c:pt>
                <c:pt idx="25">
                  <c:v>142.578125</c:v>
                </c:pt>
                <c:pt idx="26">
                  <c:v>143.88020833333337</c:v>
                </c:pt>
                <c:pt idx="27">
                  <c:v>143.88020833333337</c:v>
                </c:pt>
                <c:pt idx="28">
                  <c:v>138.34635416666663</c:v>
                </c:pt>
                <c:pt idx="29">
                  <c:v>130.53385416666663</c:v>
                </c:pt>
                <c:pt idx="30">
                  <c:v>124.0234375</c:v>
                </c:pt>
                <c:pt idx="31">
                  <c:v>119.140625</c:v>
                </c:pt>
                <c:pt idx="32">
                  <c:v>117.51302083333331</c:v>
                </c:pt>
                <c:pt idx="33">
                  <c:v>118.81510416666669</c:v>
                </c:pt>
                <c:pt idx="34">
                  <c:v>125</c:v>
                </c:pt>
                <c:pt idx="35">
                  <c:v>125</c:v>
                </c:pt>
                <c:pt idx="36">
                  <c:v>120.44270833333331</c:v>
                </c:pt>
                <c:pt idx="37">
                  <c:v>114.90885416666669</c:v>
                </c:pt>
                <c:pt idx="38">
                  <c:v>109.375</c:v>
                </c:pt>
                <c:pt idx="39">
                  <c:v>104.16666666666669</c:v>
                </c:pt>
                <c:pt idx="40">
                  <c:v>106.11979166666669</c:v>
                </c:pt>
                <c:pt idx="41">
                  <c:v>116.53645833333331</c:v>
                </c:pt>
                <c:pt idx="42">
                  <c:v>131.8359375</c:v>
                </c:pt>
                <c:pt idx="43">
                  <c:v>155.2734375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4-4BFC-8602-7EF70D0F105F}"/>
            </c:ext>
          </c:extLst>
        </c:ser>
        <c:ser>
          <c:idx val="5"/>
          <c:order val="5"/>
          <c:tx>
            <c:strRef>
              <c:f>'PCB Data'!$AF$3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Data'!$AM$5:$AM$52</c:f>
              <c:numCache>
                <c:formatCode>0</c:formatCode>
                <c:ptCount val="48"/>
                <c:pt idx="0">
                  <c:v>160.70399999999998</c:v>
                </c:pt>
                <c:pt idx="1">
                  <c:v>167.61599999999996</c:v>
                </c:pt>
                <c:pt idx="2">
                  <c:v>171.072</c:v>
                </c:pt>
                <c:pt idx="3">
                  <c:v>164.15999999999997</c:v>
                </c:pt>
                <c:pt idx="4">
                  <c:v>162.43199999999999</c:v>
                </c:pt>
                <c:pt idx="5">
                  <c:v>167.61599999999996</c:v>
                </c:pt>
                <c:pt idx="6">
                  <c:v>167.61599999999996</c:v>
                </c:pt>
                <c:pt idx="7">
                  <c:v>168.48</c:v>
                </c:pt>
                <c:pt idx="8">
                  <c:v>169.63199999999998</c:v>
                </c:pt>
                <c:pt idx="9">
                  <c:v>171.072</c:v>
                </c:pt>
                <c:pt idx="10">
                  <c:v>169.2</c:v>
                </c:pt>
                <c:pt idx="11">
                  <c:v>164.30399999999997</c:v>
                </c:pt>
                <c:pt idx="12">
                  <c:v>157.96799999999999</c:v>
                </c:pt>
                <c:pt idx="13">
                  <c:v>151.63199999999998</c:v>
                </c:pt>
                <c:pt idx="14">
                  <c:v>145.87199999999999</c:v>
                </c:pt>
                <c:pt idx="15">
                  <c:v>140.97599999999997</c:v>
                </c:pt>
                <c:pt idx="16">
                  <c:v>140.68799999999999</c:v>
                </c:pt>
                <c:pt idx="17">
                  <c:v>136.07999999999998</c:v>
                </c:pt>
                <c:pt idx="18">
                  <c:v>132.33599999999998</c:v>
                </c:pt>
                <c:pt idx="19">
                  <c:v>129.45600000000002</c:v>
                </c:pt>
                <c:pt idx="20">
                  <c:v>123.69599999999997</c:v>
                </c:pt>
                <c:pt idx="21">
                  <c:v>117.07199999999997</c:v>
                </c:pt>
                <c:pt idx="22">
                  <c:v>110.87999999999998</c:v>
                </c:pt>
                <c:pt idx="23">
                  <c:v>117.21599999999998</c:v>
                </c:pt>
                <c:pt idx="24">
                  <c:v>122.976</c:v>
                </c:pt>
                <c:pt idx="25">
                  <c:v>126.14399999999998</c:v>
                </c:pt>
                <c:pt idx="26">
                  <c:v>127.29599999999999</c:v>
                </c:pt>
                <c:pt idx="27">
                  <c:v>127.29599999999999</c:v>
                </c:pt>
                <c:pt idx="28">
                  <c:v>122.39999999999998</c:v>
                </c:pt>
                <c:pt idx="29">
                  <c:v>115.48799999999997</c:v>
                </c:pt>
                <c:pt idx="30">
                  <c:v>109.72799999999999</c:v>
                </c:pt>
                <c:pt idx="31">
                  <c:v>105.408</c:v>
                </c:pt>
                <c:pt idx="32">
                  <c:v>103.96799999999998</c:v>
                </c:pt>
                <c:pt idx="33">
                  <c:v>105.11999999999999</c:v>
                </c:pt>
                <c:pt idx="34">
                  <c:v>110.592</c:v>
                </c:pt>
                <c:pt idx="35">
                  <c:v>110.592</c:v>
                </c:pt>
                <c:pt idx="36">
                  <c:v>106.55999999999999</c:v>
                </c:pt>
                <c:pt idx="37">
                  <c:v>101.66399999999997</c:v>
                </c:pt>
                <c:pt idx="38">
                  <c:v>96.768000000000001</c:v>
                </c:pt>
                <c:pt idx="39">
                  <c:v>92.16</c:v>
                </c:pt>
                <c:pt idx="40">
                  <c:v>93.887999999999991</c:v>
                </c:pt>
                <c:pt idx="41">
                  <c:v>103.10399999999998</c:v>
                </c:pt>
                <c:pt idx="42">
                  <c:v>116.64</c:v>
                </c:pt>
                <c:pt idx="43">
                  <c:v>137.37599999999998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44-4BFC-8602-7EF70D0F105F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44-4BFC-8602-7EF70D0F1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'PCB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944-4BFC-8602-7EF70D0F105F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405/ Test Towers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'PCB Data'!$AA$3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Data'!$C$5:$C$52</c:f>
              <c:numCache>
                <c:formatCode>General</c:formatCode>
                <c:ptCount val="48"/>
                <c:pt idx="0">
                  <c:v>78</c:v>
                </c:pt>
                <c:pt idx="1">
                  <c:v>80</c:v>
                </c:pt>
                <c:pt idx="2">
                  <c:v>79</c:v>
                </c:pt>
                <c:pt idx="3">
                  <c:v>73</c:v>
                </c:pt>
                <c:pt idx="4">
                  <c:v>66</c:v>
                </c:pt>
                <c:pt idx="5">
                  <c:v>65</c:v>
                </c:pt>
                <c:pt idx="6">
                  <c:v>63</c:v>
                </c:pt>
                <c:pt idx="7">
                  <c:v>63</c:v>
                </c:pt>
                <c:pt idx="8">
                  <c:v>67</c:v>
                </c:pt>
                <c:pt idx="9">
                  <c:v>76</c:v>
                </c:pt>
                <c:pt idx="10">
                  <c:v>72</c:v>
                </c:pt>
                <c:pt idx="11">
                  <c:v>69</c:v>
                </c:pt>
                <c:pt idx="12">
                  <c:v>72</c:v>
                </c:pt>
                <c:pt idx="13">
                  <c:v>74</c:v>
                </c:pt>
                <c:pt idx="14">
                  <c:v>73</c:v>
                </c:pt>
                <c:pt idx="15">
                  <c:v>72</c:v>
                </c:pt>
                <c:pt idx="16">
                  <c:v>81</c:v>
                </c:pt>
                <c:pt idx="17">
                  <c:v>79</c:v>
                </c:pt>
                <c:pt idx="18">
                  <c:v>77</c:v>
                </c:pt>
                <c:pt idx="19">
                  <c:v>72</c:v>
                </c:pt>
                <c:pt idx="20">
                  <c:v>66</c:v>
                </c:pt>
                <c:pt idx="21">
                  <c:v>65</c:v>
                </c:pt>
                <c:pt idx="22">
                  <c:v>70</c:v>
                </c:pt>
                <c:pt idx="23">
                  <c:v>84</c:v>
                </c:pt>
                <c:pt idx="24">
                  <c:v>88</c:v>
                </c:pt>
                <c:pt idx="25">
                  <c:v>81</c:v>
                </c:pt>
                <c:pt idx="26">
                  <c:v>71</c:v>
                </c:pt>
                <c:pt idx="27">
                  <c:v>74</c:v>
                </c:pt>
                <c:pt idx="28">
                  <c:v>64</c:v>
                </c:pt>
                <c:pt idx="29">
                  <c:v>74</c:v>
                </c:pt>
                <c:pt idx="30">
                  <c:v>81</c:v>
                </c:pt>
                <c:pt idx="31">
                  <c:v>81</c:v>
                </c:pt>
                <c:pt idx="32">
                  <c:v>86</c:v>
                </c:pt>
                <c:pt idx="33">
                  <c:v>95</c:v>
                </c:pt>
                <c:pt idx="34">
                  <c:v>113</c:v>
                </c:pt>
                <c:pt idx="35">
                  <c:v>115</c:v>
                </c:pt>
                <c:pt idx="36">
                  <c:v>100</c:v>
                </c:pt>
                <c:pt idx="37">
                  <c:v>84</c:v>
                </c:pt>
                <c:pt idx="38">
                  <c:v>86</c:v>
                </c:pt>
                <c:pt idx="39">
                  <c:v>96</c:v>
                </c:pt>
                <c:pt idx="40">
                  <c:v>98</c:v>
                </c:pt>
                <c:pt idx="41">
                  <c:v>93</c:v>
                </c:pt>
                <c:pt idx="42">
                  <c:v>90</c:v>
                </c:pt>
                <c:pt idx="43">
                  <c:v>96</c:v>
                </c:pt>
                <c:pt idx="44">
                  <c:v>93</c:v>
                </c:pt>
                <c:pt idx="45">
                  <c:v>86</c:v>
                </c:pt>
                <c:pt idx="46">
                  <c:v>100</c:v>
                </c:pt>
                <c:pt idx="47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E-40E6-A7FE-15B27339D262}"/>
            </c:ext>
          </c:extLst>
        </c:ser>
        <c:ser>
          <c:idx val="2"/>
          <c:order val="2"/>
          <c:tx>
            <c:strRef>
              <c:f>'PCB Data'!$AC$3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Data'!$AP$5:$AP$52</c:f>
              <c:numCache>
                <c:formatCode>General</c:formatCode>
                <c:ptCount val="48"/>
                <c:pt idx="19" formatCode="0">
                  <c:v>76.8</c:v>
                </c:pt>
                <c:pt idx="20" formatCode="0">
                  <c:v>69.599999999999994</c:v>
                </c:pt>
                <c:pt idx="21" formatCode="0">
                  <c:v>67.2</c:v>
                </c:pt>
                <c:pt idx="22" formatCode="0">
                  <c:v>58.8</c:v>
                </c:pt>
                <c:pt idx="23" formatCode="0">
                  <c:v>81.599999999999994</c:v>
                </c:pt>
                <c:pt idx="24" formatCode="0">
                  <c:v>56.4</c:v>
                </c:pt>
                <c:pt idx="25" formatCode="0">
                  <c:v>62.4</c:v>
                </c:pt>
                <c:pt idx="26" formatCode="0">
                  <c:v>76.8</c:v>
                </c:pt>
                <c:pt idx="27" formatCode="0">
                  <c:v>52.8</c:v>
                </c:pt>
                <c:pt idx="28" formatCode="0">
                  <c:v>60</c:v>
                </c:pt>
                <c:pt idx="29" formatCode="0">
                  <c:v>84</c:v>
                </c:pt>
                <c:pt idx="30" formatCode="0">
                  <c:v>78</c:v>
                </c:pt>
                <c:pt idx="31" formatCode="0">
                  <c:v>88.8</c:v>
                </c:pt>
                <c:pt idx="32" formatCode="0">
                  <c:v>98.399999999999991</c:v>
                </c:pt>
                <c:pt idx="33" formatCode="0">
                  <c:v>105.6</c:v>
                </c:pt>
                <c:pt idx="34" formatCode="0">
                  <c:v>84</c:v>
                </c:pt>
                <c:pt idx="35" formatCode="0">
                  <c:v>76.8</c:v>
                </c:pt>
                <c:pt idx="36" formatCode="0">
                  <c:v>75.599999999999994</c:v>
                </c:pt>
                <c:pt idx="37" formatCode="0">
                  <c:v>79.2</c:v>
                </c:pt>
                <c:pt idx="38" formatCode="0">
                  <c:v>70.8</c:v>
                </c:pt>
                <c:pt idx="39" formatCode="0">
                  <c:v>91.2</c:v>
                </c:pt>
                <c:pt idx="40" formatCode="0">
                  <c:v>132</c:v>
                </c:pt>
                <c:pt idx="41" formatCode="0">
                  <c:v>99.6</c:v>
                </c:pt>
                <c:pt idx="42" formatCode="0">
                  <c:v>79.2</c:v>
                </c:pt>
                <c:pt idx="43" formatCode="0">
                  <c:v>87.6</c:v>
                </c:pt>
                <c:pt idx="44" formatCode="0">
                  <c:v>74.399999999999991</c:v>
                </c:pt>
                <c:pt idx="45" formatCode="0">
                  <c:v>90</c:v>
                </c:pt>
                <c:pt idx="46" formatCode="0">
                  <c:v>51.6</c:v>
                </c:pt>
                <c:pt idx="47" formatCode="0">
                  <c:v>46.8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E-40E6-A7FE-15B27339D262}"/>
            </c:ext>
          </c:extLst>
        </c:ser>
        <c:ser>
          <c:idx val="3"/>
          <c:order val="3"/>
          <c:tx>
            <c:strRef>
              <c:f>'PCB Data'!$AD$3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Data'!$AQ$5:$AQ$52</c:f>
              <c:numCache>
                <c:formatCode>0</c:formatCode>
                <c:ptCount val="48"/>
                <c:pt idx="0">
                  <c:v>121.74988799999997</c:v>
                </c:pt>
                <c:pt idx="1">
                  <c:v>124.87167999999998</c:v>
                </c:pt>
                <c:pt idx="2">
                  <c:v>123.31078399999998</c:v>
                </c:pt>
                <c:pt idx="3">
                  <c:v>113.94540799999997</c:v>
                </c:pt>
                <c:pt idx="4">
                  <c:v>103.01913599999996</c:v>
                </c:pt>
                <c:pt idx="5">
                  <c:v>101.45823999999998</c:v>
                </c:pt>
                <c:pt idx="6">
                  <c:v>110.82361599999999</c:v>
                </c:pt>
                <c:pt idx="7">
                  <c:v>106.40107733333332</c:v>
                </c:pt>
                <c:pt idx="8">
                  <c:v>103.27928533333331</c:v>
                </c:pt>
                <c:pt idx="9">
                  <c:v>104.05973333333331</c:v>
                </c:pt>
                <c:pt idx="10">
                  <c:v>105.62062933333333</c:v>
                </c:pt>
                <c:pt idx="11">
                  <c:v>106.66122666666664</c:v>
                </c:pt>
                <c:pt idx="12">
                  <c:v>109.00257066666664</c:v>
                </c:pt>
                <c:pt idx="13">
                  <c:v>111.86421333333332</c:v>
                </c:pt>
                <c:pt idx="14">
                  <c:v>113.42510933333332</c:v>
                </c:pt>
                <c:pt idx="15">
                  <c:v>112.38451199999997</c:v>
                </c:pt>
                <c:pt idx="16">
                  <c:v>114.72585599999998</c:v>
                </c:pt>
                <c:pt idx="17">
                  <c:v>117.3273493333333</c:v>
                </c:pt>
                <c:pt idx="18">
                  <c:v>118.62809599999999</c:v>
                </c:pt>
                <c:pt idx="19">
                  <c:v>118.10779733333331</c:v>
                </c:pt>
                <c:pt idx="20">
                  <c:v>116.28675199999996</c:v>
                </c:pt>
                <c:pt idx="21">
                  <c:v>114.46570666666663</c:v>
                </c:pt>
                <c:pt idx="22">
                  <c:v>111.60406399999998</c:v>
                </c:pt>
                <c:pt idx="23">
                  <c:v>112.90481066666662</c:v>
                </c:pt>
                <c:pt idx="24">
                  <c:v>115.76645333333332</c:v>
                </c:pt>
                <c:pt idx="25">
                  <c:v>118.10779733333331</c:v>
                </c:pt>
                <c:pt idx="26">
                  <c:v>119.40854399999998</c:v>
                </c:pt>
                <c:pt idx="27">
                  <c:v>121.74988799999997</c:v>
                </c:pt>
                <c:pt idx="28">
                  <c:v>120.18899199999997</c:v>
                </c:pt>
                <c:pt idx="29">
                  <c:v>117.58749866666665</c:v>
                </c:pt>
                <c:pt idx="30">
                  <c:v>115.76645333333332</c:v>
                </c:pt>
                <c:pt idx="31">
                  <c:v>115.76645333333332</c:v>
                </c:pt>
                <c:pt idx="32">
                  <c:v>119.66869333333332</c:v>
                </c:pt>
                <c:pt idx="33">
                  <c:v>125.13182933333331</c:v>
                </c:pt>
                <c:pt idx="34">
                  <c:v>137.87914666666663</c:v>
                </c:pt>
                <c:pt idx="35">
                  <c:v>148.54526933333332</c:v>
                </c:pt>
                <c:pt idx="36">
                  <c:v>153.48810666666662</c:v>
                </c:pt>
                <c:pt idx="37">
                  <c:v>154.2685546666666</c:v>
                </c:pt>
                <c:pt idx="38">
                  <c:v>154.2685546666666</c:v>
                </c:pt>
                <c:pt idx="39">
                  <c:v>154.52870399999998</c:v>
                </c:pt>
                <c:pt idx="40">
                  <c:v>150.62646399999997</c:v>
                </c:pt>
                <c:pt idx="41">
                  <c:v>144.90317866666663</c:v>
                </c:pt>
                <c:pt idx="42">
                  <c:v>142.3016853333333</c:v>
                </c:pt>
                <c:pt idx="43">
                  <c:v>145.42347733333332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E-40E6-A7FE-15B27339D262}"/>
            </c:ext>
          </c:extLst>
        </c:ser>
        <c:ser>
          <c:idx val="4"/>
          <c:order val="4"/>
          <c:tx>
            <c:strRef>
              <c:f>'PCB Data'!$AE$3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Data'!$AR$5:$AR$52</c:f>
              <c:numCache>
                <c:formatCode>0</c:formatCode>
                <c:ptCount val="48"/>
                <c:pt idx="0">
                  <c:v>152.34375</c:v>
                </c:pt>
                <c:pt idx="1">
                  <c:v>156.25</c:v>
                </c:pt>
                <c:pt idx="2">
                  <c:v>154.296875</c:v>
                </c:pt>
                <c:pt idx="3">
                  <c:v>142.578125</c:v>
                </c:pt>
                <c:pt idx="4">
                  <c:v>128.90625</c:v>
                </c:pt>
                <c:pt idx="5">
                  <c:v>126.953125</c:v>
                </c:pt>
                <c:pt idx="6">
                  <c:v>138.671875</c:v>
                </c:pt>
                <c:pt idx="7">
                  <c:v>133.13802083333337</c:v>
                </c:pt>
                <c:pt idx="8">
                  <c:v>129.23177083333337</c:v>
                </c:pt>
                <c:pt idx="9">
                  <c:v>130.20833333333337</c:v>
                </c:pt>
                <c:pt idx="10">
                  <c:v>132.16145833333337</c:v>
                </c:pt>
                <c:pt idx="11">
                  <c:v>133.46354166666663</c:v>
                </c:pt>
                <c:pt idx="12">
                  <c:v>136.39322916666663</c:v>
                </c:pt>
                <c:pt idx="13">
                  <c:v>139.97395833333337</c:v>
                </c:pt>
                <c:pt idx="14">
                  <c:v>141.92708333333337</c:v>
                </c:pt>
                <c:pt idx="15">
                  <c:v>140.625</c:v>
                </c:pt>
                <c:pt idx="16">
                  <c:v>143.5546875</c:v>
                </c:pt>
                <c:pt idx="17">
                  <c:v>146.80989583333337</c:v>
                </c:pt>
                <c:pt idx="18">
                  <c:v>148.4375</c:v>
                </c:pt>
                <c:pt idx="19">
                  <c:v>147.78645833333337</c:v>
                </c:pt>
                <c:pt idx="20">
                  <c:v>145.5078125</c:v>
                </c:pt>
                <c:pt idx="21">
                  <c:v>143.22916666666663</c:v>
                </c:pt>
                <c:pt idx="22">
                  <c:v>139.6484375</c:v>
                </c:pt>
                <c:pt idx="23">
                  <c:v>141.27604166666663</c:v>
                </c:pt>
                <c:pt idx="24">
                  <c:v>144.85677083333337</c:v>
                </c:pt>
                <c:pt idx="25">
                  <c:v>147.78645833333337</c:v>
                </c:pt>
                <c:pt idx="26">
                  <c:v>149.4140625</c:v>
                </c:pt>
                <c:pt idx="27">
                  <c:v>152.34375</c:v>
                </c:pt>
                <c:pt idx="28">
                  <c:v>150.390625</c:v>
                </c:pt>
                <c:pt idx="29">
                  <c:v>147.13541666666663</c:v>
                </c:pt>
                <c:pt idx="30">
                  <c:v>144.85677083333337</c:v>
                </c:pt>
                <c:pt idx="31">
                  <c:v>144.85677083333337</c:v>
                </c:pt>
                <c:pt idx="32">
                  <c:v>149.73958333333337</c:v>
                </c:pt>
                <c:pt idx="33">
                  <c:v>156.57552083333337</c:v>
                </c:pt>
                <c:pt idx="34">
                  <c:v>172.52604166666663</c:v>
                </c:pt>
                <c:pt idx="35">
                  <c:v>185.87239583333337</c:v>
                </c:pt>
                <c:pt idx="36">
                  <c:v>192.05729166666663</c:v>
                </c:pt>
                <c:pt idx="37">
                  <c:v>193.03385416666663</c:v>
                </c:pt>
                <c:pt idx="38">
                  <c:v>193.03385416666663</c:v>
                </c:pt>
                <c:pt idx="39">
                  <c:v>193.359375</c:v>
                </c:pt>
                <c:pt idx="40">
                  <c:v>188.4765625</c:v>
                </c:pt>
                <c:pt idx="41">
                  <c:v>181.31510416666663</c:v>
                </c:pt>
                <c:pt idx="42">
                  <c:v>178.05989583333337</c:v>
                </c:pt>
                <c:pt idx="43">
                  <c:v>181.96614583333337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2E-40E6-A7FE-15B27339D262}"/>
            </c:ext>
          </c:extLst>
        </c:ser>
        <c:ser>
          <c:idx val="5"/>
          <c:order val="5"/>
          <c:tx>
            <c:strRef>
              <c:f>'PCB Data'!$AF$3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Data'!$AS$5:$AS$52</c:f>
              <c:numCache>
                <c:formatCode>0</c:formatCode>
                <c:ptCount val="48"/>
                <c:pt idx="0">
                  <c:v>134.78399999999999</c:v>
                </c:pt>
                <c:pt idx="1">
                  <c:v>138.23999999999998</c:v>
                </c:pt>
                <c:pt idx="2">
                  <c:v>136.51199999999997</c:v>
                </c:pt>
                <c:pt idx="3">
                  <c:v>126.14399999999998</c:v>
                </c:pt>
                <c:pt idx="4">
                  <c:v>114.048</c:v>
                </c:pt>
                <c:pt idx="5">
                  <c:v>112.32</c:v>
                </c:pt>
                <c:pt idx="6">
                  <c:v>122.68799999999999</c:v>
                </c:pt>
                <c:pt idx="7">
                  <c:v>117.79199999999999</c:v>
                </c:pt>
                <c:pt idx="8">
                  <c:v>114.336</c:v>
                </c:pt>
                <c:pt idx="9">
                  <c:v>115.19999999999999</c:v>
                </c:pt>
                <c:pt idx="10">
                  <c:v>116.928</c:v>
                </c:pt>
                <c:pt idx="11">
                  <c:v>118.07999999999997</c:v>
                </c:pt>
                <c:pt idx="12">
                  <c:v>120.67199999999998</c:v>
                </c:pt>
                <c:pt idx="13">
                  <c:v>123.84</c:v>
                </c:pt>
                <c:pt idx="14">
                  <c:v>125.568</c:v>
                </c:pt>
                <c:pt idx="15">
                  <c:v>124.41599999999998</c:v>
                </c:pt>
                <c:pt idx="16">
                  <c:v>127.008</c:v>
                </c:pt>
                <c:pt idx="17">
                  <c:v>129.88799999999998</c:v>
                </c:pt>
                <c:pt idx="18">
                  <c:v>131.328</c:v>
                </c:pt>
                <c:pt idx="19">
                  <c:v>130.75199999999998</c:v>
                </c:pt>
                <c:pt idx="20">
                  <c:v>128.73599999999999</c:v>
                </c:pt>
                <c:pt idx="21">
                  <c:v>126.71999999999997</c:v>
                </c:pt>
                <c:pt idx="22">
                  <c:v>123.55199999999999</c:v>
                </c:pt>
                <c:pt idx="23">
                  <c:v>124.99199999999999</c:v>
                </c:pt>
                <c:pt idx="24">
                  <c:v>128.16</c:v>
                </c:pt>
                <c:pt idx="25">
                  <c:v>130.75199999999998</c:v>
                </c:pt>
                <c:pt idx="26">
                  <c:v>132.19199999999998</c:v>
                </c:pt>
                <c:pt idx="27">
                  <c:v>134.78399999999999</c:v>
                </c:pt>
                <c:pt idx="28">
                  <c:v>133.05599999999998</c:v>
                </c:pt>
                <c:pt idx="29">
                  <c:v>130.17599999999999</c:v>
                </c:pt>
                <c:pt idx="30">
                  <c:v>128.16</c:v>
                </c:pt>
                <c:pt idx="31">
                  <c:v>128.16</c:v>
                </c:pt>
                <c:pt idx="32">
                  <c:v>132.47999999999999</c:v>
                </c:pt>
                <c:pt idx="33">
                  <c:v>138.52799999999999</c:v>
                </c:pt>
                <c:pt idx="34">
                  <c:v>152.63999999999996</c:v>
                </c:pt>
                <c:pt idx="35">
                  <c:v>164.44799999999998</c:v>
                </c:pt>
                <c:pt idx="36">
                  <c:v>169.91999999999996</c:v>
                </c:pt>
                <c:pt idx="37">
                  <c:v>170.78399999999999</c:v>
                </c:pt>
                <c:pt idx="38">
                  <c:v>170.78399999999999</c:v>
                </c:pt>
                <c:pt idx="39">
                  <c:v>171.072</c:v>
                </c:pt>
                <c:pt idx="40">
                  <c:v>166.75199999999998</c:v>
                </c:pt>
                <c:pt idx="41">
                  <c:v>160.41599999999997</c:v>
                </c:pt>
                <c:pt idx="42">
                  <c:v>157.536</c:v>
                </c:pt>
                <c:pt idx="43">
                  <c:v>160.99199999999999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2E-40E6-A7FE-15B27339D262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2E-40E6-A7FE-15B27339D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'PCB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B2E-40E6-A7FE-15B27339D262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308 / RPS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'PCB Data'!$AA$3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Data'!$D$5:$D$52</c:f>
              <c:numCache>
                <c:formatCode>General</c:formatCode>
                <c:ptCount val="48"/>
                <c:pt idx="0">
                  <c:v>67</c:v>
                </c:pt>
                <c:pt idx="1">
                  <c:v>69</c:v>
                </c:pt>
                <c:pt idx="2">
                  <c:v>71</c:v>
                </c:pt>
                <c:pt idx="3">
                  <c:v>72</c:v>
                </c:pt>
                <c:pt idx="4">
                  <c:v>77</c:v>
                </c:pt>
                <c:pt idx="5">
                  <c:v>70</c:v>
                </c:pt>
                <c:pt idx="6">
                  <c:v>67</c:v>
                </c:pt>
                <c:pt idx="7">
                  <c:v>67</c:v>
                </c:pt>
                <c:pt idx="8">
                  <c:v>66</c:v>
                </c:pt>
                <c:pt idx="9">
                  <c:v>74</c:v>
                </c:pt>
                <c:pt idx="10">
                  <c:v>69</c:v>
                </c:pt>
                <c:pt idx="11">
                  <c:v>70</c:v>
                </c:pt>
                <c:pt idx="12">
                  <c:v>72</c:v>
                </c:pt>
                <c:pt idx="13">
                  <c:v>73</c:v>
                </c:pt>
                <c:pt idx="14">
                  <c:v>73</c:v>
                </c:pt>
                <c:pt idx="15">
                  <c:v>76</c:v>
                </c:pt>
                <c:pt idx="16">
                  <c:v>84</c:v>
                </c:pt>
                <c:pt idx="17">
                  <c:v>84</c:v>
                </c:pt>
                <c:pt idx="18">
                  <c:v>85</c:v>
                </c:pt>
                <c:pt idx="19">
                  <c:v>78</c:v>
                </c:pt>
                <c:pt idx="20">
                  <c:v>70</c:v>
                </c:pt>
                <c:pt idx="21">
                  <c:v>67</c:v>
                </c:pt>
                <c:pt idx="22">
                  <c:v>76</c:v>
                </c:pt>
                <c:pt idx="23">
                  <c:v>112</c:v>
                </c:pt>
                <c:pt idx="24">
                  <c:v>118</c:v>
                </c:pt>
                <c:pt idx="25">
                  <c:v>110</c:v>
                </c:pt>
                <c:pt idx="26">
                  <c:v>58</c:v>
                </c:pt>
                <c:pt idx="27">
                  <c:v>60</c:v>
                </c:pt>
                <c:pt idx="28">
                  <c:v>52</c:v>
                </c:pt>
                <c:pt idx="29">
                  <c:v>62</c:v>
                </c:pt>
                <c:pt idx="30">
                  <c:v>68</c:v>
                </c:pt>
                <c:pt idx="31">
                  <c:v>71</c:v>
                </c:pt>
                <c:pt idx="32">
                  <c:v>73</c:v>
                </c:pt>
                <c:pt idx="33">
                  <c:v>80</c:v>
                </c:pt>
                <c:pt idx="34">
                  <c:v>99</c:v>
                </c:pt>
                <c:pt idx="35">
                  <c:v>89</c:v>
                </c:pt>
                <c:pt idx="36">
                  <c:v>81</c:v>
                </c:pt>
                <c:pt idx="37">
                  <c:v>71</c:v>
                </c:pt>
                <c:pt idx="38">
                  <c:v>74</c:v>
                </c:pt>
                <c:pt idx="39">
                  <c:v>78</c:v>
                </c:pt>
                <c:pt idx="40">
                  <c:v>96</c:v>
                </c:pt>
                <c:pt idx="41">
                  <c:v>123</c:v>
                </c:pt>
                <c:pt idx="42">
                  <c:v>123</c:v>
                </c:pt>
                <c:pt idx="43">
                  <c:v>132</c:v>
                </c:pt>
                <c:pt idx="44">
                  <c:v>124</c:v>
                </c:pt>
                <c:pt idx="45">
                  <c:v>114</c:v>
                </c:pt>
                <c:pt idx="46">
                  <c:v>107</c:v>
                </c:pt>
                <c:pt idx="47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C-4381-A0BD-988530E3FAB7}"/>
            </c:ext>
          </c:extLst>
        </c:ser>
        <c:ser>
          <c:idx val="2"/>
          <c:order val="2"/>
          <c:tx>
            <c:strRef>
              <c:f>'PCB Data'!$AC$3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Data'!$AV$5:$AV$52</c:f>
              <c:numCache>
                <c:formatCode>General</c:formatCode>
                <c:ptCount val="48"/>
                <c:pt idx="19">
                  <c:v>86.399999999999991</c:v>
                </c:pt>
                <c:pt idx="20">
                  <c:v>78</c:v>
                </c:pt>
                <c:pt idx="21">
                  <c:v>74.399999999999991</c:v>
                </c:pt>
                <c:pt idx="22">
                  <c:v>64.8</c:v>
                </c:pt>
                <c:pt idx="23">
                  <c:v>105.6</c:v>
                </c:pt>
                <c:pt idx="24">
                  <c:v>73.2</c:v>
                </c:pt>
                <c:pt idx="25">
                  <c:v>75.599999999999994</c:v>
                </c:pt>
                <c:pt idx="26">
                  <c:v>63.599999999999994</c:v>
                </c:pt>
                <c:pt idx="27">
                  <c:v>43.199999999999996</c:v>
                </c:pt>
                <c:pt idx="28">
                  <c:v>51.6</c:v>
                </c:pt>
                <c:pt idx="29">
                  <c:v>72</c:v>
                </c:pt>
                <c:pt idx="30">
                  <c:v>66</c:v>
                </c:pt>
                <c:pt idx="31">
                  <c:v>75.599999999999994</c:v>
                </c:pt>
                <c:pt idx="32">
                  <c:v>84</c:v>
                </c:pt>
                <c:pt idx="33">
                  <c:v>92.399999999999991</c:v>
                </c:pt>
                <c:pt idx="34">
                  <c:v>74.399999999999991</c:v>
                </c:pt>
                <c:pt idx="35">
                  <c:v>60</c:v>
                </c:pt>
                <c:pt idx="36">
                  <c:v>61.199999999999996</c:v>
                </c:pt>
                <c:pt idx="37">
                  <c:v>66</c:v>
                </c:pt>
                <c:pt idx="38">
                  <c:v>57.599999999999994</c:v>
                </c:pt>
                <c:pt idx="39">
                  <c:v>79.2</c:v>
                </c:pt>
                <c:pt idx="40">
                  <c:v>145.19999999999999</c:v>
                </c:pt>
                <c:pt idx="41">
                  <c:v>117.6</c:v>
                </c:pt>
                <c:pt idx="42">
                  <c:v>104.39999999999999</c:v>
                </c:pt>
                <c:pt idx="43">
                  <c:v>112.8</c:v>
                </c:pt>
                <c:pt idx="44">
                  <c:v>74.399999999999991</c:v>
                </c:pt>
                <c:pt idx="45">
                  <c:v>91.2</c:v>
                </c:pt>
                <c:pt idx="46">
                  <c:v>51.6</c:v>
                </c:pt>
                <c:pt idx="47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C-4381-A0BD-988530E3FAB7}"/>
            </c:ext>
          </c:extLst>
        </c:ser>
        <c:ser>
          <c:idx val="3"/>
          <c:order val="3"/>
          <c:tx>
            <c:strRef>
              <c:f>'PCB Data'!$AD$3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Data'!$AW$5:$AW$52</c:f>
              <c:numCache>
                <c:formatCode>0</c:formatCode>
                <c:ptCount val="48"/>
                <c:pt idx="0">
                  <c:v>104.58003199999999</c:v>
                </c:pt>
                <c:pt idx="1">
                  <c:v>107.70182399999997</c:v>
                </c:pt>
                <c:pt idx="2">
                  <c:v>110.82361599999999</c:v>
                </c:pt>
                <c:pt idx="3">
                  <c:v>112.38451199999997</c:v>
                </c:pt>
                <c:pt idx="4">
                  <c:v>120.18899199999997</c:v>
                </c:pt>
                <c:pt idx="5">
                  <c:v>109.26271999999997</c:v>
                </c:pt>
                <c:pt idx="6">
                  <c:v>110.82361599999999</c:v>
                </c:pt>
                <c:pt idx="7">
                  <c:v>110.30331733333331</c:v>
                </c:pt>
                <c:pt idx="8">
                  <c:v>109.00257066666664</c:v>
                </c:pt>
                <c:pt idx="9">
                  <c:v>109.52286933333332</c:v>
                </c:pt>
                <c:pt idx="10">
                  <c:v>107.44167466666663</c:v>
                </c:pt>
                <c:pt idx="11">
                  <c:v>107.44167466666663</c:v>
                </c:pt>
                <c:pt idx="12">
                  <c:v>108.74242133333333</c:v>
                </c:pt>
                <c:pt idx="13">
                  <c:v>110.30331733333331</c:v>
                </c:pt>
                <c:pt idx="14">
                  <c:v>112.12436266666663</c:v>
                </c:pt>
                <c:pt idx="15">
                  <c:v>112.64466133333333</c:v>
                </c:pt>
                <c:pt idx="16">
                  <c:v>116.54690133333331</c:v>
                </c:pt>
                <c:pt idx="17">
                  <c:v>120.18899199999997</c:v>
                </c:pt>
                <c:pt idx="18">
                  <c:v>123.57093333333331</c:v>
                </c:pt>
                <c:pt idx="19">
                  <c:v>124.87167999999998</c:v>
                </c:pt>
                <c:pt idx="20">
                  <c:v>124.09123199999998</c:v>
                </c:pt>
                <c:pt idx="21">
                  <c:v>121.74988799999997</c:v>
                </c:pt>
                <c:pt idx="22">
                  <c:v>119.66869333333332</c:v>
                </c:pt>
                <c:pt idx="23">
                  <c:v>126.95287466666662</c:v>
                </c:pt>
                <c:pt idx="24">
                  <c:v>135.53780266666664</c:v>
                </c:pt>
                <c:pt idx="25">
                  <c:v>143.86258133333331</c:v>
                </c:pt>
                <c:pt idx="26">
                  <c:v>140.74078933333331</c:v>
                </c:pt>
                <c:pt idx="27">
                  <c:v>138.91974399999998</c:v>
                </c:pt>
                <c:pt idx="28">
                  <c:v>132.67615999999998</c:v>
                </c:pt>
                <c:pt idx="29">
                  <c:v>119.66869333333332</c:v>
                </c:pt>
                <c:pt idx="30">
                  <c:v>106.66122666666664</c:v>
                </c:pt>
                <c:pt idx="31">
                  <c:v>96.515402666666645</c:v>
                </c:pt>
                <c:pt idx="32">
                  <c:v>100.41764266666664</c:v>
                </c:pt>
                <c:pt idx="33">
                  <c:v>105.62062933333333</c:v>
                </c:pt>
                <c:pt idx="34">
                  <c:v>117.84764799999999</c:v>
                </c:pt>
                <c:pt idx="35">
                  <c:v>124.87167999999998</c:v>
                </c:pt>
                <c:pt idx="36">
                  <c:v>128.25362133333331</c:v>
                </c:pt>
                <c:pt idx="37">
                  <c:v>128.25362133333331</c:v>
                </c:pt>
                <c:pt idx="38">
                  <c:v>128.51377066666663</c:v>
                </c:pt>
                <c:pt idx="39">
                  <c:v>127.99347199999997</c:v>
                </c:pt>
                <c:pt idx="40">
                  <c:v>127.21302399999998</c:v>
                </c:pt>
                <c:pt idx="41">
                  <c:v>136.0581013333333</c:v>
                </c:pt>
                <c:pt idx="42">
                  <c:v>146.98437333333331</c:v>
                </c:pt>
                <c:pt idx="43">
                  <c:v>162.85348266666665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C-4381-A0BD-988530E3FAB7}"/>
            </c:ext>
          </c:extLst>
        </c:ser>
        <c:ser>
          <c:idx val="4"/>
          <c:order val="4"/>
          <c:tx>
            <c:strRef>
              <c:f>'PCB Data'!$AE$3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Data'!$AX$5:$AX$52</c:f>
              <c:numCache>
                <c:formatCode>0</c:formatCode>
                <c:ptCount val="48"/>
                <c:pt idx="0">
                  <c:v>130.859375</c:v>
                </c:pt>
                <c:pt idx="1">
                  <c:v>134.765625</c:v>
                </c:pt>
                <c:pt idx="2">
                  <c:v>138.671875</c:v>
                </c:pt>
                <c:pt idx="3">
                  <c:v>140.625</c:v>
                </c:pt>
                <c:pt idx="4">
                  <c:v>150.390625</c:v>
                </c:pt>
                <c:pt idx="5">
                  <c:v>136.71875</c:v>
                </c:pt>
                <c:pt idx="6">
                  <c:v>138.671875</c:v>
                </c:pt>
                <c:pt idx="7">
                  <c:v>138.02083333333337</c:v>
                </c:pt>
                <c:pt idx="8">
                  <c:v>136.39322916666663</c:v>
                </c:pt>
                <c:pt idx="9">
                  <c:v>137.04427083333337</c:v>
                </c:pt>
                <c:pt idx="10">
                  <c:v>134.44010416666663</c:v>
                </c:pt>
                <c:pt idx="11">
                  <c:v>134.44010416666663</c:v>
                </c:pt>
                <c:pt idx="12">
                  <c:v>136.06770833333337</c:v>
                </c:pt>
                <c:pt idx="13">
                  <c:v>138.02083333333337</c:v>
                </c:pt>
                <c:pt idx="14">
                  <c:v>140.29947916666663</c:v>
                </c:pt>
                <c:pt idx="15">
                  <c:v>140.95052083333337</c:v>
                </c:pt>
                <c:pt idx="16">
                  <c:v>145.83333333333337</c:v>
                </c:pt>
                <c:pt idx="17">
                  <c:v>150.390625</c:v>
                </c:pt>
                <c:pt idx="18">
                  <c:v>154.62239583333337</c:v>
                </c:pt>
                <c:pt idx="19">
                  <c:v>156.25</c:v>
                </c:pt>
                <c:pt idx="20">
                  <c:v>155.2734375</c:v>
                </c:pt>
                <c:pt idx="21">
                  <c:v>152.34375</c:v>
                </c:pt>
                <c:pt idx="22">
                  <c:v>149.73958333333337</c:v>
                </c:pt>
                <c:pt idx="23">
                  <c:v>158.85416666666663</c:v>
                </c:pt>
                <c:pt idx="24">
                  <c:v>169.59635416666663</c:v>
                </c:pt>
                <c:pt idx="25">
                  <c:v>180.01302083333337</c:v>
                </c:pt>
                <c:pt idx="26">
                  <c:v>176.10677083333337</c:v>
                </c:pt>
                <c:pt idx="27">
                  <c:v>173.828125</c:v>
                </c:pt>
                <c:pt idx="28">
                  <c:v>166.015625</c:v>
                </c:pt>
                <c:pt idx="29">
                  <c:v>149.73958333333337</c:v>
                </c:pt>
                <c:pt idx="30">
                  <c:v>133.46354166666663</c:v>
                </c:pt>
                <c:pt idx="31">
                  <c:v>120.76822916666669</c:v>
                </c:pt>
                <c:pt idx="32">
                  <c:v>125.65104166666664</c:v>
                </c:pt>
                <c:pt idx="33">
                  <c:v>132.16145833333337</c:v>
                </c:pt>
                <c:pt idx="34">
                  <c:v>147.4609375</c:v>
                </c:pt>
                <c:pt idx="35">
                  <c:v>156.25</c:v>
                </c:pt>
                <c:pt idx="36">
                  <c:v>160.48177083333337</c:v>
                </c:pt>
                <c:pt idx="37">
                  <c:v>160.48177083333337</c:v>
                </c:pt>
                <c:pt idx="38">
                  <c:v>160.80729166666663</c:v>
                </c:pt>
                <c:pt idx="39">
                  <c:v>160.15625</c:v>
                </c:pt>
                <c:pt idx="40">
                  <c:v>159.1796875</c:v>
                </c:pt>
                <c:pt idx="41">
                  <c:v>170.24739583333337</c:v>
                </c:pt>
                <c:pt idx="42">
                  <c:v>183.91927083333337</c:v>
                </c:pt>
                <c:pt idx="43">
                  <c:v>203.77604166666663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6C-4381-A0BD-988530E3FAB7}"/>
            </c:ext>
          </c:extLst>
        </c:ser>
        <c:ser>
          <c:idx val="5"/>
          <c:order val="5"/>
          <c:tx>
            <c:strRef>
              <c:f>'PCB Data'!$AF$3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Data'!$AY$5:$AY$52</c:f>
              <c:numCache>
                <c:formatCode>0</c:formatCode>
                <c:ptCount val="48"/>
                <c:pt idx="0">
                  <c:v>115.77599999999998</c:v>
                </c:pt>
                <c:pt idx="1">
                  <c:v>119.232</c:v>
                </c:pt>
                <c:pt idx="2">
                  <c:v>122.68799999999999</c:v>
                </c:pt>
                <c:pt idx="3">
                  <c:v>124.41599999999998</c:v>
                </c:pt>
                <c:pt idx="4">
                  <c:v>133.05599999999998</c:v>
                </c:pt>
                <c:pt idx="5">
                  <c:v>120.96</c:v>
                </c:pt>
                <c:pt idx="6">
                  <c:v>122.68799999999999</c:v>
                </c:pt>
                <c:pt idx="7">
                  <c:v>122.11199999999998</c:v>
                </c:pt>
                <c:pt idx="8">
                  <c:v>120.67199999999998</c:v>
                </c:pt>
                <c:pt idx="9">
                  <c:v>121.248</c:v>
                </c:pt>
                <c:pt idx="10">
                  <c:v>118.94399999999999</c:v>
                </c:pt>
                <c:pt idx="11">
                  <c:v>118.94399999999999</c:v>
                </c:pt>
                <c:pt idx="12">
                  <c:v>120.384</c:v>
                </c:pt>
                <c:pt idx="13">
                  <c:v>122.11199999999998</c:v>
                </c:pt>
                <c:pt idx="14">
                  <c:v>124.12799999999997</c:v>
                </c:pt>
                <c:pt idx="15">
                  <c:v>124.70399999999999</c:v>
                </c:pt>
                <c:pt idx="16">
                  <c:v>129.024</c:v>
                </c:pt>
                <c:pt idx="17">
                  <c:v>133.05599999999998</c:v>
                </c:pt>
                <c:pt idx="18">
                  <c:v>136.79999999999998</c:v>
                </c:pt>
                <c:pt idx="19">
                  <c:v>138.23999999999998</c:v>
                </c:pt>
                <c:pt idx="20">
                  <c:v>137.37599999999998</c:v>
                </c:pt>
                <c:pt idx="21">
                  <c:v>134.78399999999999</c:v>
                </c:pt>
                <c:pt idx="22">
                  <c:v>132.47999999999999</c:v>
                </c:pt>
                <c:pt idx="23">
                  <c:v>140.54399999999998</c:v>
                </c:pt>
                <c:pt idx="24">
                  <c:v>150.04799999999997</c:v>
                </c:pt>
                <c:pt idx="25">
                  <c:v>159.26399999999998</c:v>
                </c:pt>
                <c:pt idx="26">
                  <c:v>155.80799999999999</c:v>
                </c:pt>
                <c:pt idx="27">
                  <c:v>153.792</c:v>
                </c:pt>
                <c:pt idx="28">
                  <c:v>146.88</c:v>
                </c:pt>
                <c:pt idx="29">
                  <c:v>132.47999999999999</c:v>
                </c:pt>
                <c:pt idx="30">
                  <c:v>118.07999999999997</c:v>
                </c:pt>
                <c:pt idx="31">
                  <c:v>106.848</c:v>
                </c:pt>
                <c:pt idx="32">
                  <c:v>111.16799999999998</c:v>
                </c:pt>
                <c:pt idx="33">
                  <c:v>116.928</c:v>
                </c:pt>
                <c:pt idx="34">
                  <c:v>130.46399999999997</c:v>
                </c:pt>
                <c:pt idx="35">
                  <c:v>138.23999999999998</c:v>
                </c:pt>
                <c:pt idx="36">
                  <c:v>141.98400000000001</c:v>
                </c:pt>
                <c:pt idx="37">
                  <c:v>141.98400000000001</c:v>
                </c:pt>
                <c:pt idx="38">
                  <c:v>142.27199999999999</c:v>
                </c:pt>
                <c:pt idx="39">
                  <c:v>141.69599999999997</c:v>
                </c:pt>
                <c:pt idx="40">
                  <c:v>140.83199999999997</c:v>
                </c:pt>
                <c:pt idx="41">
                  <c:v>150.624</c:v>
                </c:pt>
                <c:pt idx="42">
                  <c:v>162.72</c:v>
                </c:pt>
                <c:pt idx="43">
                  <c:v>180.28799999999998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6C-4381-A0BD-988530E3FAB7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6C-4381-A0BD-988530E3F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'PCB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86C-4381-A0BD-988530E3FAB7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431 / PVA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'PCB Data'!$AA$3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Data'!$E$5:$E$52</c:f>
              <c:numCache>
                <c:formatCode>General</c:formatCode>
                <c:ptCount val="48"/>
                <c:pt idx="0">
                  <c:v>102</c:v>
                </c:pt>
                <c:pt idx="1">
                  <c:v>82</c:v>
                </c:pt>
                <c:pt idx="2">
                  <c:v>96</c:v>
                </c:pt>
                <c:pt idx="3">
                  <c:v>91</c:v>
                </c:pt>
                <c:pt idx="4">
                  <c:v>82</c:v>
                </c:pt>
                <c:pt idx="5">
                  <c:v>81</c:v>
                </c:pt>
                <c:pt idx="6">
                  <c:v>72</c:v>
                </c:pt>
                <c:pt idx="7">
                  <c:v>72</c:v>
                </c:pt>
                <c:pt idx="8">
                  <c:v>70</c:v>
                </c:pt>
                <c:pt idx="9">
                  <c:v>78</c:v>
                </c:pt>
                <c:pt idx="10">
                  <c:v>77</c:v>
                </c:pt>
                <c:pt idx="11">
                  <c:v>66</c:v>
                </c:pt>
                <c:pt idx="12">
                  <c:v>69</c:v>
                </c:pt>
                <c:pt idx="13">
                  <c:v>73</c:v>
                </c:pt>
                <c:pt idx="14">
                  <c:v>84</c:v>
                </c:pt>
                <c:pt idx="15">
                  <c:v>80</c:v>
                </c:pt>
                <c:pt idx="16">
                  <c:v>90</c:v>
                </c:pt>
                <c:pt idx="17">
                  <c:v>91</c:v>
                </c:pt>
                <c:pt idx="18">
                  <c:v>95</c:v>
                </c:pt>
                <c:pt idx="19">
                  <c:v>99</c:v>
                </c:pt>
                <c:pt idx="20">
                  <c:v>90</c:v>
                </c:pt>
                <c:pt idx="21">
                  <c:v>65</c:v>
                </c:pt>
                <c:pt idx="22">
                  <c:v>85</c:v>
                </c:pt>
                <c:pt idx="23">
                  <c:v>123</c:v>
                </c:pt>
                <c:pt idx="24">
                  <c:v>91</c:v>
                </c:pt>
                <c:pt idx="25">
                  <c:v>76</c:v>
                </c:pt>
                <c:pt idx="26">
                  <c:v>77</c:v>
                </c:pt>
                <c:pt idx="27">
                  <c:v>68</c:v>
                </c:pt>
                <c:pt idx="28">
                  <c:v>68</c:v>
                </c:pt>
                <c:pt idx="29">
                  <c:v>66</c:v>
                </c:pt>
                <c:pt idx="30">
                  <c:v>75</c:v>
                </c:pt>
                <c:pt idx="31">
                  <c:v>72</c:v>
                </c:pt>
                <c:pt idx="32">
                  <c:v>85</c:v>
                </c:pt>
                <c:pt idx="33">
                  <c:v>93</c:v>
                </c:pt>
                <c:pt idx="34">
                  <c:v>113</c:v>
                </c:pt>
                <c:pt idx="35">
                  <c:v>118</c:v>
                </c:pt>
                <c:pt idx="36">
                  <c:v>112</c:v>
                </c:pt>
                <c:pt idx="37">
                  <c:v>82</c:v>
                </c:pt>
                <c:pt idx="38">
                  <c:v>85</c:v>
                </c:pt>
                <c:pt idx="39">
                  <c:v>45</c:v>
                </c:pt>
                <c:pt idx="40">
                  <c:v>59</c:v>
                </c:pt>
                <c:pt idx="41">
                  <c:v>61</c:v>
                </c:pt>
                <c:pt idx="42">
                  <c:v>56</c:v>
                </c:pt>
                <c:pt idx="43">
                  <c:v>69</c:v>
                </c:pt>
                <c:pt idx="44">
                  <c:v>68</c:v>
                </c:pt>
                <c:pt idx="45">
                  <c:v>58</c:v>
                </c:pt>
                <c:pt idx="46">
                  <c:v>70</c:v>
                </c:pt>
                <c:pt idx="47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A-4F92-9046-E72D3460672C}"/>
            </c:ext>
          </c:extLst>
        </c:ser>
        <c:ser>
          <c:idx val="2"/>
          <c:order val="2"/>
          <c:tx>
            <c:strRef>
              <c:f>'PCB Data'!$AC$3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Data'!$BB$5:$BB$52</c:f>
              <c:numCache>
                <c:formatCode>General</c:formatCode>
                <c:ptCount val="48"/>
                <c:pt idx="19">
                  <c:v>92.399999999999991</c:v>
                </c:pt>
                <c:pt idx="20">
                  <c:v>81.599999999999994</c:v>
                </c:pt>
                <c:pt idx="21">
                  <c:v>70.8</c:v>
                </c:pt>
                <c:pt idx="22">
                  <c:v>56.4</c:v>
                </c:pt>
                <c:pt idx="23">
                  <c:v>68.399999999999991</c:v>
                </c:pt>
                <c:pt idx="24">
                  <c:v>37.199999999999996</c:v>
                </c:pt>
                <c:pt idx="25">
                  <c:v>48</c:v>
                </c:pt>
                <c:pt idx="26">
                  <c:v>61.199999999999996</c:v>
                </c:pt>
                <c:pt idx="27">
                  <c:v>45.6</c:v>
                </c:pt>
                <c:pt idx="28">
                  <c:v>50.4</c:v>
                </c:pt>
                <c:pt idx="29">
                  <c:v>68.399999999999991</c:v>
                </c:pt>
                <c:pt idx="30">
                  <c:v>57.599999999999994</c:v>
                </c:pt>
                <c:pt idx="31">
                  <c:v>78</c:v>
                </c:pt>
                <c:pt idx="32">
                  <c:v>81.599999999999994</c:v>
                </c:pt>
                <c:pt idx="33">
                  <c:v>99.6</c:v>
                </c:pt>
                <c:pt idx="34">
                  <c:v>81.599999999999994</c:v>
                </c:pt>
                <c:pt idx="35">
                  <c:v>76.8</c:v>
                </c:pt>
                <c:pt idx="36">
                  <c:v>61.199999999999996</c:v>
                </c:pt>
                <c:pt idx="37">
                  <c:v>72</c:v>
                </c:pt>
                <c:pt idx="38">
                  <c:v>63.599999999999994</c:v>
                </c:pt>
                <c:pt idx="39">
                  <c:v>54</c:v>
                </c:pt>
                <c:pt idx="40">
                  <c:v>81.599999999999994</c:v>
                </c:pt>
                <c:pt idx="41">
                  <c:v>57.599999999999994</c:v>
                </c:pt>
                <c:pt idx="42">
                  <c:v>49.199999999999996</c:v>
                </c:pt>
                <c:pt idx="43">
                  <c:v>49.199999999999996</c:v>
                </c:pt>
                <c:pt idx="44">
                  <c:v>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A-4F92-9046-E72D3460672C}"/>
            </c:ext>
          </c:extLst>
        </c:ser>
        <c:ser>
          <c:idx val="3"/>
          <c:order val="3"/>
          <c:tx>
            <c:strRef>
              <c:f>'PCB Data'!$AD$3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Data'!$BC$5:$BC$52</c:f>
              <c:numCache>
                <c:formatCode>0</c:formatCode>
                <c:ptCount val="48"/>
                <c:pt idx="0">
                  <c:v>159.21139199999996</c:v>
                </c:pt>
                <c:pt idx="1">
                  <c:v>127.99347199999997</c:v>
                </c:pt>
                <c:pt idx="2">
                  <c:v>149.84601599999996</c:v>
                </c:pt>
                <c:pt idx="3">
                  <c:v>142.04153599999995</c:v>
                </c:pt>
                <c:pt idx="4">
                  <c:v>127.99347199999997</c:v>
                </c:pt>
                <c:pt idx="5">
                  <c:v>126.43257599999997</c:v>
                </c:pt>
                <c:pt idx="6">
                  <c:v>131.11526399999997</c:v>
                </c:pt>
                <c:pt idx="7">
                  <c:v>128.51377066666663</c:v>
                </c:pt>
                <c:pt idx="8">
                  <c:v>121.74988799999997</c:v>
                </c:pt>
                <c:pt idx="9">
                  <c:v>118.36794666666664</c:v>
                </c:pt>
                <c:pt idx="10">
                  <c:v>117.06719999999997</c:v>
                </c:pt>
                <c:pt idx="11">
                  <c:v>113.16495999999998</c:v>
                </c:pt>
                <c:pt idx="12">
                  <c:v>112.38451199999997</c:v>
                </c:pt>
                <c:pt idx="13">
                  <c:v>112.64466133333333</c:v>
                </c:pt>
                <c:pt idx="14">
                  <c:v>116.28675199999996</c:v>
                </c:pt>
                <c:pt idx="15">
                  <c:v>116.80705066666664</c:v>
                </c:pt>
                <c:pt idx="16">
                  <c:v>120.18899199999997</c:v>
                </c:pt>
                <c:pt idx="17">
                  <c:v>126.69272533333333</c:v>
                </c:pt>
                <c:pt idx="18">
                  <c:v>133.45660799999996</c:v>
                </c:pt>
                <c:pt idx="19">
                  <c:v>140.22049066666662</c:v>
                </c:pt>
                <c:pt idx="20">
                  <c:v>141.78138666666663</c:v>
                </c:pt>
                <c:pt idx="21">
                  <c:v>137.87914666666663</c:v>
                </c:pt>
                <c:pt idx="22">
                  <c:v>136.57839999999999</c:v>
                </c:pt>
                <c:pt idx="23">
                  <c:v>144.90317866666663</c:v>
                </c:pt>
                <c:pt idx="24">
                  <c:v>143.86258133333331</c:v>
                </c:pt>
                <c:pt idx="25">
                  <c:v>137.87914666666663</c:v>
                </c:pt>
                <c:pt idx="26">
                  <c:v>134.49720533333331</c:v>
                </c:pt>
                <c:pt idx="27">
                  <c:v>135.27765333333332</c:v>
                </c:pt>
                <c:pt idx="28">
                  <c:v>130.85511466666662</c:v>
                </c:pt>
                <c:pt idx="29">
                  <c:v>116.02660266666663</c:v>
                </c:pt>
                <c:pt idx="30">
                  <c:v>111.86421333333332</c:v>
                </c:pt>
                <c:pt idx="31">
                  <c:v>110.82361599999999</c:v>
                </c:pt>
                <c:pt idx="32">
                  <c:v>112.90481066666662</c:v>
                </c:pt>
                <c:pt idx="33">
                  <c:v>119.40854399999998</c:v>
                </c:pt>
                <c:pt idx="34">
                  <c:v>131.11526399999997</c:v>
                </c:pt>
                <c:pt idx="35">
                  <c:v>144.64302933333332</c:v>
                </c:pt>
                <c:pt idx="36">
                  <c:v>154.2685546666666</c:v>
                </c:pt>
                <c:pt idx="37">
                  <c:v>156.870048</c:v>
                </c:pt>
                <c:pt idx="38">
                  <c:v>156.870048</c:v>
                </c:pt>
                <c:pt idx="39">
                  <c:v>144.38287999999997</c:v>
                </c:pt>
                <c:pt idx="40">
                  <c:v>130.33481599999999</c:v>
                </c:pt>
                <c:pt idx="41">
                  <c:v>115.50630399999997</c:v>
                </c:pt>
                <c:pt idx="42">
                  <c:v>100.93794133333333</c:v>
                </c:pt>
                <c:pt idx="43">
                  <c:v>97.555999999999983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A-4F92-9046-E72D3460672C}"/>
            </c:ext>
          </c:extLst>
        </c:ser>
        <c:ser>
          <c:idx val="4"/>
          <c:order val="4"/>
          <c:tx>
            <c:strRef>
              <c:f>'PCB Data'!$AE$3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Data'!$BD$5:$BD$52</c:f>
              <c:numCache>
                <c:formatCode>0</c:formatCode>
                <c:ptCount val="48"/>
                <c:pt idx="0">
                  <c:v>199.21875</c:v>
                </c:pt>
                <c:pt idx="1">
                  <c:v>160.15625</c:v>
                </c:pt>
                <c:pt idx="2">
                  <c:v>187.5</c:v>
                </c:pt>
                <c:pt idx="3">
                  <c:v>177.734375</c:v>
                </c:pt>
                <c:pt idx="4">
                  <c:v>160.15625</c:v>
                </c:pt>
                <c:pt idx="5">
                  <c:v>158.203125</c:v>
                </c:pt>
                <c:pt idx="6">
                  <c:v>164.0625</c:v>
                </c:pt>
                <c:pt idx="7">
                  <c:v>160.80729166666663</c:v>
                </c:pt>
                <c:pt idx="8">
                  <c:v>152.34375</c:v>
                </c:pt>
                <c:pt idx="9">
                  <c:v>148.11197916666663</c:v>
                </c:pt>
                <c:pt idx="10">
                  <c:v>146.484375</c:v>
                </c:pt>
                <c:pt idx="11">
                  <c:v>141.6015625</c:v>
                </c:pt>
                <c:pt idx="12">
                  <c:v>140.625</c:v>
                </c:pt>
                <c:pt idx="13">
                  <c:v>140.95052083333337</c:v>
                </c:pt>
                <c:pt idx="14">
                  <c:v>145.5078125</c:v>
                </c:pt>
                <c:pt idx="15">
                  <c:v>146.15885416666663</c:v>
                </c:pt>
                <c:pt idx="16">
                  <c:v>150.390625</c:v>
                </c:pt>
                <c:pt idx="17">
                  <c:v>158.52864583333337</c:v>
                </c:pt>
                <c:pt idx="18">
                  <c:v>166.9921875</c:v>
                </c:pt>
                <c:pt idx="19">
                  <c:v>175.45572916666663</c:v>
                </c:pt>
                <c:pt idx="20">
                  <c:v>177.40885416666663</c:v>
                </c:pt>
                <c:pt idx="21">
                  <c:v>172.52604166666663</c:v>
                </c:pt>
                <c:pt idx="22">
                  <c:v>170.8984375</c:v>
                </c:pt>
                <c:pt idx="23">
                  <c:v>181.31510416666663</c:v>
                </c:pt>
                <c:pt idx="24">
                  <c:v>180.01302083333337</c:v>
                </c:pt>
                <c:pt idx="25">
                  <c:v>172.52604166666663</c:v>
                </c:pt>
                <c:pt idx="26">
                  <c:v>168.29427083333337</c:v>
                </c:pt>
                <c:pt idx="27">
                  <c:v>169.27083333333337</c:v>
                </c:pt>
                <c:pt idx="28">
                  <c:v>163.73697916666663</c:v>
                </c:pt>
                <c:pt idx="29">
                  <c:v>145.18229166666663</c:v>
                </c:pt>
                <c:pt idx="30">
                  <c:v>139.97395833333337</c:v>
                </c:pt>
                <c:pt idx="31">
                  <c:v>138.671875</c:v>
                </c:pt>
                <c:pt idx="32">
                  <c:v>141.27604166666663</c:v>
                </c:pt>
                <c:pt idx="33">
                  <c:v>149.4140625</c:v>
                </c:pt>
                <c:pt idx="34">
                  <c:v>164.0625</c:v>
                </c:pt>
                <c:pt idx="35">
                  <c:v>180.98958333333337</c:v>
                </c:pt>
                <c:pt idx="36">
                  <c:v>193.03385416666663</c:v>
                </c:pt>
                <c:pt idx="37">
                  <c:v>196.2890625</c:v>
                </c:pt>
                <c:pt idx="38">
                  <c:v>196.2890625</c:v>
                </c:pt>
                <c:pt idx="39">
                  <c:v>180.6640625</c:v>
                </c:pt>
                <c:pt idx="40">
                  <c:v>163.0859375</c:v>
                </c:pt>
                <c:pt idx="41">
                  <c:v>144.53125</c:v>
                </c:pt>
                <c:pt idx="42">
                  <c:v>126.30208333333336</c:v>
                </c:pt>
                <c:pt idx="43">
                  <c:v>122.0703125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A-4F92-9046-E72D3460672C}"/>
            </c:ext>
          </c:extLst>
        </c:ser>
        <c:ser>
          <c:idx val="5"/>
          <c:order val="5"/>
          <c:tx>
            <c:strRef>
              <c:f>'PCB Data'!$AF$3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Data'!$BE$5:$BE$52</c:f>
              <c:numCache>
                <c:formatCode>0</c:formatCode>
                <c:ptCount val="48"/>
                <c:pt idx="0">
                  <c:v>176.256</c:v>
                </c:pt>
                <c:pt idx="1">
                  <c:v>141.69599999999997</c:v>
                </c:pt>
                <c:pt idx="2">
                  <c:v>165.88799999999998</c:v>
                </c:pt>
                <c:pt idx="3">
                  <c:v>157.24799999999999</c:v>
                </c:pt>
                <c:pt idx="4">
                  <c:v>141.69599999999997</c:v>
                </c:pt>
                <c:pt idx="5">
                  <c:v>139.96799999999999</c:v>
                </c:pt>
                <c:pt idx="6">
                  <c:v>145.15199999999999</c:v>
                </c:pt>
                <c:pt idx="7">
                  <c:v>142.27199999999999</c:v>
                </c:pt>
                <c:pt idx="8">
                  <c:v>134.78399999999999</c:v>
                </c:pt>
                <c:pt idx="9">
                  <c:v>131.03999999999996</c:v>
                </c:pt>
                <c:pt idx="10">
                  <c:v>129.6</c:v>
                </c:pt>
                <c:pt idx="11">
                  <c:v>125.27999999999999</c:v>
                </c:pt>
                <c:pt idx="12">
                  <c:v>124.41599999999998</c:v>
                </c:pt>
                <c:pt idx="13">
                  <c:v>124.70399999999999</c:v>
                </c:pt>
                <c:pt idx="14">
                  <c:v>128.73599999999999</c:v>
                </c:pt>
                <c:pt idx="15">
                  <c:v>129.31199999999998</c:v>
                </c:pt>
                <c:pt idx="16">
                  <c:v>133.05599999999998</c:v>
                </c:pt>
                <c:pt idx="17">
                  <c:v>140.256</c:v>
                </c:pt>
                <c:pt idx="18">
                  <c:v>147.74399999999997</c:v>
                </c:pt>
                <c:pt idx="19">
                  <c:v>155.23199999999997</c:v>
                </c:pt>
                <c:pt idx="20">
                  <c:v>156.95999999999998</c:v>
                </c:pt>
                <c:pt idx="21">
                  <c:v>152.63999999999996</c:v>
                </c:pt>
                <c:pt idx="22">
                  <c:v>151.19999999999999</c:v>
                </c:pt>
                <c:pt idx="23">
                  <c:v>160.41599999999997</c:v>
                </c:pt>
                <c:pt idx="24">
                  <c:v>159.26399999999998</c:v>
                </c:pt>
                <c:pt idx="25">
                  <c:v>152.63999999999996</c:v>
                </c:pt>
                <c:pt idx="26">
                  <c:v>148.89599999999999</c:v>
                </c:pt>
                <c:pt idx="27">
                  <c:v>149.76</c:v>
                </c:pt>
                <c:pt idx="28">
                  <c:v>144.86399999999998</c:v>
                </c:pt>
                <c:pt idx="29">
                  <c:v>128.44799999999998</c:v>
                </c:pt>
                <c:pt idx="30">
                  <c:v>123.84</c:v>
                </c:pt>
                <c:pt idx="31">
                  <c:v>122.68799999999999</c:v>
                </c:pt>
                <c:pt idx="32">
                  <c:v>124.99199999999999</c:v>
                </c:pt>
                <c:pt idx="33">
                  <c:v>132.19199999999998</c:v>
                </c:pt>
                <c:pt idx="34">
                  <c:v>145.15199999999999</c:v>
                </c:pt>
                <c:pt idx="35">
                  <c:v>160.12799999999999</c:v>
                </c:pt>
                <c:pt idx="36">
                  <c:v>170.78399999999999</c:v>
                </c:pt>
                <c:pt idx="37">
                  <c:v>173.66399999999999</c:v>
                </c:pt>
                <c:pt idx="38">
                  <c:v>173.66399999999999</c:v>
                </c:pt>
                <c:pt idx="39">
                  <c:v>159.83999999999997</c:v>
                </c:pt>
                <c:pt idx="40">
                  <c:v>144.28799999999998</c:v>
                </c:pt>
                <c:pt idx="41">
                  <c:v>127.87199999999999</c:v>
                </c:pt>
                <c:pt idx="42">
                  <c:v>111.744</c:v>
                </c:pt>
                <c:pt idx="43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AA-4F92-9046-E72D3460672C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'PCB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AA-4F92-9046-E72D3460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'PCB Data'!$A$5:$A$52</c15:sqref>
                        </c15:formulaRef>
                      </c:ext>
                    </c:extLst>
                    <c:numCache>
                      <c:formatCode>m/d/yyyy</c:formatCode>
                      <c:ptCount val="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CAA-4F92-9046-E72D3460672C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980 / Type 1</a:t>
            </a:r>
            <a:r>
              <a:rPr lang="en-US" baseline="0"/>
              <a:t> Cabinets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 Benches Data'!$EM$3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Data'!$C$5:$C$52</c:f>
              <c:numCache>
                <c:formatCode>General</c:formatCode>
                <c:ptCount val="48"/>
                <c:pt idx="0">
                  <c:v>200</c:v>
                </c:pt>
                <c:pt idx="1">
                  <c:v>306</c:v>
                </c:pt>
                <c:pt idx="2">
                  <c:v>351</c:v>
                </c:pt>
                <c:pt idx="3">
                  <c:v>336</c:v>
                </c:pt>
                <c:pt idx="4">
                  <c:v>267</c:v>
                </c:pt>
                <c:pt idx="5">
                  <c:v>256</c:v>
                </c:pt>
                <c:pt idx="6">
                  <c:v>131</c:v>
                </c:pt>
                <c:pt idx="7">
                  <c:v>131</c:v>
                </c:pt>
                <c:pt idx="8">
                  <c:v>74</c:v>
                </c:pt>
                <c:pt idx="9">
                  <c:v>8</c:v>
                </c:pt>
                <c:pt idx="10">
                  <c:v>46</c:v>
                </c:pt>
                <c:pt idx="11">
                  <c:v>48</c:v>
                </c:pt>
                <c:pt idx="12">
                  <c:v>43</c:v>
                </c:pt>
                <c:pt idx="13">
                  <c:v>42</c:v>
                </c:pt>
                <c:pt idx="14">
                  <c:v>49</c:v>
                </c:pt>
                <c:pt idx="15">
                  <c:v>38</c:v>
                </c:pt>
                <c:pt idx="16">
                  <c:v>45</c:v>
                </c:pt>
                <c:pt idx="17">
                  <c:v>47</c:v>
                </c:pt>
                <c:pt idx="18">
                  <c:v>45</c:v>
                </c:pt>
                <c:pt idx="19">
                  <c:v>36</c:v>
                </c:pt>
                <c:pt idx="20">
                  <c:v>34</c:v>
                </c:pt>
                <c:pt idx="21">
                  <c:v>44</c:v>
                </c:pt>
                <c:pt idx="22">
                  <c:v>34</c:v>
                </c:pt>
                <c:pt idx="23">
                  <c:v>30</c:v>
                </c:pt>
                <c:pt idx="24">
                  <c:v>17</c:v>
                </c:pt>
                <c:pt idx="25">
                  <c:v>47</c:v>
                </c:pt>
                <c:pt idx="26">
                  <c:v>31</c:v>
                </c:pt>
                <c:pt idx="27">
                  <c:v>12</c:v>
                </c:pt>
                <c:pt idx="28">
                  <c:v>37</c:v>
                </c:pt>
                <c:pt idx="29">
                  <c:v>63</c:v>
                </c:pt>
                <c:pt idx="30">
                  <c:v>80</c:v>
                </c:pt>
                <c:pt idx="31">
                  <c:v>93</c:v>
                </c:pt>
                <c:pt idx="32">
                  <c:v>53</c:v>
                </c:pt>
                <c:pt idx="33">
                  <c:v>31</c:v>
                </c:pt>
                <c:pt idx="34">
                  <c:v>54</c:v>
                </c:pt>
                <c:pt idx="35">
                  <c:v>58</c:v>
                </c:pt>
                <c:pt idx="36">
                  <c:v>44</c:v>
                </c:pt>
                <c:pt idx="37">
                  <c:v>43</c:v>
                </c:pt>
                <c:pt idx="38">
                  <c:v>53</c:v>
                </c:pt>
                <c:pt idx="39">
                  <c:v>31</c:v>
                </c:pt>
                <c:pt idx="40">
                  <c:v>61</c:v>
                </c:pt>
                <c:pt idx="41">
                  <c:v>80</c:v>
                </c:pt>
                <c:pt idx="42">
                  <c:v>113</c:v>
                </c:pt>
                <c:pt idx="43">
                  <c:v>125</c:v>
                </c:pt>
                <c:pt idx="44">
                  <c:v>229</c:v>
                </c:pt>
                <c:pt idx="45">
                  <c:v>250</c:v>
                </c:pt>
                <c:pt idx="46">
                  <c:v>97</c:v>
                </c:pt>
                <c:pt idx="47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6-4DC4-9ED1-B3DE1550D1B2}"/>
            </c:ext>
          </c:extLst>
        </c:ser>
        <c:ser>
          <c:idx val="1"/>
          <c:order val="1"/>
          <c:tx>
            <c:strRef>
              <c:f>'SEC Benches Data'!$EN$3</c:f>
              <c:strCache>
                <c:ptCount val="1"/>
                <c:pt idx="0">
                  <c:v>14 - 26 Wks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  <c:extLst xmlns:c15="http://schemas.microsoft.com/office/drawing/2012/chart"/>
            </c:numRef>
          </c:cat>
          <c:val>
            <c:numRef>
              <c:f>'SEC Benches Data'!$EN$5:$EN$26</c:f>
              <c:numCache>
                <c:formatCode>0</c:formatCode>
                <c:ptCount val="22"/>
                <c:pt idx="19">
                  <c:v>46</c:v>
                </c:pt>
                <c:pt idx="20">
                  <c:v>46.375</c:v>
                </c:pt>
                <c:pt idx="21">
                  <c:v>51.25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CDE6-4DC4-9ED1-B3DE1550D1B2}"/>
            </c:ext>
          </c:extLst>
        </c:ser>
        <c:ser>
          <c:idx val="2"/>
          <c:order val="2"/>
          <c:tx>
            <c:strRef>
              <c:f>'SEC Benches Data'!$EO$3</c:f>
              <c:strCache>
                <c:ptCount val="1"/>
                <c:pt idx="0">
                  <c:v>14 - 26 Wks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Data'!$FI$5:$FI$52</c:f>
              <c:numCache>
                <c:formatCode>General</c:formatCode>
                <c:ptCount val="48"/>
                <c:pt idx="19">
                  <c:v>36</c:v>
                </c:pt>
                <c:pt idx="20">
                  <c:v>34</c:v>
                </c:pt>
                <c:pt idx="21">
                  <c:v>49</c:v>
                </c:pt>
                <c:pt idx="22">
                  <c:v>48</c:v>
                </c:pt>
                <c:pt idx="23">
                  <c:v>24</c:v>
                </c:pt>
                <c:pt idx="24">
                  <c:v>35</c:v>
                </c:pt>
                <c:pt idx="25">
                  <c:v>13</c:v>
                </c:pt>
                <c:pt idx="26">
                  <c:v>21</c:v>
                </c:pt>
                <c:pt idx="27">
                  <c:v>37</c:v>
                </c:pt>
                <c:pt idx="28">
                  <c:v>24</c:v>
                </c:pt>
                <c:pt idx="29">
                  <c:v>39</c:v>
                </c:pt>
                <c:pt idx="30">
                  <c:v>45</c:v>
                </c:pt>
                <c:pt idx="31">
                  <c:v>52</c:v>
                </c:pt>
                <c:pt idx="32">
                  <c:v>35</c:v>
                </c:pt>
                <c:pt idx="33">
                  <c:v>40</c:v>
                </c:pt>
                <c:pt idx="34">
                  <c:v>49</c:v>
                </c:pt>
                <c:pt idx="35">
                  <c:v>42</c:v>
                </c:pt>
                <c:pt idx="36">
                  <c:v>37</c:v>
                </c:pt>
                <c:pt idx="37">
                  <c:v>33</c:v>
                </c:pt>
                <c:pt idx="38">
                  <c:v>37</c:v>
                </c:pt>
                <c:pt idx="39">
                  <c:v>33</c:v>
                </c:pt>
                <c:pt idx="40">
                  <c:v>36</c:v>
                </c:pt>
                <c:pt idx="41">
                  <c:v>45</c:v>
                </c:pt>
                <c:pt idx="42">
                  <c:v>86</c:v>
                </c:pt>
                <c:pt idx="43">
                  <c:v>83</c:v>
                </c:pt>
                <c:pt idx="44">
                  <c:v>118</c:v>
                </c:pt>
                <c:pt idx="45">
                  <c:v>130</c:v>
                </c:pt>
                <c:pt idx="46">
                  <c:v>19</c:v>
                </c:pt>
                <c:pt idx="4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6-4DC4-9ED1-B3DE1550D1B2}"/>
            </c:ext>
          </c:extLst>
        </c:ser>
        <c:ser>
          <c:idx val="3"/>
          <c:order val="3"/>
          <c:tx>
            <c:strRef>
              <c:f>'SEC Benches Data'!$EP$3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Data'!$FJ$5:$FJ$52</c:f>
              <c:numCache>
                <c:formatCode>0</c:formatCode>
                <c:ptCount val="48"/>
                <c:pt idx="0">
                  <c:v>312.17919999999992</c:v>
                </c:pt>
                <c:pt idx="1">
                  <c:v>477.63417599999991</c:v>
                </c:pt>
                <c:pt idx="2">
                  <c:v>547.87449599999991</c:v>
                </c:pt>
                <c:pt idx="3">
                  <c:v>524.46105599999987</c:v>
                </c:pt>
                <c:pt idx="4">
                  <c:v>416.75923199999988</c:v>
                </c:pt>
                <c:pt idx="5">
                  <c:v>446.41625599999992</c:v>
                </c:pt>
                <c:pt idx="6">
                  <c:v>428.46595199999985</c:v>
                </c:pt>
                <c:pt idx="7">
                  <c:v>382.93981866666661</c:v>
                </c:pt>
                <c:pt idx="8">
                  <c:v>310.87845333333325</c:v>
                </c:pt>
                <c:pt idx="9">
                  <c:v>225.54947199999995</c:v>
                </c:pt>
                <c:pt idx="10">
                  <c:v>168.0564693333333</c:v>
                </c:pt>
                <c:pt idx="11">
                  <c:v>113.94540799999997</c:v>
                </c:pt>
                <c:pt idx="12">
                  <c:v>91.052266666666668</c:v>
                </c:pt>
                <c:pt idx="13">
                  <c:v>67.898975999999976</c:v>
                </c:pt>
                <c:pt idx="14">
                  <c:v>61.395242666666661</c:v>
                </c:pt>
                <c:pt idx="15">
                  <c:v>69.199722666666659</c:v>
                </c:pt>
                <c:pt idx="16">
                  <c:v>68.939573333333314</c:v>
                </c:pt>
                <c:pt idx="17">
                  <c:v>68.679423999999983</c:v>
                </c:pt>
                <c:pt idx="18">
                  <c:v>69.199722666666659</c:v>
                </c:pt>
                <c:pt idx="19">
                  <c:v>67.63882666666666</c:v>
                </c:pt>
                <c:pt idx="20">
                  <c:v>63.736586666666661</c:v>
                </c:pt>
                <c:pt idx="21">
                  <c:v>65.297482666666653</c:v>
                </c:pt>
                <c:pt idx="22">
                  <c:v>62.435839999999992</c:v>
                </c:pt>
                <c:pt idx="23">
                  <c:v>58.013301333333317</c:v>
                </c:pt>
                <c:pt idx="24">
                  <c:v>50.729119999999988</c:v>
                </c:pt>
                <c:pt idx="25">
                  <c:v>53.590762666666656</c:v>
                </c:pt>
                <c:pt idx="26">
                  <c:v>52.810314666666663</c:v>
                </c:pt>
                <c:pt idx="27">
                  <c:v>44.485535999999989</c:v>
                </c:pt>
                <c:pt idx="28">
                  <c:v>45.265983999999996</c:v>
                </c:pt>
                <c:pt idx="29">
                  <c:v>53.850911999999987</c:v>
                </c:pt>
                <c:pt idx="30">
                  <c:v>70.240319999999983</c:v>
                </c:pt>
                <c:pt idx="31">
                  <c:v>82.207189333333318</c:v>
                </c:pt>
                <c:pt idx="32">
                  <c:v>87.930474666666655</c:v>
                </c:pt>
                <c:pt idx="33">
                  <c:v>92.873311999999984</c:v>
                </c:pt>
                <c:pt idx="34">
                  <c:v>97.295850666666638</c:v>
                </c:pt>
                <c:pt idx="35">
                  <c:v>95.995103999999969</c:v>
                </c:pt>
                <c:pt idx="36">
                  <c:v>86.629727999999986</c:v>
                </c:pt>
                <c:pt idx="37">
                  <c:v>73.622261333333313</c:v>
                </c:pt>
                <c:pt idx="38">
                  <c:v>73.622261333333313</c:v>
                </c:pt>
                <c:pt idx="39">
                  <c:v>73.622261333333313</c:v>
                </c:pt>
                <c:pt idx="40">
                  <c:v>75.443306666666643</c:v>
                </c:pt>
                <c:pt idx="41">
                  <c:v>81.16659199999998</c:v>
                </c:pt>
                <c:pt idx="42">
                  <c:v>99.116895999999969</c:v>
                </c:pt>
                <c:pt idx="43">
                  <c:v>120.44914133333332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6-4DC4-9ED1-B3DE1550D1B2}"/>
            </c:ext>
          </c:extLst>
        </c:ser>
        <c:ser>
          <c:idx val="4"/>
          <c:order val="4"/>
          <c:tx>
            <c:strRef>
              <c:f>'SEC Benches Data'!$EQ$3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Data'!$FK$5:$FK$52</c:f>
              <c:numCache>
                <c:formatCode>0</c:formatCode>
                <c:ptCount val="48"/>
                <c:pt idx="0">
                  <c:v>390.625</c:v>
                </c:pt>
                <c:pt idx="1">
                  <c:v>597.65625</c:v>
                </c:pt>
                <c:pt idx="2">
                  <c:v>685.546875</c:v>
                </c:pt>
                <c:pt idx="3">
                  <c:v>656.25</c:v>
                </c:pt>
                <c:pt idx="4">
                  <c:v>521.484375</c:v>
                </c:pt>
                <c:pt idx="5">
                  <c:v>558.59375</c:v>
                </c:pt>
                <c:pt idx="6">
                  <c:v>536.1328125</c:v>
                </c:pt>
                <c:pt idx="7">
                  <c:v>479.16666666666674</c:v>
                </c:pt>
                <c:pt idx="8">
                  <c:v>388.99739583333326</c:v>
                </c:pt>
                <c:pt idx="9">
                  <c:v>282.2265625</c:v>
                </c:pt>
                <c:pt idx="10">
                  <c:v>210.28645833333337</c:v>
                </c:pt>
                <c:pt idx="11">
                  <c:v>142.578125</c:v>
                </c:pt>
                <c:pt idx="12">
                  <c:v>113.93229166666669</c:v>
                </c:pt>
                <c:pt idx="13">
                  <c:v>84.9609375</c:v>
                </c:pt>
                <c:pt idx="14">
                  <c:v>76.822916666666686</c:v>
                </c:pt>
                <c:pt idx="15">
                  <c:v>86.588541666666686</c:v>
                </c:pt>
                <c:pt idx="16">
                  <c:v>86.263020833333314</c:v>
                </c:pt>
                <c:pt idx="17">
                  <c:v>85.9375</c:v>
                </c:pt>
                <c:pt idx="18">
                  <c:v>86.588541666666686</c:v>
                </c:pt>
                <c:pt idx="19">
                  <c:v>84.635416666666686</c:v>
                </c:pt>
                <c:pt idx="20">
                  <c:v>79.752604166666686</c:v>
                </c:pt>
                <c:pt idx="21">
                  <c:v>81.705729166666686</c:v>
                </c:pt>
                <c:pt idx="22">
                  <c:v>78.125</c:v>
                </c:pt>
                <c:pt idx="23">
                  <c:v>72.591145833333314</c:v>
                </c:pt>
                <c:pt idx="24">
                  <c:v>63.4765625</c:v>
                </c:pt>
                <c:pt idx="25">
                  <c:v>67.057291666666686</c:v>
                </c:pt>
                <c:pt idx="26">
                  <c:v>66.080729166666686</c:v>
                </c:pt>
                <c:pt idx="27">
                  <c:v>55.6640625</c:v>
                </c:pt>
                <c:pt idx="28">
                  <c:v>56.640625</c:v>
                </c:pt>
                <c:pt idx="29">
                  <c:v>67.3828125</c:v>
                </c:pt>
                <c:pt idx="30">
                  <c:v>87.890625</c:v>
                </c:pt>
                <c:pt idx="31">
                  <c:v>102.86458333333331</c:v>
                </c:pt>
                <c:pt idx="32">
                  <c:v>110.02604166666669</c:v>
                </c:pt>
                <c:pt idx="33">
                  <c:v>116.2109375</c:v>
                </c:pt>
                <c:pt idx="34">
                  <c:v>121.74479166666669</c:v>
                </c:pt>
                <c:pt idx="35">
                  <c:v>120.1171875</c:v>
                </c:pt>
                <c:pt idx="36">
                  <c:v>108.3984375</c:v>
                </c:pt>
                <c:pt idx="37">
                  <c:v>92.122395833333314</c:v>
                </c:pt>
                <c:pt idx="38">
                  <c:v>92.122395833333314</c:v>
                </c:pt>
                <c:pt idx="39">
                  <c:v>92.122395833333314</c:v>
                </c:pt>
                <c:pt idx="40">
                  <c:v>94.401041666666686</c:v>
                </c:pt>
                <c:pt idx="41">
                  <c:v>101.5625</c:v>
                </c:pt>
                <c:pt idx="42">
                  <c:v>124.0234375</c:v>
                </c:pt>
                <c:pt idx="43">
                  <c:v>150.71614583333337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E6-4DC4-9ED1-B3DE1550D1B2}"/>
            </c:ext>
          </c:extLst>
        </c:ser>
        <c:ser>
          <c:idx val="5"/>
          <c:order val="5"/>
          <c:tx>
            <c:strRef>
              <c:f>'SEC Benches Data'!$ER$3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Data'!$FL$5:$FL$52</c:f>
              <c:numCache>
                <c:formatCode>0</c:formatCode>
                <c:ptCount val="48"/>
                <c:pt idx="0">
                  <c:v>345.59999999999997</c:v>
                </c:pt>
                <c:pt idx="1">
                  <c:v>528.76799999999992</c:v>
                </c:pt>
                <c:pt idx="2">
                  <c:v>606.52799999999991</c:v>
                </c:pt>
                <c:pt idx="3">
                  <c:v>580.60799999999995</c:v>
                </c:pt>
                <c:pt idx="4">
                  <c:v>461.37599999999992</c:v>
                </c:pt>
                <c:pt idx="5">
                  <c:v>494.20799999999997</c:v>
                </c:pt>
                <c:pt idx="6">
                  <c:v>474.33599999999996</c:v>
                </c:pt>
                <c:pt idx="7">
                  <c:v>423.93599999999998</c:v>
                </c:pt>
                <c:pt idx="8">
                  <c:v>344.15999999999991</c:v>
                </c:pt>
                <c:pt idx="9">
                  <c:v>249.696</c:v>
                </c:pt>
                <c:pt idx="10">
                  <c:v>186.04799999999997</c:v>
                </c:pt>
                <c:pt idx="11">
                  <c:v>126.14399999999998</c:v>
                </c:pt>
                <c:pt idx="12">
                  <c:v>100.8</c:v>
                </c:pt>
                <c:pt idx="13">
                  <c:v>75.167999999999992</c:v>
                </c:pt>
                <c:pt idx="14">
                  <c:v>67.968000000000004</c:v>
                </c:pt>
                <c:pt idx="15">
                  <c:v>76.608000000000004</c:v>
                </c:pt>
                <c:pt idx="16">
                  <c:v>76.319999999999979</c:v>
                </c:pt>
                <c:pt idx="17">
                  <c:v>76.031999999999982</c:v>
                </c:pt>
                <c:pt idx="18">
                  <c:v>76.608000000000004</c:v>
                </c:pt>
                <c:pt idx="19">
                  <c:v>74.88</c:v>
                </c:pt>
                <c:pt idx="20">
                  <c:v>70.559999999999988</c:v>
                </c:pt>
                <c:pt idx="21">
                  <c:v>72.287999999999997</c:v>
                </c:pt>
                <c:pt idx="22">
                  <c:v>69.11999999999999</c:v>
                </c:pt>
                <c:pt idx="23">
                  <c:v>64.22399999999999</c:v>
                </c:pt>
                <c:pt idx="24">
                  <c:v>56.16</c:v>
                </c:pt>
                <c:pt idx="25">
                  <c:v>59.328000000000003</c:v>
                </c:pt>
                <c:pt idx="26">
                  <c:v>58.463999999999999</c:v>
                </c:pt>
                <c:pt idx="27">
                  <c:v>49.24799999999999</c:v>
                </c:pt>
                <c:pt idx="28">
                  <c:v>50.111999999999995</c:v>
                </c:pt>
                <c:pt idx="29">
                  <c:v>59.616</c:v>
                </c:pt>
                <c:pt idx="30">
                  <c:v>77.759999999999991</c:v>
                </c:pt>
                <c:pt idx="31">
                  <c:v>91.007999999999981</c:v>
                </c:pt>
                <c:pt idx="32">
                  <c:v>97.34399999999998</c:v>
                </c:pt>
                <c:pt idx="33">
                  <c:v>102.81599999999999</c:v>
                </c:pt>
                <c:pt idx="34">
                  <c:v>107.71199999999999</c:v>
                </c:pt>
                <c:pt idx="35">
                  <c:v>106.27199999999998</c:v>
                </c:pt>
                <c:pt idx="36">
                  <c:v>95.903999999999982</c:v>
                </c:pt>
                <c:pt idx="37">
                  <c:v>81.503999999999976</c:v>
                </c:pt>
                <c:pt idx="38">
                  <c:v>81.503999999999976</c:v>
                </c:pt>
                <c:pt idx="39">
                  <c:v>81.503999999999976</c:v>
                </c:pt>
                <c:pt idx="40">
                  <c:v>83.52</c:v>
                </c:pt>
                <c:pt idx="41">
                  <c:v>89.855999999999995</c:v>
                </c:pt>
                <c:pt idx="42">
                  <c:v>109.72799999999999</c:v>
                </c:pt>
                <c:pt idx="43">
                  <c:v>133.34399999999999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E6-4DC4-9ED1-B3DE1550D1B2}"/>
            </c:ext>
          </c:extLst>
        </c:ser>
        <c:ser>
          <c:idx val="6"/>
          <c:order val="6"/>
          <c:tx>
            <c:strRef>
              <c:f>'SEC Benches Data'!$ES$3</c:f>
              <c:strCache>
                <c:ptCount val="1"/>
                <c:pt idx="0">
                  <c:v>Ideal Capacity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Data'!$ES$5:$ES$52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E6-4DC4-9ED1-B3DE1550D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30912"/>
        <c:axId val="566346368"/>
        <c:extLst/>
      </c:lineChart>
      <c:dateAx>
        <c:axId val="568330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66346368"/>
        <c:crosses val="autoZero"/>
        <c:auto val="1"/>
        <c:lblOffset val="100"/>
        <c:baseTimeUnit val="days"/>
      </c:dateAx>
      <c:valAx>
        <c:axId val="56634636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3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986 / Secure Room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 Benches Data'!$EM$3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Data'!$J$5:$J$52</c:f>
              <c:numCache>
                <c:formatCode>General</c:formatCode>
                <c:ptCount val="48"/>
                <c:pt idx="0">
                  <c:v>15</c:v>
                </c:pt>
                <c:pt idx="1">
                  <c:v>20</c:v>
                </c:pt>
                <c:pt idx="2">
                  <c:v>39</c:v>
                </c:pt>
                <c:pt idx="3">
                  <c:v>45</c:v>
                </c:pt>
                <c:pt idx="4">
                  <c:v>54</c:v>
                </c:pt>
                <c:pt idx="5">
                  <c:v>58</c:v>
                </c:pt>
                <c:pt idx="6">
                  <c:v>55</c:v>
                </c:pt>
                <c:pt idx="7">
                  <c:v>55</c:v>
                </c:pt>
                <c:pt idx="8">
                  <c:v>50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16</c:v>
                </c:pt>
                <c:pt idx="17">
                  <c:v>14</c:v>
                </c:pt>
                <c:pt idx="18">
                  <c:v>14</c:v>
                </c:pt>
                <c:pt idx="19">
                  <c:v>11</c:v>
                </c:pt>
                <c:pt idx="20">
                  <c:v>11</c:v>
                </c:pt>
                <c:pt idx="21">
                  <c:v>8</c:v>
                </c:pt>
                <c:pt idx="22">
                  <c:v>6</c:v>
                </c:pt>
                <c:pt idx="23">
                  <c:v>4</c:v>
                </c:pt>
                <c:pt idx="24">
                  <c:v>3</c:v>
                </c:pt>
                <c:pt idx="25">
                  <c:v>6</c:v>
                </c:pt>
                <c:pt idx="26">
                  <c:v>7</c:v>
                </c:pt>
                <c:pt idx="27">
                  <c:v>6</c:v>
                </c:pt>
                <c:pt idx="28">
                  <c:v>8</c:v>
                </c:pt>
                <c:pt idx="29">
                  <c:v>16</c:v>
                </c:pt>
                <c:pt idx="30">
                  <c:v>16</c:v>
                </c:pt>
                <c:pt idx="31">
                  <c:v>24</c:v>
                </c:pt>
                <c:pt idx="32">
                  <c:v>17</c:v>
                </c:pt>
                <c:pt idx="33">
                  <c:v>7</c:v>
                </c:pt>
                <c:pt idx="34">
                  <c:v>6</c:v>
                </c:pt>
                <c:pt idx="35">
                  <c:v>8</c:v>
                </c:pt>
                <c:pt idx="36">
                  <c:v>9</c:v>
                </c:pt>
                <c:pt idx="37">
                  <c:v>12</c:v>
                </c:pt>
                <c:pt idx="38">
                  <c:v>13</c:v>
                </c:pt>
                <c:pt idx="39">
                  <c:v>8</c:v>
                </c:pt>
                <c:pt idx="40">
                  <c:v>11</c:v>
                </c:pt>
                <c:pt idx="41">
                  <c:v>17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24</c:v>
                </c:pt>
                <c:pt idx="46">
                  <c:v>36</c:v>
                </c:pt>
                <c:pt idx="4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6-4B98-B7BD-C7CC6B5B43F3}"/>
            </c:ext>
          </c:extLst>
        </c:ser>
        <c:ser>
          <c:idx val="1"/>
          <c:order val="1"/>
          <c:tx>
            <c:strRef>
              <c:f>'SEC Benches Data'!$EN$3</c:f>
              <c:strCache>
                <c:ptCount val="1"/>
                <c:pt idx="0">
                  <c:v>14 - 26 Wks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  <c:extLst xmlns:c15="http://schemas.microsoft.com/office/drawing/2012/chart"/>
            </c:numRef>
          </c:cat>
          <c:val>
            <c:numRef>
              <c:f>'SEC Benches Data'!$EN$5:$EN$26</c:f>
              <c:numCache>
                <c:formatCode>0</c:formatCode>
                <c:ptCount val="22"/>
                <c:pt idx="19">
                  <c:v>46</c:v>
                </c:pt>
                <c:pt idx="20">
                  <c:v>46.375</c:v>
                </c:pt>
                <c:pt idx="21">
                  <c:v>51.25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B36-4B98-B7BD-C7CC6B5B43F3}"/>
            </c:ext>
          </c:extLst>
        </c:ser>
        <c:ser>
          <c:idx val="2"/>
          <c:order val="2"/>
          <c:tx>
            <c:strRef>
              <c:f>'SEC Benches Data'!$EO$3</c:f>
              <c:strCache>
                <c:ptCount val="1"/>
                <c:pt idx="0">
                  <c:v>14 - 26 Wks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Data'!$GY$5:$GY$52</c:f>
              <c:numCache>
                <c:formatCode>General</c:formatCode>
                <c:ptCount val="48"/>
                <c:pt idx="20">
                  <c:v>10</c:v>
                </c:pt>
                <c:pt idx="21">
                  <c:v>9</c:v>
                </c:pt>
                <c:pt idx="22">
                  <c:v>5</c:v>
                </c:pt>
                <c:pt idx="23">
                  <c:v>3</c:v>
                </c:pt>
                <c:pt idx="24">
                  <c:v>9</c:v>
                </c:pt>
                <c:pt idx="25">
                  <c:v>6</c:v>
                </c:pt>
                <c:pt idx="26">
                  <c:v>10</c:v>
                </c:pt>
                <c:pt idx="27">
                  <c:v>8</c:v>
                </c:pt>
                <c:pt idx="28">
                  <c:v>12</c:v>
                </c:pt>
                <c:pt idx="29">
                  <c:v>14</c:v>
                </c:pt>
                <c:pt idx="30">
                  <c:v>23</c:v>
                </c:pt>
                <c:pt idx="31">
                  <c:v>11</c:v>
                </c:pt>
                <c:pt idx="32">
                  <c:v>10</c:v>
                </c:pt>
                <c:pt idx="33">
                  <c:v>7</c:v>
                </c:pt>
                <c:pt idx="34">
                  <c:v>13</c:v>
                </c:pt>
                <c:pt idx="35">
                  <c:v>12</c:v>
                </c:pt>
                <c:pt idx="36">
                  <c:v>10</c:v>
                </c:pt>
                <c:pt idx="37">
                  <c:v>12</c:v>
                </c:pt>
                <c:pt idx="38">
                  <c:v>10</c:v>
                </c:pt>
                <c:pt idx="39">
                  <c:v>10</c:v>
                </c:pt>
                <c:pt idx="40">
                  <c:v>8</c:v>
                </c:pt>
                <c:pt idx="41">
                  <c:v>16</c:v>
                </c:pt>
                <c:pt idx="42">
                  <c:v>20</c:v>
                </c:pt>
                <c:pt idx="43">
                  <c:v>22</c:v>
                </c:pt>
                <c:pt idx="44">
                  <c:v>23</c:v>
                </c:pt>
                <c:pt idx="45">
                  <c:v>27</c:v>
                </c:pt>
                <c:pt idx="46">
                  <c:v>15</c:v>
                </c:pt>
                <c:pt idx="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6-4B98-B7BD-C7CC6B5B43F3}"/>
            </c:ext>
          </c:extLst>
        </c:ser>
        <c:ser>
          <c:idx val="3"/>
          <c:order val="3"/>
          <c:tx>
            <c:strRef>
              <c:f>'SEC Benches Data'!$EP$3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Data'!$GZ$5:$GZ$52</c:f>
              <c:numCache>
                <c:formatCode>0</c:formatCode>
                <c:ptCount val="48"/>
                <c:pt idx="0">
                  <c:v>23.413439999999994</c:v>
                </c:pt>
                <c:pt idx="1">
                  <c:v>31.217919999999996</c:v>
                </c:pt>
                <c:pt idx="2">
                  <c:v>60.874943999999985</c:v>
                </c:pt>
                <c:pt idx="3">
                  <c:v>70.240319999999983</c:v>
                </c:pt>
                <c:pt idx="4">
                  <c:v>84.288383999999979</c:v>
                </c:pt>
                <c:pt idx="5">
                  <c:v>60.094495999999985</c:v>
                </c:pt>
                <c:pt idx="6">
                  <c:v>70.500469333333314</c:v>
                </c:pt>
                <c:pt idx="7">
                  <c:v>79.60569599999998</c:v>
                </c:pt>
                <c:pt idx="8">
                  <c:v>82.467338666666649</c:v>
                </c:pt>
                <c:pt idx="9">
                  <c:v>72.841813333333306</c:v>
                </c:pt>
                <c:pt idx="10">
                  <c:v>60.874943999999985</c:v>
                </c:pt>
                <c:pt idx="11">
                  <c:v>48.387775999999995</c:v>
                </c:pt>
                <c:pt idx="12">
                  <c:v>36.681055999999991</c:v>
                </c:pt>
                <c:pt idx="13">
                  <c:v>25.494634666666659</c:v>
                </c:pt>
                <c:pt idx="14">
                  <c:v>15.869109333333327</c:v>
                </c:pt>
                <c:pt idx="15">
                  <c:v>17.43000533333333</c:v>
                </c:pt>
                <c:pt idx="16">
                  <c:v>19.511199999999995</c:v>
                </c:pt>
                <c:pt idx="17">
                  <c:v>20.551797333333329</c:v>
                </c:pt>
                <c:pt idx="18">
                  <c:v>21.592394666666664</c:v>
                </c:pt>
                <c:pt idx="19">
                  <c:v>21.332245333333326</c:v>
                </c:pt>
                <c:pt idx="20">
                  <c:v>20.811946666666664</c:v>
                </c:pt>
                <c:pt idx="21">
                  <c:v>19.251050666666664</c:v>
                </c:pt>
                <c:pt idx="22">
                  <c:v>16.649557333333327</c:v>
                </c:pt>
                <c:pt idx="23">
                  <c:v>14.048063999999997</c:v>
                </c:pt>
                <c:pt idx="24">
                  <c:v>11.18642133333333</c:v>
                </c:pt>
                <c:pt idx="25">
                  <c:v>9.8856746666666631</c:v>
                </c:pt>
                <c:pt idx="26">
                  <c:v>8.8450773333333323</c:v>
                </c:pt>
                <c:pt idx="27">
                  <c:v>8.3247786666666634</c:v>
                </c:pt>
                <c:pt idx="28">
                  <c:v>8.8450773333333323</c:v>
                </c:pt>
                <c:pt idx="29">
                  <c:v>11.966869333333332</c:v>
                </c:pt>
                <c:pt idx="30">
                  <c:v>15.348810666666665</c:v>
                </c:pt>
                <c:pt idx="31">
                  <c:v>20.031498666666668</c:v>
                </c:pt>
                <c:pt idx="32">
                  <c:v>22.632991999999998</c:v>
                </c:pt>
                <c:pt idx="33">
                  <c:v>22.893141333333329</c:v>
                </c:pt>
                <c:pt idx="34">
                  <c:v>22.37284266666666</c:v>
                </c:pt>
                <c:pt idx="35">
                  <c:v>20.291647999999995</c:v>
                </c:pt>
                <c:pt idx="36">
                  <c:v>18.470602666666665</c:v>
                </c:pt>
                <c:pt idx="37">
                  <c:v>15.348810666666665</c:v>
                </c:pt>
                <c:pt idx="38">
                  <c:v>14.308213333333329</c:v>
                </c:pt>
                <c:pt idx="39">
                  <c:v>14.568362666666664</c:v>
                </c:pt>
                <c:pt idx="40">
                  <c:v>15.869109333333327</c:v>
                </c:pt>
                <c:pt idx="41">
                  <c:v>18.210453333333326</c:v>
                </c:pt>
                <c:pt idx="42">
                  <c:v>22.632991999999998</c:v>
                </c:pt>
                <c:pt idx="43">
                  <c:v>26.275082666666659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36-4B98-B7BD-C7CC6B5B43F3}"/>
            </c:ext>
          </c:extLst>
        </c:ser>
        <c:ser>
          <c:idx val="4"/>
          <c:order val="4"/>
          <c:tx>
            <c:strRef>
              <c:f>'SEC Benches Data'!$EQ$3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Data'!$HA$5:$HA$52</c:f>
              <c:numCache>
                <c:formatCode>0</c:formatCode>
                <c:ptCount val="48"/>
                <c:pt idx="0">
                  <c:v>29.296875</c:v>
                </c:pt>
                <c:pt idx="1">
                  <c:v>39.0625</c:v>
                </c:pt>
                <c:pt idx="2">
                  <c:v>76.171875</c:v>
                </c:pt>
                <c:pt idx="3">
                  <c:v>87.890625</c:v>
                </c:pt>
                <c:pt idx="4">
                  <c:v>105.46875</c:v>
                </c:pt>
                <c:pt idx="5">
                  <c:v>75.1953125</c:v>
                </c:pt>
                <c:pt idx="6">
                  <c:v>88.216145833333314</c:v>
                </c:pt>
                <c:pt idx="7">
                  <c:v>99.609375</c:v>
                </c:pt>
                <c:pt idx="8">
                  <c:v>103.19010416666669</c:v>
                </c:pt>
                <c:pt idx="9">
                  <c:v>91.145833333333314</c:v>
                </c:pt>
                <c:pt idx="10">
                  <c:v>76.171875</c:v>
                </c:pt>
                <c:pt idx="11">
                  <c:v>60.546875</c:v>
                </c:pt>
                <c:pt idx="12">
                  <c:v>45.8984375</c:v>
                </c:pt>
                <c:pt idx="13">
                  <c:v>31.901041666666661</c:v>
                </c:pt>
                <c:pt idx="14">
                  <c:v>19.856770833333329</c:v>
                </c:pt>
                <c:pt idx="15">
                  <c:v>21.809895833333329</c:v>
                </c:pt>
                <c:pt idx="16">
                  <c:v>24.4140625</c:v>
                </c:pt>
                <c:pt idx="17">
                  <c:v>25.716145833333329</c:v>
                </c:pt>
                <c:pt idx="18">
                  <c:v>27.018229166666671</c:v>
                </c:pt>
                <c:pt idx="19">
                  <c:v>26.692708333333329</c:v>
                </c:pt>
                <c:pt idx="20">
                  <c:v>26.041666666666671</c:v>
                </c:pt>
                <c:pt idx="21">
                  <c:v>24.088541666666671</c:v>
                </c:pt>
                <c:pt idx="22">
                  <c:v>20.833333333333329</c:v>
                </c:pt>
                <c:pt idx="23">
                  <c:v>17.578125</c:v>
                </c:pt>
                <c:pt idx="24">
                  <c:v>13.997395833333336</c:v>
                </c:pt>
                <c:pt idx="25">
                  <c:v>12.369791666666664</c:v>
                </c:pt>
                <c:pt idx="26">
                  <c:v>11.067708333333336</c:v>
                </c:pt>
                <c:pt idx="27">
                  <c:v>10.416666666666664</c:v>
                </c:pt>
                <c:pt idx="28">
                  <c:v>11.067708333333336</c:v>
                </c:pt>
                <c:pt idx="29">
                  <c:v>14.973958333333336</c:v>
                </c:pt>
                <c:pt idx="30">
                  <c:v>19.205729166666671</c:v>
                </c:pt>
                <c:pt idx="31">
                  <c:v>25.065104166666671</c:v>
                </c:pt>
                <c:pt idx="32">
                  <c:v>28.3203125</c:v>
                </c:pt>
                <c:pt idx="33">
                  <c:v>28.645833333333329</c:v>
                </c:pt>
                <c:pt idx="34">
                  <c:v>27.994791666666671</c:v>
                </c:pt>
                <c:pt idx="35">
                  <c:v>25.390625</c:v>
                </c:pt>
                <c:pt idx="36">
                  <c:v>23.111979166666671</c:v>
                </c:pt>
                <c:pt idx="37">
                  <c:v>19.205729166666671</c:v>
                </c:pt>
                <c:pt idx="38">
                  <c:v>17.903645833333329</c:v>
                </c:pt>
                <c:pt idx="39">
                  <c:v>18.229166666666671</c:v>
                </c:pt>
                <c:pt idx="40">
                  <c:v>19.856770833333329</c:v>
                </c:pt>
                <c:pt idx="41">
                  <c:v>22.786458333333329</c:v>
                </c:pt>
                <c:pt idx="42">
                  <c:v>28.3203125</c:v>
                </c:pt>
                <c:pt idx="43">
                  <c:v>32.877604166666657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36-4B98-B7BD-C7CC6B5B43F3}"/>
            </c:ext>
          </c:extLst>
        </c:ser>
        <c:ser>
          <c:idx val="5"/>
          <c:order val="5"/>
          <c:tx>
            <c:strRef>
              <c:f>'SEC Benches Data'!$ER$3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Data'!$HB$5:$HB$52</c:f>
              <c:numCache>
                <c:formatCode>0</c:formatCode>
                <c:ptCount val="48"/>
                <c:pt idx="0">
                  <c:v>25.919999999999998</c:v>
                </c:pt>
                <c:pt idx="1">
                  <c:v>34.559999999999995</c:v>
                </c:pt>
                <c:pt idx="2">
                  <c:v>67.391999999999996</c:v>
                </c:pt>
                <c:pt idx="3">
                  <c:v>77.759999999999991</c:v>
                </c:pt>
                <c:pt idx="4">
                  <c:v>93.311999999999983</c:v>
                </c:pt>
                <c:pt idx="5">
                  <c:v>66.527999999999992</c:v>
                </c:pt>
                <c:pt idx="6">
                  <c:v>78.047999999999988</c:v>
                </c:pt>
                <c:pt idx="7">
                  <c:v>88.128</c:v>
                </c:pt>
                <c:pt idx="8">
                  <c:v>91.295999999999992</c:v>
                </c:pt>
                <c:pt idx="9">
                  <c:v>80.639999999999986</c:v>
                </c:pt>
                <c:pt idx="10">
                  <c:v>67.391999999999996</c:v>
                </c:pt>
                <c:pt idx="11">
                  <c:v>53.567999999999991</c:v>
                </c:pt>
                <c:pt idx="12">
                  <c:v>40.607999999999997</c:v>
                </c:pt>
                <c:pt idx="13">
                  <c:v>28.223999999999993</c:v>
                </c:pt>
                <c:pt idx="14">
                  <c:v>17.567999999999998</c:v>
                </c:pt>
                <c:pt idx="15">
                  <c:v>19.295999999999996</c:v>
                </c:pt>
                <c:pt idx="16">
                  <c:v>21.599999999999998</c:v>
                </c:pt>
                <c:pt idx="17">
                  <c:v>22.751999999999995</c:v>
                </c:pt>
                <c:pt idx="18">
                  <c:v>23.904</c:v>
                </c:pt>
                <c:pt idx="19">
                  <c:v>23.615999999999996</c:v>
                </c:pt>
                <c:pt idx="20">
                  <c:v>23.04</c:v>
                </c:pt>
                <c:pt idx="21">
                  <c:v>21.312000000000001</c:v>
                </c:pt>
                <c:pt idx="22">
                  <c:v>18.431999999999995</c:v>
                </c:pt>
                <c:pt idx="23">
                  <c:v>15.551999999999998</c:v>
                </c:pt>
                <c:pt idx="24">
                  <c:v>12.383999999999999</c:v>
                </c:pt>
                <c:pt idx="25">
                  <c:v>10.943999999999999</c:v>
                </c:pt>
                <c:pt idx="26">
                  <c:v>9.7919999999999998</c:v>
                </c:pt>
                <c:pt idx="27">
                  <c:v>9.2159999999999975</c:v>
                </c:pt>
                <c:pt idx="28">
                  <c:v>9.7919999999999998</c:v>
                </c:pt>
                <c:pt idx="29">
                  <c:v>13.247999999999999</c:v>
                </c:pt>
                <c:pt idx="30">
                  <c:v>16.992000000000001</c:v>
                </c:pt>
                <c:pt idx="31">
                  <c:v>22.175999999999998</c:v>
                </c:pt>
                <c:pt idx="32">
                  <c:v>25.055999999999997</c:v>
                </c:pt>
                <c:pt idx="33">
                  <c:v>25.343999999999998</c:v>
                </c:pt>
                <c:pt idx="34">
                  <c:v>24.767999999999997</c:v>
                </c:pt>
                <c:pt idx="35">
                  <c:v>22.463999999999999</c:v>
                </c:pt>
                <c:pt idx="36">
                  <c:v>20.447999999999997</c:v>
                </c:pt>
                <c:pt idx="37">
                  <c:v>16.992000000000001</c:v>
                </c:pt>
                <c:pt idx="38">
                  <c:v>15.839999999999996</c:v>
                </c:pt>
                <c:pt idx="39">
                  <c:v>16.128</c:v>
                </c:pt>
                <c:pt idx="40">
                  <c:v>17.567999999999998</c:v>
                </c:pt>
                <c:pt idx="41">
                  <c:v>20.159999999999997</c:v>
                </c:pt>
                <c:pt idx="42">
                  <c:v>25.055999999999997</c:v>
                </c:pt>
                <c:pt idx="43">
                  <c:v>29.087999999999997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36-4B98-B7BD-C7CC6B5B43F3}"/>
            </c:ext>
          </c:extLst>
        </c:ser>
        <c:ser>
          <c:idx val="6"/>
          <c:order val="6"/>
          <c:tx>
            <c:strRef>
              <c:f>'SEC Benches Data'!$ES$3</c:f>
              <c:strCache>
                <c:ptCount val="1"/>
                <c:pt idx="0">
                  <c:v>Ideal Capacity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'SEC Benches Data'!$A$5:$A$52</c:f>
              <c:numCache>
                <c:formatCode>m/d/yyyy</c:formatCode>
                <c:ptCount val="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</c:numCache>
            </c:numRef>
          </c:cat>
          <c:val>
            <c:numRef>
              <c:f>'SEC Benches Data'!$ES$5:$ES$52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36-4B98-B7BD-C7CC6B5B4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30912"/>
        <c:axId val="566346368"/>
        <c:extLst/>
      </c:lineChart>
      <c:dateAx>
        <c:axId val="568330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66346368"/>
        <c:crosses val="autoZero"/>
        <c:auto val="1"/>
        <c:lblOffset val="100"/>
        <c:baseTimeUnit val="days"/>
      </c:dateAx>
      <c:valAx>
        <c:axId val="56634636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3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XFMR Average</a:t>
            </a:r>
            <a:r>
              <a:rPr lang="en-NZ" baseline="0"/>
              <a:t> for 605/607/625/645/650/660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'XFMR Data'!$AA$3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Data'!$A$5:$A$152</c:f>
              <c:numCache>
                <c:formatCode>m/d/yyyy</c:formatCode>
                <c:ptCount val="1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Data'!$AA$25:$AA$152</c:f>
              <c:numCache>
                <c:formatCode>0</c:formatCode>
                <c:ptCount val="128"/>
                <c:pt idx="0">
                  <c:v>61.4</c:v>
                </c:pt>
                <c:pt idx="1">
                  <c:v>53</c:v>
                </c:pt>
                <c:pt idx="2">
                  <c:v>57.4</c:v>
                </c:pt>
                <c:pt idx="3">
                  <c:v>54.4</c:v>
                </c:pt>
                <c:pt idx="4">
                  <c:v>63.4</c:v>
                </c:pt>
                <c:pt idx="5">
                  <c:v>56.6</c:v>
                </c:pt>
                <c:pt idx="6">
                  <c:v>58.4</c:v>
                </c:pt>
                <c:pt idx="7">
                  <c:v>56.2</c:v>
                </c:pt>
                <c:pt idx="8">
                  <c:v>52.4</c:v>
                </c:pt>
                <c:pt idx="9">
                  <c:v>53</c:v>
                </c:pt>
                <c:pt idx="10">
                  <c:v>56.2</c:v>
                </c:pt>
                <c:pt idx="11">
                  <c:v>60.2</c:v>
                </c:pt>
                <c:pt idx="12">
                  <c:v>69.400000000000006</c:v>
                </c:pt>
                <c:pt idx="13">
                  <c:v>84.8</c:v>
                </c:pt>
                <c:pt idx="14">
                  <c:v>117.6</c:v>
                </c:pt>
                <c:pt idx="15">
                  <c:v>110</c:v>
                </c:pt>
                <c:pt idx="16">
                  <c:v>107</c:v>
                </c:pt>
                <c:pt idx="17">
                  <c:v>88.2</c:v>
                </c:pt>
                <c:pt idx="18">
                  <c:v>73</c:v>
                </c:pt>
                <c:pt idx="19">
                  <c:v>75.400000000000006</c:v>
                </c:pt>
                <c:pt idx="20">
                  <c:v>87</c:v>
                </c:pt>
                <c:pt idx="21">
                  <c:v>92.2</c:v>
                </c:pt>
                <c:pt idx="22">
                  <c:v>75.400000000000006</c:v>
                </c:pt>
                <c:pt idx="23">
                  <c:v>77.8</c:v>
                </c:pt>
                <c:pt idx="24">
                  <c:v>69</c:v>
                </c:pt>
                <c:pt idx="25">
                  <c:v>67.2</c:v>
                </c:pt>
                <c:pt idx="26">
                  <c:v>60.8</c:v>
                </c:pt>
                <c:pt idx="27">
                  <c:v>51</c:v>
                </c:pt>
                <c:pt idx="28">
                  <c:v>49.4</c:v>
                </c:pt>
                <c:pt idx="29">
                  <c:v>43.6</c:v>
                </c:pt>
                <c:pt idx="30">
                  <c:v>41</c:v>
                </c:pt>
                <c:pt idx="31">
                  <c:v>38.200000000000003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F-436F-8709-B46137A65B4B}"/>
            </c:ext>
          </c:extLst>
        </c:ser>
        <c:ser>
          <c:idx val="2"/>
          <c:order val="2"/>
          <c:tx>
            <c:strRef>
              <c:f>'XFMR Data'!$AC$3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Data'!$A$5:$A$152</c:f>
              <c:numCache>
                <c:formatCode>m/d/yyyy</c:formatCode>
                <c:ptCount val="1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Data'!$AC$25:$AC$152</c:f>
              <c:numCache>
                <c:formatCode>0</c:formatCode>
                <c:ptCount val="128"/>
                <c:pt idx="0">
                  <c:v>64.559999999999988</c:v>
                </c:pt>
                <c:pt idx="1">
                  <c:v>63.12</c:v>
                </c:pt>
                <c:pt idx="2">
                  <c:v>39.840000000000003</c:v>
                </c:pt>
                <c:pt idx="3">
                  <c:v>68.88</c:v>
                </c:pt>
                <c:pt idx="4">
                  <c:v>47.04</c:v>
                </c:pt>
                <c:pt idx="5">
                  <c:v>53.279999999999994</c:v>
                </c:pt>
                <c:pt idx="6">
                  <c:v>49.92</c:v>
                </c:pt>
                <c:pt idx="7">
                  <c:v>37.92</c:v>
                </c:pt>
                <c:pt idx="8">
                  <c:v>55.68</c:v>
                </c:pt>
                <c:pt idx="9">
                  <c:v>58.32</c:v>
                </c:pt>
                <c:pt idx="10">
                  <c:v>69.36</c:v>
                </c:pt>
                <c:pt idx="11">
                  <c:v>88.559999999999988</c:v>
                </c:pt>
                <c:pt idx="12">
                  <c:v>83.759999999999991</c:v>
                </c:pt>
                <c:pt idx="13">
                  <c:v>83.52</c:v>
                </c:pt>
                <c:pt idx="14">
                  <c:v>62.879999999999995</c:v>
                </c:pt>
                <c:pt idx="15">
                  <c:v>71.759999999999991</c:v>
                </c:pt>
                <c:pt idx="16">
                  <c:v>49.68</c:v>
                </c:pt>
                <c:pt idx="17">
                  <c:v>57.84</c:v>
                </c:pt>
                <c:pt idx="18">
                  <c:v>50.64</c:v>
                </c:pt>
                <c:pt idx="19">
                  <c:v>69.599999999999994</c:v>
                </c:pt>
                <c:pt idx="20">
                  <c:v>144</c:v>
                </c:pt>
                <c:pt idx="21">
                  <c:v>81.36</c:v>
                </c:pt>
                <c:pt idx="22">
                  <c:v>55.199999999999996</c:v>
                </c:pt>
                <c:pt idx="23">
                  <c:v>64.08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F-436F-8709-B46137A65B4B}"/>
            </c:ext>
          </c:extLst>
        </c:ser>
        <c:ser>
          <c:idx val="3"/>
          <c:order val="3"/>
          <c:tx>
            <c:strRef>
              <c:f>'XFMR Data'!$AD$3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Data'!$A$5:$A$152</c:f>
              <c:numCache>
                <c:formatCode>m/d/yyyy</c:formatCode>
                <c:ptCount val="1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Data'!$AD$25:$AD$152</c:f>
              <c:numCache>
                <c:formatCode>0</c:formatCode>
                <c:ptCount val="128"/>
                <c:pt idx="0">
                  <c:v>95.839014399999968</c:v>
                </c:pt>
                <c:pt idx="1">
                  <c:v>89.283251199999995</c:v>
                </c:pt>
                <c:pt idx="2">
                  <c:v>89.387310933333325</c:v>
                </c:pt>
                <c:pt idx="3">
                  <c:v>88.268668799999986</c:v>
                </c:pt>
                <c:pt idx="4">
                  <c:v>90.407096319999994</c:v>
                </c:pt>
                <c:pt idx="5">
                  <c:v>90.063699199999988</c:v>
                </c:pt>
                <c:pt idx="6">
                  <c:v>89.283251199999967</c:v>
                </c:pt>
                <c:pt idx="7">
                  <c:v>90.115729066666646</c:v>
                </c:pt>
                <c:pt idx="8">
                  <c:v>88.814982399999977</c:v>
                </c:pt>
                <c:pt idx="9">
                  <c:v>88.450773333333302</c:v>
                </c:pt>
                <c:pt idx="10">
                  <c:v>86.577698133333314</c:v>
                </c:pt>
                <c:pt idx="11">
                  <c:v>87.514235733333294</c:v>
                </c:pt>
                <c:pt idx="12">
                  <c:v>90.375878399999962</c:v>
                </c:pt>
                <c:pt idx="13">
                  <c:v>97.816149333333328</c:v>
                </c:pt>
                <c:pt idx="14">
                  <c:v>114.77788586666667</c:v>
                </c:pt>
                <c:pt idx="15">
                  <c:v>129.60639786666667</c:v>
                </c:pt>
                <c:pt idx="16">
                  <c:v>142.82198399999996</c:v>
                </c:pt>
                <c:pt idx="17">
                  <c:v>150.10616533333331</c:v>
                </c:pt>
                <c:pt idx="18">
                  <c:v>151.04270293333329</c:v>
                </c:pt>
                <c:pt idx="19">
                  <c:v>148.59729919999998</c:v>
                </c:pt>
                <c:pt idx="20">
                  <c:v>140.6367296</c:v>
                </c:pt>
                <c:pt idx="21">
                  <c:v>136.00607146666664</c:v>
                </c:pt>
                <c:pt idx="22">
                  <c:v>127.78535253333332</c:v>
                </c:pt>
                <c:pt idx="23">
                  <c:v>125.07979946666664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1F-436F-8709-B46137A65B4B}"/>
            </c:ext>
          </c:extLst>
        </c:ser>
        <c:ser>
          <c:idx val="4"/>
          <c:order val="4"/>
          <c:tx>
            <c:strRef>
              <c:f>'XFMR Data'!$AE$3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Data'!$A$5:$A$152</c:f>
              <c:numCache>
                <c:formatCode>m/d/yyyy</c:formatCode>
                <c:ptCount val="1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Data'!$AE$25:$AE$152</c:f>
              <c:numCache>
                <c:formatCode>0</c:formatCode>
                <c:ptCount val="128"/>
                <c:pt idx="0">
                  <c:v>119.921875</c:v>
                </c:pt>
                <c:pt idx="1">
                  <c:v>111.71875</c:v>
                </c:pt>
                <c:pt idx="2">
                  <c:v>111.84895833333336</c:v>
                </c:pt>
                <c:pt idx="3">
                  <c:v>110.44921875</c:v>
                </c:pt>
                <c:pt idx="4">
                  <c:v>113.125</c:v>
                </c:pt>
                <c:pt idx="5">
                  <c:v>112.69531250000001</c:v>
                </c:pt>
                <c:pt idx="6">
                  <c:v>111.71875</c:v>
                </c:pt>
                <c:pt idx="7">
                  <c:v>112.76041666666664</c:v>
                </c:pt>
                <c:pt idx="8">
                  <c:v>111.1328125</c:v>
                </c:pt>
                <c:pt idx="9">
                  <c:v>110.67708333333331</c:v>
                </c:pt>
                <c:pt idx="10">
                  <c:v>108.33333333333336</c:v>
                </c:pt>
                <c:pt idx="11">
                  <c:v>109.50520833333331</c:v>
                </c:pt>
                <c:pt idx="12">
                  <c:v>113.0859375</c:v>
                </c:pt>
                <c:pt idx="13">
                  <c:v>122.39583333333336</c:v>
                </c:pt>
                <c:pt idx="14">
                  <c:v>143.61979166666669</c:v>
                </c:pt>
                <c:pt idx="15">
                  <c:v>162.17447916666671</c:v>
                </c:pt>
                <c:pt idx="16">
                  <c:v>178.7109375</c:v>
                </c:pt>
                <c:pt idx="17">
                  <c:v>187.82552083333337</c:v>
                </c:pt>
                <c:pt idx="18">
                  <c:v>188.99739583333329</c:v>
                </c:pt>
                <c:pt idx="19">
                  <c:v>185.9375</c:v>
                </c:pt>
                <c:pt idx="20">
                  <c:v>175.97656250000003</c:v>
                </c:pt>
                <c:pt idx="21">
                  <c:v>170.18229166666669</c:v>
                </c:pt>
                <c:pt idx="22">
                  <c:v>159.89583333333337</c:v>
                </c:pt>
                <c:pt idx="23">
                  <c:v>156.51041666666669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1F-436F-8709-B46137A65B4B}"/>
            </c:ext>
          </c:extLst>
        </c:ser>
        <c:ser>
          <c:idx val="5"/>
          <c:order val="5"/>
          <c:tx>
            <c:strRef>
              <c:f>'XFMR Data'!$AF$3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Data'!$A$5:$A$152</c:f>
              <c:numCache>
                <c:formatCode>m/d/yyyy</c:formatCode>
                <c:ptCount val="1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Data'!$AF$25:$AF$152</c:f>
              <c:numCache>
                <c:formatCode>0</c:formatCode>
                <c:ptCount val="128"/>
                <c:pt idx="0">
                  <c:v>106.09919999999998</c:v>
                </c:pt>
                <c:pt idx="1">
                  <c:v>98.841599999999985</c:v>
                </c:pt>
                <c:pt idx="2">
                  <c:v>98.956800000000001</c:v>
                </c:pt>
                <c:pt idx="3">
                  <c:v>97.718400000000003</c:v>
                </c:pt>
                <c:pt idx="4">
                  <c:v>100.08576000000001</c:v>
                </c:pt>
                <c:pt idx="5">
                  <c:v>99.705600000000004</c:v>
                </c:pt>
                <c:pt idx="6">
                  <c:v>98.841599999999971</c:v>
                </c:pt>
                <c:pt idx="7">
                  <c:v>99.763199999999969</c:v>
                </c:pt>
                <c:pt idx="8">
                  <c:v>98.323199999999986</c:v>
                </c:pt>
                <c:pt idx="9">
                  <c:v>97.919999999999987</c:v>
                </c:pt>
                <c:pt idx="10">
                  <c:v>95.846400000000003</c:v>
                </c:pt>
                <c:pt idx="11">
                  <c:v>96.883199999999974</c:v>
                </c:pt>
                <c:pt idx="12">
                  <c:v>100.05119999999998</c:v>
                </c:pt>
                <c:pt idx="13">
                  <c:v>108.28800000000003</c:v>
                </c:pt>
                <c:pt idx="14">
                  <c:v>127.0656</c:v>
                </c:pt>
                <c:pt idx="15">
                  <c:v>143.48160000000001</c:v>
                </c:pt>
                <c:pt idx="16">
                  <c:v>158.11199999999999</c:v>
                </c:pt>
                <c:pt idx="17">
                  <c:v>166.17599999999999</c:v>
                </c:pt>
                <c:pt idx="18">
                  <c:v>167.21279999999996</c:v>
                </c:pt>
                <c:pt idx="19">
                  <c:v>164.50559999999999</c:v>
                </c:pt>
                <c:pt idx="20">
                  <c:v>155.69280000000001</c:v>
                </c:pt>
                <c:pt idx="21">
                  <c:v>150.56639999999999</c:v>
                </c:pt>
                <c:pt idx="22">
                  <c:v>141.46559999999999</c:v>
                </c:pt>
                <c:pt idx="23">
                  <c:v>138.47040000000001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1F-436F-8709-B46137A65B4B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Data'!$A$5:$A$152</c:f>
              <c:numCache>
                <c:formatCode>m/d/yyyy</c:formatCode>
                <c:ptCount val="14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1F-436F-8709-B46137A65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'XFMR Data'!$A$5:$A$152</c15:sqref>
                        </c15:formulaRef>
                      </c:ext>
                    </c:extLst>
                    <c:numCache>
                      <c:formatCode>m/d/yyyy</c:formatCode>
                      <c:ptCount val="14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  <c:pt idx="48">
                        <c:v>44617</c:v>
                      </c:pt>
                      <c:pt idx="49">
                        <c:v>44650</c:v>
                      </c:pt>
                      <c:pt idx="50">
                        <c:v>44691</c:v>
                      </c:pt>
                      <c:pt idx="51">
                        <c:v>44714</c:v>
                      </c:pt>
                      <c:pt idx="52">
                        <c:v>44753</c:v>
                      </c:pt>
                      <c:pt idx="53">
                        <c:v>44774</c:v>
                      </c:pt>
                      <c:pt idx="54">
                        <c:v>44805</c:v>
                      </c:pt>
                      <c:pt idx="55">
                        <c:v>44838</c:v>
                      </c:pt>
                      <c:pt idx="56">
                        <c:v>44868</c:v>
                      </c:pt>
                      <c:pt idx="57">
                        <c:v>44908</c:v>
                      </c:pt>
                      <c:pt idx="58">
                        <c:v>44965</c:v>
                      </c:pt>
                      <c:pt idx="59">
                        <c:v>44992</c:v>
                      </c:pt>
                      <c:pt idx="60">
                        <c:v>45020</c:v>
                      </c:pt>
                      <c:pt idx="61">
                        <c:v>45047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E1F-436F-8709-B46137A65B4B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XFMR Labour</a:t>
            </a:r>
            <a:r>
              <a:rPr lang="en-NZ" baseline="0"/>
              <a:t> Pool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'XFMR Data'!$Q$3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Data'!$Q$25:$Q$162</c:f>
              <c:numCache>
                <c:formatCode>0</c:formatCode>
                <c:ptCount val="138"/>
                <c:pt idx="0">
                  <c:v>74</c:v>
                </c:pt>
                <c:pt idx="1">
                  <c:v>74</c:v>
                </c:pt>
                <c:pt idx="2">
                  <c:v>82</c:v>
                </c:pt>
                <c:pt idx="3">
                  <c:v>80</c:v>
                </c:pt>
                <c:pt idx="4">
                  <c:v>92</c:v>
                </c:pt>
                <c:pt idx="5">
                  <c:v>83</c:v>
                </c:pt>
                <c:pt idx="6">
                  <c:v>84</c:v>
                </c:pt>
                <c:pt idx="7">
                  <c:v>80</c:v>
                </c:pt>
                <c:pt idx="8">
                  <c:v>71</c:v>
                </c:pt>
                <c:pt idx="9">
                  <c:v>86</c:v>
                </c:pt>
                <c:pt idx="10">
                  <c:v>92</c:v>
                </c:pt>
                <c:pt idx="11">
                  <c:v>96</c:v>
                </c:pt>
                <c:pt idx="12">
                  <c:v>109</c:v>
                </c:pt>
                <c:pt idx="13">
                  <c:v>102</c:v>
                </c:pt>
                <c:pt idx="14">
                  <c:v>129</c:v>
                </c:pt>
                <c:pt idx="15">
                  <c:v>119</c:v>
                </c:pt>
                <c:pt idx="16">
                  <c:v>96</c:v>
                </c:pt>
                <c:pt idx="17">
                  <c:v>88</c:v>
                </c:pt>
                <c:pt idx="18">
                  <c:v>96</c:v>
                </c:pt>
                <c:pt idx="19">
                  <c:v>100</c:v>
                </c:pt>
                <c:pt idx="20">
                  <c:v>109</c:v>
                </c:pt>
                <c:pt idx="21">
                  <c:v>98</c:v>
                </c:pt>
                <c:pt idx="22">
                  <c:v>107</c:v>
                </c:pt>
                <c:pt idx="23">
                  <c:v>117</c:v>
                </c:pt>
                <c:pt idx="24">
                  <c:v>93</c:v>
                </c:pt>
                <c:pt idx="25">
                  <c:v>109</c:v>
                </c:pt>
                <c:pt idx="27">
                  <c:v>103</c:v>
                </c:pt>
                <c:pt idx="28">
                  <c:v>94</c:v>
                </c:pt>
                <c:pt idx="29">
                  <c:v>92</c:v>
                </c:pt>
                <c:pt idx="30">
                  <c:v>98</c:v>
                </c:pt>
                <c:pt idx="31">
                  <c:v>90</c:v>
                </c:pt>
                <c:pt idx="32">
                  <c:v>91</c:v>
                </c:pt>
                <c:pt idx="33">
                  <c:v>90</c:v>
                </c:pt>
                <c:pt idx="34">
                  <c:v>105</c:v>
                </c:pt>
                <c:pt idx="35">
                  <c:v>93</c:v>
                </c:pt>
                <c:pt idx="36">
                  <c:v>68</c:v>
                </c:pt>
                <c:pt idx="37">
                  <c:v>73</c:v>
                </c:pt>
                <c:pt idx="38">
                  <c:v>80</c:v>
                </c:pt>
                <c:pt idx="39">
                  <c:v>105</c:v>
                </c:pt>
                <c:pt idx="40">
                  <c:v>89</c:v>
                </c:pt>
                <c:pt idx="41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AD-4982-87FD-0C7E36145663}"/>
            </c:ext>
          </c:extLst>
        </c:ser>
        <c:ser>
          <c:idx val="2"/>
          <c:order val="2"/>
          <c:tx>
            <c:strRef>
              <c:f>'XFMR Data'!$BM$3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Data'!$BM$25:$BM$152</c:f>
              <c:numCache>
                <c:formatCode>0</c:formatCode>
                <c:ptCount val="128"/>
                <c:pt idx="0">
                  <c:v>90</c:v>
                </c:pt>
                <c:pt idx="1">
                  <c:v>90</c:v>
                </c:pt>
                <c:pt idx="2">
                  <c:v>54</c:v>
                </c:pt>
                <c:pt idx="3">
                  <c:v>96</c:v>
                </c:pt>
                <c:pt idx="4">
                  <c:v>67.2</c:v>
                </c:pt>
                <c:pt idx="5">
                  <c:v>75.599999999999994</c:v>
                </c:pt>
                <c:pt idx="6">
                  <c:v>70.8</c:v>
                </c:pt>
                <c:pt idx="7">
                  <c:v>52.8</c:v>
                </c:pt>
                <c:pt idx="8">
                  <c:v>78</c:v>
                </c:pt>
                <c:pt idx="9">
                  <c:v>93.6</c:v>
                </c:pt>
                <c:pt idx="10">
                  <c:v>111.6</c:v>
                </c:pt>
                <c:pt idx="11">
                  <c:v>139.19999999999999</c:v>
                </c:pt>
                <c:pt idx="12">
                  <c:v>133.19999999999999</c:v>
                </c:pt>
                <c:pt idx="13">
                  <c:v>102</c:v>
                </c:pt>
                <c:pt idx="14">
                  <c:v>68.399999999999991</c:v>
                </c:pt>
                <c:pt idx="15">
                  <c:v>78</c:v>
                </c:pt>
                <c:pt idx="16">
                  <c:v>44.4</c:v>
                </c:pt>
                <c:pt idx="17">
                  <c:v>56.4</c:v>
                </c:pt>
                <c:pt idx="18">
                  <c:v>67.2</c:v>
                </c:pt>
                <c:pt idx="19">
                  <c:v>102</c:v>
                </c:pt>
                <c:pt idx="20">
                  <c:v>154.79999999999998</c:v>
                </c:pt>
                <c:pt idx="21">
                  <c:v>79.2</c:v>
                </c:pt>
                <c:pt idx="22">
                  <c:v>76.8</c:v>
                </c:pt>
                <c:pt idx="23">
                  <c:v>92.399999999999991</c:v>
                </c:pt>
                <c:pt idx="24">
                  <c:v>85.2</c:v>
                </c:pt>
                <c:pt idx="25">
                  <c:v>121.19999999999999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AD-4982-87FD-0C7E36145663}"/>
            </c:ext>
          </c:extLst>
        </c:ser>
        <c:ser>
          <c:idx val="3"/>
          <c:order val="3"/>
          <c:tx>
            <c:strRef>
              <c:f>'XFMR Data'!$BN$3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Data'!$BN$25:$BN$152</c:f>
              <c:numCache>
                <c:formatCode>0</c:formatCode>
                <c:ptCount val="128"/>
                <c:pt idx="0">
                  <c:v>115.50630399999997</c:v>
                </c:pt>
                <c:pt idx="1">
                  <c:v>115.50630399999997</c:v>
                </c:pt>
                <c:pt idx="2">
                  <c:v>119.66869333333332</c:v>
                </c:pt>
                <c:pt idx="3">
                  <c:v>120.96943999999996</c:v>
                </c:pt>
                <c:pt idx="4">
                  <c:v>125.49603839999997</c:v>
                </c:pt>
                <c:pt idx="5">
                  <c:v>126.17242666666662</c:v>
                </c:pt>
                <c:pt idx="6">
                  <c:v>128.77391999999998</c:v>
                </c:pt>
                <c:pt idx="7">
                  <c:v>130.33481599999999</c:v>
                </c:pt>
                <c:pt idx="8">
                  <c:v>127.47317333333332</c:v>
                </c:pt>
                <c:pt idx="9">
                  <c:v>129.03406933333332</c:v>
                </c:pt>
                <c:pt idx="10">
                  <c:v>129.03406933333332</c:v>
                </c:pt>
                <c:pt idx="11">
                  <c:v>132.41601066666664</c:v>
                </c:pt>
                <c:pt idx="12">
                  <c:v>138.91974399999998</c:v>
                </c:pt>
                <c:pt idx="13">
                  <c:v>144.64302933333332</c:v>
                </c:pt>
                <c:pt idx="14">
                  <c:v>159.73169066666662</c:v>
                </c:pt>
                <c:pt idx="15">
                  <c:v>168.31661866666664</c:v>
                </c:pt>
                <c:pt idx="16">
                  <c:v>169.35721599999997</c:v>
                </c:pt>
                <c:pt idx="17">
                  <c:v>167.27602133333332</c:v>
                </c:pt>
                <c:pt idx="18">
                  <c:v>163.89407999999997</c:v>
                </c:pt>
                <c:pt idx="19">
                  <c:v>163.37378133333331</c:v>
                </c:pt>
                <c:pt idx="20">
                  <c:v>158.17079466666661</c:v>
                </c:pt>
                <c:pt idx="21">
                  <c:v>152.70765866666662</c:v>
                </c:pt>
                <c:pt idx="22">
                  <c:v>155.5693013333333</c:v>
                </c:pt>
                <c:pt idx="23">
                  <c:v>163.11363199999994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AD-4982-87FD-0C7E36145663}"/>
            </c:ext>
          </c:extLst>
        </c:ser>
        <c:ser>
          <c:idx val="4"/>
          <c:order val="4"/>
          <c:tx>
            <c:strRef>
              <c:f>'XFMR Data'!$BO$3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Data'!$BO$25:$BO$152</c:f>
              <c:numCache>
                <c:formatCode>0</c:formatCode>
                <c:ptCount val="128"/>
                <c:pt idx="0">
                  <c:v>144.53125</c:v>
                </c:pt>
                <c:pt idx="1">
                  <c:v>144.53125</c:v>
                </c:pt>
                <c:pt idx="2">
                  <c:v>149.73958333333337</c:v>
                </c:pt>
                <c:pt idx="3">
                  <c:v>151.3671875</c:v>
                </c:pt>
                <c:pt idx="4">
                  <c:v>157.03125</c:v>
                </c:pt>
                <c:pt idx="5">
                  <c:v>157.87760416666663</c:v>
                </c:pt>
                <c:pt idx="6">
                  <c:v>161.1328125</c:v>
                </c:pt>
                <c:pt idx="7">
                  <c:v>163.0859375</c:v>
                </c:pt>
                <c:pt idx="8">
                  <c:v>159.50520833333337</c:v>
                </c:pt>
                <c:pt idx="9">
                  <c:v>161.45833333333337</c:v>
                </c:pt>
                <c:pt idx="10">
                  <c:v>161.45833333333337</c:v>
                </c:pt>
                <c:pt idx="11">
                  <c:v>165.69010416666663</c:v>
                </c:pt>
                <c:pt idx="12">
                  <c:v>173.828125</c:v>
                </c:pt>
                <c:pt idx="13">
                  <c:v>180.98958333333337</c:v>
                </c:pt>
                <c:pt idx="14">
                  <c:v>199.86979166666663</c:v>
                </c:pt>
                <c:pt idx="15">
                  <c:v>210.61197916666663</c:v>
                </c:pt>
                <c:pt idx="16">
                  <c:v>211.9140625</c:v>
                </c:pt>
                <c:pt idx="17">
                  <c:v>209.30989583333337</c:v>
                </c:pt>
                <c:pt idx="18">
                  <c:v>205.078125</c:v>
                </c:pt>
                <c:pt idx="19">
                  <c:v>204.42708333333337</c:v>
                </c:pt>
                <c:pt idx="20">
                  <c:v>197.91666666666663</c:v>
                </c:pt>
                <c:pt idx="21">
                  <c:v>191.08072916666663</c:v>
                </c:pt>
                <c:pt idx="22">
                  <c:v>194.66145833333337</c:v>
                </c:pt>
                <c:pt idx="23">
                  <c:v>204.1015625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AD-4982-87FD-0C7E36145663}"/>
            </c:ext>
          </c:extLst>
        </c:ser>
        <c:ser>
          <c:idx val="5"/>
          <c:order val="5"/>
          <c:tx>
            <c:strRef>
              <c:f>'XFMR Data'!$BP$3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Data'!$BP$25:$BP$152</c:f>
              <c:numCache>
                <c:formatCode>0</c:formatCode>
                <c:ptCount val="128"/>
                <c:pt idx="0">
                  <c:v>127.87199999999999</c:v>
                </c:pt>
                <c:pt idx="1">
                  <c:v>127.87199999999999</c:v>
                </c:pt>
                <c:pt idx="2">
                  <c:v>132.47999999999999</c:v>
                </c:pt>
                <c:pt idx="3">
                  <c:v>133.91999999999999</c:v>
                </c:pt>
                <c:pt idx="4">
                  <c:v>138.93119999999999</c:v>
                </c:pt>
                <c:pt idx="5">
                  <c:v>139.67999999999998</c:v>
                </c:pt>
                <c:pt idx="6">
                  <c:v>142.56</c:v>
                </c:pt>
                <c:pt idx="7">
                  <c:v>144.28799999999998</c:v>
                </c:pt>
                <c:pt idx="8">
                  <c:v>141.11999999999998</c:v>
                </c:pt>
                <c:pt idx="9">
                  <c:v>142.84799999999998</c:v>
                </c:pt>
                <c:pt idx="10">
                  <c:v>142.84799999999998</c:v>
                </c:pt>
                <c:pt idx="11">
                  <c:v>146.59199999999998</c:v>
                </c:pt>
                <c:pt idx="12">
                  <c:v>153.792</c:v>
                </c:pt>
                <c:pt idx="13">
                  <c:v>160.12799999999999</c:v>
                </c:pt>
                <c:pt idx="14">
                  <c:v>176.83199999999997</c:v>
                </c:pt>
                <c:pt idx="15">
                  <c:v>186.33599999999996</c:v>
                </c:pt>
                <c:pt idx="16">
                  <c:v>187.48799999999997</c:v>
                </c:pt>
                <c:pt idx="17">
                  <c:v>185.184</c:v>
                </c:pt>
                <c:pt idx="18">
                  <c:v>181.43999999999997</c:v>
                </c:pt>
                <c:pt idx="19">
                  <c:v>180.864</c:v>
                </c:pt>
                <c:pt idx="20">
                  <c:v>175.10399999999998</c:v>
                </c:pt>
                <c:pt idx="21">
                  <c:v>169.05599999999998</c:v>
                </c:pt>
                <c:pt idx="22">
                  <c:v>172.22399999999996</c:v>
                </c:pt>
                <c:pt idx="23">
                  <c:v>180.57599999999999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AD-4982-87FD-0C7E36145663}"/>
            </c:ext>
          </c:extLst>
        </c:ser>
        <c:ser>
          <c:idx val="6"/>
          <c:order val="6"/>
          <c:tx>
            <c:strRef>
              <c:f>'AM Benches Data'!$EQ$3</c:f>
              <c:strCache>
                <c:ptCount val="1"/>
                <c:pt idx="0">
                  <c:v>Ideal Target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'AM Benches Data'!$EQ$5:$EQ$52</c:f>
              <c:numCache>
                <c:formatCode>0</c:formatCode>
                <c:ptCount val="4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AD-4982-87FD-0C7E36145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'XFMR Data'!$A$5:$A$162</c15:sqref>
                        </c15:formulaRef>
                      </c:ext>
                    </c:extLst>
                    <c:numCache>
                      <c:formatCode>m/d/yyyy</c:formatCode>
                      <c:ptCount val="15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  <c:pt idx="48">
                        <c:v>44617</c:v>
                      </c:pt>
                      <c:pt idx="49">
                        <c:v>44650</c:v>
                      </c:pt>
                      <c:pt idx="50">
                        <c:v>44691</c:v>
                      </c:pt>
                      <c:pt idx="51">
                        <c:v>44714</c:v>
                      </c:pt>
                      <c:pt idx="52">
                        <c:v>44753</c:v>
                      </c:pt>
                      <c:pt idx="53">
                        <c:v>44774</c:v>
                      </c:pt>
                      <c:pt idx="54">
                        <c:v>44805</c:v>
                      </c:pt>
                      <c:pt idx="55">
                        <c:v>44838</c:v>
                      </c:pt>
                      <c:pt idx="56">
                        <c:v>44868</c:v>
                      </c:pt>
                      <c:pt idx="57">
                        <c:v>44908</c:v>
                      </c:pt>
                      <c:pt idx="58">
                        <c:v>44965</c:v>
                      </c:pt>
                      <c:pt idx="59">
                        <c:v>44992</c:v>
                      </c:pt>
                      <c:pt idx="60">
                        <c:v>45020</c:v>
                      </c:pt>
                      <c:pt idx="61">
                        <c:v>45047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16AD-4982-87FD-0C7E36145663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607 - Sipro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'XFMR Data'!$B$3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Data'!$B$25:$B$162</c:f>
              <c:numCache>
                <c:formatCode>0</c:formatCode>
                <c:ptCount val="138"/>
                <c:pt idx="0">
                  <c:v>80</c:v>
                </c:pt>
                <c:pt idx="1">
                  <c:v>72</c:v>
                </c:pt>
                <c:pt idx="2">
                  <c:v>80</c:v>
                </c:pt>
                <c:pt idx="3">
                  <c:v>77</c:v>
                </c:pt>
                <c:pt idx="4">
                  <c:v>84</c:v>
                </c:pt>
                <c:pt idx="5">
                  <c:v>84</c:v>
                </c:pt>
                <c:pt idx="6">
                  <c:v>82</c:v>
                </c:pt>
                <c:pt idx="7">
                  <c:v>79</c:v>
                </c:pt>
                <c:pt idx="8">
                  <c:v>68</c:v>
                </c:pt>
                <c:pt idx="9">
                  <c:v>75</c:v>
                </c:pt>
                <c:pt idx="10">
                  <c:v>82</c:v>
                </c:pt>
                <c:pt idx="11">
                  <c:v>80</c:v>
                </c:pt>
                <c:pt idx="12">
                  <c:v>88</c:v>
                </c:pt>
                <c:pt idx="13">
                  <c:v>117</c:v>
                </c:pt>
                <c:pt idx="14">
                  <c:v>154</c:v>
                </c:pt>
                <c:pt idx="15">
                  <c:v>140</c:v>
                </c:pt>
                <c:pt idx="16">
                  <c:v>136</c:v>
                </c:pt>
                <c:pt idx="17">
                  <c:v>132</c:v>
                </c:pt>
                <c:pt idx="18">
                  <c:v>83</c:v>
                </c:pt>
                <c:pt idx="19">
                  <c:v>86</c:v>
                </c:pt>
                <c:pt idx="20">
                  <c:v>127</c:v>
                </c:pt>
                <c:pt idx="21">
                  <c:v>91</c:v>
                </c:pt>
                <c:pt idx="22">
                  <c:v>62</c:v>
                </c:pt>
                <c:pt idx="23">
                  <c:v>71</c:v>
                </c:pt>
                <c:pt idx="24">
                  <c:v>72</c:v>
                </c:pt>
                <c:pt idx="25">
                  <c:v>59</c:v>
                </c:pt>
                <c:pt idx="26">
                  <c:v>74</c:v>
                </c:pt>
                <c:pt idx="27">
                  <c:v>71</c:v>
                </c:pt>
                <c:pt idx="28">
                  <c:v>73</c:v>
                </c:pt>
                <c:pt idx="29">
                  <c:v>67</c:v>
                </c:pt>
                <c:pt idx="30">
                  <c:v>65</c:v>
                </c:pt>
                <c:pt idx="31">
                  <c:v>61</c:v>
                </c:pt>
                <c:pt idx="32">
                  <c:v>51</c:v>
                </c:pt>
                <c:pt idx="33">
                  <c:v>43</c:v>
                </c:pt>
                <c:pt idx="34">
                  <c:v>46</c:v>
                </c:pt>
                <c:pt idx="35">
                  <c:v>38</c:v>
                </c:pt>
                <c:pt idx="36">
                  <c:v>27</c:v>
                </c:pt>
                <c:pt idx="37">
                  <c:v>25</c:v>
                </c:pt>
                <c:pt idx="38">
                  <c:v>69</c:v>
                </c:pt>
                <c:pt idx="39">
                  <c:v>65</c:v>
                </c:pt>
                <c:pt idx="40">
                  <c:v>76</c:v>
                </c:pt>
                <c:pt idx="4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0-4CC5-8817-D1CF8A34FDE2}"/>
            </c:ext>
          </c:extLst>
        </c:ser>
        <c:ser>
          <c:idx val="2"/>
          <c:order val="2"/>
          <c:tx>
            <c:strRef>
              <c:f>'XFMR Data'!$AI$3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Data'!$AI$25:$AI$162</c:f>
              <c:numCache>
                <c:formatCode>0</c:formatCode>
                <c:ptCount val="138"/>
                <c:pt idx="0">
                  <c:v>97.2</c:v>
                </c:pt>
                <c:pt idx="1">
                  <c:v>97.2</c:v>
                </c:pt>
                <c:pt idx="2">
                  <c:v>46.8</c:v>
                </c:pt>
                <c:pt idx="3">
                  <c:v>96</c:v>
                </c:pt>
                <c:pt idx="4">
                  <c:v>73.2</c:v>
                </c:pt>
                <c:pt idx="5">
                  <c:v>75.599999999999994</c:v>
                </c:pt>
                <c:pt idx="6">
                  <c:v>79.2</c:v>
                </c:pt>
                <c:pt idx="7">
                  <c:v>52.8</c:v>
                </c:pt>
                <c:pt idx="8">
                  <c:v>86.399999999999991</c:v>
                </c:pt>
                <c:pt idx="9">
                  <c:v>84</c:v>
                </c:pt>
                <c:pt idx="10">
                  <c:v>99.6</c:v>
                </c:pt>
                <c:pt idx="11">
                  <c:v>115.19999999999999</c:v>
                </c:pt>
                <c:pt idx="12">
                  <c:v>111.6</c:v>
                </c:pt>
                <c:pt idx="13">
                  <c:v>93.6</c:v>
                </c:pt>
                <c:pt idx="14">
                  <c:v>87.6</c:v>
                </c:pt>
                <c:pt idx="15">
                  <c:v>108</c:v>
                </c:pt>
                <c:pt idx="16">
                  <c:v>63.599999999999994</c:v>
                </c:pt>
                <c:pt idx="17">
                  <c:v>72</c:v>
                </c:pt>
                <c:pt idx="18">
                  <c:v>51.6</c:v>
                </c:pt>
                <c:pt idx="19">
                  <c:v>0</c:v>
                </c:pt>
                <c:pt idx="20">
                  <c:v>188.4</c:v>
                </c:pt>
                <c:pt idx="21">
                  <c:v>73.2</c:v>
                </c:pt>
                <c:pt idx="22">
                  <c:v>48</c:v>
                </c:pt>
                <c:pt idx="2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0-4CC5-8817-D1CF8A34FDE2}"/>
            </c:ext>
          </c:extLst>
        </c:ser>
        <c:ser>
          <c:idx val="3"/>
          <c:order val="3"/>
          <c:tx>
            <c:strRef>
              <c:f>'XFMR Data'!$AJ$3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Data'!$AJ$25:$AJ$162</c:f>
              <c:numCache>
                <c:formatCode>0</c:formatCode>
                <c:ptCount val="138"/>
                <c:pt idx="0">
                  <c:v>124.87167999999998</c:v>
                </c:pt>
                <c:pt idx="1">
                  <c:v>118.62809599999999</c:v>
                </c:pt>
                <c:pt idx="2">
                  <c:v>120.70929066666663</c:v>
                </c:pt>
                <c:pt idx="3">
                  <c:v>120.57921599999999</c:v>
                </c:pt>
                <c:pt idx="4">
                  <c:v>122.68642559999996</c:v>
                </c:pt>
                <c:pt idx="5">
                  <c:v>124.09123199999998</c:v>
                </c:pt>
                <c:pt idx="6">
                  <c:v>124.61153066666664</c:v>
                </c:pt>
                <c:pt idx="7">
                  <c:v>126.43257599999997</c:v>
                </c:pt>
                <c:pt idx="8">
                  <c:v>123.31078399999998</c:v>
                </c:pt>
                <c:pt idx="9">
                  <c:v>122.79048533333332</c:v>
                </c:pt>
                <c:pt idx="10">
                  <c:v>122.27018666666665</c:v>
                </c:pt>
                <c:pt idx="11">
                  <c:v>121.22958933333331</c:v>
                </c:pt>
                <c:pt idx="12">
                  <c:v>122.79048533333332</c:v>
                </c:pt>
                <c:pt idx="13">
                  <c:v>132.67615999999998</c:v>
                </c:pt>
                <c:pt idx="14">
                  <c:v>155.04900266666664</c:v>
                </c:pt>
                <c:pt idx="15">
                  <c:v>171.9587093333333</c:v>
                </c:pt>
                <c:pt idx="16">
                  <c:v>186.00677333333329</c:v>
                </c:pt>
                <c:pt idx="17">
                  <c:v>199.53453866666663</c:v>
                </c:pt>
                <c:pt idx="18">
                  <c:v>198.23379199999994</c:v>
                </c:pt>
                <c:pt idx="19">
                  <c:v>190.16916266666661</c:v>
                </c:pt>
                <c:pt idx="20">
                  <c:v>183.14513066666663</c:v>
                </c:pt>
                <c:pt idx="21">
                  <c:v>170.39781333333329</c:v>
                </c:pt>
                <c:pt idx="22">
                  <c:v>151.14676266666663</c:v>
                </c:pt>
                <c:pt idx="23">
                  <c:v>135.27765333333332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0-4CC5-8817-D1CF8A34FDE2}"/>
            </c:ext>
          </c:extLst>
        </c:ser>
        <c:ser>
          <c:idx val="4"/>
          <c:order val="4"/>
          <c:tx>
            <c:strRef>
              <c:f>'XFMR Data'!$AK$3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Data'!$AK$25:$AK$162</c:f>
              <c:numCache>
                <c:formatCode>0</c:formatCode>
                <c:ptCount val="138"/>
                <c:pt idx="0">
                  <c:v>156.25</c:v>
                </c:pt>
                <c:pt idx="1">
                  <c:v>148.4375</c:v>
                </c:pt>
                <c:pt idx="2">
                  <c:v>151.04166666666663</c:v>
                </c:pt>
                <c:pt idx="3">
                  <c:v>150.87890625</c:v>
                </c:pt>
                <c:pt idx="4">
                  <c:v>153.515625</c:v>
                </c:pt>
                <c:pt idx="5">
                  <c:v>155.2734375</c:v>
                </c:pt>
                <c:pt idx="6">
                  <c:v>155.92447916666663</c:v>
                </c:pt>
                <c:pt idx="7">
                  <c:v>158.203125</c:v>
                </c:pt>
                <c:pt idx="8">
                  <c:v>154.296875</c:v>
                </c:pt>
                <c:pt idx="9">
                  <c:v>153.64583333333337</c:v>
                </c:pt>
                <c:pt idx="10">
                  <c:v>152.99479166666663</c:v>
                </c:pt>
                <c:pt idx="11">
                  <c:v>151.69270833333337</c:v>
                </c:pt>
                <c:pt idx="12">
                  <c:v>153.64583333333337</c:v>
                </c:pt>
                <c:pt idx="13">
                  <c:v>166.015625</c:v>
                </c:pt>
                <c:pt idx="14">
                  <c:v>194.01041666666663</c:v>
                </c:pt>
                <c:pt idx="15">
                  <c:v>215.16927083333337</c:v>
                </c:pt>
                <c:pt idx="16">
                  <c:v>232.74739583333337</c:v>
                </c:pt>
                <c:pt idx="17">
                  <c:v>249.67447916666663</c:v>
                </c:pt>
                <c:pt idx="18">
                  <c:v>248.046875</c:v>
                </c:pt>
                <c:pt idx="19">
                  <c:v>237.95572916666663</c:v>
                </c:pt>
                <c:pt idx="20">
                  <c:v>229.16666666666663</c:v>
                </c:pt>
                <c:pt idx="21">
                  <c:v>213.21614583333337</c:v>
                </c:pt>
                <c:pt idx="22">
                  <c:v>189.12760416666663</c:v>
                </c:pt>
                <c:pt idx="23">
                  <c:v>169.27083333333337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70-4CC5-8817-D1CF8A34FDE2}"/>
            </c:ext>
          </c:extLst>
        </c:ser>
        <c:ser>
          <c:idx val="5"/>
          <c:order val="5"/>
          <c:tx>
            <c:strRef>
              <c:f>'XFMR Data'!$AL$3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Data'!$AL$25:$AL$162</c:f>
              <c:numCache>
                <c:formatCode>0</c:formatCode>
                <c:ptCount val="138"/>
                <c:pt idx="0">
                  <c:v>138.23999999999998</c:v>
                </c:pt>
                <c:pt idx="1">
                  <c:v>131.328</c:v>
                </c:pt>
                <c:pt idx="2">
                  <c:v>133.63200000000001</c:v>
                </c:pt>
                <c:pt idx="3">
                  <c:v>133.488</c:v>
                </c:pt>
                <c:pt idx="4">
                  <c:v>135.82079999999996</c:v>
                </c:pt>
                <c:pt idx="5">
                  <c:v>137.37599999999998</c:v>
                </c:pt>
                <c:pt idx="6">
                  <c:v>137.952</c:v>
                </c:pt>
                <c:pt idx="7">
                  <c:v>139.96799999999999</c:v>
                </c:pt>
                <c:pt idx="8">
                  <c:v>136.51199999999997</c:v>
                </c:pt>
                <c:pt idx="9">
                  <c:v>135.93600000000001</c:v>
                </c:pt>
                <c:pt idx="10">
                  <c:v>135.35999999999999</c:v>
                </c:pt>
                <c:pt idx="11">
                  <c:v>134.208</c:v>
                </c:pt>
                <c:pt idx="12">
                  <c:v>135.93600000000001</c:v>
                </c:pt>
                <c:pt idx="13">
                  <c:v>146.88</c:v>
                </c:pt>
                <c:pt idx="14">
                  <c:v>171.648</c:v>
                </c:pt>
                <c:pt idx="15">
                  <c:v>190.36799999999997</c:v>
                </c:pt>
                <c:pt idx="16">
                  <c:v>205.92</c:v>
                </c:pt>
                <c:pt idx="17">
                  <c:v>220.89599999999993</c:v>
                </c:pt>
                <c:pt idx="18">
                  <c:v>219.45599999999999</c:v>
                </c:pt>
                <c:pt idx="19">
                  <c:v>210.52799999999996</c:v>
                </c:pt>
                <c:pt idx="20">
                  <c:v>202.75199999999998</c:v>
                </c:pt>
                <c:pt idx="21">
                  <c:v>188.64</c:v>
                </c:pt>
                <c:pt idx="22">
                  <c:v>167.32799999999995</c:v>
                </c:pt>
                <c:pt idx="23">
                  <c:v>149.76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70-4CC5-8817-D1CF8A34FDE2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70-4CC5-8817-D1CF8A34F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'XFMR Data'!$A$5:$A$162</c15:sqref>
                        </c15:formulaRef>
                      </c:ext>
                    </c:extLst>
                    <c:numCache>
                      <c:formatCode>m/d/yyyy</c:formatCode>
                      <c:ptCount val="15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  <c:pt idx="48">
                        <c:v>44617</c:v>
                      </c:pt>
                      <c:pt idx="49">
                        <c:v>44650</c:v>
                      </c:pt>
                      <c:pt idx="50">
                        <c:v>44691</c:v>
                      </c:pt>
                      <c:pt idx="51">
                        <c:v>44714</c:v>
                      </c:pt>
                      <c:pt idx="52">
                        <c:v>44753</c:v>
                      </c:pt>
                      <c:pt idx="53">
                        <c:v>44774</c:v>
                      </c:pt>
                      <c:pt idx="54">
                        <c:v>44805</c:v>
                      </c:pt>
                      <c:pt idx="55">
                        <c:v>44838</c:v>
                      </c:pt>
                      <c:pt idx="56">
                        <c:v>44868</c:v>
                      </c:pt>
                      <c:pt idx="57">
                        <c:v>44908</c:v>
                      </c:pt>
                      <c:pt idx="58">
                        <c:v>44965</c:v>
                      </c:pt>
                      <c:pt idx="59">
                        <c:v>44992</c:v>
                      </c:pt>
                      <c:pt idx="60">
                        <c:v>45020</c:v>
                      </c:pt>
                      <c:pt idx="61">
                        <c:v>45047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D70-4CC5-8817-D1CF8A34FDE2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625 - BOO51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'XFMR Data'!$C$3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Data'!$C$25:$C$162</c:f>
              <c:numCache>
                <c:formatCode>0</c:formatCode>
                <c:ptCount val="138"/>
                <c:pt idx="0">
                  <c:v>53</c:v>
                </c:pt>
                <c:pt idx="1">
                  <c:v>46</c:v>
                </c:pt>
                <c:pt idx="2">
                  <c:v>48</c:v>
                </c:pt>
                <c:pt idx="3">
                  <c:v>46</c:v>
                </c:pt>
                <c:pt idx="4">
                  <c:v>55</c:v>
                </c:pt>
                <c:pt idx="5">
                  <c:v>45</c:v>
                </c:pt>
                <c:pt idx="6">
                  <c:v>49</c:v>
                </c:pt>
                <c:pt idx="7">
                  <c:v>45</c:v>
                </c:pt>
                <c:pt idx="8">
                  <c:v>48</c:v>
                </c:pt>
                <c:pt idx="9">
                  <c:v>43</c:v>
                </c:pt>
                <c:pt idx="10">
                  <c:v>42</c:v>
                </c:pt>
                <c:pt idx="11">
                  <c:v>51</c:v>
                </c:pt>
                <c:pt idx="12">
                  <c:v>64</c:v>
                </c:pt>
                <c:pt idx="13">
                  <c:v>75</c:v>
                </c:pt>
                <c:pt idx="14">
                  <c:v>106</c:v>
                </c:pt>
                <c:pt idx="15">
                  <c:v>99</c:v>
                </c:pt>
                <c:pt idx="16">
                  <c:v>93</c:v>
                </c:pt>
                <c:pt idx="17">
                  <c:v>76</c:v>
                </c:pt>
                <c:pt idx="18">
                  <c:v>67</c:v>
                </c:pt>
                <c:pt idx="19">
                  <c:v>63</c:v>
                </c:pt>
                <c:pt idx="20">
                  <c:v>64</c:v>
                </c:pt>
                <c:pt idx="21">
                  <c:v>88</c:v>
                </c:pt>
                <c:pt idx="22">
                  <c:v>92</c:v>
                </c:pt>
                <c:pt idx="23">
                  <c:v>92</c:v>
                </c:pt>
                <c:pt idx="24">
                  <c:v>82</c:v>
                </c:pt>
                <c:pt idx="25">
                  <c:v>81</c:v>
                </c:pt>
                <c:pt idx="26">
                  <c:v>54</c:v>
                </c:pt>
                <c:pt idx="27">
                  <c:v>41</c:v>
                </c:pt>
                <c:pt idx="28">
                  <c:v>38</c:v>
                </c:pt>
                <c:pt idx="29">
                  <c:v>29</c:v>
                </c:pt>
                <c:pt idx="30">
                  <c:v>26</c:v>
                </c:pt>
                <c:pt idx="31">
                  <c:v>24</c:v>
                </c:pt>
                <c:pt idx="32">
                  <c:v>25</c:v>
                </c:pt>
                <c:pt idx="33">
                  <c:v>20</c:v>
                </c:pt>
                <c:pt idx="34">
                  <c:v>20</c:v>
                </c:pt>
                <c:pt idx="35">
                  <c:v>23</c:v>
                </c:pt>
                <c:pt idx="36">
                  <c:v>18</c:v>
                </c:pt>
                <c:pt idx="37">
                  <c:v>16</c:v>
                </c:pt>
                <c:pt idx="38">
                  <c:v>33</c:v>
                </c:pt>
                <c:pt idx="39">
                  <c:v>39</c:v>
                </c:pt>
                <c:pt idx="40">
                  <c:v>60</c:v>
                </c:pt>
                <c:pt idx="41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5-479E-B69A-E950A0263F8E}"/>
            </c:ext>
          </c:extLst>
        </c:ser>
        <c:ser>
          <c:idx val="2"/>
          <c:order val="2"/>
          <c:tx>
            <c:strRef>
              <c:f>'XFMR Data'!$AO$3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Data'!$AO$25:$AO$162</c:f>
              <c:numCache>
                <c:formatCode>0</c:formatCode>
                <c:ptCount val="138"/>
                <c:pt idx="0">
                  <c:v>56.4</c:v>
                </c:pt>
                <c:pt idx="1">
                  <c:v>51.6</c:v>
                </c:pt>
                <c:pt idx="2">
                  <c:v>39.6</c:v>
                </c:pt>
                <c:pt idx="3">
                  <c:v>58.8</c:v>
                </c:pt>
                <c:pt idx="4">
                  <c:v>36</c:v>
                </c:pt>
                <c:pt idx="5">
                  <c:v>43.199999999999996</c:v>
                </c:pt>
                <c:pt idx="6">
                  <c:v>36</c:v>
                </c:pt>
                <c:pt idx="7">
                  <c:v>30</c:v>
                </c:pt>
                <c:pt idx="8">
                  <c:v>42</c:v>
                </c:pt>
                <c:pt idx="9">
                  <c:v>48</c:v>
                </c:pt>
                <c:pt idx="10">
                  <c:v>60</c:v>
                </c:pt>
                <c:pt idx="11">
                  <c:v>86.399999999999991</c:v>
                </c:pt>
                <c:pt idx="12">
                  <c:v>73.2</c:v>
                </c:pt>
                <c:pt idx="13">
                  <c:v>79.2</c:v>
                </c:pt>
                <c:pt idx="14">
                  <c:v>54</c:v>
                </c:pt>
                <c:pt idx="15">
                  <c:v>60</c:v>
                </c:pt>
                <c:pt idx="16">
                  <c:v>44.4</c:v>
                </c:pt>
                <c:pt idx="17">
                  <c:v>52.8</c:v>
                </c:pt>
                <c:pt idx="18">
                  <c:v>44.4</c:v>
                </c:pt>
                <c:pt idx="19">
                  <c:v>58.8</c:v>
                </c:pt>
                <c:pt idx="20">
                  <c:v>128.4</c:v>
                </c:pt>
                <c:pt idx="21">
                  <c:v>80.399999999999991</c:v>
                </c:pt>
                <c:pt idx="22">
                  <c:v>64.8</c:v>
                </c:pt>
                <c:pt idx="23">
                  <c:v>76.8</c:v>
                </c:pt>
                <c:pt idx="24">
                  <c:v>73.2</c:v>
                </c:pt>
                <c:pt idx="25">
                  <c:v>87.6</c:v>
                </c:pt>
                <c:pt idx="26">
                  <c:v>24</c:v>
                </c:pt>
                <c:pt idx="27">
                  <c:v>32.4</c:v>
                </c:pt>
                <c:pt idx="28">
                  <c:v>28.799999999999997</c:v>
                </c:pt>
                <c:pt idx="29">
                  <c:v>33.6</c:v>
                </c:pt>
                <c:pt idx="30">
                  <c:v>38.4</c:v>
                </c:pt>
                <c:pt idx="31">
                  <c:v>37.199999999999996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5-479E-B69A-E950A0263F8E}"/>
            </c:ext>
          </c:extLst>
        </c:ser>
        <c:ser>
          <c:idx val="3"/>
          <c:order val="3"/>
          <c:tx>
            <c:strRef>
              <c:f>'XFMR Data'!$AP$3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Data'!$AP$25:$AP$162</c:f>
              <c:numCache>
                <c:formatCode>0</c:formatCode>
                <c:ptCount val="138"/>
                <c:pt idx="0">
                  <c:v>82.72748799999998</c:v>
                </c:pt>
                <c:pt idx="1">
                  <c:v>77.264351999999988</c:v>
                </c:pt>
                <c:pt idx="2">
                  <c:v>76.483903999999995</c:v>
                </c:pt>
                <c:pt idx="3">
                  <c:v>75.313231999999985</c:v>
                </c:pt>
                <c:pt idx="4">
                  <c:v>77.420441599999975</c:v>
                </c:pt>
                <c:pt idx="5">
                  <c:v>76.223754666666665</c:v>
                </c:pt>
                <c:pt idx="6">
                  <c:v>75.183157333333313</c:v>
                </c:pt>
                <c:pt idx="7">
                  <c:v>74.923007999999982</c:v>
                </c:pt>
                <c:pt idx="8">
                  <c:v>74.923007999999982</c:v>
                </c:pt>
                <c:pt idx="9">
                  <c:v>74.142559999999989</c:v>
                </c:pt>
                <c:pt idx="10">
                  <c:v>70.760618666666659</c:v>
                </c:pt>
                <c:pt idx="11">
                  <c:v>72.321514666666658</c:v>
                </c:pt>
                <c:pt idx="12">
                  <c:v>76.223754666666665</c:v>
                </c:pt>
                <c:pt idx="13">
                  <c:v>84.028234666666648</c:v>
                </c:pt>
                <c:pt idx="14">
                  <c:v>99.116895999999969</c:v>
                </c:pt>
                <c:pt idx="15">
                  <c:v>113.68525866666664</c:v>
                </c:pt>
                <c:pt idx="16">
                  <c:v>126.95287466666662</c:v>
                </c:pt>
                <c:pt idx="17">
                  <c:v>133.45660799999996</c:v>
                </c:pt>
                <c:pt idx="18">
                  <c:v>134.23705599999997</c:v>
                </c:pt>
                <c:pt idx="19">
                  <c:v>131.11526399999997</c:v>
                </c:pt>
                <c:pt idx="20">
                  <c:v>120.18899199999997</c:v>
                </c:pt>
                <c:pt idx="21">
                  <c:v>117.3273493333333</c:v>
                </c:pt>
                <c:pt idx="22">
                  <c:v>117.06719999999997</c:v>
                </c:pt>
                <c:pt idx="23">
                  <c:v>121.22958933333331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5-479E-B69A-E950A0263F8E}"/>
            </c:ext>
          </c:extLst>
        </c:ser>
        <c:ser>
          <c:idx val="4"/>
          <c:order val="4"/>
          <c:tx>
            <c:strRef>
              <c:f>'XFMR Data'!$AQ$3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Data'!$AQ$25:$AQ$162</c:f>
              <c:numCache>
                <c:formatCode>0</c:formatCode>
                <c:ptCount val="138"/>
                <c:pt idx="0">
                  <c:v>103.515625</c:v>
                </c:pt>
                <c:pt idx="1">
                  <c:v>96.6796875</c:v>
                </c:pt>
                <c:pt idx="2">
                  <c:v>95.703125</c:v>
                </c:pt>
                <c:pt idx="3">
                  <c:v>94.23828125</c:v>
                </c:pt>
                <c:pt idx="4">
                  <c:v>96.875</c:v>
                </c:pt>
                <c:pt idx="5">
                  <c:v>95.377604166666686</c:v>
                </c:pt>
                <c:pt idx="6">
                  <c:v>94.075520833333314</c:v>
                </c:pt>
                <c:pt idx="7">
                  <c:v>93.75</c:v>
                </c:pt>
                <c:pt idx="8">
                  <c:v>93.75</c:v>
                </c:pt>
                <c:pt idx="9">
                  <c:v>92.7734375</c:v>
                </c:pt>
                <c:pt idx="10">
                  <c:v>88.541666666666686</c:v>
                </c:pt>
                <c:pt idx="11">
                  <c:v>90.494791666666686</c:v>
                </c:pt>
                <c:pt idx="12">
                  <c:v>95.377604166666686</c:v>
                </c:pt>
                <c:pt idx="13">
                  <c:v>105.14322916666669</c:v>
                </c:pt>
                <c:pt idx="14">
                  <c:v>124.0234375</c:v>
                </c:pt>
                <c:pt idx="15">
                  <c:v>142.25260416666663</c:v>
                </c:pt>
                <c:pt idx="16">
                  <c:v>158.85416666666663</c:v>
                </c:pt>
                <c:pt idx="17">
                  <c:v>166.9921875</c:v>
                </c:pt>
                <c:pt idx="18">
                  <c:v>167.96875</c:v>
                </c:pt>
                <c:pt idx="19">
                  <c:v>164.0625</c:v>
                </c:pt>
                <c:pt idx="20">
                  <c:v>150.390625</c:v>
                </c:pt>
                <c:pt idx="21">
                  <c:v>146.80989583333337</c:v>
                </c:pt>
                <c:pt idx="22">
                  <c:v>146.484375</c:v>
                </c:pt>
                <c:pt idx="23">
                  <c:v>151.69270833333337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E5-479E-B69A-E950A0263F8E}"/>
            </c:ext>
          </c:extLst>
        </c:ser>
        <c:ser>
          <c:idx val="5"/>
          <c:order val="5"/>
          <c:tx>
            <c:strRef>
              <c:f>'XFMR Data'!$AR$3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Data'!$AR$25:$AR$162</c:f>
              <c:numCache>
                <c:formatCode>0</c:formatCode>
                <c:ptCount val="138"/>
                <c:pt idx="0">
                  <c:v>91.583999999999989</c:v>
                </c:pt>
                <c:pt idx="1">
                  <c:v>85.536000000000001</c:v>
                </c:pt>
                <c:pt idx="2">
                  <c:v>84.671999999999983</c:v>
                </c:pt>
                <c:pt idx="3">
                  <c:v>83.375999999999991</c:v>
                </c:pt>
                <c:pt idx="4">
                  <c:v>85.708799999999982</c:v>
                </c:pt>
                <c:pt idx="5">
                  <c:v>84.383999999999986</c:v>
                </c:pt>
                <c:pt idx="6">
                  <c:v>83.231999999999999</c:v>
                </c:pt>
                <c:pt idx="7">
                  <c:v>82.943999999999988</c:v>
                </c:pt>
                <c:pt idx="8">
                  <c:v>82.943999999999988</c:v>
                </c:pt>
                <c:pt idx="9">
                  <c:v>82.079999999999984</c:v>
                </c:pt>
                <c:pt idx="10">
                  <c:v>78.335999999999999</c:v>
                </c:pt>
                <c:pt idx="11">
                  <c:v>80.063999999999993</c:v>
                </c:pt>
                <c:pt idx="12">
                  <c:v>84.383999999999986</c:v>
                </c:pt>
                <c:pt idx="13">
                  <c:v>93.023999999999987</c:v>
                </c:pt>
                <c:pt idx="14">
                  <c:v>109.72799999999999</c:v>
                </c:pt>
                <c:pt idx="15">
                  <c:v>125.85599999999997</c:v>
                </c:pt>
                <c:pt idx="16">
                  <c:v>140.54399999999998</c:v>
                </c:pt>
                <c:pt idx="17">
                  <c:v>147.74399999999997</c:v>
                </c:pt>
                <c:pt idx="18">
                  <c:v>148.608</c:v>
                </c:pt>
                <c:pt idx="19">
                  <c:v>145.15199999999999</c:v>
                </c:pt>
                <c:pt idx="20">
                  <c:v>133.05599999999998</c:v>
                </c:pt>
                <c:pt idx="21">
                  <c:v>129.88799999999998</c:v>
                </c:pt>
                <c:pt idx="22">
                  <c:v>129.6</c:v>
                </c:pt>
                <c:pt idx="23">
                  <c:v>134.208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E5-479E-B69A-E950A0263F8E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E5-479E-B69A-E950A0263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'XFMR Data'!$A$5:$A$162</c15:sqref>
                        </c15:formulaRef>
                      </c:ext>
                    </c:extLst>
                    <c:numCache>
                      <c:formatCode>m/d/yyyy</c:formatCode>
                      <c:ptCount val="15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  <c:pt idx="48">
                        <c:v>44617</c:v>
                      </c:pt>
                      <c:pt idx="49">
                        <c:v>44650</c:v>
                      </c:pt>
                      <c:pt idx="50">
                        <c:v>44691</c:v>
                      </c:pt>
                      <c:pt idx="51">
                        <c:v>44714</c:v>
                      </c:pt>
                      <c:pt idx="52">
                        <c:v>44753</c:v>
                      </c:pt>
                      <c:pt idx="53">
                        <c:v>44774</c:v>
                      </c:pt>
                      <c:pt idx="54">
                        <c:v>44805</c:v>
                      </c:pt>
                      <c:pt idx="55">
                        <c:v>44838</c:v>
                      </c:pt>
                      <c:pt idx="56">
                        <c:v>44868</c:v>
                      </c:pt>
                      <c:pt idx="57">
                        <c:v>44908</c:v>
                      </c:pt>
                      <c:pt idx="58">
                        <c:v>44965</c:v>
                      </c:pt>
                      <c:pt idx="59">
                        <c:v>44992</c:v>
                      </c:pt>
                      <c:pt idx="60">
                        <c:v>45020</c:v>
                      </c:pt>
                      <c:pt idx="61">
                        <c:v>45047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1E5-479E-B69A-E950A0263F8E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645 - Bench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'XFMR Data'!$D$3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Data'!$D$25:$D$162</c:f>
              <c:numCache>
                <c:formatCode>0</c:formatCode>
                <c:ptCount val="138"/>
                <c:pt idx="0">
                  <c:v>73</c:v>
                </c:pt>
                <c:pt idx="1">
                  <c:v>60</c:v>
                </c:pt>
                <c:pt idx="2">
                  <c:v>66</c:v>
                </c:pt>
                <c:pt idx="3">
                  <c:v>63</c:v>
                </c:pt>
                <c:pt idx="4">
                  <c:v>72</c:v>
                </c:pt>
                <c:pt idx="5">
                  <c:v>63</c:v>
                </c:pt>
                <c:pt idx="6">
                  <c:v>69</c:v>
                </c:pt>
                <c:pt idx="7">
                  <c:v>66</c:v>
                </c:pt>
                <c:pt idx="8">
                  <c:v>60</c:v>
                </c:pt>
                <c:pt idx="9">
                  <c:v>61</c:v>
                </c:pt>
                <c:pt idx="10">
                  <c:v>65</c:v>
                </c:pt>
                <c:pt idx="11">
                  <c:v>69</c:v>
                </c:pt>
                <c:pt idx="12">
                  <c:v>77</c:v>
                </c:pt>
                <c:pt idx="13">
                  <c:v>96</c:v>
                </c:pt>
                <c:pt idx="14">
                  <c:v>137</c:v>
                </c:pt>
                <c:pt idx="15">
                  <c:v>129</c:v>
                </c:pt>
                <c:pt idx="16">
                  <c:v>126</c:v>
                </c:pt>
                <c:pt idx="17">
                  <c:v>96</c:v>
                </c:pt>
                <c:pt idx="18">
                  <c:v>89</c:v>
                </c:pt>
                <c:pt idx="19">
                  <c:v>96</c:v>
                </c:pt>
                <c:pt idx="20">
                  <c:v>102</c:v>
                </c:pt>
                <c:pt idx="21">
                  <c:v>110</c:v>
                </c:pt>
                <c:pt idx="22">
                  <c:v>56</c:v>
                </c:pt>
                <c:pt idx="23">
                  <c:v>49</c:v>
                </c:pt>
                <c:pt idx="24">
                  <c:v>42</c:v>
                </c:pt>
                <c:pt idx="25">
                  <c:v>45</c:v>
                </c:pt>
                <c:pt idx="26">
                  <c:v>71</c:v>
                </c:pt>
                <c:pt idx="27">
                  <c:v>59</c:v>
                </c:pt>
                <c:pt idx="28">
                  <c:v>57</c:v>
                </c:pt>
                <c:pt idx="29">
                  <c:v>52</c:v>
                </c:pt>
                <c:pt idx="30">
                  <c:v>49</c:v>
                </c:pt>
                <c:pt idx="31">
                  <c:v>45</c:v>
                </c:pt>
                <c:pt idx="32">
                  <c:v>40</c:v>
                </c:pt>
                <c:pt idx="33">
                  <c:v>35</c:v>
                </c:pt>
                <c:pt idx="34">
                  <c:v>33</c:v>
                </c:pt>
                <c:pt idx="35">
                  <c:v>37</c:v>
                </c:pt>
                <c:pt idx="36">
                  <c:v>28</c:v>
                </c:pt>
                <c:pt idx="37">
                  <c:v>27</c:v>
                </c:pt>
                <c:pt idx="38">
                  <c:v>30</c:v>
                </c:pt>
                <c:pt idx="39">
                  <c:v>30</c:v>
                </c:pt>
                <c:pt idx="40">
                  <c:v>34</c:v>
                </c:pt>
                <c:pt idx="4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4-496A-9075-D46F32476B68}"/>
            </c:ext>
          </c:extLst>
        </c:ser>
        <c:ser>
          <c:idx val="2"/>
          <c:order val="2"/>
          <c:tx>
            <c:strRef>
              <c:f>'XFMR Data'!$AU$3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Data'!$AU$25:$AU$162</c:f>
              <c:numCache>
                <c:formatCode>0</c:formatCode>
                <c:ptCount val="138"/>
                <c:pt idx="0">
                  <c:v>66</c:v>
                </c:pt>
                <c:pt idx="1">
                  <c:v>68.399999999999991</c:v>
                </c:pt>
                <c:pt idx="2">
                  <c:v>43.199999999999996</c:v>
                </c:pt>
                <c:pt idx="3">
                  <c:v>79.2</c:v>
                </c:pt>
                <c:pt idx="4">
                  <c:v>51.6</c:v>
                </c:pt>
                <c:pt idx="5">
                  <c:v>60</c:v>
                </c:pt>
                <c:pt idx="6">
                  <c:v>56.4</c:v>
                </c:pt>
                <c:pt idx="7">
                  <c:v>44.4</c:v>
                </c:pt>
                <c:pt idx="8">
                  <c:v>64.8</c:v>
                </c:pt>
                <c:pt idx="9">
                  <c:v>66</c:v>
                </c:pt>
                <c:pt idx="10">
                  <c:v>76.8</c:v>
                </c:pt>
                <c:pt idx="11">
                  <c:v>98.399999999999991</c:v>
                </c:pt>
                <c:pt idx="12">
                  <c:v>96</c:v>
                </c:pt>
                <c:pt idx="13">
                  <c:v>99.6</c:v>
                </c:pt>
                <c:pt idx="14">
                  <c:v>69.599999999999994</c:v>
                </c:pt>
                <c:pt idx="15">
                  <c:v>81.599999999999994</c:v>
                </c:pt>
                <c:pt idx="16">
                  <c:v>57.599999999999994</c:v>
                </c:pt>
                <c:pt idx="17">
                  <c:v>68.399999999999991</c:v>
                </c:pt>
                <c:pt idx="18">
                  <c:v>67.2</c:v>
                </c:pt>
                <c:pt idx="19">
                  <c:v>96</c:v>
                </c:pt>
                <c:pt idx="20">
                  <c:v>171.6</c:v>
                </c:pt>
                <c:pt idx="21">
                  <c:v>96</c:v>
                </c:pt>
                <c:pt idx="22">
                  <c:v>43.199999999999996</c:v>
                </c:pt>
                <c:pt idx="23">
                  <c:v>42</c:v>
                </c:pt>
                <c:pt idx="24">
                  <c:v>42</c:v>
                </c:pt>
                <c:pt idx="25">
                  <c:v>51.6</c:v>
                </c:pt>
                <c:pt idx="26">
                  <c:v>45.6</c:v>
                </c:pt>
                <c:pt idx="27">
                  <c:v>51.6</c:v>
                </c:pt>
                <c:pt idx="28">
                  <c:v>34.799999999999997</c:v>
                </c:pt>
                <c:pt idx="29">
                  <c:v>57.599999999999994</c:v>
                </c:pt>
                <c:pt idx="30">
                  <c:v>63.599999999999994</c:v>
                </c:pt>
                <c:pt idx="31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4-496A-9075-D46F32476B68}"/>
            </c:ext>
          </c:extLst>
        </c:ser>
        <c:ser>
          <c:idx val="3"/>
          <c:order val="3"/>
          <c:tx>
            <c:strRef>
              <c:f>'XFMR Data'!$AV$3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Data'!$AV$25:$AV$162</c:f>
              <c:numCache>
                <c:formatCode>0</c:formatCode>
                <c:ptCount val="138"/>
                <c:pt idx="0">
                  <c:v>113.94540799999997</c:v>
                </c:pt>
                <c:pt idx="1">
                  <c:v>103.799584</c:v>
                </c:pt>
                <c:pt idx="2">
                  <c:v>103.53943466666664</c:v>
                </c:pt>
                <c:pt idx="3">
                  <c:v>102.23868799999997</c:v>
                </c:pt>
                <c:pt idx="4">
                  <c:v>104.26785279999997</c:v>
                </c:pt>
                <c:pt idx="5">
                  <c:v>103.27928533333331</c:v>
                </c:pt>
                <c:pt idx="6">
                  <c:v>102.23868799999997</c:v>
                </c:pt>
                <c:pt idx="7">
                  <c:v>103.799584</c:v>
                </c:pt>
                <c:pt idx="8">
                  <c:v>102.23868799999997</c:v>
                </c:pt>
                <c:pt idx="9">
                  <c:v>101.71838933333332</c:v>
                </c:pt>
                <c:pt idx="10">
                  <c:v>99.89734399999999</c:v>
                </c:pt>
                <c:pt idx="11">
                  <c:v>101.45823999999998</c:v>
                </c:pt>
                <c:pt idx="12">
                  <c:v>103.53943466666664</c:v>
                </c:pt>
                <c:pt idx="13">
                  <c:v>111.34391466666663</c:v>
                </c:pt>
                <c:pt idx="14">
                  <c:v>131.37541333333331</c:v>
                </c:pt>
                <c:pt idx="15">
                  <c:v>149.06556799999998</c:v>
                </c:pt>
                <c:pt idx="16">
                  <c:v>164.9346773333333</c:v>
                </c:pt>
                <c:pt idx="17">
                  <c:v>171.9587093333333</c:v>
                </c:pt>
                <c:pt idx="18">
                  <c:v>175.08050133333333</c:v>
                </c:pt>
                <c:pt idx="19">
                  <c:v>175.08050133333333</c:v>
                </c:pt>
                <c:pt idx="20">
                  <c:v>165.97527466666662</c:v>
                </c:pt>
                <c:pt idx="21">
                  <c:v>161.03243733333332</c:v>
                </c:pt>
                <c:pt idx="22">
                  <c:v>142.82198399999996</c:v>
                </c:pt>
                <c:pt idx="23">
                  <c:v>130.59496533333331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54-496A-9075-D46F32476B68}"/>
            </c:ext>
          </c:extLst>
        </c:ser>
        <c:ser>
          <c:idx val="4"/>
          <c:order val="4"/>
          <c:tx>
            <c:strRef>
              <c:f>'XFMR Data'!$AW$3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Data'!$AW$25:$AW$162</c:f>
              <c:numCache>
                <c:formatCode>0</c:formatCode>
                <c:ptCount val="138"/>
                <c:pt idx="0">
                  <c:v>142.578125</c:v>
                </c:pt>
                <c:pt idx="1">
                  <c:v>129.8828125</c:v>
                </c:pt>
                <c:pt idx="2">
                  <c:v>129.55729166666663</c:v>
                </c:pt>
                <c:pt idx="3">
                  <c:v>127.9296875</c:v>
                </c:pt>
                <c:pt idx="4">
                  <c:v>130.46875</c:v>
                </c:pt>
                <c:pt idx="5">
                  <c:v>129.23177083333337</c:v>
                </c:pt>
                <c:pt idx="6">
                  <c:v>127.9296875</c:v>
                </c:pt>
                <c:pt idx="7">
                  <c:v>129.8828125</c:v>
                </c:pt>
                <c:pt idx="8">
                  <c:v>127.9296875</c:v>
                </c:pt>
                <c:pt idx="9">
                  <c:v>127.27864583333336</c:v>
                </c:pt>
                <c:pt idx="10">
                  <c:v>125</c:v>
                </c:pt>
                <c:pt idx="11">
                  <c:v>126.953125</c:v>
                </c:pt>
                <c:pt idx="12">
                  <c:v>129.55729166666663</c:v>
                </c:pt>
                <c:pt idx="13">
                  <c:v>139.32291666666663</c:v>
                </c:pt>
                <c:pt idx="14">
                  <c:v>164.38802083333337</c:v>
                </c:pt>
                <c:pt idx="15">
                  <c:v>186.5234375</c:v>
                </c:pt>
                <c:pt idx="16">
                  <c:v>206.38020833333337</c:v>
                </c:pt>
                <c:pt idx="17">
                  <c:v>215.16927083333337</c:v>
                </c:pt>
                <c:pt idx="18">
                  <c:v>219.07552083333337</c:v>
                </c:pt>
                <c:pt idx="19">
                  <c:v>219.07552083333337</c:v>
                </c:pt>
                <c:pt idx="20">
                  <c:v>207.68229166666663</c:v>
                </c:pt>
                <c:pt idx="21">
                  <c:v>201.49739583333337</c:v>
                </c:pt>
                <c:pt idx="22">
                  <c:v>178.7109375</c:v>
                </c:pt>
                <c:pt idx="23">
                  <c:v>163.41145833333337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54-496A-9075-D46F32476B68}"/>
            </c:ext>
          </c:extLst>
        </c:ser>
        <c:ser>
          <c:idx val="5"/>
          <c:order val="5"/>
          <c:tx>
            <c:strRef>
              <c:f>'XFMR Data'!$AX$3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Data'!$AX$25:$AX$162</c:f>
              <c:numCache>
                <c:formatCode>0</c:formatCode>
                <c:ptCount val="138"/>
                <c:pt idx="0">
                  <c:v>126.14399999999998</c:v>
                </c:pt>
                <c:pt idx="1">
                  <c:v>114.91199999999999</c:v>
                </c:pt>
                <c:pt idx="2">
                  <c:v>114.624</c:v>
                </c:pt>
                <c:pt idx="3">
                  <c:v>113.18399999999998</c:v>
                </c:pt>
                <c:pt idx="4">
                  <c:v>115.43039999999999</c:v>
                </c:pt>
                <c:pt idx="5">
                  <c:v>114.336</c:v>
                </c:pt>
                <c:pt idx="6">
                  <c:v>113.18399999999998</c:v>
                </c:pt>
                <c:pt idx="7">
                  <c:v>114.91199999999999</c:v>
                </c:pt>
                <c:pt idx="8">
                  <c:v>113.18399999999998</c:v>
                </c:pt>
                <c:pt idx="9">
                  <c:v>112.608</c:v>
                </c:pt>
                <c:pt idx="10">
                  <c:v>110.592</c:v>
                </c:pt>
                <c:pt idx="11">
                  <c:v>112.32</c:v>
                </c:pt>
                <c:pt idx="12">
                  <c:v>114.624</c:v>
                </c:pt>
                <c:pt idx="13">
                  <c:v>123.26399999999998</c:v>
                </c:pt>
                <c:pt idx="14">
                  <c:v>145.43999999999997</c:v>
                </c:pt>
                <c:pt idx="15">
                  <c:v>165.02399999999997</c:v>
                </c:pt>
                <c:pt idx="16">
                  <c:v>182.59199999999998</c:v>
                </c:pt>
                <c:pt idx="17">
                  <c:v>190.36799999999997</c:v>
                </c:pt>
                <c:pt idx="18">
                  <c:v>193.82399999999998</c:v>
                </c:pt>
                <c:pt idx="19">
                  <c:v>193.82399999999998</c:v>
                </c:pt>
                <c:pt idx="20">
                  <c:v>183.74399999999997</c:v>
                </c:pt>
                <c:pt idx="21">
                  <c:v>178.27199999999999</c:v>
                </c:pt>
                <c:pt idx="22">
                  <c:v>158.11199999999999</c:v>
                </c:pt>
                <c:pt idx="23">
                  <c:v>144.57599999999999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54-496A-9075-D46F32476B68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54-496A-9075-D46F32476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'XFMR Data'!$A$5:$A$162</c15:sqref>
                        </c15:formulaRef>
                      </c:ext>
                    </c:extLst>
                    <c:numCache>
                      <c:formatCode>m/d/yyyy</c:formatCode>
                      <c:ptCount val="15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  <c:pt idx="48">
                        <c:v>44617</c:v>
                      </c:pt>
                      <c:pt idx="49">
                        <c:v>44650</c:v>
                      </c:pt>
                      <c:pt idx="50">
                        <c:v>44691</c:v>
                      </c:pt>
                      <c:pt idx="51">
                        <c:v>44714</c:v>
                      </c:pt>
                      <c:pt idx="52">
                        <c:v>44753</c:v>
                      </c:pt>
                      <c:pt idx="53">
                        <c:v>44774</c:v>
                      </c:pt>
                      <c:pt idx="54">
                        <c:v>44805</c:v>
                      </c:pt>
                      <c:pt idx="55">
                        <c:v>44838</c:v>
                      </c:pt>
                      <c:pt idx="56">
                        <c:v>44868</c:v>
                      </c:pt>
                      <c:pt idx="57">
                        <c:v>44908</c:v>
                      </c:pt>
                      <c:pt idx="58">
                        <c:v>44965</c:v>
                      </c:pt>
                      <c:pt idx="59">
                        <c:v>44992</c:v>
                      </c:pt>
                      <c:pt idx="60">
                        <c:v>45020</c:v>
                      </c:pt>
                      <c:pt idx="61">
                        <c:v>45047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B54-496A-9075-D46F32476B68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650 - Pouring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'XFMR Data'!$E$3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Data'!$E$25:$E$162</c:f>
              <c:numCache>
                <c:formatCode>0</c:formatCode>
                <c:ptCount val="138"/>
                <c:pt idx="0">
                  <c:v>42</c:v>
                </c:pt>
                <c:pt idx="1">
                  <c:v>36</c:v>
                </c:pt>
                <c:pt idx="2">
                  <c:v>38</c:v>
                </c:pt>
                <c:pt idx="3">
                  <c:v>37</c:v>
                </c:pt>
                <c:pt idx="4">
                  <c:v>43</c:v>
                </c:pt>
                <c:pt idx="5">
                  <c:v>39</c:v>
                </c:pt>
                <c:pt idx="6">
                  <c:v>39</c:v>
                </c:pt>
                <c:pt idx="7">
                  <c:v>38</c:v>
                </c:pt>
                <c:pt idx="8">
                  <c:v>34</c:v>
                </c:pt>
                <c:pt idx="9">
                  <c:v>36</c:v>
                </c:pt>
                <c:pt idx="10">
                  <c:v>41</c:v>
                </c:pt>
                <c:pt idx="11">
                  <c:v>41</c:v>
                </c:pt>
                <c:pt idx="12">
                  <c:v>46</c:v>
                </c:pt>
                <c:pt idx="13">
                  <c:v>57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58</c:v>
                </c:pt>
                <c:pt idx="18">
                  <c:v>54</c:v>
                </c:pt>
                <c:pt idx="19">
                  <c:v>57</c:v>
                </c:pt>
                <c:pt idx="20">
                  <c:v>63</c:v>
                </c:pt>
                <c:pt idx="21">
                  <c:v>73</c:v>
                </c:pt>
                <c:pt idx="22">
                  <c:v>65</c:v>
                </c:pt>
                <c:pt idx="23">
                  <c:v>71</c:v>
                </c:pt>
                <c:pt idx="24">
                  <c:v>59</c:v>
                </c:pt>
                <c:pt idx="25">
                  <c:v>63</c:v>
                </c:pt>
                <c:pt idx="26">
                  <c:v>43</c:v>
                </c:pt>
                <c:pt idx="27">
                  <c:v>36</c:v>
                </c:pt>
                <c:pt idx="28">
                  <c:v>36</c:v>
                </c:pt>
                <c:pt idx="29">
                  <c:v>33</c:v>
                </c:pt>
                <c:pt idx="30">
                  <c:v>32</c:v>
                </c:pt>
                <c:pt idx="31">
                  <c:v>29</c:v>
                </c:pt>
                <c:pt idx="32">
                  <c:v>25</c:v>
                </c:pt>
                <c:pt idx="33">
                  <c:v>21</c:v>
                </c:pt>
                <c:pt idx="34">
                  <c:v>21</c:v>
                </c:pt>
                <c:pt idx="35">
                  <c:v>22</c:v>
                </c:pt>
                <c:pt idx="36">
                  <c:v>16</c:v>
                </c:pt>
                <c:pt idx="37">
                  <c:v>14</c:v>
                </c:pt>
                <c:pt idx="38">
                  <c:v>17</c:v>
                </c:pt>
                <c:pt idx="39">
                  <c:v>18</c:v>
                </c:pt>
                <c:pt idx="40">
                  <c:v>26</c:v>
                </c:pt>
                <c:pt idx="4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4-475F-802E-9C189541D9E7}"/>
            </c:ext>
          </c:extLst>
        </c:ser>
        <c:ser>
          <c:idx val="2"/>
          <c:order val="2"/>
          <c:tx>
            <c:strRef>
              <c:f>'XFMR Data'!$BA$3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Data'!$BA$25:$BA$162</c:f>
              <c:numCache>
                <c:formatCode>0</c:formatCode>
                <c:ptCount val="138"/>
                <c:pt idx="0">
                  <c:v>40.799999999999997</c:v>
                </c:pt>
                <c:pt idx="1">
                  <c:v>40.799999999999997</c:v>
                </c:pt>
                <c:pt idx="2">
                  <c:v>25.2</c:v>
                </c:pt>
                <c:pt idx="3">
                  <c:v>45.6</c:v>
                </c:pt>
                <c:pt idx="4">
                  <c:v>32.4</c:v>
                </c:pt>
                <c:pt idx="5">
                  <c:v>37.199999999999996</c:v>
                </c:pt>
                <c:pt idx="6">
                  <c:v>34.799999999999997</c:v>
                </c:pt>
                <c:pt idx="7">
                  <c:v>26.4</c:v>
                </c:pt>
                <c:pt idx="8">
                  <c:v>37.199999999999996</c:v>
                </c:pt>
                <c:pt idx="9">
                  <c:v>38.4</c:v>
                </c:pt>
                <c:pt idx="10">
                  <c:v>45.6</c:v>
                </c:pt>
                <c:pt idx="11">
                  <c:v>56.4</c:v>
                </c:pt>
                <c:pt idx="12">
                  <c:v>56.4</c:v>
                </c:pt>
                <c:pt idx="13">
                  <c:v>57.599999999999994</c:v>
                </c:pt>
                <c:pt idx="14">
                  <c:v>42</c:v>
                </c:pt>
                <c:pt idx="15">
                  <c:v>46.8</c:v>
                </c:pt>
                <c:pt idx="16">
                  <c:v>33.6</c:v>
                </c:pt>
                <c:pt idx="17">
                  <c:v>39.6</c:v>
                </c:pt>
                <c:pt idx="18">
                  <c:v>39.6</c:v>
                </c:pt>
                <c:pt idx="19">
                  <c:v>57.599999999999994</c:v>
                </c:pt>
                <c:pt idx="20">
                  <c:v>93.6</c:v>
                </c:pt>
                <c:pt idx="21">
                  <c:v>63.599999999999994</c:v>
                </c:pt>
                <c:pt idx="22">
                  <c:v>50.4</c:v>
                </c:pt>
                <c:pt idx="23">
                  <c:v>61.199999999999996</c:v>
                </c:pt>
                <c:pt idx="24">
                  <c:v>62.4</c:v>
                </c:pt>
                <c:pt idx="25">
                  <c:v>74.399999999999991</c:v>
                </c:pt>
                <c:pt idx="26">
                  <c:v>30</c:v>
                </c:pt>
                <c:pt idx="27">
                  <c:v>33.6</c:v>
                </c:pt>
                <c:pt idx="28">
                  <c:v>20.399999999999999</c:v>
                </c:pt>
                <c:pt idx="29">
                  <c:v>38.4</c:v>
                </c:pt>
                <c:pt idx="30">
                  <c:v>40.799999999999997</c:v>
                </c:pt>
                <c:pt idx="3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4-475F-802E-9C189541D9E7}"/>
            </c:ext>
          </c:extLst>
        </c:ser>
        <c:ser>
          <c:idx val="3"/>
          <c:order val="3"/>
          <c:tx>
            <c:strRef>
              <c:f>'XFMR Data'!$BB$3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Data'!$BB$25:$BB$162</c:f>
              <c:numCache>
                <c:formatCode>0</c:formatCode>
                <c:ptCount val="138"/>
                <c:pt idx="0">
                  <c:v>65.557631999999984</c:v>
                </c:pt>
                <c:pt idx="1">
                  <c:v>60.874943999999985</c:v>
                </c:pt>
                <c:pt idx="2">
                  <c:v>60.354645333333316</c:v>
                </c:pt>
                <c:pt idx="3">
                  <c:v>59.704271999999989</c:v>
                </c:pt>
                <c:pt idx="4">
                  <c:v>61.187123199999988</c:v>
                </c:pt>
                <c:pt idx="5">
                  <c:v>61.135093333333323</c:v>
                </c:pt>
                <c:pt idx="6">
                  <c:v>60.354645333333316</c:v>
                </c:pt>
                <c:pt idx="7">
                  <c:v>60.874943999999985</c:v>
                </c:pt>
                <c:pt idx="8">
                  <c:v>59.834346666666661</c:v>
                </c:pt>
                <c:pt idx="9">
                  <c:v>59.574197333333316</c:v>
                </c:pt>
                <c:pt idx="10">
                  <c:v>59.053898666666655</c:v>
                </c:pt>
                <c:pt idx="11">
                  <c:v>59.574197333333316</c:v>
                </c:pt>
                <c:pt idx="12">
                  <c:v>61.395242666666661</c:v>
                </c:pt>
                <c:pt idx="13">
                  <c:v>66.338079999999991</c:v>
                </c:pt>
                <c:pt idx="14">
                  <c:v>78.044799999999981</c:v>
                </c:pt>
                <c:pt idx="15">
                  <c:v>87.930474666666655</c:v>
                </c:pt>
                <c:pt idx="16">
                  <c:v>96.255253333333314</c:v>
                </c:pt>
                <c:pt idx="17">
                  <c:v>100.67779199999998</c:v>
                </c:pt>
                <c:pt idx="18">
                  <c:v>102.75898666666664</c:v>
                </c:pt>
                <c:pt idx="19">
                  <c:v>102.75898666666664</c:v>
                </c:pt>
                <c:pt idx="20">
                  <c:v>98.596597333333307</c:v>
                </c:pt>
                <c:pt idx="21">
                  <c:v>98.336447999999976</c:v>
                </c:pt>
                <c:pt idx="22">
                  <c:v>96.255253333333314</c:v>
                </c:pt>
                <c:pt idx="23">
                  <c:v>99.637194666666659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A4-475F-802E-9C189541D9E7}"/>
            </c:ext>
          </c:extLst>
        </c:ser>
        <c:ser>
          <c:idx val="4"/>
          <c:order val="4"/>
          <c:tx>
            <c:strRef>
              <c:f>'XFMR Data'!$BC$3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Data'!$BC$25:$BC$162</c:f>
              <c:numCache>
                <c:formatCode>0</c:formatCode>
                <c:ptCount val="138"/>
                <c:pt idx="0">
                  <c:v>82.03125</c:v>
                </c:pt>
                <c:pt idx="1">
                  <c:v>76.171875</c:v>
                </c:pt>
                <c:pt idx="2">
                  <c:v>75.520833333333314</c:v>
                </c:pt>
                <c:pt idx="3">
                  <c:v>74.70703125</c:v>
                </c:pt>
                <c:pt idx="4">
                  <c:v>76.5625</c:v>
                </c:pt>
                <c:pt idx="5">
                  <c:v>76.497395833333314</c:v>
                </c:pt>
                <c:pt idx="6">
                  <c:v>75.520833333333314</c:v>
                </c:pt>
                <c:pt idx="7">
                  <c:v>76.171875</c:v>
                </c:pt>
                <c:pt idx="8">
                  <c:v>74.869791666666686</c:v>
                </c:pt>
                <c:pt idx="9">
                  <c:v>74.544270833333314</c:v>
                </c:pt>
                <c:pt idx="10">
                  <c:v>73.893229166666686</c:v>
                </c:pt>
                <c:pt idx="11">
                  <c:v>74.544270833333314</c:v>
                </c:pt>
                <c:pt idx="12">
                  <c:v>76.822916666666686</c:v>
                </c:pt>
                <c:pt idx="13">
                  <c:v>83.0078125</c:v>
                </c:pt>
                <c:pt idx="14">
                  <c:v>97.65625</c:v>
                </c:pt>
                <c:pt idx="15">
                  <c:v>110.02604166666669</c:v>
                </c:pt>
                <c:pt idx="16">
                  <c:v>120.44270833333331</c:v>
                </c:pt>
                <c:pt idx="17">
                  <c:v>125.9765625</c:v>
                </c:pt>
                <c:pt idx="18">
                  <c:v>128.58072916666663</c:v>
                </c:pt>
                <c:pt idx="19">
                  <c:v>128.58072916666663</c:v>
                </c:pt>
                <c:pt idx="20">
                  <c:v>123.37239583333331</c:v>
                </c:pt>
                <c:pt idx="21">
                  <c:v>123.046875</c:v>
                </c:pt>
                <c:pt idx="22">
                  <c:v>120.44270833333331</c:v>
                </c:pt>
                <c:pt idx="23">
                  <c:v>124.67447916666669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A4-475F-802E-9C189541D9E7}"/>
            </c:ext>
          </c:extLst>
        </c:ser>
        <c:ser>
          <c:idx val="5"/>
          <c:order val="5"/>
          <c:tx>
            <c:strRef>
              <c:f>'XFMR Data'!$BD$3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Data'!$BD$25:$BD$162</c:f>
              <c:numCache>
                <c:formatCode>0</c:formatCode>
                <c:ptCount val="138"/>
                <c:pt idx="0">
                  <c:v>72.575999999999993</c:v>
                </c:pt>
                <c:pt idx="1">
                  <c:v>67.391999999999996</c:v>
                </c:pt>
                <c:pt idx="2">
                  <c:v>66.816000000000003</c:v>
                </c:pt>
                <c:pt idx="3">
                  <c:v>66.095999999999989</c:v>
                </c:pt>
                <c:pt idx="4">
                  <c:v>67.7376</c:v>
                </c:pt>
                <c:pt idx="5">
                  <c:v>67.679999999999993</c:v>
                </c:pt>
                <c:pt idx="6">
                  <c:v>66.816000000000003</c:v>
                </c:pt>
                <c:pt idx="7">
                  <c:v>67.391999999999996</c:v>
                </c:pt>
                <c:pt idx="8">
                  <c:v>66.239999999999995</c:v>
                </c:pt>
                <c:pt idx="9">
                  <c:v>65.951999999999984</c:v>
                </c:pt>
                <c:pt idx="10">
                  <c:v>65.375999999999991</c:v>
                </c:pt>
                <c:pt idx="11">
                  <c:v>65.951999999999984</c:v>
                </c:pt>
                <c:pt idx="12">
                  <c:v>67.968000000000004</c:v>
                </c:pt>
                <c:pt idx="13">
                  <c:v>73.44</c:v>
                </c:pt>
                <c:pt idx="14">
                  <c:v>86.399999999999991</c:v>
                </c:pt>
                <c:pt idx="15">
                  <c:v>97.34399999999998</c:v>
                </c:pt>
                <c:pt idx="16">
                  <c:v>106.55999999999999</c:v>
                </c:pt>
                <c:pt idx="17">
                  <c:v>111.45599999999997</c:v>
                </c:pt>
                <c:pt idx="18">
                  <c:v>113.75999999999998</c:v>
                </c:pt>
                <c:pt idx="19">
                  <c:v>113.75999999999998</c:v>
                </c:pt>
                <c:pt idx="20">
                  <c:v>109.15199999999999</c:v>
                </c:pt>
                <c:pt idx="21">
                  <c:v>108.86399999999998</c:v>
                </c:pt>
                <c:pt idx="22">
                  <c:v>106.55999999999999</c:v>
                </c:pt>
                <c:pt idx="23">
                  <c:v>110.30399999999999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A4-475F-802E-9C189541D9E7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A4-475F-802E-9C189541D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'XFMR Data'!$A$5:$A$162</c15:sqref>
                        </c15:formulaRef>
                      </c:ext>
                    </c:extLst>
                    <c:numCache>
                      <c:formatCode>m/d/yyyy</c:formatCode>
                      <c:ptCount val="15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  <c:pt idx="48">
                        <c:v>44617</c:v>
                      </c:pt>
                      <c:pt idx="49">
                        <c:v>44650</c:v>
                      </c:pt>
                      <c:pt idx="50">
                        <c:v>44691</c:v>
                      </c:pt>
                      <c:pt idx="51">
                        <c:v>44714</c:v>
                      </c:pt>
                      <c:pt idx="52">
                        <c:v>44753</c:v>
                      </c:pt>
                      <c:pt idx="53">
                        <c:v>44774</c:v>
                      </c:pt>
                      <c:pt idx="54">
                        <c:v>44805</c:v>
                      </c:pt>
                      <c:pt idx="55">
                        <c:v>44838</c:v>
                      </c:pt>
                      <c:pt idx="56">
                        <c:v>44868</c:v>
                      </c:pt>
                      <c:pt idx="57">
                        <c:v>44908</c:v>
                      </c:pt>
                      <c:pt idx="58">
                        <c:v>44965</c:v>
                      </c:pt>
                      <c:pt idx="59">
                        <c:v>44992</c:v>
                      </c:pt>
                      <c:pt idx="60">
                        <c:v>45020</c:v>
                      </c:pt>
                      <c:pt idx="61">
                        <c:v>45047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64A4-475F-802E-9C189541D9E7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660 - HV Testing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'XFMR Data'!$F$3</c:f>
              <c:strCache>
                <c:ptCount val="1"/>
                <c:pt idx="0">
                  <c:v>13 Wks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Data'!$F$25:$F$162</c:f>
              <c:numCache>
                <c:formatCode>0</c:formatCode>
                <c:ptCount val="138"/>
                <c:pt idx="0">
                  <c:v>59</c:v>
                </c:pt>
                <c:pt idx="1">
                  <c:v>51</c:v>
                </c:pt>
                <c:pt idx="2">
                  <c:v>55</c:v>
                </c:pt>
                <c:pt idx="3">
                  <c:v>49</c:v>
                </c:pt>
                <c:pt idx="4">
                  <c:v>63</c:v>
                </c:pt>
                <c:pt idx="5">
                  <c:v>52</c:v>
                </c:pt>
                <c:pt idx="6">
                  <c:v>53</c:v>
                </c:pt>
                <c:pt idx="7">
                  <c:v>53</c:v>
                </c:pt>
                <c:pt idx="8">
                  <c:v>52</c:v>
                </c:pt>
                <c:pt idx="9">
                  <c:v>50</c:v>
                </c:pt>
                <c:pt idx="10">
                  <c:v>51</c:v>
                </c:pt>
                <c:pt idx="11">
                  <c:v>60</c:v>
                </c:pt>
                <c:pt idx="12">
                  <c:v>72</c:v>
                </c:pt>
                <c:pt idx="13">
                  <c:v>79</c:v>
                </c:pt>
                <c:pt idx="14">
                  <c:v>112</c:v>
                </c:pt>
                <c:pt idx="15">
                  <c:v>108</c:v>
                </c:pt>
                <c:pt idx="16">
                  <c:v>107</c:v>
                </c:pt>
                <c:pt idx="17">
                  <c:v>79</c:v>
                </c:pt>
                <c:pt idx="18">
                  <c:v>72</c:v>
                </c:pt>
                <c:pt idx="19">
                  <c:v>75</c:v>
                </c:pt>
                <c:pt idx="20">
                  <c:v>79</c:v>
                </c:pt>
                <c:pt idx="21">
                  <c:v>99</c:v>
                </c:pt>
                <c:pt idx="22">
                  <c:v>102</c:v>
                </c:pt>
                <c:pt idx="23">
                  <c:v>106</c:v>
                </c:pt>
                <c:pt idx="24">
                  <c:v>90</c:v>
                </c:pt>
                <c:pt idx="25">
                  <c:v>88</c:v>
                </c:pt>
                <c:pt idx="26">
                  <c:v>62</c:v>
                </c:pt>
                <c:pt idx="27">
                  <c:v>48</c:v>
                </c:pt>
                <c:pt idx="28">
                  <c:v>43</c:v>
                </c:pt>
                <c:pt idx="29">
                  <c:v>37</c:v>
                </c:pt>
                <c:pt idx="30">
                  <c:v>33</c:v>
                </c:pt>
                <c:pt idx="31">
                  <c:v>32</c:v>
                </c:pt>
                <c:pt idx="32">
                  <c:v>27</c:v>
                </c:pt>
                <c:pt idx="33">
                  <c:v>27</c:v>
                </c:pt>
                <c:pt idx="34">
                  <c:v>25</c:v>
                </c:pt>
                <c:pt idx="35">
                  <c:v>38</c:v>
                </c:pt>
                <c:pt idx="36">
                  <c:v>23</c:v>
                </c:pt>
                <c:pt idx="37">
                  <c:v>22</c:v>
                </c:pt>
                <c:pt idx="38">
                  <c:v>47</c:v>
                </c:pt>
                <c:pt idx="39">
                  <c:v>60</c:v>
                </c:pt>
                <c:pt idx="40">
                  <c:v>77</c:v>
                </c:pt>
                <c:pt idx="4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C-4398-BE35-12B3F984CF39}"/>
            </c:ext>
          </c:extLst>
        </c:ser>
        <c:ser>
          <c:idx val="2"/>
          <c:order val="2"/>
          <c:tx>
            <c:strRef>
              <c:f>'XFMR Data'!$BG$3</c:f>
              <c:strCache>
                <c:ptCount val="1"/>
                <c:pt idx="0">
                  <c:v>14 - 26 Wks +20%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Data'!$BG$25:$BG$162</c:f>
              <c:numCache>
                <c:formatCode>0</c:formatCode>
                <c:ptCount val="138"/>
                <c:pt idx="0">
                  <c:v>62.4</c:v>
                </c:pt>
                <c:pt idx="1">
                  <c:v>57.599999999999994</c:v>
                </c:pt>
                <c:pt idx="2">
                  <c:v>44.4</c:v>
                </c:pt>
                <c:pt idx="3">
                  <c:v>64.8</c:v>
                </c:pt>
                <c:pt idx="4">
                  <c:v>42</c:v>
                </c:pt>
                <c:pt idx="5">
                  <c:v>50.4</c:v>
                </c:pt>
                <c:pt idx="6">
                  <c:v>43.199999999999996</c:v>
                </c:pt>
                <c:pt idx="7">
                  <c:v>36</c:v>
                </c:pt>
                <c:pt idx="8">
                  <c:v>48</c:v>
                </c:pt>
                <c:pt idx="9">
                  <c:v>55.199999999999996</c:v>
                </c:pt>
                <c:pt idx="10">
                  <c:v>64.8</c:v>
                </c:pt>
                <c:pt idx="11">
                  <c:v>86.399999999999991</c:v>
                </c:pt>
                <c:pt idx="12">
                  <c:v>81.599999999999994</c:v>
                </c:pt>
                <c:pt idx="13">
                  <c:v>87.6</c:v>
                </c:pt>
                <c:pt idx="14">
                  <c:v>61.199999999999996</c:v>
                </c:pt>
                <c:pt idx="15">
                  <c:v>62.4</c:v>
                </c:pt>
                <c:pt idx="16">
                  <c:v>49.199999999999996</c:v>
                </c:pt>
                <c:pt idx="17">
                  <c:v>56.4</c:v>
                </c:pt>
                <c:pt idx="18">
                  <c:v>50.4</c:v>
                </c:pt>
                <c:pt idx="19">
                  <c:v>66</c:v>
                </c:pt>
                <c:pt idx="20">
                  <c:v>138</c:v>
                </c:pt>
                <c:pt idx="21">
                  <c:v>93.6</c:v>
                </c:pt>
                <c:pt idx="22">
                  <c:v>69.599999999999994</c:v>
                </c:pt>
                <c:pt idx="23">
                  <c:v>92.399999999999991</c:v>
                </c:pt>
                <c:pt idx="24">
                  <c:v>82.8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BC-4398-BE35-12B3F984CF39}"/>
            </c:ext>
          </c:extLst>
        </c:ser>
        <c:ser>
          <c:idx val="3"/>
          <c:order val="3"/>
          <c:tx>
            <c:strRef>
              <c:f>'XFMR Data'!$BH$3</c:f>
              <c:strCache>
                <c:ptCount val="1"/>
                <c:pt idx="0">
                  <c:v>3 Yr Projection Growth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Data'!$BH$25:$BH$162</c:f>
              <c:numCache>
                <c:formatCode>0</c:formatCode>
                <c:ptCount val="138"/>
                <c:pt idx="0">
                  <c:v>92.092863999999977</c:v>
                </c:pt>
                <c:pt idx="1">
                  <c:v>85.849279999999993</c:v>
                </c:pt>
                <c:pt idx="2">
                  <c:v>85.849279999999993</c:v>
                </c:pt>
                <c:pt idx="3">
                  <c:v>83.507935999999987</c:v>
                </c:pt>
                <c:pt idx="4">
                  <c:v>86.47363839999997</c:v>
                </c:pt>
                <c:pt idx="5">
                  <c:v>85.589130666666648</c:v>
                </c:pt>
                <c:pt idx="6">
                  <c:v>84.028234666666648</c:v>
                </c:pt>
                <c:pt idx="7">
                  <c:v>84.54853333333331</c:v>
                </c:pt>
                <c:pt idx="8">
                  <c:v>83.768085333333303</c:v>
                </c:pt>
                <c:pt idx="9">
                  <c:v>84.028234666666648</c:v>
                </c:pt>
                <c:pt idx="10">
                  <c:v>80.906442666666663</c:v>
                </c:pt>
                <c:pt idx="11">
                  <c:v>82.987637333333311</c:v>
                </c:pt>
                <c:pt idx="12">
                  <c:v>87.930474666666655</c:v>
                </c:pt>
                <c:pt idx="13">
                  <c:v>94.694357333333315</c:v>
                </c:pt>
                <c:pt idx="14">
                  <c:v>110.30331733333331</c:v>
                </c:pt>
                <c:pt idx="15">
                  <c:v>125.39197866666663</c:v>
                </c:pt>
                <c:pt idx="16">
                  <c:v>139.9603413333333</c:v>
                </c:pt>
                <c:pt idx="17">
                  <c:v>144.90317866666663</c:v>
                </c:pt>
                <c:pt idx="18">
                  <c:v>144.90317866666663</c:v>
                </c:pt>
                <c:pt idx="19">
                  <c:v>143.86258133333331</c:v>
                </c:pt>
                <c:pt idx="20">
                  <c:v>135.27765333333332</c:v>
                </c:pt>
                <c:pt idx="21">
                  <c:v>132.9363093333333</c:v>
                </c:pt>
                <c:pt idx="22">
                  <c:v>131.63556266666663</c:v>
                </c:pt>
                <c:pt idx="23">
                  <c:v>138.65959466666664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BC-4398-BE35-12B3F984CF39}"/>
            </c:ext>
          </c:extLst>
        </c:ser>
        <c:ser>
          <c:idx val="4"/>
          <c:order val="4"/>
          <c:tx>
            <c:strRef>
              <c:f>'XFMR Data'!$BI$3</c:f>
              <c:strCache>
                <c:ptCount val="1"/>
                <c:pt idx="0">
                  <c:v>3 Yr Projection Growth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Data'!$BI$25:$BI$162</c:f>
              <c:numCache>
                <c:formatCode>0</c:formatCode>
                <c:ptCount val="138"/>
                <c:pt idx="0">
                  <c:v>115.234375</c:v>
                </c:pt>
                <c:pt idx="1">
                  <c:v>107.421875</c:v>
                </c:pt>
                <c:pt idx="2">
                  <c:v>107.421875</c:v>
                </c:pt>
                <c:pt idx="3">
                  <c:v>104.4921875</c:v>
                </c:pt>
                <c:pt idx="4">
                  <c:v>108.203125</c:v>
                </c:pt>
                <c:pt idx="5">
                  <c:v>107.09635416666669</c:v>
                </c:pt>
                <c:pt idx="6">
                  <c:v>105.14322916666669</c:v>
                </c:pt>
                <c:pt idx="7">
                  <c:v>105.79427083333331</c:v>
                </c:pt>
                <c:pt idx="8">
                  <c:v>104.81770833333331</c:v>
                </c:pt>
                <c:pt idx="9">
                  <c:v>105.14322916666669</c:v>
                </c:pt>
                <c:pt idx="10">
                  <c:v>101.23697916666669</c:v>
                </c:pt>
                <c:pt idx="11">
                  <c:v>103.84114583333331</c:v>
                </c:pt>
                <c:pt idx="12">
                  <c:v>110.02604166666669</c:v>
                </c:pt>
                <c:pt idx="13">
                  <c:v>118.48958333333331</c:v>
                </c:pt>
                <c:pt idx="14">
                  <c:v>138.02083333333337</c:v>
                </c:pt>
                <c:pt idx="15">
                  <c:v>156.90104166666663</c:v>
                </c:pt>
                <c:pt idx="16">
                  <c:v>175.13020833333337</c:v>
                </c:pt>
                <c:pt idx="17">
                  <c:v>181.31510416666663</c:v>
                </c:pt>
                <c:pt idx="18">
                  <c:v>181.31510416666663</c:v>
                </c:pt>
                <c:pt idx="19">
                  <c:v>180.01302083333337</c:v>
                </c:pt>
                <c:pt idx="20">
                  <c:v>169.27083333333337</c:v>
                </c:pt>
                <c:pt idx="21">
                  <c:v>166.34114583333337</c:v>
                </c:pt>
                <c:pt idx="22">
                  <c:v>164.71354166666663</c:v>
                </c:pt>
                <c:pt idx="23">
                  <c:v>173.50260416666663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BC-4398-BE35-12B3F984CF39}"/>
            </c:ext>
          </c:extLst>
        </c:ser>
        <c:ser>
          <c:idx val="5"/>
          <c:order val="5"/>
          <c:tx>
            <c:strRef>
              <c:f>'XFMR Data'!$BJ$3</c:f>
              <c:strCache>
                <c:ptCount val="1"/>
                <c:pt idx="0">
                  <c:v>3 Yr Projection Growth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'XFMR Data'!$BJ$25:$BJ$162</c:f>
              <c:numCache>
                <c:formatCode>0</c:formatCode>
                <c:ptCount val="138"/>
                <c:pt idx="0">
                  <c:v>101.95199999999998</c:v>
                </c:pt>
                <c:pt idx="1">
                  <c:v>95.04</c:v>
                </c:pt>
                <c:pt idx="2">
                  <c:v>95.04</c:v>
                </c:pt>
                <c:pt idx="3">
                  <c:v>92.448000000000008</c:v>
                </c:pt>
                <c:pt idx="4">
                  <c:v>95.731199999999973</c:v>
                </c:pt>
                <c:pt idx="5">
                  <c:v>94.751999999999995</c:v>
                </c:pt>
                <c:pt idx="6">
                  <c:v>93.023999999999987</c:v>
                </c:pt>
                <c:pt idx="7">
                  <c:v>93.6</c:v>
                </c:pt>
                <c:pt idx="8">
                  <c:v>92.735999999999976</c:v>
                </c:pt>
                <c:pt idx="9">
                  <c:v>93.023999999999987</c:v>
                </c:pt>
                <c:pt idx="10">
                  <c:v>89.567999999999998</c:v>
                </c:pt>
                <c:pt idx="11">
                  <c:v>91.871999999999986</c:v>
                </c:pt>
                <c:pt idx="12">
                  <c:v>97.34399999999998</c:v>
                </c:pt>
                <c:pt idx="13">
                  <c:v>104.83199999999999</c:v>
                </c:pt>
                <c:pt idx="14">
                  <c:v>122.11199999999998</c:v>
                </c:pt>
                <c:pt idx="15">
                  <c:v>138.81599999999997</c:v>
                </c:pt>
                <c:pt idx="16">
                  <c:v>154.94399999999999</c:v>
                </c:pt>
                <c:pt idx="17">
                  <c:v>160.41599999999997</c:v>
                </c:pt>
                <c:pt idx="18">
                  <c:v>160.41599999999997</c:v>
                </c:pt>
                <c:pt idx="19">
                  <c:v>159.26399999999998</c:v>
                </c:pt>
                <c:pt idx="20">
                  <c:v>149.76</c:v>
                </c:pt>
                <c:pt idx="21">
                  <c:v>147.16800000000001</c:v>
                </c:pt>
                <c:pt idx="22">
                  <c:v>145.72799999999998</c:v>
                </c:pt>
                <c:pt idx="23">
                  <c:v>153.50399999999999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BC-4398-BE35-12B3F984CF39}"/>
            </c:ext>
          </c:extLst>
        </c:ser>
        <c:ser>
          <c:idx val="6"/>
          <c:order val="6"/>
          <c:tx>
            <c:strRef>
              <c:f>'PCB Data'!$AG$3</c:f>
              <c:strCache>
                <c:ptCount val="1"/>
                <c:pt idx="0">
                  <c:v>Ideal Capacity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'XFMR Data'!$A$5:$A$162</c:f>
              <c:numCache>
                <c:formatCode>m/d/yyyy</c:formatCode>
                <c:ptCount val="158"/>
                <c:pt idx="0">
                  <c:v>43367</c:v>
                </c:pt>
                <c:pt idx="1">
                  <c:v>43381</c:v>
                </c:pt>
                <c:pt idx="2">
                  <c:v>43402</c:v>
                </c:pt>
                <c:pt idx="3">
                  <c:v>43409</c:v>
                </c:pt>
                <c:pt idx="4">
                  <c:v>43423</c:v>
                </c:pt>
                <c:pt idx="5">
                  <c:v>43437</c:v>
                </c:pt>
                <c:pt idx="6">
                  <c:v>43451</c:v>
                </c:pt>
                <c:pt idx="7">
                  <c:v>43465</c:v>
                </c:pt>
                <c:pt idx="8">
                  <c:v>43479</c:v>
                </c:pt>
                <c:pt idx="9">
                  <c:v>43493</c:v>
                </c:pt>
                <c:pt idx="10">
                  <c:v>43510</c:v>
                </c:pt>
                <c:pt idx="11">
                  <c:v>43525</c:v>
                </c:pt>
                <c:pt idx="12">
                  <c:v>43538</c:v>
                </c:pt>
                <c:pt idx="13">
                  <c:v>43556</c:v>
                </c:pt>
                <c:pt idx="14">
                  <c:v>43570</c:v>
                </c:pt>
                <c:pt idx="15">
                  <c:v>43586</c:v>
                </c:pt>
                <c:pt idx="16">
                  <c:v>43599</c:v>
                </c:pt>
                <c:pt idx="17">
                  <c:v>43617</c:v>
                </c:pt>
                <c:pt idx="18">
                  <c:v>43630</c:v>
                </c:pt>
                <c:pt idx="19">
                  <c:v>43647</c:v>
                </c:pt>
                <c:pt idx="20">
                  <c:v>43661</c:v>
                </c:pt>
                <c:pt idx="21">
                  <c:v>43678</c:v>
                </c:pt>
                <c:pt idx="22">
                  <c:v>43710</c:v>
                </c:pt>
                <c:pt idx="23">
                  <c:v>43740</c:v>
                </c:pt>
                <c:pt idx="24">
                  <c:v>43773</c:v>
                </c:pt>
                <c:pt idx="25">
                  <c:v>43801</c:v>
                </c:pt>
                <c:pt idx="26">
                  <c:v>43838</c:v>
                </c:pt>
                <c:pt idx="27">
                  <c:v>43864</c:v>
                </c:pt>
                <c:pt idx="28">
                  <c:v>43894</c:v>
                </c:pt>
                <c:pt idx="29">
                  <c:v>43927</c:v>
                </c:pt>
                <c:pt idx="30">
                  <c:v>43955</c:v>
                </c:pt>
                <c:pt idx="31">
                  <c:v>43984</c:v>
                </c:pt>
                <c:pt idx="32">
                  <c:v>44014</c:v>
                </c:pt>
                <c:pt idx="33">
                  <c:v>44054</c:v>
                </c:pt>
                <c:pt idx="34">
                  <c:v>44078</c:v>
                </c:pt>
                <c:pt idx="35">
                  <c:v>44105</c:v>
                </c:pt>
                <c:pt idx="36">
                  <c:v>44138</c:v>
                </c:pt>
                <c:pt idx="37">
                  <c:v>44166</c:v>
                </c:pt>
                <c:pt idx="38">
                  <c:v>44230</c:v>
                </c:pt>
                <c:pt idx="39">
                  <c:v>44292</c:v>
                </c:pt>
                <c:pt idx="40">
                  <c:v>44363</c:v>
                </c:pt>
                <c:pt idx="41">
                  <c:v>44419</c:v>
                </c:pt>
                <c:pt idx="42">
                  <c:v>44447</c:v>
                </c:pt>
                <c:pt idx="43">
                  <c:v>44475</c:v>
                </c:pt>
                <c:pt idx="44">
                  <c:v>44501</c:v>
                </c:pt>
                <c:pt idx="45">
                  <c:v>44531</c:v>
                </c:pt>
                <c:pt idx="46">
                  <c:v>44581</c:v>
                </c:pt>
                <c:pt idx="47">
                  <c:v>44593</c:v>
                </c:pt>
                <c:pt idx="48">
                  <c:v>44617</c:v>
                </c:pt>
                <c:pt idx="49">
                  <c:v>44650</c:v>
                </c:pt>
                <c:pt idx="50">
                  <c:v>44691</c:v>
                </c:pt>
                <c:pt idx="51">
                  <c:v>44714</c:v>
                </c:pt>
                <c:pt idx="52">
                  <c:v>44753</c:v>
                </c:pt>
                <c:pt idx="53">
                  <c:v>44774</c:v>
                </c:pt>
                <c:pt idx="54">
                  <c:v>44805</c:v>
                </c:pt>
                <c:pt idx="55">
                  <c:v>44838</c:v>
                </c:pt>
                <c:pt idx="56">
                  <c:v>44868</c:v>
                </c:pt>
                <c:pt idx="57">
                  <c:v>44908</c:v>
                </c:pt>
                <c:pt idx="58">
                  <c:v>44965</c:v>
                </c:pt>
                <c:pt idx="59">
                  <c:v>44992</c:v>
                </c:pt>
                <c:pt idx="60">
                  <c:v>45020</c:v>
                </c:pt>
                <c:pt idx="61">
                  <c:v>45047</c:v>
                </c:pt>
              </c:numCache>
            </c:numRef>
          </c:cat>
          <c:val>
            <c:numRef>
              <c:f>'PCB Data'!$AG$5:$AG$52</c:f>
              <c:numCache>
                <c:formatCode>0</c:formatCode>
                <c:ptCount val="48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BC-4398-BE35-12B3F984C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107920"/>
        <c:axId val="10176024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'PCB Data'!$AB$3</c15:sqref>
                        </c15:formulaRef>
                      </c:ext>
                    </c:extLst>
                    <c:strCache>
                      <c:ptCount val="1"/>
                      <c:pt idx="0">
                        <c:v>14 - 26 Wks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'XFMR Data'!$A$5:$A$162</c15:sqref>
                        </c15:formulaRef>
                      </c:ext>
                    </c:extLst>
                    <c:numCache>
                      <c:formatCode>m/d/yyyy</c:formatCode>
                      <c:ptCount val="158"/>
                      <c:pt idx="0">
                        <c:v>43367</c:v>
                      </c:pt>
                      <c:pt idx="1">
                        <c:v>43381</c:v>
                      </c:pt>
                      <c:pt idx="2">
                        <c:v>43402</c:v>
                      </c:pt>
                      <c:pt idx="3">
                        <c:v>43409</c:v>
                      </c:pt>
                      <c:pt idx="4">
                        <c:v>43423</c:v>
                      </c:pt>
                      <c:pt idx="5">
                        <c:v>43437</c:v>
                      </c:pt>
                      <c:pt idx="6">
                        <c:v>43451</c:v>
                      </c:pt>
                      <c:pt idx="7">
                        <c:v>43465</c:v>
                      </c:pt>
                      <c:pt idx="8">
                        <c:v>43479</c:v>
                      </c:pt>
                      <c:pt idx="9">
                        <c:v>43493</c:v>
                      </c:pt>
                      <c:pt idx="10">
                        <c:v>43510</c:v>
                      </c:pt>
                      <c:pt idx="11">
                        <c:v>43525</c:v>
                      </c:pt>
                      <c:pt idx="12">
                        <c:v>43538</c:v>
                      </c:pt>
                      <c:pt idx="13">
                        <c:v>43556</c:v>
                      </c:pt>
                      <c:pt idx="14">
                        <c:v>43570</c:v>
                      </c:pt>
                      <c:pt idx="15">
                        <c:v>43586</c:v>
                      </c:pt>
                      <c:pt idx="16">
                        <c:v>43599</c:v>
                      </c:pt>
                      <c:pt idx="17">
                        <c:v>43617</c:v>
                      </c:pt>
                      <c:pt idx="18">
                        <c:v>43630</c:v>
                      </c:pt>
                      <c:pt idx="19">
                        <c:v>43647</c:v>
                      </c:pt>
                      <c:pt idx="20">
                        <c:v>43661</c:v>
                      </c:pt>
                      <c:pt idx="21">
                        <c:v>43678</c:v>
                      </c:pt>
                      <c:pt idx="22">
                        <c:v>43710</c:v>
                      </c:pt>
                      <c:pt idx="23">
                        <c:v>43740</c:v>
                      </c:pt>
                      <c:pt idx="24">
                        <c:v>43773</c:v>
                      </c:pt>
                      <c:pt idx="25">
                        <c:v>43801</c:v>
                      </c:pt>
                      <c:pt idx="26">
                        <c:v>43838</c:v>
                      </c:pt>
                      <c:pt idx="27">
                        <c:v>43864</c:v>
                      </c:pt>
                      <c:pt idx="28">
                        <c:v>43894</c:v>
                      </c:pt>
                      <c:pt idx="29">
                        <c:v>43927</c:v>
                      </c:pt>
                      <c:pt idx="30">
                        <c:v>43955</c:v>
                      </c:pt>
                      <c:pt idx="31">
                        <c:v>43984</c:v>
                      </c:pt>
                      <c:pt idx="32">
                        <c:v>44014</c:v>
                      </c:pt>
                      <c:pt idx="33">
                        <c:v>44054</c:v>
                      </c:pt>
                      <c:pt idx="34">
                        <c:v>44078</c:v>
                      </c:pt>
                      <c:pt idx="35">
                        <c:v>44105</c:v>
                      </c:pt>
                      <c:pt idx="36">
                        <c:v>44138</c:v>
                      </c:pt>
                      <c:pt idx="37">
                        <c:v>44166</c:v>
                      </c:pt>
                      <c:pt idx="38">
                        <c:v>44230</c:v>
                      </c:pt>
                      <c:pt idx="39">
                        <c:v>44292</c:v>
                      </c:pt>
                      <c:pt idx="40">
                        <c:v>44363</c:v>
                      </c:pt>
                      <c:pt idx="41">
                        <c:v>44419</c:v>
                      </c:pt>
                      <c:pt idx="42">
                        <c:v>44447</c:v>
                      </c:pt>
                      <c:pt idx="43">
                        <c:v>44475</c:v>
                      </c:pt>
                      <c:pt idx="44">
                        <c:v>44501</c:v>
                      </c:pt>
                      <c:pt idx="45">
                        <c:v>44531</c:v>
                      </c:pt>
                      <c:pt idx="46">
                        <c:v>44581</c:v>
                      </c:pt>
                      <c:pt idx="47">
                        <c:v>44593</c:v>
                      </c:pt>
                      <c:pt idx="48">
                        <c:v>44617</c:v>
                      </c:pt>
                      <c:pt idx="49">
                        <c:v>44650</c:v>
                      </c:pt>
                      <c:pt idx="50">
                        <c:v>44691</c:v>
                      </c:pt>
                      <c:pt idx="51">
                        <c:v>44714</c:v>
                      </c:pt>
                      <c:pt idx="52">
                        <c:v>44753</c:v>
                      </c:pt>
                      <c:pt idx="53">
                        <c:v>44774</c:v>
                      </c:pt>
                      <c:pt idx="54">
                        <c:v>44805</c:v>
                      </c:pt>
                      <c:pt idx="55">
                        <c:v>44838</c:v>
                      </c:pt>
                      <c:pt idx="56">
                        <c:v>44868</c:v>
                      </c:pt>
                      <c:pt idx="57">
                        <c:v>44908</c:v>
                      </c:pt>
                      <c:pt idx="58">
                        <c:v>44965</c:v>
                      </c:pt>
                      <c:pt idx="59">
                        <c:v>44992</c:v>
                      </c:pt>
                      <c:pt idx="60">
                        <c:v>45020</c:v>
                      </c:pt>
                      <c:pt idx="61">
                        <c:v>45047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'PCB Data'!$AB$5:$AB$25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19">
                        <c:v>55</c:v>
                      </c:pt>
                      <c:pt idx="20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EABC-4398-BE35-12B3F984CF39}"/>
                  </c:ext>
                </c:extLst>
              </c15:ser>
            </c15:filteredLineSeries>
          </c:ext>
        </c:extLst>
      </c:lineChart>
      <c:dateAx>
        <c:axId val="777107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17602448"/>
        <c:crosses val="autoZero"/>
        <c:auto val="1"/>
        <c:lblOffset val="100"/>
        <c:baseTimeUnit val="days"/>
      </c:dateAx>
      <c:valAx>
        <c:axId val="1017602448"/>
        <c:scaling>
          <c:orientation val="minMax"/>
          <c:max val="16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0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T/L to Direct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'Team Eff'!$I$2</c:f>
              <c:strCache>
                <c:ptCount val="1"/>
                <c:pt idx="0">
                  <c:v>Modules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'Team Eff'!$H$3:$H$5</c:f>
              <c:numCache>
                <c:formatCode>m/d/yyyy</c:formatCode>
                <c:ptCount val="3"/>
                <c:pt idx="0">
                  <c:v>43654</c:v>
                </c:pt>
                <c:pt idx="1">
                  <c:v>43682</c:v>
                </c:pt>
                <c:pt idx="2">
                  <c:v>43710</c:v>
                </c:pt>
              </c:numCache>
            </c:numRef>
          </c:cat>
          <c:val>
            <c:numRef>
              <c:f>'Team Eff'!$I$3:$I$5</c:f>
              <c:numCache>
                <c:formatCode>0.0</c:formatCode>
                <c:ptCount val="3"/>
                <c:pt idx="0">
                  <c:v>4.4000000000000004</c:v>
                </c:pt>
                <c:pt idx="1">
                  <c:v>4.5999999999999996</c:v>
                </c:pt>
                <c:pt idx="2">
                  <c:v>4.4000000000000004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5-429C-A7DA-607E3BA244CD}"/>
            </c:ext>
          </c:extLst>
        </c:ser>
        <c:ser>
          <c:idx val="2"/>
          <c:order val="1"/>
          <c:tx>
            <c:strRef>
              <c:f>'Team Eff'!$J$2</c:f>
              <c:strCache>
                <c:ptCount val="1"/>
                <c:pt idx="0">
                  <c:v>FA/EFA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'Team Eff'!$H$3:$H$5</c:f>
              <c:numCache>
                <c:formatCode>m/d/yyyy</c:formatCode>
                <c:ptCount val="3"/>
                <c:pt idx="0">
                  <c:v>43654</c:v>
                </c:pt>
                <c:pt idx="1">
                  <c:v>43682</c:v>
                </c:pt>
                <c:pt idx="2">
                  <c:v>43710</c:v>
                </c:pt>
              </c:numCache>
            </c:numRef>
          </c:cat>
          <c:val>
            <c:numRef>
              <c:f>'Team Eff'!$J$3:$J$5</c:f>
              <c:numCache>
                <c:formatCode>0.0</c:formatCode>
                <c:ptCount val="3"/>
                <c:pt idx="0">
                  <c:v>7</c:v>
                </c:pt>
                <c:pt idx="1">
                  <c:v>6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55-429C-A7DA-607E3BA244CD}"/>
            </c:ext>
          </c:extLst>
        </c:ser>
        <c:ser>
          <c:idx val="3"/>
          <c:order val="2"/>
          <c:tx>
            <c:strRef>
              <c:f>'Team Eff'!$K$2</c:f>
              <c:strCache>
                <c:ptCount val="1"/>
                <c:pt idx="0">
                  <c:v>SEC/XFMR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'Team Eff'!$H$3:$H$5</c:f>
              <c:numCache>
                <c:formatCode>m/d/yyyy</c:formatCode>
                <c:ptCount val="3"/>
                <c:pt idx="0">
                  <c:v>43654</c:v>
                </c:pt>
                <c:pt idx="1">
                  <c:v>43682</c:v>
                </c:pt>
                <c:pt idx="2">
                  <c:v>43710</c:v>
                </c:pt>
              </c:numCache>
            </c:numRef>
          </c:cat>
          <c:val>
            <c:numRef>
              <c:f>'Team Eff'!$K$3:$K$5</c:f>
              <c:numCache>
                <c:formatCode>0.0</c:formatCode>
                <c:ptCount val="3"/>
                <c:pt idx="0">
                  <c:v>8</c:v>
                </c:pt>
                <c:pt idx="1">
                  <c:v>7.666666666666667</c:v>
                </c:pt>
                <c:pt idx="2">
                  <c:v>7.666666666666667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55-429C-A7DA-607E3BA244CD}"/>
            </c:ext>
          </c:extLst>
        </c:ser>
        <c:ser>
          <c:idx val="4"/>
          <c:order val="3"/>
          <c:tx>
            <c:strRef>
              <c:f>'Team Eff'!$L$2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'Team Eff'!$H$3:$H$5</c:f>
              <c:numCache>
                <c:formatCode>m/d/yyyy</c:formatCode>
                <c:ptCount val="3"/>
                <c:pt idx="0">
                  <c:v>43654</c:v>
                </c:pt>
                <c:pt idx="1">
                  <c:v>43682</c:v>
                </c:pt>
                <c:pt idx="2">
                  <c:v>43710</c:v>
                </c:pt>
              </c:numCache>
            </c:numRef>
          </c:cat>
          <c:val>
            <c:numRef>
              <c:f>'Team Eff'!$L$3:$L$5</c:f>
              <c:numCache>
                <c:formatCode>0.0</c:formatCode>
                <c:ptCount val="3"/>
                <c:pt idx="0">
                  <c:v>6.166666666666667</c:v>
                </c:pt>
                <c:pt idx="1">
                  <c:v>5.833333333333333</c:v>
                </c:pt>
                <c:pt idx="2">
                  <c:v>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55-429C-A7DA-607E3BA2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009648"/>
        <c:axId val="1269853232"/>
      </c:lineChart>
      <c:dateAx>
        <c:axId val="12680096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853232"/>
        <c:crosses val="autoZero"/>
        <c:auto val="1"/>
        <c:lblOffset val="100"/>
        <c:baseTimeUnit val="months"/>
      </c:dateAx>
      <c:valAx>
        <c:axId val="12698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00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SAP Planned</a:t>
            </a:r>
            <a:r>
              <a:rPr lang="en-NZ" baseline="0"/>
              <a:t> Hours vs Direct Hours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367424242424243E-2"/>
          <c:y val="0.11830940988835725"/>
          <c:w val="0.89526515151515151"/>
          <c:h val="0.64541184744251467"/>
        </c:manualLayout>
      </c:layout>
      <c:lineChart>
        <c:grouping val="standard"/>
        <c:varyColors val="0"/>
        <c:ser>
          <c:idx val="2"/>
          <c:order val="0"/>
          <c:tx>
            <c:strRef>
              <c:f>'Team Eff'!$B$64</c:f>
              <c:strCache>
                <c:ptCount val="1"/>
                <c:pt idx="0">
                  <c:v>Modules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Eff'!$A$65:$A$101,'Team Eff'!$A$103:$A$128,'Team Eff'!$A$130:$A$156,'Team Eff'!$A$158:$A$183,'Team Eff'!$A$185:$A$206,'Team Eff'!$A$208:$A$229)</c:f>
              <c:strCache>
                <c:ptCount val="160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22 2020</c:v>
                </c:pt>
                <c:pt idx="38">
                  <c:v>Week 23 2020</c:v>
                </c:pt>
                <c:pt idx="39">
                  <c:v>Week 24 2020</c:v>
                </c:pt>
                <c:pt idx="40">
                  <c:v>Week 25 2020</c:v>
                </c:pt>
                <c:pt idx="41">
                  <c:v>Week 26 2020</c:v>
                </c:pt>
                <c:pt idx="42">
                  <c:v>Week 27 2020</c:v>
                </c:pt>
                <c:pt idx="43">
                  <c:v>Week 28 2020</c:v>
                </c:pt>
                <c:pt idx="44">
                  <c:v>Week 29 2020</c:v>
                </c:pt>
                <c:pt idx="45">
                  <c:v>Week 30 2020</c:v>
                </c:pt>
                <c:pt idx="46">
                  <c:v>Week 31 2020</c:v>
                </c:pt>
                <c:pt idx="47">
                  <c:v>Week 32 2020</c:v>
                </c:pt>
                <c:pt idx="48">
                  <c:v>Week 34 2020</c:v>
                </c:pt>
                <c:pt idx="49">
                  <c:v>Week 35 2020</c:v>
                </c:pt>
                <c:pt idx="50">
                  <c:v>Week 36 2020</c:v>
                </c:pt>
                <c:pt idx="51">
                  <c:v>Week 37 2020</c:v>
                </c:pt>
                <c:pt idx="52">
                  <c:v>Week 38 2020</c:v>
                </c:pt>
                <c:pt idx="53">
                  <c:v>Week 39 2020</c:v>
                </c:pt>
                <c:pt idx="54">
                  <c:v>Week 40 2020</c:v>
                </c:pt>
                <c:pt idx="55">
                  <c:v>Week 41 2020</c:v>
                </c:pt>
                <c:pt idx="56">
                  <c:v>Week 42 2020</c:v>
                </c:pt>
                <c:pt idx="57">
                  <c:v>Week 43 2020</c:v>
                </c:pt>
                <c:pt idx="58">
                  <c:v>Week 44 2020</c:v>
                </c:pt>
                <c:pt idx="59">
                  <c:v>Week 45 2020</c:v>
                </c:pt>
                <c:pt idx="60">
                  <c:v>Week 45 2020</c:v>
                </c:pt>
                <c:pt idx="61">
                  <c:v>Week 46 2020</c:v>
                </c:pt>
                <c:pt idx="62">
                  <c:v>Week 47 2020</c:v>
                </c:pt>
                <c:pt idx="63">
                  <c:v>Week 48 2020</c:v>
                </c:pt>
                <c:pt idx="64">
                  <c:v>Week 49 2020</c:v>
                </c:pt>
                <c:pt idx="65">
                  <c:v>Week 50 2020</c:v>
                </c:pt>
                <c:pt idx="66">
                  <c:v>Week 06 2021</c:v>
                </c:pt>
                <c:pt idx="67">
                  <c:v>Week 07 2021</c:v>
                </c:pt>
                <c:pt idx="68">
                  <c:v>Week 08 2021</c:v>
                </c:pt>
                <c:pt idx="69">
                  <c:v>Week 09 2021</c:v>
                </c:pt>
                <c:pt idx="70">
                  <c:v>Week 10 2021</c:v>
                </c:pt>
                <c:pt idx="71">
                  <c:v>Week 11 2021</c:v>
                </c:pt>
                <c:pt idx="72">
                  <c:v>Week 12 2021</c:v>
                </c:pt>
                <c:pt idx="73">
                  <c:v>Week 13 2021</c:v>
                </c:pt>
                <c:pt idx="74">
                  <c:v>Week 14 2021</c:v>
                </c:pt>
                <c:pt idx="75">
                  <c:v>Week 15 2021</c:v>
                </c:pt>
                <c:pt idx="76">
                  <c:v>Week 16 2021</c:v>
                </c:pt>
                <c:pt idx="77">
                  <c:v>Week 17 2021</c:v>
                </c:pt>
                <c:pt idx="78">
                  <c:v>Week 18 2021</c:v>
                </c:pt>
                <c:pt idx="79">
                  <c:v>Week 19 2021</c:v>
                </c:pt>
                <c:pt idx="80">
                  <c:v>Week 20 2021</c:v>
                </c:pt>
                <c:pt idx="81">
                  <c:v>Week 21 2021</c:v>
                </c:pt>
                <c:pt idx="82">
                  <c:v>Week 24 2021</c:v>
                </c:pt>
                <c:pt idx="83">
                  <c:v>Week 25 2021</c:v>
                </c:pt>
                <c:pt idx="84">
                  <c:v>Week 26 2021</c:v>
                </c:pt>
                <c:pt idx="85">
                  <c:v>Week 27 2021</c:v>
                </c:pt>
                <c:pt idx="86">
                  <c:v>Week 28 2021</c:v>
                </c:pt>
                <c:pt idx="87">
                  <c:v>Week 29 2021</c:v>
                </c:pt>
                <c:pt idx="88">
                  <c:v>Week 30 2021</c:v>
                </c:pt>
                <c:pt idx="89">
                  <c:v>Week 31 2021</c:v>
                </c:pt>
                <c:pt idx="90">
                  <c:v>Week 33 2021</c:v>
                </c:pt>
                <c:pt idx="91">
                  <c:v>Week 34 2021</c:v>
                </c:pt>
                <c:pt idx="92">
                  <c:v>Week 35 2021</c:v>
                </c:pt>
                <c:pt idx="93">
                  <c:v>Week 36 2021</c:v>
                </c:pt>
                <c:pt idx="94">
                  <c:v>Week 37 2021</c:v>
                </c:pt>
                <c:pt idx="95">
                  <c:v>Week 38 2021</c:v>
                </c:pt>
                <c:pt idx="96">
                  <c:v>Week 39 2021</c:v>
                </c:pt>
                <c:pt idx="97">
                  <c:v>Week 40 2021</c:v>
                </c:pt>
                <c:pt idx="98">
                  <c:v>Week 41 2021</c:v>
                </c:pt>
                <c:pt idx="99">
                  <c:v>Week 42 2021</c:v>
                </c:pt>
                <c:pt idx="100">
                  <c:v>Week 43 2021</c:v>
                </c:pt>
                <c:pt idx="101">
                  <c:v>Week 44 2021</c:v>
                </c:pt>
                <c:pt idx="102">
                  <c:v>Week 45 2021</c:v>
                </c:pt>
                <c:pt idx="103">
                  <c:v>Week 46 2021</c:v>
                </c:pt>
                <c:pt idx="104">
                  <c:v>Week 47 2021</c:v>
                </c:pt>
                <c:pt idx="105">
                  <c:v>Week 48 2021</c:v>
                </c:pt>
                <c:pt idx="106">
                  <c:v>Week 49 2021</c:v>
                </c:pt>
                <c:pt idx="107">
                  <c:v>Week 3 2022</c:v>
                </c:pt>
                <c:pt idx="108">
                  <c:v>Week 4 2022</c:v>
                </c:pt>
                <c:pt idx="109">
                  <c:v>Week 5 2022</c:v>
                </c:pt>
                <c:pt idx="110">
                  <c:v>Week 6 2022</c:v>
                </c:pt>
                <c:pt idx="111">
                  <c:v>Week 7 2022</c:v>
                </c:pt>
                <c:pt idx="112">
                  <c:v>Week 8 2022</c:v>
                </c:pt>
                <c:pt idx="113">
                  <c:v>Week 9 2022</c:v>
                </c:pt>
                <c:pt idx="114">
                  <c:v>Week 10 2022</c:v>
                </c:pt>
                <c:pt idx="115">
                  <c:v>Week 11 2022</c:v>
                </c:pt>
                <c:pt idx="116">
                  <c:v>Week 13 2022</c:v>
                </c:pt>
                <c:pt idx="117">
                  <c:v>Week 14 2022</c:v>
                </c:pt>
                <c:pt idx="118">
                  <c:v>Week 15 2022</c:v>
                </c:pt>
                <c:pt idx="119">
                  <c:v>Week 17 2022</c:v>
                </c:pt>
                <c:pt idx="120">
                  <c:v>Week 18 2022</c:v>
                </c:pt>
                <c:pt idx="121">
                  <c:v>Week 19 2022</c:v>
                </c:pt>
                <c:pt idx="122">
                  <c:v>Week 20 2022</c:v>
                </c:pt>
                <c:pt idx="123">
                  <c:v>Week 21 2022</c:v>
                </c:pt>
                <c:pt idx="124">
                  <c:v>Week 22 2022</c:v>
                </c:pt>
                <c:pt idx="125">
                  <c:v>Week 23 2022</c:v>
                </c:pt>
                <c:pt idx="126">
                  <c:v>Week 24 2022</c:v>
                </c:pt>
                <c:pt idx="127">
                  <c:v>Week 25 2022</c:v>
                </c:pt>
                <c:pt idx="128">
                  <c:v>Week 26 2022</c:v>
                </c:pt>
                <c:pt idx="129">
                  <c:v>Week 27 2022</c:v>
                </c:pt>
                <c:pt idx="130">
                  <c:v>Week 28 2022</c:v>
                </c:pt>
                <c:pt idx="131">
                  <c:v>Week 29 2022</c:v>
                </c:pt>
                <c:pt idx="132">
                  <c:v>Week 30 2022</c:v>
                </c:pt>
                <c:pt idx="133">
                  <c:v>Week 31 2022</c:v>
                </c:pt>
                <c:pt idx="134">
                  <c:v>Week 32 2022</c:v>
                </c:pt>
                <c:pt idx="135">
                  <c:v>Week 33 2022</c:v>
                </c:pt>
                <c:pt idx="136">
                  <c:v>Week 34 2022</c:v>
                </c:pt>
                <c:pt idx="137">
                  <c:v>Week 35 2022</c:v>
                </c:pt>
                <c:pt idx="138">
                  <c:v>Week 37 2022</c:v>
                </c:pt>
                <c:pt idx="139">
                  <c:v>Week 38 2022</c:v>
                </c:pt>
                <c:pt idx="140">
                  <c:v>Week 39 2022</c:v>
                </c:pt>
                <c:pt idx="141">
                  <c:v>Week 40 2022</c:v>
                </c:pt>
                <c:pt idx="142">
                  <c:v>Week 41 2022</c:v>
                </c:pt>
                <c:pt idx="143">
                  <c:v>Week 42 2022</c:v>
                </c:pt>
                <c:pt idx="144">
                  <c:v>Week 43 2022</c:v>
                </c:pt>
                <c:pt idx="145">
                  <c:v>Week 44 2022</c:v>
                </c:pt>
                <c:pt idx="146">
                  <c:v>Week 45 2022</c:v>
                </c:pt>
                <c:pt idx="147">
                  <c:v>Week 46 2022</c:v>
                </c:pt>
                <c:pt idx="148">
                  <c:v>Week 47 2022</c:v>
                </c:pt>
                <c:pt idx="149">
                  <c:v>Week 48 2022</c:v>
                </c:pt>
                <c:pt idx="150">
                  <c:v>Week 49 2022</c:v>
                </c:pt>
                <c:pt idx="151">
                  <c:v>Week 03 2023</c:v>
                </c:pt>
                <c:pt idx="152">
                  <c:v>Week 04 2023</c:v>
                </c:pt>
                <c:pt idx="153">
                  <c:v>Week 05 2023</c:v>
                </c:pt>
                <c:pt idx="154">
                  <c:v>Week 06 2023</c:v>
                </c:pt>
                <c:pt idx="155">
                  <c:v>Week 07 2023</c:v>
                </c:pt>
                <c:pt idx="156">
                  <c:v>Week 08 2023</c:v>
                </c:pt>
                <c:pt idx="157">
                  <c:v>Week 09 2023</c:v>
                </c:pt>
                <c:pt idx="158">
                  <c:v>Week 10 2023</c:v>
                </c:pt>
                <c:pt idx="159">
                  <c:v>Week 11 2023</c:v>
                </c:pt>
              </c:strCache>
            </c:strRef>
          </c:cat>
          <c:val>
            <c:numRef>
              <c:f>('Team Eff'!$B$65:$B$128,'Team Eff'!$B$130:$B$156,'Team Eff'!$B$158:$B$183,'Team Eff'!$B$185:$B$206,'Team Eff'!$B$208:$B$229)</c:f>
              <c:numCache>
                <c:formatCode>0%</c:formatCode>
                <c:ptCount val="161"/>
                <c:pt idx="0">
                  <c:v>0.66</c:v>
                </c:pt>
                <c:pt idx="1">
                  <c:v>0.64</c:v>
                </c:pt>
                <c:pt idx="2">
                  <c:v>0.64</c:v>
                </c:pt>
                <c:pt idx="3">
                  <c:v>0.56000000000000005</c:v>
                </c:pt>
                <c:pt idx="4">
                  <c:v>0.66424242424242419</c:v>
                </c:pt>
                <c:pt idx="5">
                  <c:v>0.64606060606060611</c:v>
                </c:pt>
                <c:pt idx="6">
                  <c:v>0.63393939393939391</c:v>
                </c:pt>
                <c:pt idx="7">
                  <c:v>0.65066666666666662</c:v>
                </c:pt>
                <c:pt idx="8">
                  <c:v>0.70060606060606057</c:v>
                </c:pt>
                <c:pt idx="9">
                  <c:v>0.69460317460317456</c:v>
                </c:pt>
                <c:pt idx="10">
                  <c:v>0.5955555555555555</c:v>
                </c:pt>
                <c:pt idx="11">
                  <c:v>0.65015873015873016</c:v>
                </c:pt>
                <c:pt idx="12">
                  <c:v>0.77206349206349212</c:v>
                </c:pt>
                <c:pt idx="13">
                  <c:v>0.6374603174603175</c:v>
                </c:pt>
                <c:pt idx="14">
                  <c:v>0.73777777777777775</c:v>
                </c:pt>
                <c:pt idx="15">
                  <c:v>0.68825396825396823</c:v>
                </c:pt>
                <c:pt idx="16">
                  <c:v>0.70476190476190481</c:v>
                </c:pt>
                <c:pt idx="17">
                  <c:v>0.73904761904761906</c:v>
                </c:pt>
                <c:pt idx="18">
                  <c:v>0.77841269841269844</c:v>
                </c:pt>
                <c:pt idx="19">
                  <c:v>0.68063492063492059</c:v>
                </c:pt>
                <c:pt idx="20">
                  <c:v>0.76571428571428568</c:v>
                </c:pt>
                <c:pt idx="21">
                  <c:v>0.77206349206349212</c:v>
                </c:pt>
                <c:pt idx="22">
                  <c:v>0.80380952380952386</c:v>
                </c:pt>
                <c:pt idx="23">
                  <c:v>0.65575757575757576</c:v>
                </c:pt>
                <c:pt idx="24">
                  <c:v>0.74909090909090914</c:v>
                </c:pt>
                <c:pt idx="25">
                  <c:v>0.73212121212121217</c:v>
                </c:pt>
                <c:pt idx="26">
                  <c:v>0.7583333333333333</c:v>
                </c:pt>
                <c:pt idx="27">
                  <c:v>0.73439153439153437</c:v>
                </c:pt>
                <c:pt idx="28">
                  <c:v>0.74031746031746026</c:v>
                </c:pt>
                <c:pt idx="29">
                  <c:v>0.73142857142857143</c:v>
                </c:pt>
                <c:pt idx="30">
                  <c:v>0.74412698412698408</c:v>
                </c:pt>
                <c:pt idx="31">
                  <c:v>0.77333333333333332</c:v>
                </c:pt>
                <c:pt idx="32">
                  <c:v>0.76727272727272722</c:v>
                </c:pt>
                <c:pt idx="33">
                  <c:v>0.78222222222222226</c:v>
                </c:pt>
                <c:pt idx="34">
                  <c:v>0.70277777777777772</c:v>
                </c:pt>
                <c:pt idx="35">
                  <c:v>0.56333333333333335</c:v>
                </c:pt>
                <c:pt idx="36">
                  <c:v>0.72463768115942029</c:v>
                </c:pt>
                <c:pt idx="37">
                  <c:v>0.81043478260869561</c:v>
                </c:pt>
                <c:pt idx="38">
                  <c:v>0.83014492753623192</c:v>
                </c:pt>
                <c:pt idx="39">
                  <c:v>0.82698412698412693</c:v>
                </c:pt>
                <c:pt idx="40">
                  <c:v>0.87</c:v>
                </c:pt>
                <c:pt idx="41">
                  <c:v>0.8</c:v>
                </c:pt>
                <c:pt idx="42">
                  <c:v>0.83789473684210525</c:v>
                </c:pt>
                <c:pt idx="43">
                  <c:v>0.8</c:v>
                </c:pt>
                <c:pt idx="44">
                  <c:v>0.8</c:v>
                </c:pt>
                <c:pt idx="45">
                  <c:v>0.77200000000000002</c:v>
                </c:pt>
                <c:pt idx="46">
                  <c:v>0.79859649122807019</c:v>
                </c:pt>
                <c:pt idx="47">
                  <c:v>0.79157894736842105</c:v>
                </c:pt>
                <c:pt idx="48">
                  <c:v>0.81066666666666665</c:v>
                </c:pt>
                <c:pt idx="49">
                  <c:v>0.82060606060606056</c:v>
                </c:pt>
                <c:pt idx="50">
                  <c:v>0.84606060606060607</c:v>
                </c:pt>
                <c:pt idx="51">
                  <c:v>0.73855072463768112</c:v>
                </c:pt>
                <c:pt idx="52">
                  <c:v>0.62666666666666671</c:v>
                </c:pt>
                <c:pt idx="53">
                  <c:v>0.81818181818181823</c:v>
                </c:pt>
                <c:pt idx="54">
                  <c:v>0.80242424242424237</c:v>
                </c:pt>
                <c:pt idx="55">
                  <c:v>0.73777777777777775</c:v>
                </c:pt>
                <c:pt idx="56">
                  <c:v>0.73444444444444446</c:v>
                </c:pt>
                <c:pt idx="57">
                  <c:v>0.74555555555555553</c:v>
                </c:pt>
                <c:pt idx="58">
                  <c:v>0.88111111111111107</c:v>
                </c:pt>
                <c:pt idx="59">
                  <c:v>0.83846153846153848</c:v>
                </c:pt>
                <c:pt idx="60">
                  <c:v>0.68615384615384611</c:v>
                </c:pt>
                <c:pt idx="61">
                  <c:v>0.84717948717948721</c:v>
                </c:pt>
                <c:pt idx="62">
                  <c:v>0.71802469135802471</c:v>
                </c:pt>
                <c:pt idx="63">
                  <c:v>0.64987654320987653</c:v>
                </c:pt>
                <c:pt idx="64">
                  <c:v>0.68906666666666672</c:v>
                </c:pt>
                <c:pt idx="65">
                  <c:v>0.53866666666666663</c:v>
                </c:pt>
                <c:pt idx="66">
                  <c:v>0.51733333333333331</c:v>
                </c:pt>
                <c:pt idx="67">
                  <c:v>0.67142857142857137</c:v>
                </c:pt>
                <c:pt idx="68">
                  <c:v>0.84317460317460313</c:v>
                </c:pt>
                <c:pt idx="69">
                  <c:v>0.72133333333333338</c:v>
                </c:pt>
                <c:pt idx="70">
                  <c:v>0.72799999999999998</c:v>
                </c:pt>
                <c:pt idx="71">
                  <c:v>0.65454545454545454</c:v>
                </c:pt>
                <c:pt idx="72">
                  <c:v>0.62545454545454549</c:v>
                </c:pt>
                <c:pt idx="73">
                  <c:v>0.74399999999999999</c:v>
                </c:pt>
                <c:pt idx="74">
                  <c:v>0.71833333333333338</c:v>
                </c:pt>
                <c:pt idx="75">
                  <c:v>0.73833333333333329</c:v>
                </c:pt>
                <c:pt idx="76">
                  <c:v>0.74</c:v>
                </c:pt>
                <c:pt idx="77">
                  <c:v>0.7466666666666667</c:v>
                </c:pt>
                <c:pt idx="78">
                  <c:v>0.68833333333333335</c:v>
                </c:pt>
                <c:pt idx="79">
                  <c:v>0.55492063492063493</c:v>
                </c:pt>
                <c:pt idx="80">
                  <c:v>0.65396825396825398</c:v>
                </c:pt>
                <c:pt idx="81">
                  <c:v>0.65396825396825398</c:v>
                </c:pt>
                <c:pt idx="82">
                  <c:v>0.64727272727272722</c:v>
                </c:pt>
                <c:pt idx="83">
                  <c:v>0.71768115942028987</c:v>
                </c:pt>
                <c:pt idx="84">
                  <c:v>0.6005797101449275</c:v>
                </c:pt>
                <c:pt idx="85">
                  <c:v>0.66666666666666663</c:v>
                </c:pt>
                <c:pt idx="86">
                  <c:v>0.71238095238095234</c:v>
                </c:pt>
                <c:pt idx="87">
                  <c:v>0.75682539682539685</c:v>
                </c:pt>
                <c:pt idx="88">
                  <c:v>0.75047619047619052</c:v>
                </c:pt>
                <c:pt idx="89">
                  <c:v>0.64333333333333331</c:v>
                </c:pt>
                <c:pt idx="90">
                  <c:v>0.72</c:v>
                </c:pt>
                <c:pt idx="91">
                  <c:v>0.62333333333333329</c:v>
                </c:pt>
                <c:pt idx="92">
                  <c:v>0.7088888888888889</c:v>
                </c:pt>
                <c:pt idx="93">
                  <c:v>0.7088888888888889</c:v>
                </c:pt>
                <c:pt idx="94">
                  <c:v>0.74555555555555553</c:v>
                </c:pt>
                <c:pt idx="95">
                  <c:v>0.67888888888888888</c:v>
                </c:pt>
                <c:pt idx="96">
                  <c:v>0.71253333333333335</c:v>
                </c:pt>
                <c:pt idx="97">
                  <c:v>0.74133333333333329</c:v>
                </c:pt>
                <c:pt idx="98">
                  <c:v>0.72923076923076924</c:v>
                </c:pt>
                <c:pt idx="99">
                  <c:v>0.6974358974358974</c:v>
                </c:pt>
                <c:pt idx="100">
                  <c:v>0.76512820512820512</c:v>
                </c:pt>
                <c:pt idx="101">
                  <c:v>0.87083333333333335</c:v>
                </c:pt>
                <c:pt idx="102">
                  <c:v>0.80111111111111111</c:v>
                </c:pt>
                <c:pt idx="103">
                  <c:v>0.7852873563218391</c:v>
                </c:pt>
                <c:pt idx="104">
                  <c:v>0.83494252873563224</c:v>
                </c:pt>
                <c:pt idx="105">
                  <c:v>0.88735632183908042</c:v>
                </c:pt>
                <c:pt idx="106">
                  <c:v>0.57199999999999995</c:v>
                </c:pt>
                <c:pt idx="107">
                  <c:v>0.64466666666666672</c:v>
                </c:pt>
                <c:pt idx="108">
                  <c:v>0.6253333333333333</c:v>
                </c:pt>
                <c:pt idx="109">
                  <c:v>0.68933333333333335</c:v>
                </c:pt>
                <c:pt idx="110">
                  <c:v>0.6763157894736842</c:v>
                </c:pt>
                <c:pt idx="111">
                  <c:v>0.65701754385964917</c:v>
                </c:pt>
                <c:pt idx="112">
                  <c:v>0.72280701754385968</c:v>
                </c:pt>
                <c:pt idx="113">
                  <c:v>0.64140350877192986</c:v>
                </c:pt>
                <c:pt idx="114">
                  <c:v>0.61052631578947369</c:v>
                </c:pt>
                <c:pt idx="115">
                  <c:v>0.54222222222222227</c:v>
                </c:pt>
                <c:pt idx="116">
                  <c:v>0.57777777777777772</c:v>
                </c:pt>
                <c:pt idx="117">
                  <c:v>0.63087719298245615</c:v>
                </c:pt>
                <c:pt idx="118">
                  <c:v>0.71859649122807012</c:v>
                </c:pt>
                <c:pt idx="119">
                  <c:v>0.68070175438596492</c:v>
                </c:pt>
                <c:pt idx="120">
                  <c:v>0.45833333333333331</c:v>
                </c:pt>
                <c:pt idx="121">
                  <c:v>0.49733333333333335</c:v>
                </c:pt>
                <c:pt idx="122">
                  <c:v>0.40273504273504274</c:v>
                </c:pt>
                <c:pt idx="123">
                  <c:v>0.6858119658119658</c:v>
                </c:pt>
                <c:pt idx="124">
                  <c:v>0.67213675213675217</c:v>
                </c:pt>
                <c:pt idx="125">
                  <c:v>0.61824561403508771</c:v>
                </c:pt>
                <c:pt idx="126">
                  <c:v>0.7583333333333333</c:v>
                </c:pt>
                <c:pt idx="127">
                  <c:v>0.74370370370370376</c:v>
                </c:pt>
                <c:pt idx="128">
                  <c:v>0.63833333333333331</c:v>
                </c:pt>
                <c:pt idx="129">
                  <c:v>0.54113821138211382</c:v>
                </c:pt>
                <c:pt idx="130">
                  <c:v>0.65777777777777779</c:v>
                </c:pt>
                <c:pt idx="131">
                  <c:v>0.57733333333333337</c:v>
                </c:pt>
                <c:pt idx="132">
                  <c:v>0.7</c:v>
                </c:pt>
                <c:pt idx="133">
                  <c:v>0.51649122807017545</c:v>
                </c:pt>
                <c:pt idx="134">
                  <c:v>0.74406504065040646</c:v>
                </c:pt>
                <c:pt idx="135">
                  <c:v>0.68422764227642274</c:v>
                </c:pt>
                <c:pt idx="136">
                  <c:v>0.5810852713178295</c:v>
                </c:pt>
                <c:pt idx="137">
                  <c:v>0.63751937984496121</c:v>
                </c:pt>
                <c:pt idx="138">
                  <c:v>0.62201550387596904</c:v>
                </c:pt>
                <c:pt idx="139">
                  <c:v>0.59936507936507932</c:v>
                </c:pt>
                <c:pt idx="140">
                  <c:v>0.66418604651162794</c:v>
                </c:pt>
                <c:pt idx="141">
                  <c:v>0.56524822695035459</c:v>
                </c:pt>
                <c:pt idx="142">
                  <c:v>0.60289855072463772</c:v>
                </c:pt>
                <c:pt idx="143">
                  <c:v>0.63420289855072465</c:v>
                </c:pt>
                <c:pt idx="144">
                  <c:v>0.59177304964539013</c:v>
                </c:pt>
                <c:pt idx="145">
                  <c:v>0.56312056737588656</c:v>
                </c:pt>
                <c:pt idx="146">
                  <c:v>0.62055555555555553</c:v>
                </c:pt>
                <c:pt idx="147">
                  <c:v>0.64555555555555555</c:v>
                </c:pt>
                <c:pt idx="148">
                  <c:v>0.74</c:v>
                </c:pt>
                <c:pt idx="149">
                  <c:v>0.71686274509803927</c:v>
                </c:pt>
                <c:pt idx="150">
                  <c:v>0.64392156862745098</c:v>
                </c:pt>
                <c:pt idx="151">
                  <c:v>0.62117647058823533</c:v>
                </c:pt>
                <c:pt idx="152">
                  <c:v>0.4975</c:v>
                </c:pt>
                <c:pt idx="153">
                  <c:v>0.6166666666666667</c:v>
                </c:pt>
                <c:pt idx="154">
                  <c:v>0.69270833333333337</c:v>
                </c:pt>
                <c:pt idx="155">
                  <c:v>0.6701149425287356</c:v>
                </c:pt>
                <c:pt idx="156">
                  <c:v>0.67770114942528736</c:v>
                </c:pt>
                <c:pt idx="157">
                  <c:v>0.6344827586206897</c:v>
                </c:pt>
                <c:pt idx="158">
                  <c:v>0.54949494949494948</c:v>
                </c:pt>
                <c:pt idx="159">
                  <c:v>0.4177777777777778</c:v>
                </c:pt>
                <c:pt idx="160">
                  <c:v>0.58322580645161293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ED4-4643-AA9E-D73ACBE42255}"/>
            </c:ext>
          </c:extLst>
        </c:ser>
        <c:ser>
          <c:idx val="3"/>
          <c:order val="1"/>
          <c:tx>
            <c:strRef>
              <c:f>'Team Eff'!$C$64</c:f>
              <c:strCache>
                <c:ptCount val="1"/>
                <c:pt idx="0">
                  <c:v>FA/EFA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Eff'!$A$65:$A$101,'Team Eff'!$A$103:$A$128,'Team Eff'!$A$130:$A$156,'Team Eff'!$A$158:$A$183,'Team Eff'!$A$185:$A$206,'Team Eff'!$A$208:$A$229)</c:f>
              <c:strCache>
                <c:ptCount val="160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22 2020</c:v>
                </c:pt>
                <c:pt idx="38">
                  <c:v>Week 23 2020</c:v>
                </c:pt>
                <c:pt idx="39">
                  <c:v>Week 24 2020</c:v>
                </c:pt>
                <c:pt idx="40">
                  <c:v>Week 25 2020</c:v>
                </c:pt>
                <c:pt idx="41">
                  <c:v>Week 26 2020</c:v>
                </c:pt>
                <c:pt idx="42">
                  <c:v>Week 27 2020</c:v>
                </c:pt>
                <c:pt idx="43">
                  <c:v>Week 28 2020</c:v>
                </c:pt>
                <c:pt idx="44">
                  <c:v>Week 29 2020</c:v>
                </c:pt>
                <c:pt idx="45">
                  <c:v>Week 30 2020</c:v>
                </c:pt>
                <c:pt idx="46">
                  <c:v>Week 31 2020</c:v>
                </c:pt>
                <c:pt idx="47">
                  <c:v>Week 32 2020</c:v>
                </c:pt>
                <c:pt idx="48">
                  <c:v>Week 34 2020</c:v>
                </c:pt>
                <c:pt idx="49">
                  <c:v>Week 35 2020</c:v>
                </c:pt>
                <c:pt idx="50">
                  <c:v>Week 36 2020</c:v>
                </c:pt>
                <c:pt idx="51">
                  <c:v>Week 37 2020</c:v>
                </c:pt>
                <c:pt idx="52">
                  <c:v>Week 38 2020</c:v>
                </c:pt>
                <c:pt idx="53">
                  <c:v>Week 39 2020</c:v>
                </c:pt>
                <c:pt idx="54">
                  <c:v>Week 40 2020</c:v>
                </c:pt>
                <c:pt idx="55">
                  <c:v>Week 41 2020</c:v>
                </c:pt>
                <c:pt idx="56">
                  <c:v>Week 42 2020</c:v>
                </c:pt>
                <c:pt idx="57">
                  <c:v>Week 43 2020</c:v>
                </c:pt>
                <c:pt idx="58">
                  <c:v>Week 44 2020</c:v>
                </c:pt>
                <c:pt idx="59">
                  <c:v>Week 45 2020</c:v>
                </c:pt>
                <c:pt idx="60">
                  <c:v>Week 45 2020</c:v>
                </c:pt>
                <c:pt idx="61">
                  <c:v>Week 46 2020</c:v>
                </c:pt>
                <c:pt idx="62">
                  <c:v>Week 47 2020</c:v>
                </c:pt>
                <c:pt idx="63">
                  <c:v>Week 48 2020</c:v>
                </c:pt>
                <c:pt idx="64">
                  <c:v>Week 49 2020</c:v>
                </c:pt>
                <c:pt idx="65">
                  <c:v>Week 50 2020</c:v>
                </c:pt>
                <c:pt idx="66">
                  <c:v>Week 06 2021</c:v>
                </c:pt>
                <c:pt idx="67">
                  <c:v>Week 07 2021</c:v>
                </c:pt>
                <c:pt idx="68">
                  <c:v>Week 08 2021</c:v>
                </c:pt>
                <c:pt idx="69">
                  <c:v>Week 09 2021</c:v>
                </c:pt>
                <c:pt idx="70">
                  <c:v>Week 10 2021</c:v>
                </c:pt>
                <c:pt idx="71">
                  <c:v>Week 11 2021</c:v>
                </c:pt>
                <c:pt idx="72">
                  <c:v>Week 12 2021</c:v>
                </c:pt>
                <c:pt idx="73">
                  <c:v>Week 13 2021</c:v>
                </c:pt>
                <c:pt idx="74">
                  <c:v>Week 14 2021</c:v>
                </c:pt>
                <c:pt idx="75">
                  <c:v>Week 15 2021</c:v>
                </c:pt>
                <c:pt idx="76">
                  <c:v>Week 16 2021</c:v>
                </c:pt>
                <c:pt idx="77">
                  <c:v>Week 17 2021</c:v>
                </c:pt>
                <c:pt idx="78">
                  <c:v>Week 18 2021</c:v>
                </c:pt>
                <c:pt idx="79">
                  <c:v>Week 19 2021</c:v>
                </c:pt>
                <c:pt idx="80">
                  <c:v>Week 20 2021</c:v>
                </c:pt>
                <c:pt idx="81">
                  <c:v>Week 21 2021</c:v>
                </c:pt>
                <c:pt idx="82">
                  <c:v>Week 24 2021</c:v>
                </c:pt>
                <c:pt idx="83">
                  <c:v>Week 25 2021</c:v>
                </c:pt>
                <c:pt idx="84">
                  <c:v>Week 26 2021</c:v>
                </c:pt>
                <c:pt idx="85">
                  <c:v>Week 27 2021</c:v>
                </c:pt>
                <c:pt idx="86">
                  <c:v>Week 28 2021</c:v>
                </c:pt>
                <c:pt idx="87">
                  <c:v>Week 29 2021</c:v>
                </c:pt>
                <c:pt idx="88">
                  <c:v>Week 30 2021</c:v>
                </c:pt>
                <c:pt idx="89">
                  <c:v>Week 31 2021</c:v>
                </c:pt>
                <c:pt idx="90">
                  <c:v>Week 33 2021</c:v>
                </c:pt>
                <c:pt idx="91">
                  <c:v>Week 34 2021</c:v>
                </c:pt>
                <c:pt idx="92">
                  <c:v>Week 35 2021</c:v>
                </c:pt>
                <c:pt idx="93">
                  <c:v>Week 36 2021</c:v>
                </c:pt>
                <c:pt idx="94">
                  <c:v>Week 37 2021</c:v>
                </c:pt>
                <c:pt idx="95">
                  <c:v>Week 38 2021</c:v>
                </c:pt>
                <c:pt idx="96">
                  <c:v>Week 39 2021</c:v>
                </c:pt>
                <c:pt idx="97">
                  <c:v>Week 40 2021</c:v>
                </c:pt>
                <c:pt idx="98">
                  <c:v>Week 41 2021</c:v>
                </c:pt>
                <c:pt idx="99">
                  <c:v>Week 42 2021</c:v>
                </c:pt>
                <c:pt idx="100">
                  <c:v>Week 43 2021</c:v>
                </c:pt>
                <c:pt idx="101">
                  <c:v>Week 44 2021</c:v>
                </c:pt>
                <c:pt idx="102">
                  <c:v>Week 45 2021</c:v>
                </c:pt>
                <c:pt idx="103">
                  <c:v>Week 46 2021</c:v>
                </c:pt>
                <c:pt idx="104">
                  <c:v>Week 47 2021</c:v>
                </c:pt>
                <c:pt idx="105">
                  <c:v>Week 48 2021</c:v>
                </c:pt>
                <c:pt idx="106">
                  <c:v>Week 49 2021</c:v>
                </c:pt>
                <c:pt idx="107">
                  <c:v>Week 3 2022</c:v>
                </c:pt>
                <c:pt idx="108">
                  <c:v>Week 4 2022</c:v>
                </c:pt>
                <c:pt idx="109">
                  <c:v>Week 5 2022</c:v>
                </c:pt>
                <c:pt idx="110">
                  <c:v>Week 6 2022</c:v>
                </c:pt>
                <c:pt idx="111">
                  <c:v>Week 7 2022</c:v>
                </c:pt>
                <c:pt idx="112">
                  <c:v>Week 8 2022</c:v>
                </c:pt>
                <c:pt idx="113">
                  <c:v>Week 9 2022</c:v>
                </c:pt>
                <c:pt idx="114">
                  <c:v>Week 10 2022</c:v>
                </c:pt>
                <c:pt idx="115">
                  <c:v>Week 11 2022</c:v>
                </c:pt>
                <c:pt idx="116">
                  <c:v>Week 13 2022</c:v>
                </c:pt>
                <c:pt idx="117">
                  <c:v>Week 14 2022</c:v>
                </c:pt>
                <c:pt idx="118">
                  <c:v>Week 15 2022</c:v>
                </c:pt>
                <c:pt idx="119">
                  <c:v>Week 17 2022</c:v>
                </c:pt>
                <c:pt idx="120">
                  <c:v>Week 18 2022</c:v>
                </c:pt>
                <c:pt idx="121">
                  <c:v>Week 19 2022</c:v>
                </c:pt>
                <c:pt idx="122">
                  <c:v>Week 20 2022</c:v>
                </c:pt>
                <c:pt idx="123">
                  <c:v>Week 21 2022</c:v>
                </c:pt>
                <c:pt idx="124">
                  <c:v>Week 22 2022</c:v>
                </c:pt>
                <c:pt idx="125">
                  <c:v>Week 23 2022</c:v>
                </c:pt>
                <c:pt idx="126">
                  <c:v>Week 24 2022</c:v>
                </c:pt>
                <c:pt idx="127">
                  <c:v>Week 25 2022</c:v>
                </c:pt>
                <c:pt idx="128">
                  <c:v>Week 26 2022</c:v>
                </c:pt>
                <c:pt idx="129">
                  <c:v>Week 27 2022</c:v>
                </c:pt>
                <c:pt idx="130">
                  <c:v>Week 28 2022</c:v>
                </c:pt>
                <c:pt idx="131">
                  <c:v>Week 29 2022</c:v>
                </c:pt>
                <c:pt idx="132">
                  <c:v>Week 30 2022</c:v>
                </c:pt>
                <c:pt idx="133">
                  <c:v>Week 31 2022</c:v>
                </c:pt>
                <c:pt idx="134">
                  <c:v>Week 32 2022</c:v>
                </c:pt>
                <c:pt idx="135">
                  <c:v>Week 33 2022</c:v>
                </c:pt>
                <c:pt idx="136">
                  <c:v>Week 34 2022</c:v>
                </c:pt>
                <c:pt idx="137">
                  <c:v>Week 35 2022</c:v>
                </c:pt>
                <c:pt idx="138">
                  <c:v>Week 37 2022</c:v>
                </c:pt>
                <c:pt idx="139">
                  <c:v>Week 38 2022</c:v>
                </c:pt>
                <c:pt idx="140">
                  <c:v>Week 39 2022</c:v>
                </c:pt>
                <c:pt idx="141">
                  <c:v>Week 40 2022</c:v>
                </c:pt>
                <c:pt idx="142">
                  <c:v>Week 41 2022</c:v>
                </c:pt>
                <c:pt idx="143">
                  <c:v>Week 42 2022</c:v>
                </c:pt>
                <c:pt idx="144">
                  <c:v>Week 43 2022</c:v>
                </c:pt>
                <c:pt idx="145">
                  <c:v>Week 44 2022</c:v>
                </c:pt>
                <c:pt idx="146">
                  <c:v>Week 45 2022</c:v>
                </c:pt>
                <c:pt idx="147">
                  <c:v>Week 46 2022</c:v>
                </c:pt>
                <c:pt idx="148">
                  <c:v>Week 47 2022</c:v>
                </c:pt>
                <c:pt idx="149">
                  <c:v>Week 48 2022</c:v>
                </c:pt>
                <c:pt idx="150">
                  <c:v>Week 49 2022</c:v>
                </c:pt>
                <c:pt idx="151">
                  <c:v>Week 03 2023</c:v>
                </c:pt>
                <c:pt idx="152">
                  <c:v>Week 04 2023</c:v>
                </c:pt>
                <c:pt idx="153">
                  <c:v>Week 05 2023</c:v>
                </c:pt>
                <c:pt idx="154">
                  <c:v>Week 06 2023</c:v>
                </c:pt>
                <c:pt idx="155">
                  <c:v>Week 07 2023</c:v>
                </c:pt>
                <c:pt idx="156">
                  <c:v>Week 08 2023</c:v>
                </c:pt>
                <c:pt idx="157">
                  <c:v>Week 09 2023</c:v>
                </c:pt>
                <c:pt idx="158">
                  <c:v>Week 10 2023</c:v>
                </c:pt>
                <c:pt idx="159">
                  <c:v>Week 11 2023</c:v>
                </c:pt>
              </c:strCache>
            </c:strRef>
          </c:cat>
          <c:val>
            <c:numRef>
              <c:f>('Team Eff'!$C$65:$C$128,'Team Eff'!$C$130:$C$156,'Team Eff'!$C$158:$C$183,'Team Eff'!$C$185:$C$206,'Team Eff'!$C$208:$C$229)</c:f>
              <c:numCache>
                <c:formatCode>0%</c:formatCode>
                <c:ptCount val="161"/>
                <c:pt idx="0">
                  <c:v>0.46</c:v>
                </c:pt>
                <c:pt idx="1">
                  <c:v>0.43</c:v>
                </c:pt>
                <c:pt idx="2">
                  <c:v>0.64</c:v>
                </c:pt>
                <c:pt idx="3">
                  <c:v>0.62</c:v>
                </c:pt>
                <c:pt idx="4">
                  <c:v>0.52666666666666662</c:v>
                </c:pt>
                <c:pt idx="5">
                  <c:v>0.64444444444444449</c:v>
                </c:pt>
                <c:pt idx="6">
                  <c:v>0.73333333333333328</c:v>
                </c:pt>
                <c:pt idx="7">
                  <c:v>0.78088888888888885</c:v>
                </c:pt>
                <c:pt idx="8">
                  <c:v>0.56766666666666665</c:v>
                </c:pt>
                <c:pt idx="9">
                  <c:v>0.75809523809523804</c:v>
                </c:pt>
                <c:pt idx="10">
                  <c:v>0.84571428571428575</c:v>
                </c:pt>
                <c:pt idx="11">
                  <c:v>0.76</c:v>
                </c:pt>
                <c:pt idx="12">
                  <c:v>0.85333333333333339</c:v>
                </c:pt>
                <c:pt idx="13">
                  <c:v>0.80888888888888888</c:v>
                </c:pt>
                <c:pt idx="14">
                  <c:v>0.81</c:v>
                </c:pt>
                <c:pt idx="15">
                  <c:v>0.78133333333333332</c:v>
                </c:pt>
                <c:pt idx="16">
                  <c:v>0.81499999999999995</c:v>
                </c:pt>
                <c:pt idx="17">
                  <c:v>0.66133333333333333</c:v>
                </c:pt>
                <c:pt idx="18">
                  <c:v>0.72533333333333339</c:v>
                </c:pt>
                <c:pt idx="19">
                  <c:v>0.83466666666666667</c:v>
                </c:pt>
                <c:pt idx="20">
                  <c:v>0.81396825396825401</c:v>
                </c:pt>
                <c:pt idx="21">
                  <c:v>0.86603174603174604</c:v>
                </c:pt>
                <c:pt idx="22">
                  <c:v>0.85460317460317459</c:v>
                </c:pt>
                <c:pt idx="23">
                  <c:v>0.8558730158730159</c:v>
                </c:pt>
                <c:pt idx="24">
                  <c:v>0.79304347826086952</c:v>
                </c:pt>
                <c:pt idx="25">
                  <c:v>0.7860869565217391</c:v>
                </c:pt>
                <c:pt idx="26">
                  <c:v>0.78888888888888886</c:v>
                </c:pt>
                <c:pt idx="27">
                  <c:v>0.89</c:v>
                </c:pt>
                <c:pt idx="28">
                  <c:v>0.88</c:v>
                </c:pt>
                <c:pt idx="29">
                  <c:v>0.88</c:v>
                </c:pt>
                <c:pt idx="30">
                  <c:v>0.82285714285714284</c:v>
                </c:pt>
                <c:pt idx="31">
                  <c:v>0.8342857142857143</c:v>
                </c:pt>
                <c:pt idx="32">
                  <c:v>0.59272727272727277</c:v>
                </c:pt>
                <c:pt idx="33">
                  <c:v>0.54424242424242419</c:v>
                </c:pt>
                <c:pt idx="34">
                  <c:v>0.54736842105263162</c:v>
                </c:pt>
                <c:pt idx="35">
                  <c:v>0.75789473684210529</c:v>
                </c:pt>
                <c:pt idx="36">
                  <c:v>0.83368421052631581</c:v>
                </c:pt>
                <c:pt idx="37">
                  <c:v>0.90245614035087718</c:v>
                </c:pt>
                <c:pt idx="38">
                  <c:v>0.9319298245614035</c:v>
                </c:pt>
                <c:pt idx="39">
                  <c:v>0.875</c:v>
                </c:pt>
                <c:pt idx="40">
                  <c:v>0.72888888888888892</c:v>
                </c:pt>
                <c:pt idx="41">
                  <c:v>0.78545454545454541</c:v>
                </c:pt>
                <c:pt idx="42">
                  <c:v>0.80640000000000001</c:v>
                </c:pt>
                <c:pt idx="43">
                  <c:v>0.74880000000000002</c:v>
                </c:pt>
                <c:pt idx="44">
                  <c:v>0.83</c:v>
                </c:pt>
                <c:pt idx="45">
                  <c:v>0.81142857142857139</c:v>
                </c:pt>
                <c:pt idx="46">
                  <c:v>0.71487179487179486</c:v>
                </c:pt>
                <c:pt idx="47">
                  <c:v>0.86333333333333329</c:v>
                </c:pt>
                <c:pt idx="48">
                  <c:v>0.75714285714285712</c:v>
                </c:pt>
                <c:pt idx="49">
                  <c:v>0.70913580246913577</c:v>
                </c:pt>
                <c:pt idx="50">
                  <c:v>0.7466666666666667</c:v>
                </c:pt>
                <c:pt idx="51">
                  <c:v>0.82666666666666666</c:v>
                </c:pt>
                <c:pt idx="52">
                  <c:v>0.91200000000000003</c:v>
                </c:pt>
                <c:pt idx="53">
                  <c:v>0.83199999999999996</c:v>
                </c:pt>
                <c:pt idx="54">
                  <c:v>0.77333333333333332</c:v>
                </c:pt>
                <c:pt idx="55">
                  <c:v>0.75794871794871799</c:v>
                </c:pt>
                <c:pt idx="56">
                  <c:v>0.72197530864197534</c:v>
                </c:pt>
                <c:pt idx="57">
                  <c:v>0.78666666666666663</c:v>
                </c:pt>
                <c:pt idx="58">
                  <c:v>0.62952380952380949</c:v>
                </c:pt>
                <c:pt idx="59">
                  <c:v>0.6791666666666667</c:v>
                </c:pt>
                <c:pt idx="60">
                  <c:v>0.78166666666666662</c:v>
                </c:pt>
                <c:pt idx="61">
                  <c:v>0.7587096774193548</c:v>
                </c:pt>
                <c:pt idx="62">
                  <c:v>0.75440860215053762</c:v>
                </c:pt>
                <c:pt idx="63">
                  <c:v>0.80516129032258066</c:v>
                </c:pt>
                <c:pt idx="64">
                  <c:v>0.75935353535353534</c:v>
                </c:pt>
                <c:pt idx="65">
                  <c:v>0.76444444444444448</c:v>
                </c:pt>
                <c:pt idx="66">
                  <c:v>0.81858585858585864</c:v>
                </c:pt>
                <c:pt idx="67">
                  <c:v>0.81</c:v>
                </c:pt>
                <c:pt idx="68">
                  <c:v>0.8275555555555556</c:v>
                </c:pt>
                <c:pt idx="69">
                  <c:v>0.87888888888888894</c:v>
                </c:pt>
                <c:pt idx="70">
                  <c:v>0.9244444444444444</c:v>
                </c:pt>
                <c:pt idx="71">
                  <c:v>0.88717948717948714</c:v>
                </c:pt>
                <c:pt idx="72">
                  <c:v>0.87076923076923074</c:v>
                </c:pt>
                <c:pt idx="73">
                  <c:v>0.79311827956989245</c:v>
                </c:pt>
                <c:pt idx="74">
                  <c:v>0.83763440860215055</c:v>
                </c:pt>
                <c:pt idx="75">
                  <c:v>0.73750000000000004</c:v>
                </c:pt>
                <c:pt idx="76">
                  <c:v>0.75666666666666671</c:v>
                </c:pt>
                <c:pt idx="77">
                  <c:v>0.77333333333333332</c:v>
                </c:pt>
                <c:pt idx="78">
                  <c:v>0.81182795698924726</c:v>
                </c:pt>
                <c:pt idx="79">
                  <c:v>0.85333333333333339</c:v>
                </c:pt>
                <c:pt idx="80">
                  <c:v>0.77333333333333332</c:v>
                </c:pt>
                <c:pt idx="81">
                  <c:v>0.77333333333333332</c:v>
                </c:pt>
                <c:pt idx="82">
                  <c:v>0.79529411764705882</c:v>
                </c:pt>
                <c:pt idx="83">
                  <c:v>0.73166666666666669</c:v>
                </c:pt>
                <c:pt idx="84">
                  <c:v>0.63</c:v>
                </c:pt>
                <c:pt idx="85">
                  <c:v>0.66083333333333338</c:v>
                </c:pt>
                <c:pt idx="86">
                  <c:v>0.73019607843137257</c:v>
                </c:pt>
                <c:pt idx="87">
                  <c:v>0.77411764705882358</c:v>
                </c:pt>
                <c:pt idx="88">
                  <c:v>0.7584313725490196</c:v>
                </c:pt>
                <c:pt idx="89">
                  <c:v>0.75586206896551722</c:v>
                </c:pt>
                <c:pt idx="90">
                  <c:v>0.55632183908045973</c:v>
                </c:pt>
                <c:pt idx="91">
                  <c:v>0.66666666666666663</c:v>
                </c:pt>
                <c:pt idx="92">
                  <c:v>0.52597701149425291</c:v>
                </c:pt>
                <c:pt idx="93">
                  <c:v>0.61955555555555553</c:v>
                </c:pt>
                <c:pt idx="94">
                  <c:v>0.67288888888888887</c:v>
                </c:pt>
                <c:pt idx="95">
                  <c:v>0.72888888888888892</c:v>
                </c:pt>
                <c:pt idx="96">
                  <c:v>0.75456790123456785</c:v>
                </c:pt>
                <c:pt idx="97">
                  <c:v>0.76148148148148154</c:v>
                </c:pt>
                <c:pt idx="98">
                  <c:v>0.76148148148148154</c:v>
                </c:pt>
                <c:pt idx="99">
                  <c:v>0.77333333333333332</c:v>
                </c:pt>
                <c:pt idx="100">
                  <c:v>0.83555555555555561</c:v>
                </c:pt>
                <c:pt idx="101">
                  <c:v>0.7448275862068966</c:v>
                </c:pt>
                <c:pt idx="102">
                  <c:v>0.73655172413793102</c:v>
                </c:pt>
                <c:pt idx="103">
                  <c:v>0.71607843137254901</c:v>
                </c:pt>
                <c:pt idx="104">
                  <c:v>0.69925925925925925</c:v>
                </c:pt>
                <c:pt idx="105">
                  <c:v>0.71407407407407408</c:v>
                </c:pt>
                <c:pt idx="106">
                  <c:v>0.87583333333333335</c:v>
                </c:pt>
                <c:pt idx="107">
                  <c:v>0.94666666666666666</c:v>
                </c:pt>
                <c:pt idx="108">
                  <c:v>0.90416666666666667</c:v>
                </c:pt>
                <c:pt idx="109">
                  <c:v>0.86</c:v>
                </c:pt>
                <c:pt idx="110">
                  <c:v>0.58863636363636362</c:v>
                </c:pt>
                <c:pt idx="111">
                  <c:v>0.62424242424242427</c:v>
                </c:pt>
                <c:pt idx="112">
                  <c:v>0.67272727272727273</c:v>
                </c:pt>
                <c:pt idx="113">
                  <c:v>0.64666666666666661</c:v>
                </c:pt>
                <c:pt idx="114">
                  <c:v>0.59090909090909094</c:v>
                </c:pt>
                <c:pt idx="115">
                  <c:v>0.6603174603174603</c:v>
                </c:pt>
                <c:pt idx="116">
                  <c:v>0.73821138211382109</c:v>
                </c:pt>
                <c:pt idx="117">
                  <c:v>0.72957264957264956</c:v>
                </c:pt>
                <c:pt idx="118">
                  <c:v>0.79859649122807019</c:v>
                </c:pt>
                <c:pt idx="119">
                  <c:v>0.76754385964912286</c:v>
                </c:pt>
                <c:pt idx="120">
                  <c:v>0.77105263157894732</c:v>
                </c:pt>
                <c:pt idx="121">
                  <c:v>0.78486486486486484</c:v>
                </c:pt>
                <c:pt idx="122">
                  <c:v>0.76180180180180179</c:v>
                </c:pt>
                <c:pt idx="123">
                  <c:v>0.77575757575757576</c:v>
                </c:pt>
                <c:pt idx="124">
                  <c:v>0.69898989898989894</c:v>
                </c:pt>
                <c:pt idx="125">
                  <c:v>0.72946236559139788</c:v>
                </c:pt>
                <c:pt idx="126">
                  <c:v>0.69784946236559142</c:v>
                </c:pt>
                <c:pt idx="127">
                  <c:v>0.65858585858585861</c:v>
                </c:pt>
                <c:pt idx="128">
                  <c:v>0.75806451612903225</c:v>
                </c:pt>
                <c:pt idx="129">
                  <c:v>0.67466666666666664</c:v>
                </c:pt>
                <c:pt idx="130">
                  <c:v>0.68689655172413788</c:v>
                </c:pt>
                <c:pt idx="131">
                  <c:v>0.81011494252873562</c:v>
                </c:pt>
                <c:pt idx="132">
                  <c:v>0.72583333333333333</c:v>
                </c:pt>
                <c:pt idx="133">
                  <c:v>0.66083333333333338</c:v>
                </c:pt>
                <c:pt idx="134">
                  <c:v>0.71666666666666667</c:v>
                </c:pt>
                <c:pt idx="135">
                  <c:v>0.755</c:v>
                </c:pt>
                <c:pt idx="136">
                  <c:v>0.80622222222222217</c:v>
                </c:pt>
                <c:pt idx="137">
                  <c:v>0.73118279569892475</c:v>
                </c:pt>
                <c:pt idx="138">
                  <c:v>0.66666666666666663</c:v>
                </c:pt>
                <c:pt idx="139">
                  <c:v>0.77075268817204301</c:v>
                </c:pt>
                <c:pt idx="140">
                  <c:v>0.63200000000000001</c:v>
                </c:pt>
                <c:pt idx="141">
                  <c:v>0.67816091954022983</c:v>
                </c:pt>
                <c:pt idx="142">
                  <c:v>0.70528735632183903</c:v>
                </c:pt>
                <c:pt idx="143">
                  <c:v>0.6905747126436782</c:v>
                </c:pt>
                <c:pt idx="144">
                  <c:v>0.71908045977011492</c:v>
                </c:pt>
                <c:pt idx="145">
                  <c:v>0.62643678160919536</c:v>
                </c:pt>
                <c:pt idx="146">
                  <c:v>0.50666666666666671</c:v>
                </c:pt>
                <c:pt idx="147">
                  <c:v>0.48355555555555557</c:v>
                </c:pt>
                <c:pt idx="148">
                  <c:v>0.47012345679012346</c:v>
                </c:pt>
                <c:pt idx="149">
                  <c:v>0.44345679012345679</c:v>
                </c:pt>
                <c:pt idx="150">
                  <c:v>0.31209876543209875</c:v>
                </c:pt>
                <c:pt idx="151">
                  <c:v>0.46617283950617283</c:v>
                </c:pt>
                <c:pt idx="152">
                  <c:v>0.78095238095238095</c:v>
                </c:pt>
                <c:pt idx="153">
                  <c:v>0.67809523809523808</c:v>
                </c:pt>
                <c:pt idx="154">
                  <c:v>0.78888888888888886</c:v>
                </c:pt>
                <c:pt idx="155">
                  <c:v>0.61199999999999999</c:v>
                </c:pt>
                <c:pt idx="156">
                  <c:v>0.75839999999999996</c:v>
                </c:pt>
                <c:pt idx="157">
                  <c:v>0.73386666666666667</c:v>
                </c:pt>
                <c:pt idx="158">
                  <c:v>0.66172839506172842</c:v>
                </c:pt>
                <c:pt idx="159">
                  <c:v>0.68839506172839504</c:v>
                </c:pt>
                <c:pt idx="160">
                  <c:v>0.65086419753086422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ED4-4643-AA9E-D73ACBE42255}"/>
            </c:ext>
          </c:extLst>
        </c:ser>
        <c:ser>
          <c:idx val="4"/>
          <c:order val="2"/>
          <c:tx>
            <c:strRef>
              <c:f>'Team Eff'!$D$64</c:f>
              <c:strCache>
                <c:ptCount val="1"/>
                <c:pt idx="0">
                  <c:v>SEC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Eff'!$A$65:$A$101,'Team Eff'!$A$103:$A$128,'Team Eff'!$A$130:$A$156,'Team Eff'!$A$158:$A$183,'Team Eff'!$A$185:$A$206,'Team Eff'!$A$208:$A$229)</c:f>
              <c:strCache>
                <c:ptCount val="160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22 2020</c:v>
                </c:pt>
                <c:pt idx="38">
                  <c:v>Week 23 2020</c:v>
                </c:pt>
                <c:pt idx="39">
                  <c:v>Week 24 2020</c:v>
                </c:pt>
                <c:pt idx="40">
                  <c:v>Week 25 2020</c:v>
                </c:pt>
                <c:pt idx="41">
                  <c:v>Week 26 2020</c:v>
                </c:pt>
                <c:pt idx="42">
                  <c:v>Week 27 2020</c:v>
                </c:pt>
                <c:pt idx="43">
                  <c:v>Week 28 2020</c:v>
                </c:pt>
                <c:pt idx="44">
                  <c:v>Week 29 2020</c:v>
                </c:pt>
                <c:pt idx="45">
                  <c:v>Week 30 2020</c:v>
                </c:pt>
                <c:pt idx="46">
                  <c:v>Week 31 2020</c:v>
                </c:pt>
                <c:pt idx="47">
                  <c:v>Week 32 2020</c:v>
                </c:pt>
                <c:pt idx="48">
                  <c:v>Week 34 2020</c:v>
                </c:pt>
                <c:pt idx="49">
                  <c:v>Week 35 2020</c:v>
                </c:pt>
                <c:pt idx="50">
                  <c:v>Week 36 2020</c:v>
                </c:pt>
                <c:pt idx="51">
                  <c:v>Week 37 2020</c:v>
                </c:pt>
                <c:pt idx="52">
                  <c:v>Week 38 2020</c:v>
                </c:pt>
                <c:pt idx="53">
                  <c:v>Week 39 2020</c:v>
                </c:pt>
                <c:pt idx="54">
                  <c:v>Week 40 2020</c:v>
                </c:pt>
                <c:pt idx="55">
                  <c:v>Week 41 2020</c:v>
                </c:pt>
                <c:pt idx="56">
                  <c:v>Week 42 2020</c:v>
                </c:pt>
                <c:pt idx="57">
                  <c:v>Week 43 2020</c:v>
                </c:pt>
                <c:pt idx="58">
                  <c:v>Week 44 2020</c:v>
                </c:pt>
                <c:pt idx="59">
                  <c:v>Week 45 2020</c:v>
                </c:pt>
                <c:pt idx="60">
                  <c:v>Week 45 2020</c:v>
                </c:pt>
                <c:pt idx="61">
                  <c:v>Week 46 2020</c:v>
                </c:pt>
                <c:pt idx="62">
                  <c:v>Week 47 2020</c:v>
                </c:pt>
                <c:pt idx="63">
                  <c:v>Week 48 2020</c:v>
                </c:pt>
                <c:pt idx="64">
                  <c:v>Week 49 2020</c:v>
                </c:pt>
                <c:pt idx="65">
                  <c:v>Week 50 2020</c:v>
                </c:pt>
                <c:pt idx="66">
                  <c:v>Week 06 2021</c:v>
                </c:pt>
                <c:pt idx="67">
                  <c:v>Week 07 2021</c:v>
                </c:pt>
                <c:pt idx="68">
                  <c:v>Week 08 2021</c:v>
                </c:pt>
                <c:pt idx="69">
                  <c:v>Week 09 2021</c:v>
                </c:pt>
                <c:pt idx="70">
                  <c:v>Week 10 2021</c:v>
                </c:pt>
                <c:pt idx="71">
                  <c:v>Week 11 2021</c:v>
                </c:pt>
                <c:pt idx="72">
                  <c:v>Week 12 2021</c:v>
                </c:pt>
                <c:pt idx="73">
                  <c:v>Week 13 2021</c:v>
                </c:pt>
                <c:pt idx="74">
                  <c:v>Week 14 2021</c:v>
                </c:pt>
                <c:pt idx="75">
                  <c:v>Week 15 2021</c:v>
                </c:pt>
                <c:pt idx="76">
                  <c:v>Week 16 2021</c:v>
                </c:pt>
                <c:pt idx="77">
                  <c:v>Week 17 2021</c:v>
                </c:pt>
                <c:pt idx="78">
                  <c:v>Week 18 2021</c:v>
                </c:pt>
                <c:pt idx="79">
                  <c:v>Week 19 2021</c:v>
                </c:pt>
                <c:pt idx="80">
                  <c:v>Week 20 2021</c:v>
                </c:pt>
                <c:pt idx="81">
                  <c:v>Week 21 2021</c:v>
                </c:pt>
                <c:pt idx="82">
                  <c:v>Week 24 2021</c:v>
                </c:pt>
                <c:pt idx="83">
                  <c:v>Week 25 2021</c:v>
                </c:pt>
                <c:pt idx="84">
                  <c:v>Week 26 2021</c:v>
                </c:pt>
                <c:pt idx="85">
                  <c:v>Week 27 2021</c:v>
                </c:pt>
                <c:pt idx="86">
                  <c:v>Week 28 2021</c:v>
                </c:pt>
                <c:pt idx="87">
                  <c:v>Week 29 2021</c:v>
                </c:pt>
                <c:pt idx="88">
                  <c:v>Week 30 2021</c:v>
                </c:pt>
                <c:pt idx="89">
                  <c:v>Week 31 2021</c:v>
                </c:pt>
                <c:pt idx="90">
                  <c:v>Week 33 2021</c:v>
                </c:pt>
                <c:pt idx="91">
                  <c:v>Week 34 2021</c:v>
                </c:pt>
                <c:pt idx="92">
                  <c:v>Week 35 2021</c:v>
                </c:pt>
                <c:pt idx="93">
                  <c:v>Week 36 2021</c:v>
                </c:pt>
                <c:pt idx="94">
                  <c:v>Week 37 2021</c:v>
                </c:pt>
                <c:pt idx="95">
                  <c:v>Week 38 2021</c:v>
                </c:pt>
                <c:pt idx="96">
                  <c:v>Week 39 2021</c:v>
                </c:pt>
                <c:pt idx="97">
                  <c:v>Week 40 2021</c:v>
                </c:pt>
                <c:pt idx="98">
                  <c:v>Week 41 2021</c:v>
                </c:pt>
                <c:pt idx="99">
                  <c:v>Week 42 2021</c:v>
                </c:pt>
                <c:pt idx="100">
                  <c:v>Week 43 2021</c:v>
                </c:pt>
                <c:pt idx="101">
                  <c:v>Week 44 2021</c:v>
                </c:pt>
                <c:pt idx="102">
                  <c:v>Week 45 2021</c:v>
                </c:pt>
                <c:pt idx="103">
                  <c:v>Week 46 2021</c:v>
                </c:pt>
                <c:pt idx="104">
                  <c:v>Week 47 2021</c:v>
                </c:pt>
                <c:pt idx="105">
                  <c:v>Week 48 2021</c:v>
                </c:pt>
                <c:pt idx="106">
                  <c:v>Week 49 2021</c:v>
                </c:pt>
                <c:pt idx="107">
                  <c:v>Week 3 2022</c:v>
                </c:pt>
                <c:pt idx="108">
                  <c:v>Week 4 2022</c:v>
                </c:pt>
                <c:pt idx="109">
                  <c:v>Week 5 2022</c:v>
                </c:pt>
                <c:pt idx="110">
                  <c:v>Week 6 2022</c:v>
                </c:pt>
                <c:pt idx="111">
                  <c:v>Week 7 2022</c:v>
                </c:pt>
                <c:pt idx="112">
                  <c:v>Week 8 2022</c:v>
                </c:pt>
                <c:pt idx="113">
                  <c:v>Week 9 2022</c:v>
                </c:pt>
                <c:pt idx="114">
                  <c:v>Week 10 2022</c:v>
                </c:pt>
                <c:pt idx="115">
                  <c:v>Week 11 2022</c:v>
                </c:pt>
                <c:pt idx="116">
                  <c:v>Week 13 2022</c:v>
                </c:pt>
                <c:pt idx="117">
                  <c:v>Week 14 2022</c:v>
                </c:pt>
                <c:pt idx="118">
                  <c:v>Week 15 2022</c:v>
                </c:pt>
                <c:pt idx="119">
                  <c:v>Week 17 2022</c:v>
                </c:pt>
                <c:pt idx="120">
                  <c:v>Week 18 2022</c:v>
                </c:pt>
                <c:pt idx="121">
                  <c:v>Week 19 2022</c:v>
                </c:pt>
                <c:pt idx="122">
                  <c:v>Week 20 2022</c:v>
                </c:pt>
                <c:pt idx="123">
                  <c:v>Week 21 2022</c:v>
                </c:pt>
                <c:pt idx="124">
                  <c:v>Week 22 2022</c:v>
                </c:pt>
                <c:pt idx="125">
                  <c:v>Week 23 2022</c:v>
                </c:pt>
                <c:pt idx="126">
                  <c:v>Week 24 2022</c:v>
                </c:pt>
                <c:pt idx="127">
                  <c:v>Week 25 2022</c:v>
                </c:pt>
                <c:pt idx="128">
                  <c:v>Week 26 2022</c:v>
                </c:pt>
                <c:pt idx="129">
                  <c:v>Week 27 2022</c:v>
                </c:pt>
                <c:pt idx="130">
                  <c:v>Week 28 2022</c:v>
                </c:pt>
                <c:pt idx="131">
                  <c:v>Week 29 2022</c:v>
                </c:pt>
                <c:pt idx="132">
                  <c:v>Week 30 2022</c:v>
                </c:pt>
                <c:pt idx="133">
                  <c:v>Week 31 2022</c:v>
                </c:pt>
                <c:pt idx="134">
                  <c:v>Week 32 2022</c:v>
                </c:pt>
                <c:pt idx="135">
                  <c:v>Week 33 2022</c:v>
                </c:pt>
                <c:pt idx="136">
                  <c:v>Week 34 2022</c:v>
                </c:pt>
                <c:pt idx="137">
                  <c:v>Week 35 2022</c:v>
                </c:pt>
                <c:pt idx="138">
                  <c:v>Week 37 2022</c:v>
                </c:pt>
                <c:pt idx="139">
                  <c:v>Week 38 2022</c:v>
                </c:pt>
                <c:pt idx="140">
                  <c:v>Week 39 2022</c:v>
                </c:pt>
                <c:pt idx="141">
                  <c:v>Week 40 2022</c:v>
                </c:pt>
                <c:pt idx="142">
                  <c:v>Week 41 2022</c:v>
                </c:pt>
                <c:pt idx="143">
                  <c:v>Week 42 2022</c:v>
                </c:pt>
                <c:pt idx="144">
                  <c:v>Week 43 2022</c:v>
                </c:pt>
                <c:pt idx="145">
                  <c:v>Week 44 2022</c:v>
                </c:pt>
                <c:pt idx="146">
                  <c:v>Week 45 2022</c:v>
                </c:pt>
                <c:pt idx="147">
                  <c:v>Week 46 2022</c:v>
                </c:pt>
                <c:pt idx="148">
                  <c:v>Week 47 2022</c:v>
                </c:pt>
                <c:pt idx="149">
                  <c:v>Week 48 2022</c:v>
                </c:pt>
                <c:pt idx="150">
                  <c:v>Week 49 2022</c:v>
                </c:pt>
                <c:pt idx="151">
                  <c:v>Week 03 2023</c:v>
                </c:pt>
                <c:pt idx="152">
                  <c:v>Week 04 2023</c:v>
                </c:pt>
                <c:pt idx="153">
                  <c:v>Week 05 2023</c:v>
                </c:pt>
                <c:pt idx="154">
                  <c:v>Week 06 2023</c:v>
                </c:pt>
                <c:pt idx="155">
                  <c:v>Week 07 2023</c:v>
                </c:pt>
                <c:pt idx="156">
                  <c:v>Week 08 2023</c:v>
                </c:pt>
                <c:pt idx="157">
                  <c:v>Week 09 2023</c:v>
                </c:pt>
                <c:pt idx="158">
                  <c:v>Week 10 2023</c:v>
                </c:pt>
                <c:pt idx="159">
                  <c:v>Week 11 2023</c:v>
                </c:pt>
              </c:strCache>
            </c:strRef>
          </c:cat>
          <c:val>
            <c:numRef>
              <c:f>('Team Eff'!$D$65:$D$128,'Team Eff'!$D$130:$D$156,'Team Eff'!$D$158:$D$183,'Team Eff'!$D$185:$D$206,'Team Eff'!$D$208:$D$229)</c:f>
              <c:numCache>
                <c:formatCode>0%</c:formatCode>
                <c:ptCount val="161"/>
                <c:pt idx="0">
                  <c:v>0.56000000000000005</c:v>
                </c:pt>
                <c:pt idx="1">
                  <c:v>0.7</c:v>
                </c:pt>
                <c:pt idx="2">
                  <c:v>0.64</c:v>
                </c:pt>
                <c:pt idx="3">
                  <c:v>0.78</c:v>
                </c:pt>
                <c:pt idx="4">
                  <c:v>0.72115942028985502</c:v>
                </c:pt>
                <c:pt idx="5">
                  <c:v>0.73971014492753628</c:v>
                </c:pt>
                <c:pt idx="6">
                  <c:v>0.80463768115942025</c:v>
                </c:pt>
                <c:pt idx="7">
                  <c:v>0.85907246376811597</c:v>
                </c:pt>
                <c:pt idx="8">
                  <c:v>0.75397101449275361</c:v>
                </c:pt>
                <c:pt idx="9">
                  <c:v>0.72</c:v>
                </c:pt>
                <c:pt idx="10">
                  <c:v>0.75710144927536227</c:v>
                </c:pt>
                <c:pt idx="11">
                  <c:v>0.70144927536231882</c:v>
                </c:pt>
                <c:pt idx="12">
                  <c:v>0.76057971014492753</c:v>
                </c:pt>
                <c:pt idx="13">
                  <c:v>0.67942028985507241</c:v>
                </c:pt>
                <c:pt idx="14">
                  <c:v>0.71768115942028987</c:v>
                </c:pt>
                <c:pt idx="15">
                  <c:v>0.76521739130434785</c:v>
                </c:pt>
                <c:pt idx="16">
                  <c:v>0.75942028985507248</c:v>
                </c:pt>
                <c:pt idx="17">
                  <c:v>0.74434782608695649</c:v>
                </c:pt>
                <c:pt idx="18">
                  <c:v>0.76753623188405795</c:v>
                </c:pt>
                <c:pt idx="19">
                  <c:v>0.7489855072463768</c:v>
                </c:pt>
                <c:pt idx="20">
                  <c:v>0.78840579710144931</c:v>
                </c:pt>
                <c:pt idx="21">
                  <c:v>0.79536231884057973</c:v>
                </c:pt>
                <c:pt idx="22">
                  <c:v>0.79072463768115941</c:v>
                </c:pt>
                <c:pt idx="23">
                  <c:v>0.85217391304347823</c:v>
                </c:pt>
                <c:pt idx="24">
                  <c:v>0.88444444444444448</c:v>
                </c:pt>
                <c:pt idx="25">
                  <c:v>0.85333333333333339</c:v>
                </c:pt>
                <c:pt idx="26">
                  <c:v>0.88</c:v>
                </c:pt>
                <c:pt idx="27">
                  <c:v>0.89481481481481484</c:v>
                </c:pt>
                <c:pt idx="28">
                  <c:v>0.89</c:v>
                </c:pt>
                <c:pt idx="29">
                  <c:v>0.88888888888888884</c:v>
                </c:pt>
                <c:pt idx="30">
                  <c:v>0.88533333333333331</c:v>
                </c:pt>
                <c:pt idx="31">
                  <c:v>0.86755555555555552</c:v>
                </c:pt>
                <c:pt idx="32">
                  <c:v>0.88888888888888884</c:v>
                </c:pt>
                <c:pt idx="33">
                  <c:v>0.79466666666666663</c:v>
                </c:pt>
                <c:pt idx="34">
                  <c:v>0.77916666666666667</c:v>
                </c:pt>
                <c:pt idx="35">
                  <c:v>1.0066666666666666</c:v>
                </c:pt>
                <c:pt idx="36">
                  <c:v>1.0083333333333333</c:v>
                </c:pt>
                <c:pt idx="37">
                  <c:v>0.95666666666666667</c:v>
                </c:pt>
                <c:pt idx="38">
                  <c:v>0.89411764705882357</c:v>
                </c:pt>
                <c:pt idx="39">
                  <c:v>0.96481481481481479</c:v>
                </c:pt>
                <c:pt idx="40">
                  <c:v>0.94222222222222218</c:v>
                </c:pt>
                <c:pt idx="41">
                  <c:v>0.9303703703703704</c:v>
                </c:pt>
                <c:pt idx="42">
                  <c:v>0.88</c:v>
                </c:pt>
                <c:pt idx="43">
                  <c:v>0.89684210526315788</c:v>
                </c:pt>
                <c:pt idx="44">
                  <c:v>0.90666666666666662</c:v>
                </c:pt>
                <c:pt idx="45">
                  <c:v>0.88666666666666671</c:v>
                </c:pt>
                <c:pt idx="46">
                  <c:v>0.88400000000000001</c:v>
                </c:pt>
                <c:pt idx="47">
                  <c:v>0.75789473684210529</c:v>
                </c:pt>
                <c:pt idx="48">
                  <c:v>0.73333333333333328</c:v>
                </c:pt>
                <c:pt idx="49">
                  <c:v>0.91809523809523808</c:v>
                </c:pt>
                <c:pt idx="50">
                  <c:v>0.64761904761904765</c:v>
                </c:pt>
                <c:pt idx="51">
                  <c:v>0.75428571428571434</c:v>
                </c:pt>
                <c:pt idx="52">
                  <c:v>0.85904761904761906</c:v>
                </c:pt>
                <c:pt idx="53">
                  <c:v>0.79047619047619044</c:v>
                </c:pt>
                <c:pt idx="54">
                  <c:v>0.56571428571428573</c:v>
                </c:pt>
                <c:pt idx="55">
                  <c:v>0.69904761904761903</c:v>
                </c:pt>
                <c:pt idx="56">
                  <c:v>0.80761904761904757</c:v>
                </c:pt>
                <c:pt idx="57">
                  <c:v>0.78476190476190477</c:v>
                </c:pt>
                <c:pt idx="58">
                  <c:v>0.72761904761904761</c:v>
                </c:pt>
                <c:pt idx="59">
                  <c:v>0.92777777777777781</c:v>
                </c:pt>
                <c:pt idx="60">
                  <c:v>0.90222222222222226</c:v>
                </c:pt>
                <c:pt idx="61">
                  <c:v>0.78222222222222226</c:v>
                </c:pt>
                <c:pt idx="62">
                  <c:v>0.91111111111111109</c:v>
                </c:pt>
                <c:pt idx="63">
                  <c:v>0.80888888888888888</c:v>
                </c:pt>
                <c:pt idx="64">
                  <c:v>0.7088888888888889</c:v>
                </c:pt>
                <c:pt idx="65">
                  <c:v>0.88444444444444448</c:v>
                </c:pt>
                <c:pt idx="66">
                  <c:v>0.86</c:v>
                </c:pt>
                <c:pt idx="67">
                  <c:v>0.73611111111111116</c:v>
                </c:pt>
                <c:pt idx="68">
                  <c:v>0.76</c:v>
                </c:pt>
                <c:pt idx="69">
                  <c:v>0.57523809523809522</c:v>
                </c:pt>
                <c:pt idx="70">
                  <c:v>0.75238095238095237</c:v>
                </c:pt>
                <c:pt idx="71">
                  <c:v>0.88</c:v>
                </c:pt>
                <c:pt idx="72">
                  <c:v>0.7911111111111111</c:v>
                </c:pt>
                <c:pt idx="73">
                  <c:v>0.86222222222222222</c:v>
                </c:pt>
                <c:pt idx="74">
                  <c:v>0.81666666666666665</c:v>
                </c:pt>
                <c:pt idx="75">
                  <c:v>0.65384615384615385</c:v>
                </c:pt>
                <c:pt idx="76">
                  <c:v>0.73641025641025637</c:v>
                </c:pt>
                <c:pt idx="77">
                  <c:v>0.72820512820512817</c:v>
                </c:pt>
                <c:pt idx="78">
                  <c:v>0.82307692307692304</c:v>
                </c:pt>
                <c:pt idx="79">
                  <c:v>0.93111111111111111</c:v>
                </c:pt>
                <c:pt idx="80">
                  <c:v>0.82222222222222219</c:v>
                </c:pt>
                <c:pt idx="81">
                  <c:v>0.82222222222222219</c:v>
                </c:pt>
                <c:pt idx="82">
                  <c:v>0.69111111111111112</c:v>
                </c:pt>
                <c:pt idx="83">
                  <c:v>0.81555555555555559</c:v>
                </c:pt>
                <c:pt idx="84">
                  <c:v>0.9044444444444445</c:v>
                </c:pt>
                <c:pt idx="85">
                  <c:v>0.88888888888888884</c:v>
                </c:pt>
                <c:pt idx="86">
                  <c:v>0.89230769230769236</c:v>
                </c:pt>
                <c:pt idx="87">
                  <c:v>0.87179487179487181</c:v>
                </c:pt>
                <c:pt idx="88">
                  <c:v>0.93743589743589739</c:v>
                </c:pt>
                <c:pt idx="89">
                  <c:v>1.1222222222222222</c:v>
                </c:pt>
                <c:pt idx="90">
                  <c:v>1.1022222222222222</c:v>
                </c:pt>
                <c:pt idx="91">
                  <c:v>0.70456140350877194</c:v>
                </c:pt>
                <c:pt idx="92">
                  <c:v>0.90947368421052632</c:v>
                </c:pt>
                <c:pt idx="93">
                  <c:v>0.85333333333333339</c:v>
                </c:pt>
                <c:pt idx="94">
                  <c:v>0.89555555555555555</c:v>
                </c:pt>
                <c:pt idx="95">
                  <c:v>0.9211111111111111</c:v>
                </c:pt>
                <c:pt idx="96">
                  <c:v>0.86888888888888893</c:v>
                </c:pt>
                <c:pt idx="97">
                  <c:v>0.97666666666666668</c:v>
                </c:pt>
                <c:pt idx="98">
                  <c:v>0.82370370370370372</c:v>
                </c:pt>
                <c:pt idx="99">
                  <c:v>0.90567901234567905</c:v>
                </c:pt>
                <c:pt idx="100">
                  <c:v>0.88395061728395063</c:v>
                </c:pt>
                <c:pt idx="101">
                  <c:v>0.88846153846153841</c:v>
                </c:pt>
                <c:pt idx="102">
                  <c:v>0.96643678160919544</c:v>
                </c:pt>
                <c:pt idx="103">
                  <c:v>0.93809523809523809</c:v>
                </c:pt>
                <c:pt idx="104">
                  <c:v>0.90390804597701147</c:v>
                </c:pt>
                <c:pt idx="105">
                  <c:v>0.90482758620689652</c:v>
                </c:pt>
                <c:pt idx="106">
                  <c:v>0.9797849462365591</c:v>
                </c:pt>
                <c:pt idx="107">
                  <c:v>0.83870967741935487</c:v>
                </c:pt>
                <c:pt idx="108">
                  <c:v>0.53259259259259262</c:v>
                </c:pt>
                <c:pt idx="109">
                  <c:v>0.48074074074074075</c:v>
                </c:pt>
                <c:pt idx="110">
                  <c:v>0.50476190476190474</c:v>
                </c:pt>
                <c:pt idx="111">
                  <c:v>0.70476190476190481</c:v>
                </c:pt>
                <c:pt idx="112">
                  <c:v>0.51276190476190475</c:v>
                </c:pt>
                <c:pt idx="113">
                  <c:v>0.65219047619047621</c:v>
                </c:pt>
                <c:pt idx="114">
                  <c:v>0.37790476190476191</c:v>
                </c:pt>
                <c:pt idx="115">
                  <c:v>0.47434343434343434</c:v>
                </c:pt>
                <c:pt idx="116">
                  <c:v>0.44</c:v>
                </c:pt>
                <c:pt idx="117">
                  <c:v>0.80444444444444441</c:v>
                </c:pt>
                <c:pt idx="118">
                  <c:v>0.76</c:v>
                </c:pt>
                <c:pt idx="119">
                  <c:v>0.8288888888888889</c:v>
                </c:pt>
                <c:pt idx="120">
                  <c:v>0.76533333333333331</c:v>
                </c:pt>
                <c:pt idx="121">
                  <c:v>0.78506666666666669</c:v>
                </c:pt>
                <c:pt idx="122">
                  <c:v>0.69449275362318841</c:v>
                </c:pt>
                <c:pt idx="123">
                  <c:v>0.53913043478260869</c:v>
                </c:pt>
                <c:pt idx="124">
                  <c:v>0.73507246376811597</c:v>
                </c:pt>
                <c:pt idx="125">
                  <c:v>0.67362318840579705</c:v>
                </c:pt>
                <c:pt idx="126">
                  <c:v>0.77654320987654324</c:v>
                </c:pt>
                <c:pt idx="127">
                  <c:v>0.65777777777777779</c:v>
                </c:pt>
                <c:pt idx="128">
                  <c:v>0.62068965517241381</c:v>
                </c:pt>
                <c:pt idx="129">
                  <c:v>0.84476190476190471</c:v>
                </c:pt>
                <c:pt idx="130">
                  <c:v>0.81931034482758625</c:v>
                </c:pt>
                <c:pt idx="131">
                  <c:v>0.64266666666666672</c:v>
                </c:pt>
                <c:pt idx="132">
                  <c:v>0.82952380952380955</c:v>
                </c:pt>
                <c:pt idx="133">
                  <c:v>0.77619047619047621</c:v>
                </c:pt>
                <c:pt idx="134">
                  <c:v>0.63</c:v>
                </c:pt>
                <c:pt idx="135">
                  <c:v>0.83142857142857141</c:v>
                </c:pt>
                <c:pt idx="136">
                  <c:v>0.76800000000000002</c:v>
                </c:pt>
                <c:pt idx="137">
                  <c:v>0.73490196078431369</c:v>
                </c:pt>
                <c:pt idx="138">
                  <c:v>0.7701960784313725</c:v>
                </c:pt>
                <c:pt idx="139">
                  <c:v>0.71771428571428575</c:v>
                </c:pt>
                <c:pt idx="140">
                  <c:v>0.74738738738738741</c:v>
                </c:pt>
                <c:pt idx="141">
                  <c:v>0.6954954954954955</c:v>
                </c:pt>
                <c:pt idx="142">
                  <c:v>0.82</c:v>
                </c:pt>
                <c:pt idx="143">
                  <c:v>0.81599999999999995</c:v>
                </c:pt>
                <c:pt idx="144">
                  <c:v>0.85171717171717176</c:v>
                </c:pt>
                <c:pt idx="145">
                  <c:v>0.90202020202020206</c:v>
                </c:pt>
                <c:pt idx="146">
                  <c:v>0.77090909090909088</c:v>
                </c:pt>
                <c:pt idx="147">
                  <c:v>0.78383838383838389</c:v>
                </c:pt>
                <c:pt idx="148">
                  <c:v>0.61128205128205126</c:v>
                </c:pt>
                <c:pt idx="149">
                  <c:v>0.61538461538461542</c:v>
                </c:pt>
                <c:pt idx="150">
                  <c:v>0.56000000000000005</c:v>
                </c:pt>
                <c:pt idx="151">
                  <c:v>0.44102564102564101</c:v>
                </c:pt>
                <c:pt idx="152">
                  <c:v>0.59508771929824567</c:v>
                </c:pt>
                <c:pt idx="153">
                  <c:v>0.51508771929824559</c:v>
                </c:pt>
                <c:pt idx="154">
                  <c:v>0.55087719298245619</c:v>
                </c:pt>
                <c:pt idx="155">
                  <c:v>0.80666666666666664</c:v>
                </c:pt>
                <c:pt idx="156">
                  <c:v>0.81599999999999995</c:v>
                </c:pt>
                <c:pt idx="157">
                  <c:v>0.65333333333333332</c:v>
                </c:pt>
                <c:pt idx="158">
                  <c:v>0.34666666666666668</c:v>
                </c:pt>
                <c:pt idx="159">
                  <c:v>0.55111111111111111</c:v>
                </c:pt>
                <c:pt idx="160">
                  <c:v>0.65555555555555556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ED4-4643-AA9E-D73ACBE42255}"/>
            </c:ext>
          </c:extLst>
        </c:ser>
        <c:ser>
          <c:idx val="0"/>
          <c:order val="3"/>
          <c:tx>
            <c:strRef>
              <c:f>'Team Eff'!$E$64</c:f>
              <c:strCache>
                <c:ptCount val="1"/>
                <c:pt idx="0">
                  <c:v>XFMR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Eff'!$A$65:$A$101,'Team Eff'!$A$103:$A$128,'Team Eff'!$A$130:$A$156,'Team Eff'!$A$158:$A$183,'Team Eff'!$A$185:$A$206,'Team Eff'!$A$208:$A$229)</c:f>
              <c:strCache>
                <c:ptCount val="160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22 2020</c:v>
                </c:pt>
                <c:pt idx="38">
                  <c:v>Week 23 2020</c:v>
                </c:pt>
                <c:pt idx="39">
                  <c:v>Week 24 2020</c:v>
                </c:pt>
                <c:pt idx="40">
                  <c:v>Week 25 2020</c:v>
                </c:pt>
                <c:pt idx="41">
                  <c:v>Week 26 2020</c:v>
                </c:pt>
                <c:pt idx="42">
                  <c:v>Week 27 2020</c:v>
                </c:pt>
                <c:pt idx="43">
                  <c:v>Week 28 2020</c:v>
                </c:pt>
                <c:pt idx="44">
                  <c:v>Week 29 2020</c:v>
                </c:pt>
                <c:pt idx="45">
                  <c:v>Week 30 2020</c:v>
                </c:pt>
                <c:pt idx="46">
                  <c:v>Week 31 2020</c:v>
                </c:pt>
                <c:pt idx="47">
                  <c:v>Week 32 2020</c:v>
                </c:pt>
                <c:pt idx="48">
                  <c:v>Week 34 2020</c:v>
                </c:pt>
                <c:pt idx="49">
                  <c:v>Week 35 2020</c:v>
                </c:pt>
                <c:pt idx="50">
                  <c:v>Week 36 2020</c:v>
                </c:pt>
                <c:pt idx="51">
                  <c:v>Week 37 2020</c:v>
                </c:pt>
                <c:pt idx="52">
                  <c:v>Week 38 2020</c:v>
                </c:pt>
                <c:pt idx="53">
                  <c:v>Week 39 2020</c:v>
                </c:pt>
                <c:pt idx="54">
                  <c:v>Week 40 2020</c:v>
                </c:pt>
                <c:pt idx="55">
                  <c:v>Week 41 2020</c:v>
                </c:pt>
                <c:pt idx="56">
                  <c:v>Week 42 2020</c:v>
                </c:pt>
                <c:pt idx="57">
                  <c:v>Week 43 2020</c:v>
                </c:pt>
                <c:pt idx="58">
                  <c:v>Week 44 2020</c:v>
                </c:pt>
                <c:pt idx="59">
                  <c:v>Week 45 2020</c:v>
                </c:pt>
                <c:pt idx="60">
                  <c:v>Week 45 2020</c:v>
                </c:pt>
                <c:pt idx="61">
                  <c:v>Week 46 2020</c:v>
                </c:pt>
                <c:pt idx="62">
                  <c:v>Week 47 2020</c:v>
                </c:pt>
                <c:pt idx="63">
                  <c:v>Week 48 2020</c:v>
                </c:pt>
                <c:pt idx="64">
                  <c:v>Week 49 2020</c:v>
                </c:pt>
                <c:pt idx="65">
                  <c:v>Week 50 2020</c:v>
                </c:pt>
                <c:pt idx="66">
                  <c:v>Week 06 2021</c:v>
                </c:pt>
                <c:pt idx="67">
                  <c:v>Week 07 2021</c:v>
                </c:pt>
                <c:pt idx="68">
                  <c:v>Week 08 2021</c:v>
                </c:pt>
                <c:pt idx="69">
                  <c:v>Week 09 2021</c:v>
                </c:pt>
                <c:pt idx="70">
                  <c:v>Week 10 2021</c:v>
                </c:pt>
                <c:pt idx="71">
                  <c:v>Week 11 2021</c:v>
                </c:pt>
                <c:pt idx="72">
                  <c:v>Week 12 2021</c:v>
                </c:pt>
                <c:pt idx="73">
                  <c:v>Week 13 2021</c:v>
                </c:pt>
                <c:pt idx="74">
                  <c:v>Week 14 2021</c:v>
                </c:pt>
                <c:pt idx="75">
                  <c:v>Week 15 2021</c:v>
                </c:pt>
                <c:pt idx="76">
                  <c:v>Week 16 2021</c:v>
                </c:pt>
                <c:pt idx="77">
                  <c:v>Week 17 2021</c:v>
                </c:pt>
                <c:pt idx="78">
                  <c:v>Week 18 2021</c:v>
                </c:pt>
                <c:pt idx="79">
                  <c:v>Week 19 2021</c:v>
                </c:pt>
                <c:pt idx="80">
                  <c:v>Week 20 2021</c:v>
                </c:pt>
                <c:pt idx="81">
                  <c:v>Week 21 2021</c:v>
                </c:pt>
                <c:pt idx="82">
                  <c:v>Week 24 2021</c:v>
                </c:pt>
                <c:pt idx="83">
                  <c:v>Week 25 2021</c:v>
                </c:pt>
                <c:pt idx="84">
                  <c:v>Week 26 2021</c:v>
                </c:pt>
                <c:pt idx="85">
                  <c:v>Week 27 2021</c:v>
                </c:pt>
                <c:pt idx="86">
                  <c:v>Week 28 2021</c:v>
                </c:pt>
                <c:pt idx="87">
                  <c:v>Week 29 2021</c:v>
                </c:pt>
                <c:pt idx="88">
                  <c:v>Week 30 2021</c:v>
                </c:pt>
                <c:pt idx="89">
                  <c:v>Week 31 2021</c:v>
                </c:pt>
                <c:pt idx="90">
                  <c:v>Week 33 2021</c:v>
                </c:pt>
                <c:pt idx="91">
                  <c:v>Week 34 2021</c:v>
                </c:pt>
                <c:pt idx="92">
                  <c:v>Week 35 2021</c:v>
                </c:pt>
                <c:pt idx="93">
                  <c:v>Week 36 2021</c:v>
                </c:pt>
                <c:pt idx="94">
                  <c:v>Week 37 2021</c:v>
                </c:pt>
                <c:pt idx="95">
                  <c:v>Week 38 2021</c:v>
                </c:pt>
                <c:pt idx="96">
                  <c:v>Week 39 2021</c:v>
                </c:pt>
                <c:pt idx="97">
                  <c:v>Week 40 2021</c:v>
                </c:pt>
                <c:pt idx="98">
                  <c:v>Week 41 2021</c:v>
                </c:pt>
                <c:pt idx="99">
                  <c:v>Week 42 2021</c:v>
                </c:pt>
                <c:pt idx="100">
                  <c:v>Week 43 2021</c:v>
                </c:pt>
                <c:pt idx="101">
                  <c:v>Week 44 2021</c:v>
                </c:pt>
                <c:pt idx="102">
                  <c:v>Week 45 2021</c:v>
                </c:pt>
                <c:pt idx="103">
                  <c:v>Week 46 2021</c:v>
                </c:pt>
                <c:pt idx="104">
                  <c:v>Week 47 2021</c:v>
                </c:pt>
                <c:pt idx="105">
                  <c:v>Week 48 2021</c:v>
                </c:pt>
                <c:pt idx="106">
                  <c:v>Week 49 2021</c:v>
                </c:pt>
                <c:pt idx="107">
                  <c:v>Week 3 2022</c:v>
                </c:pt>
                <c:pt idx="108">
                  <c:v>Week 4 2022</c:v>
                </c:pt>
                <c:pt idx="109">
                  <c:v>Week 5 2022</c:v>
                </c:pt>
                <c:pt idx="110">
                  <c:v>Week 6 2022</c:v>
                </c:pt>
                <c:pt idx="111">
                  <c:v>Week 7 2022</c:v>
                </c:pt>
                <c:pt idx="112">
                  <c:v>Week 8 2022</c:v>
                </c:pt>
                <c:pt idx="113">
                  <c:v>Week 9 2022</c:v>
                </c:pt>
                <c:pt idx="114">
                  <c:v>Week 10 2022</c:v>
                </c:pt>
                <c:pt idx="115">
                  <c:v>Week 11 2022</c:v>
                </c:pt>
                <c:pt idx="116">
                  <c:v>Week 13 2022</c:v>
                </c:pt>
                <c:pt idx="117">
                  <c:v>Week 14 2022</c:v>
                </c:pt>
                <c:pt idx="118">
                  <c:v>Week 15 2022</c:v>
                </c:pt>
                <c:pt idx="119">
                  <c:v>Week 17 2022</c:v>
                </c:pt>
                <c:pt idx="120">
                  <c:v>Week 18 2022</c:v>
                </c:pt>
                <c:pt idx="121">
                  <c:v>Week 19 2022</c:v>
                </c:pt>
                <c:pt idx="122">
                  <c:v>Week 20 2022</c:v>
                </c:pt>
                <c:pt idx="123">
                  <c:v>Week 21 2022</c:v>
                </c:pt>
                <c:pt idx="124">
                  <c:v>Week 22 2022</c:v>
                </c:pt>
                <c:pt idx="125">
                  <c:v>Week 23 2022</c:v>
                </c:pt>
                <c:pt idx="126">
                  <c:v>Week 24 2022</c:v>
                </c:pt>
                <c:pt idx="127">
                  <c:v>Week 25 2022</c:v>
                </c:pt>
                <c:pt idx="128">
                  <c:v>Week 26 2022</c:v>
                </c:pt>
                <c:pt idx="129">
                  <c:v>Week 27 2022</c:v>
                </c:pt>
                <c:pt idx="130">
                  <c:v>Week 28 2022</c:v>
                </c:pt>
                <c:pt idx="131">
                  <c:v>Week 29 2022</c:v>
                </c:pt>
                <c:pt idx="132">
                  <c:v>Week 30 2022</c:v>
                </c:pt>
                <c:pt idx="133">
                  <c:v>Week 31 2022</c:v>
                </c:pt>
                <c:pt idx="134">
                  <c:v>Week 32 2022</c:v>
                </c:pt>
                <c:pt idx="135">
                  <c:v>Week 33 2022</c:v>
                </c:pt>
                <c:pt idx="136">
                  <c:v>Week 34 2022</c:v>
                </c:pt>
                <c:pt idx="137">
                  <c:v>Week 35 2022</c:v>
                </c:pt>
                <c:pt idx="138">
                  <c:v>Week 37 2022</c:v>
                </c:pt>
                <c:pt idx="139">
                  <c:v>Week 38 2022</c:v>
                </c:pt>
                <c:pt idx="140">
                  <c:v>Week 39 2022</c:v>
                </c:pt>
                <c:pt idx="141">
                  <c:v>Week 40 2022</c:v>
                </c:pt>
                <c:pt idx="142">
                  <c:v>Week 41 2022</c:v>
                </c:pt>
                <c:pt idx="143">
                  <c:v>Week 42 2022</c:v>
                </c:pt>
                <c:pt idx="144">
                  <c:v>Week 43 2022</c:v>
                </c:pt>
                <c:pt idx="145">
                  <c:v>Week 44 2022</c:v>
                </c:pt>
                <c:pt idx="146">
                  <c:v>Week 45 2022</c:v>
                </c:pt>
                <c:pt idx="147">
                  <c:v>Week 46 2022</c:v>
                </c:pt>
                <c:pt idx="148">
                  <c:v>Week 47 2022</c:v>
                </c:pt>
                <c:pt idx="149">
                  <c:v>Week 48 2022</c:v>
                </c:pt>
                <c:pt idx="150">
                  <c:v>Week 49 2022</c:v>
                </c:pt>
                <c:pt idx="151">
                  <c:v>Week 03 2023</c:v>
                </c:pt>
                <c:pt idx="152">
                  <c:v>Week 04 2023</c:v>
                </c:pt>
                <c:pt idx="153">
                  <c:v>Week 05 2023</c:v>
                </c:pt>
                <c:pt idx="154">
                  <c:v>Week 06 2023</c:v>
                </c:pt>
                <c:pt idx="155">
                  <c:v>Week 07 2023</c:v>
                </c:pt>
                <c:pt idx="156">
                  <c:v>Week 08 2023</c:v>
                </c:pt>
                <c:pt idx="157">
                  <c:v>Week 09 2023</c:v>
                </c:pt>
                <c:pt idx="158">
                  <c:v>Week 10 2023</c:v>
                </c:pt>
                <c:pt idx="159">
                  <c:v>Week 11 2023</c:v>
                </c:pt>
              </c:strCache>
            </c:strRef>
          </c:cat>
          <c:val>
            <c:numRef>
              <c:f>('Team Eff'!$E$65:$E$128,'Team Eff'!$E$130:$E$156,'Team Eff'!$E$158:$E$183,'Team Eff'!$E$185:$E$206,'Team Eff'!$E$208:$E$229)</c:f>
              <c:numCache>
                <c:formatCode>0%</c:formatCode>
                <c:ptCount val="161"/>
                <c:pt idx="25">
                  <c:v>0.81</c:v>
                </c:pt>
                <c:pt idx="26">
                  <c:v>0.6428571428571429</c:v>
                </c:pt>
                <c:pt idx="27">
                  <c:v>0.64126984126984132</c:v>
                </c:pt>
                <c:pt idx="28">
                  <c:v>0.88</c:v>
                </c:pt>
                <c:pt idx="29">
                  <c:v>0.68952380952380954</c:v>
                </c:pt>
                <c:pt idx="30">
                  <c:v>0.70095238095238099</c:v>
                </c:pt>
                <c:pt idx="31">
                  <c:v>0.80380952380952386</c:v>
                </c:pt>
                <c:pt idx="32">
                  <c:v>0.88380952380952382</c:v>
                </c:pt>
                <c:pt idx="33">
                  <c:v>0.75428571428571434</c:v>
                </c:pt>
                <c:pt idx="34">
                  <c:v>0.81666666666666665</c:v>
                </c:pt>
                <c:pt idx="35">
                  <c:v>0.89333333333333331</c:v>
                </c:pt>
                <c:pt idx="36">
                  <c:v>0.76888888888888884</c:v>
                </c:pt>
                <c:pt idx="37">
                  <c:v>0.94222222222222218</c:v>
                </c:pt>
                <c:pt idx="38">
                  <c:v>0.91555555555555557</c:v>
                </c:pt>
                <c:pt idx="39">
                  <c:v>0.97777777777777775</c:v>
                </c:pt>
                <c:pt idx="40">
                  <c:v>0.92</c:v>
                </c:pt>
                <c:pt idx="41">
                  <c:v>0.9244444444444444</c:v>
                </c:pt>
                <c:pt idx="42">
                  <c:v>0.9555555555555556</c:v>
                </c:pt>
                <c:pt idx="43">
                  <c:v>0.85333333333333339</c:v>
                </c:pt>
                <c:pt idx="44">
                  <c:v>0.94222222222222218</c:v>
                </c:pt>
                <c:pt idx="45">
                  <c:v>0.80761904761904757</c:v>
                </c:pt>
                <c:pt idx="46">
                  <c:v>0.9555555555555556</c:v>
                </c:pt>
                <c:pt idx="47">
                  <c:v>0.94857142857142862</c:v>
                </c:pt>
                <c:pt idx="48">
                  <c:v>0.83666666666666667</c:v>
                </c:pt>
                <c:pt idx="49">
                  <c:v>0.7911111111111111</c:v>
                </c:pt>
                <c:pt idx="50">
                  <c:v>0.85333333333333339</c:v>
                </c:pt>
                <c:pt idx="51">
                  <c:v>0.9303703703703704</c:v>
                </c:pt>
                <c:pt idx="52">
                  <c:v>0.96</c:v>
                </c:pt>
                <c:pt idx="53">
                  <c:v>0.96296296296296291</c:v>
                </c:pt>
                <c:pt idx="54">
                  <c:v>0.96592592592592597</c:v>
                </c:pt>
                <c:pt idx="55">
                  <c:v>0.96296296296296291</c:v>
                </c:pt>
                <c:pt idx="56">
                  <c:v>0.94518518518518524</c:v>
                </c:pt>
                <c:pt idx="57">
                  <c:v>0.93925925925925924</c:v>
                </c:pt>
                <c:pt idx="58">
                  <c:v>0.93333333333333335</c:v>
                </c:pt>
                <c:pt idx="59">
                  <c:v>0.8606060606060606</c:v>
                </c:pt>
                <c:pt idx="60">
                  <c:v>0.92606060606060603</c:v>
                </c:pt>
                <c:pt idx="61">
                  <c:v>0.93333333333333335</c:v>
                </c:pt>
                <c:pt idx="62">
                  <c:v>1.0133333333333334</c:v>
                </c:pt>
                <c:pt idx="63">
                  <c:v>0.6</c:v>
                </c:pt>
                <c:pt idx="64">
                  <c:v>0.77866666666666662</c:v>
                </c:pt>
                <c:pt idx="65">
                  <c:v>0.67466666666666664</c:v>
                </c:pt>
                <c:pt idx="66">
                  <c:v>0.53600000000000003</c:v>
                </c:pt>
                <c:pt idx="67">
                  <c:v>0.6</c:v>
                </c:pt>
                <c:pt idx="68">
                  <c:v>0.80296296296296299</c:v>
                </c:pt>
                <c:pt idx="69">
                  <c:v>0.93333333333333335</c:v>
                </c:pt>
                <c:pt idx="70">
                  <c:v>0.88666666666666671</c:v>
                </c:pt>
                <c:pt idx="71">
                  <c:v>0.90666666666666662</c:v>
                </c:pt>
                <c:pt idx="72">
                  <c:v>0.83333333333333337</c:v>
                </c:pt>
                <c:pt idx="73">
                  <c:v>0.93666666666666665</c:v>
                </c:pt>
                <c:pt idx="74">
                  <c:v>0.99583333333333335</c:v>
                </c:pt>
                <c:pt idx="75">
                  <c:v>0.89166666666666672</c:v>
                </c:pt>
                <c:pt idx="76">
                  <c:v>0.83</c:v>
                </c:pt>
                <c:pt idx="77">
                  <c:v>0.96333333333333337</c:v>
                </c:pt>
                <c:pt idx="78">
                  <c:v>0.72499999999999998</c:v>
                </c:pt>
                <c:pt idx="79">
                  <c:v>0.95</c:v>
                </c:pt>
                <c:pt idx="80">
                  <c:v>0.91666666666666663</c:v>
                </c:pt>
                <c:pt idx="81">
                  <c:v>0.91666666666666663</c:v>
                </c:pt>
                <c:pt idx="82">
                  <c:v>1.0033333333333334</c:v>
                </c:pt>
                <c:pt idx="83">
                  <c:v>0.8833333333333333</c:v>
                </c:pt>
                <c:pt idx="84">
                  <c:v>0.87</c:v>
                </c:pt>
                <c:pt idx="85">
                  <c:v>0.95</c:v>
                </c:pt>
                <c:pt idx="86">
                  <c:v>1.1047619047619048</c:v>
                </c:pt>
                <c:pt idx="87">
                  <c:v>1.0704761904761906</c:v>
                </c:pt>
                <c:pt idx="88">
                  <c:v>1.0209523809523811</c:v>
                </c:pt>
                <c:pt idx="89">
                  <c:v>0.78518518518518521</c:v>
                </c:pt>
                <c:pt idx="90">
                  <c:v>0.74370370370370376</c:v>
                </c:pt>
                <c:pt idx="91">
                  <c:v>0.73333333333333328</c:v>
                </c:pt>
                <c:pt idx="92">
                  <c:v>0.81866666666666665</c:v>
                </c:pt>
                <c:pt idx="93">
                  <c:v>0.80592592592592593</c:v>
                </c:pt>
                <c:pt idx="94">
                  <c:v>0.79407407407407404</c:v>
                </c:pt>
                <c:pt idx="95">
                  <c:v>0.98074074074074069</c:v>
                </c:pt>
                <c:pt idx="96">
                  <c:v>0.91851851851851851</c:v>
                </c:pt>
                <c:pt idx="97">
                  <c:v>0.90074074074074073</c:v>
                </c:pt>
                <c:pt idx="98">
                  <c:v>0.94518518518518524</c:v>
                </c:pt>
                <c:pt idx="99">
                  <c:v>0.86222222222222222</c:v>
                </c:pt>
                <c:pt idx="100">
                  <c:v>0.88592592592592589</c:v>
                </c:pt>
                <c:pt idx="101">
                  <c:v>0.88518518518518519</c:v>
                </c:pt>
                <c:pt idx="102">
                  <c:v>0.98962962962962964</c:v>
                </c:pt>
                <c:pt idx="103">
                  <c:v>0.79407407407407404</c:v>
                </c:pt>
                <c:pt idx="104">
                  <c:v>1.0233333333333334</c:v>
                </c:pt>
                <c:pt idx="105">
                  <c:v>0.89</c:v>
                </c:pt>
                <c:pt idx="106">
                  <c:v>0.83259259259259255</c:v>
                </c:pt>
                <c:pt idx="107">
                  <c:v>0.80296296296296299</c:v>
                </c:pt>
                <c:pt idx="108">
                  <c:v>0.81333333333333335</c:v>
                </c:pt>
                <c:pt idx="109">
                  <c:v>0.84</c:v>
                </c:pt>
                <c:pt idx="110">
                  <c:v>1.2749999999999999</c:v>
                </c:pt>
                <c:pt idx="111">
                  <c:v>1.0727272727272728</c:v>
                </c:pt>
                <c:pt idx="112">
                  <c:v>1.1078787878787879</c:v>
                </c:pt>
                <c:pt idx="113">
                  <c:v>1.0036363636363637</c:v>
                </c:pt>
                <c:pt idx="114">
                  <c:v>1.1345454545454545</c:v>
                </c:pt>
                <c:pt idx="115">
                  <c:v>0.99897435897435893</c:v>
                </c:pt>
                <c:pt idx="116">
                  <c:v>0.83692307692307688</c:v>
                </c:pt>
                <c:pt idx="117">
                  <c:v>0.75555555555555554</c:v>
                </c:pt>
                <c:pt idx="118">
                  <c:v>0.75466666666666671</c:v>
                </c:pt>
                <c:pt idx="119">
                  <c:v>0.75</c:v>
                </c:pt>
                <c:pt idx="120">
                  <c:v>0.72222222222222221</c:v>
                </c:pt>
                <c:pt idx="121">
                  <c:v>0.76148148148148154</c:v>
                </c:pt>
                <c:pt idx="122">
                  <c:v>0.93629629629629629</c:v>
                </c:pt>
                <c:pt idx="123">
                  <c:v>0.77629629629629626</c:v>
                </c:pt>
                <c:pt idx="124">
                  <c:v>0.77925925925925921</c:v>
                </c:pt>
                <c:pt idx="125">
                  <c:v>0.80888888888888888</c:v>
                </c:pt>
                <c:pt idx="126">
                  <c:v>0.72962962962962963</c:v>
                </c:pt>
                <c:pt idx="127">
                  <c:v>0.69037037037037041</c:v>
                </c:pt>
                <c:pt idx="128">
                  <c:v>0.83333333333333337</c:v>
                </c:pt>
                <c:pt idx="129">
                  <c:v>0.79666666666666663</c:v>
                </c:pt>
                <c:pt idx="130">
                  <c:v>0.83</c:v>
                </c:pt>
                <c:pt idx="131">
                  <c:v>0.71666666666666667</c:v>
                </c:pt>
                <c:pt idx="132">
                  <c:v>0.67333333333333334</c:v>
                </c:pt>
                <c:pt idx="133">
                  <c:v>0.81</c:v>
                </c:pt>
                <c:pt idx="134">
                  <c:v>0.89333333333333331</c:v>
                </c:pt>
                <c:pt idx="135">
                  <c:v>0.66666666666666663</c:v>
                </c:pt>
                <c:pt idx="136">
                  <c:v>0.91111111111111109</c:v>
                </c:pt>
                <c:pt idx="137">
                  <c:v>0.82666666666666666</c:v>
                </c:pt>
                <c:pt idx="138">
                  <c:v>0.8666666666666667</c:v>
                </c:pt>
                <c:pt idx="139">
                  <c:v>0.80888888888888888</c:v>
                </c:pt>
                <c:pt idx="140">
                  <c:v>0.88</c:v>
                </c:pt>
                <c:pt idx="141">
                  <c:v>0.90555555555555556</c:v>
                </c:pt>
                <c:pt idx="142">
                  <c:v>0.85333333333333339</c:v>
                </c:pt>
                <c:pt idx="143">
                  <c:v>0.77</c:v>
                </c:pt>
                <c:pt idx="144">
                  <c:v>0.72380952380952379</c:v>
                </c:pt>
                <c:pt idx="145">
                  <c:v>0.65714285714285714</c:v>
                </c:pt>
                <c:pt idx="146">
                  <c:v>0.52952380952380951</c:v>
                </c:pt>
                <c:pt idx="147">
                  <c:v>0.34285714285714286</c:v>
                </c:pt>
                <c:pt idx="148">
                  <c:v>0.64444444444444449</c:v>
                </c:pt>
                <c:pt idx="149">
                  <c:v>0.58666666666666667</c:v>
                </c:pt>
                <c:pt idx="150">
                  <c:v>0.61333333333333329</c:v>
                </c:pt>
                <c:pt idx="151">
                  <c:v>0.84888888888888892</c:v>
                </c:pt>
                <c:pt idx="152">
                  <c:v>0.68</c:v>
                </c:pt>
                <c:pt idx="153">
                  <c:v>0.52</c:v>
                </c:pt>
                <c:pt idx="154">
                  <c:v>0.44583333333333336</c:v>
                </c:pt>
                <c:pt idx="155">
                  <c:v>0.72777777777777775</c:v>
                </c:pt>
                <c:pt idx="156">
                  <c:v>0.74222222222222223</c:v>
                </c:pt>
                <c:pt idx="157">
                  <c:v>0.82666666666666666</c:v>
                </c:pt>
                <c:pt idx="158">
                  <c:v>0.62666666666666671</c:v>
                </c:pt>
                <c:pt idx="159">
                  <c:v>0.97777777777777775</c:v>
                </c:pt>
                <c:pt idx="160">
                  <c:v>0.62857142857142856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411-4D57-9375-22409A0C22EF}"/>
            </c:ext>
          </c:extLst>
        </c:ser>
        <c:ser>
          <c:idx val="5"/>
          <c:order val="4"/>
          <c:tx>
            <c:strRef>
              <c:f>'Team Eff'!$F$64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('Team Eff'!$A$65:$A$101,'Team Eff'!$A$103:$A$128,'Team Eff'!$A$130:$A$156,'Team Eff'!$A$158:$A$183,'Team Eff'!$A$185:$A$206,'Team Eff'!$A$208:$A$229)</c:f>
              <c:strCache>
                <c:ptCount val="160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22 2020</c:v>
                </c:pt>
                <c:pt idx="38">
                  <c:v>Week 23 2020</c:v>
                </c:pt>
                <c:pt idx="39">
                  <c:v>Week 24 2020</c:v>
                </c:pt>
                <c:pt idx="40">
                  <c:v>Week 25 2020</c:v>
                </c:pt>
                <c:pt idx="41">
                  <c:v>Week 26 2020</c:v>
                </c:pt>
                <c:pt idx="42">
                  <c:v>Week 27 2020</c:v>
                </c:pt>
                <c:pt idx="43">
                  <c:v>Week 28 2020</c:v>
                </c:pt>
                <c:pt idx="44">
                  <c:v>Week 29 2020</c:v>
                </c:pt>
                <c:pt idx="45">
                  <c:v>Week 30 2020</c:v>
                </c:pt>
                <c:pt idx="46">
                  <c:v>Week 31 2020</c:v>
                </c:pt>
                <c:pt idx="47">
                  <c:v>Week 32 2020</c:v>
                </c:pt>
                <c:pt idx="48">
                  <c:v>Week 34 2020</c:v>
                </c:pt>
                <c:pt idx="49">
                  <c:v>Week 35 2020</c:v>
                </c:pt>
                <c:pt idx="50">
                  <c:v>Week 36 2020</c:v>
                </c:pt>
                <c:pt idx="51">
                  <c:v>Week 37 2020</c:v>
                </c:pt>
                <c:pt idx="52">
                  <c:v>Week 38 2020</c:v>
                </c:pt>
                <c:pt idx="53">
                  <c:v>Week 39 2020</c:v>
                </c:pt>
                <c:pt idx="54">
                  <c:v>Week 40 2020</c:v>
                </c:pt>
                <c:pt idx="55">
                  <c:v>Week 41 2020</c:v>
                </c:pt>
                <c:pt idx="56">
                  <c:v>Week 42 2020</c:v>
                </c:pt>
                <c:pt idx="57">
                  <c:v>Week 43 2020</c:v>
                </c:pt>
                <c:pt idx="58">
                  <c:v>Week 44 2020</c:v>
                </c:pt>
                <c:pt idx="59">
                  <c:v>Week 45 2020</c:v>
                </c:pt>
                <c:pt idx="60">
                  <c:v>Week 45 2020</c:v>
                </c:pt>
                <c:pt idx="61">
                  <c:v>Week 46 2020</c:v>
                </c:pt>
                <c:pt idx="62">
                  <c:v>Week 47 2020</c:v>
                </c:pt>
                <c:pt idx="63">
                  <c:v>Week 48 2020</c:v>
                </c:pt>
                <c:pt idx="64">
                  <c:v>Week 49 2020</c:v>
                </c:pt>
                <c:pt idx="65">
                  <c:v>Week 50 2020</c:v>
                </c:pt>
                <c:pt idx="66">
                  <c:v>Week 06 2021</c:v>
                </c:pt>
                <c:pt idx="67">
                  <c:v>Week 07 2021</c:v>
                </c:pt>
                <c:pt idx="68">
                  <c:v>Week 08 2021</c:v>
                </c:pt>
                <c:pt idx="69">
                  <c:v>Week 09 2021</c:v>
                </c:pt>
                <c:pt idx="70">
                  <c:v>Week 10 2021</c:v>
                </c:pt>
                <c:pt idx="71">
                  <c:v>Week 11 2021</c:v>
                </c:pt>
                <c:pt idx="72">
                  <c:v>Week 12 2021</c:v>
                </c:pt>
                <c:pt idx="73">
                  <c:v>Week 13 2021</c:v>
                </c:pt>
                <c:pt idx="74">
                  <c:v>Week 14 2021</c:v>
                </c:pt>
                <c:pt idx="75">
                  <c:v>Week 15 2021</c:v>
                </c:pt>
                <c:pt idx="76">
                  <c:v>Week 16 2021</c:v>
                </c:pt>
                <c:pt idx="77">
                  <c:v>Week 17 2021</c:v>
                </c:pt>
                <c:pt idx="78">
                  <c:v>Week 18 2021</c:v>
                </c:pt>
                <c:pt idx="79">
                  <c:v>Week 19 2021</c:v>
                </c:pt>
                <c:pt idx="80">
                  <c:v>Week 20 2021</c:v>
                </c:pt>
                <c:pt idx="81">
                  <c:v>Week 21 2021</c:v>
                </c:pt>
                <c:pt idx="82">
                  <c:v>Week 24 2021</c:v>
                </c:pt>
                <c:pt idx="83">
                  <c:v>Week 25 2021</c:v>
                </c:pt>
                <c:pt idx="84">
                  <c:v>Week 26 2021</c:v>
                </c:pt>
                <c:pt idx="85">
                  <c:v>Week 27 2021</c:v>
                </c:pt>
                <c:pt idx="86">
                  <c:v>Week 28 2021</c:v>
                </c:pt>
                <c:pt idx="87">
                  <c:v>Week 29 2021</c:v>
                </c:pt>
                <c:pt idx="88">
                  <c:v>Week 30 2021</c:v>
                </c:pt>
                <c:pt idx="89">
                  <c:v>Week 31 2021</c:v>
                </c:pt>
                <c:pt idx="90">
                  <c:v>Week 33 2021</c:v>
                </c:pt>
                <c:pt idx="91">
                  <c:v>Week 34 2021</c:v>
                </c:pt>
                <c:pt idx="92">
                  <c:v>Week 35 2021</c:v>
                </c:pt>
                <c:pt idx="93">
                  <c:v>Week 36 2021</c:v>
                </c:pt>
                <c:pt idx="94">
                  <c:v>Week 37 2021</c:v>
                </c:pt>
                <c:pt idx="95">
                  <c:v>Week 38 2021</c:v>
                </c:pt>
                <c:pt idx="96">
                  <c:v>Week 39 2021</c:v>
                </c:pt>
                <c:pt idx="97">
                  <c:v>Week 40 2021</c:v>
                </c:pt>
                <c:pt idx="98">
                  <c:v>Week 41 2021</c:v>
                </c:pt>
                <c:pt idx="99">
                  <c:v>Week 42 2021</c:v>
                </c:pt>
                <c:pt idx="100">
                  <c:v>Week 43 2021</c:v>
                </c:pt>
                <c:pt idx="101">
                  <c:v>Week 44 2021</c:v>
                </c:pt>
                <c:pt idx="102">
                  <c:v>Week 45 2021</c:v>
                </c:pt>
                <c:pt idx="103">
                  <c:v>Week 46 2021</c:v>
                </c:pt>
                <c:pt idx="104">
                  <c:v>Week 47 2021</c:v>
                </c:pt>
                <c:pt idx="105">
                  <c:v>Week 48 2021</c:v>
                </c:pt>
                <c:pt idx="106">
                  <c:v>Week 49 2021</c:v>
                </c:pt>
                <c:pt idx="107">
                  <c:v>Week 3 2022</c:v>
                </c:pt>
                <c:pt idx="108">
                  <c:v>Week 4 2022</c:v>
                </c:pt>
                <c:pt idx="109">
                  <c:v>Week 5 2022</c:v>
                </c:pt>
                <c:pt idx="110">
                  <c:v>Week 6 2022</c:v>
                </c:pt>
                <c:pt idx="111">
                  <c:v>Week 7 2022</c:v>
                </c:pt>
                <c:pt idx="112">
                  <c:v>Week 8 2022</c:v>
                </c:pt>
                <c:pt idx="113">
                  <c:v>Week 9 2022</c:v>
                </c:pt>
                <c:pt idx="114">
                  <c:v>Week 10 2022</c:v>
                </c:pt>
                <c:pt idx="115">
                  <c:v>Week 11 2022</c:v>
                </c:pt>
                <c:pt idx="116">
                  <c:v>Week 13 2022</c:v>
                </c:pt>
                <c:pt idx="117">
                  <c:v>Week 14 2022</c:v>
                </c:pt>
                <c:pt idx="118">
                  <c:v>Week 15 2022</c:v>
                </c:pt>
                <c:pt idx="119">
                  <c:v>Week 17 2022</c:v>
                </c:pt>
                <c:pt idx="120">
                  <c:v>Week 18 2022</c:v>
                </c:pt>
                <c:pt idx="121">
                  <c:v>Week 19 2022</c:v>
                </c:pt>
                <c:pt idx="122">
                  <c:v>Week 20 2022</c:v>
                </c:pt>
                <c:pt idx="123">
                  <c:v>Week 21 2022</c:v>
                </c:pt>
                <c:pt idx="124">
                  <c:v>Week 22 2022</c:v>
                </c:pt>
                <c:pt idx="125">
                  <c:v>Week 23 2022</c:v>
                </c:pt>
                <c:pt idx="126">
                  <c:v>Week 24 2022</c:v>
                </c:pt>
                <c:pt idx="127">
                  <c:v>Week 25 2022</c:v>
                </c:pt>
                <c:pt idx="128">
                  <c:v>Week 26 2022</c:v>
                </c:pt>
                <c:pt idx="129">
                  <c:v>Week 27 2022</c:v>
                </c:pt>
                <c:pt idx="130">
                  <c:v>Week 28 2022</c:v>
                </c:pt>
                <c:pt idx="131">
                  <c:v>Week 29 2022</c:v>
                </c:pt>
                <c:pt idx="132">
                  <c:v>Week 30 2022</c:v>
                </c:pt>
                <c:pt idx="133">
                  <c:v>Week 31 2022</c:v>
                </c:pt>
                <c:pt idx="134">
                  <c:v>Week 32 2022</c:v>
                </c:pt>
                <c:pt idx="135">
                  <c:v>Week 33 2022</c:v>
                </c:pt>
                <c:pt idx="136">
                  <c:v>Week 34 2022</c:v>
                </c:pt>
                <c:pt idx="137">
                  <c:v>Week 35 2022</c:v>
                </c:pt>
                <c:pt idx="138">
                  <c:v>Week 37 2022</c:v>
                </c:pt>
                <c:pt idx="139">
                  <c:v>Week 38 2022</c:v>
                </c:pt>
                <c:pt idx="140">
                  <c:v>Week 39 2022</c:v>
                </c:pt>
                <c:pt idx="141">
                  <c:v>Week 40 2022</c:v>
                </c:pt>
                <c:pt idx="142">
                  <c:v>Week 41 2022</c:v>
                </c:pt>
                <c:pt idx="143">
                  <c:v>Week 42 2022</c:v>
                </c:pt>
                <c:pt idx="144">
                  <c:v>Week 43 2022</c:v>
                </c:pt>
                <c:pt idx="145">
                  <c:v>Week 44 2022</c:v>
                </c:pt>
                <c:pt idx="146">
                  <c:v>Week 45 2022</c:v>
                </c:pt>
                <c:pt idx="147">
                  <c:v>Week 46 2022</c:v>
                </c:pt>
                <c:pt idx="148">
                  <c:v>Week 47 2022</c:v>
                </c:pt>
                <c:pt idx="149">
                  <c:v>Week 48 2022</c:v>
                </c:pt>
                <c:pt idx="150">
                  <c:v>Week 49 2022</c:v>
                </c:pt>
                <c:pt idx="151">
                  <c:v>Week 03 2023</c:v>
                </c:pt>
                <c:pt idx="152">
                  <c:v>Week 04 2023</c:v>
                </c:pt>
                <c:pt idx="153">
                  <c:v>Week 05 2023</c:v>
                </c:pt>
                <c:pt idx="154">
                  <c:v>Week 06 2023</c:v>
                </c:pt>
                <c:pt idx="155">
                  <c:v>Week 07 2023</c:v>
                </c:pt>
                <c:pt idx="156">
                  <c:v>Week 08 2023</c:v>
                </c:pt>
                <c:pt idx="157">
                  <c:v>Week 09 2023</c:v>
                </c:pt>
                <c:pt idx="158">
                  <c:v>Week 10 2023</c:v>
                </c:pt>
                <c:pt idx="159">
                  <c:v>Week 11 2023</c:v>
                </c:pt>
              </c:strCache>
            </c:strRef>
          </c:cat>
          <c:val>
            <c:numRef>
              <c:f>('Team Eff'!$F$65:$F$128,'Team Eff'!$F$130:$F$156,'Team Eff'!$F$158:$F$183,'Team Eff'!$F$185:$F$206,'Team Eff'!$F$208:$F$229)</c:f>
              <c:numCache>
                <c:formatCode>0%</c:formatCode>
                <c:ptCount val="161"/>
                <c:pt idx="0">
                  <c:v>0.55000000000000004</c:v>
                </c:pt>
                <c:pt idx="1">
                  <c:v>0.57999999999999996</c:v>
                </c:pt>
                <c:pt idx="2">
                  <c:v>0.64</c:v>
                </c:pt>
                <c:pt idx="3">
                  <c:v>0.65</c:v>
                </c:pt>
                <c:pt idx="4">
                  <c:v>0.6353623188405797</c:v>
                </c:pt>
                <c:pt idx="5">
                  <c:v>0.67671497584541063</c:v>
                </c:pt>
                <c:pt idx="6">
                  <c:v>0.72541062801932366</c:v>
                </c:pt>
                <c:pt idx="7">
                  <c:v>0.76542995169082129</c:v>
                </c:pt>
                <c:pt idx="8">
                  <c:v>0.67215458937198069</c:v>
                </c:pt>
                <c:pt idx="9">
                  <c:v>0.72410256410256413</c:v>
                </c:pt>
                <c:pt idx="10">
                  <c:v>0.73353846153846158</c:v>
                </c:pt>
                <c:pt idx="11">
                  <c:v>0.70112820512820517</c:v>
                </c:pt>
                <c:pt idx="12">
                  <c:v>0.79425641025641025</c:v>
                </c:pt>
                <c:pt idx="13">
                  <c:v>0.70769230769230773</c:v>
                </c:pt>
                <c:pt idx="14">
                  <c:v>0.74133333333333329</c:v>
                </c:pt>
                <c:pt idx="15">
                  <c:v>0.745</c:v>
                </c:pt>
                <c:pt idx="16">
                  <c:v>0.75885416666666672</c:v>
                </c:pt>
                <c:pt idx="17">
                  <c:v>0.71666666666666667</c:v>
                </c:pt>
                <c:pt idx="18">
                  <c:v>0.75791666666666668</c:v>
                </c:pt>
                <c:pt idx="19">
                  <c:v>0.7533333333333333</c:v>
                </c:pt>
                <c:pt idx="20">
                  <c:v>0.78933333333333333</c:v>
                </c:pt>
                <c:pt idx="21">
                  <c:v>0.81066666666666665</c:v>
                </c:pt>
                <c:pt idx="22">
                  <c:v>0.81558974358974357</c:v>
                </c:pt>
                <c:pt idx="23">
                  <c:v>0.78787878787878785</c:v>
                </c:pt>
                <c:pt idx="24">
                  <c:v>0.8108212560386473</c:v>
                </c:pt>
                <c:pt idx="25">
                  <c:v>0.79227053140096615</c:v>
                </c:pt>
                <c:pt idx="26">
                  <c:v>0.79</c:v>
                </c:pt>
                <c:pt idx="27">
                  <c:v>0.83569023569023571</c:v>
                </c:pt>
                <c:pt idx="28">
                  <c:v>0.87124999999999997</c:v>
                </c:pt>
                <c:pt idx="29">
                  <c:v>0.8125</c:v>
                </c:pt>
                <c:pt idx="30">
                  <c:v>0.79833333333333334</c:v>
                </c:pt>
                <c:pt idx="31">
                  <c:v>0.81874999999999998</c:v>
                </c:pt>
                <c:pt idx="32">
                  <c:v>0.74909090909090914</c:v>
                </c:pt>
                <c:pt idx="33">
                  <c:v>0.70153846153846156</c:v>
                </c:pt>
                <c:pt idx="34">
                  <c:v>0.68666666666666665</c:v>
                </c:pt>
                <c:pt idx="35">
                  <c:v>0.75979487179487182</c:v>
                </c:pt>
                <c:pt idx="36">
                  <c:v>0.83208333333333329</c:v>
                </c:pt>
                <c:pt idx="37">
                  <c:v>0.88666666666666671</c:v>
                </c:pt>
                <c:pt idx="38">
                  <c:v>0.88451282051282054</c:v>
                </c:pt>
                <c:pt idx="39">
                  <c:v>0.89384615384615385</c:v>
                </c:pt>
                <c:pt idx="40">
                  <c:v>0.85</c:v>
                </c:pt>
                <c:pt idx="41">
                  <c:v>0.842020202020202</c:v>
                </c:pt>
                <c:pt idx="42">
                  <c:v>0.85</c:v>
                </c:pt>
                <c:pt idx="43">
                  <c:v>0.81275362318840583</c:v>
                </c:pt>
                <c:pt idx="44">
                  <c:v>0.85</c:v>
                </c:pt>
                <c:pt idx="45">
                  <c:v>0.82062222222222225</c:v>
                </c:pt>
                <c:pt idx="46">
                  <c:v>0.80525821596244129</c:v>
                </c:pt>
                <c:pt idx="47">
                  <c:v>0.8231884057971014</c:v>
                </c:pt>
                <c:pt idx="48">
                  <c:v>0.77555555555555555</c:v>
                </c:pt>
                <c:pt idx="49">
                  <c:v>0.79407407407407404</c:v>
                </c:pt>
                <c:pt idx="50">
                  <c:v>0.77111111111111108</c:v>
                </c:pt>
                <c:pt idx="51">
                  <c:v>0.79699530516431927</c:v>
                </c:pt>
                <c:pt idx="52">
                  <c:v>0.81790476190476191</c:v>
                </c:pt>
                <c:pt idx="53">
                  <c:v>0.83619047619047615</c:v>
                </c:pt>
                <c:pt idx="54">
                  <c:v>0.76582159624413149</c:v>
                </c:pt>
                <c:pt idx="55">
                  <c:v>0.76529680365296804</c:v>
                </c:pt>
                <c:pt idx="56">
                  <c:v>0.76936936936936939</c:v>
                </c:pt>
                <c:pt idx="57">
                  <c:v>0.79146666666666665</c:v>
                </c:pt>
                <c:pt idx="58">
                  <c:v>0.76480000000000004</c:v>
                </c:pt>
                <c:pt idx="59">
                  <c:v>0.79176954732510285</c:v>
                </c:pt>
                <c:pt idx="60">
                  <c:v>0.78847736625514409</c:v>
                </c:pt>
                <c:pt idx="61">
                  <c:v>0.81499999999999995</c:v>
                </c:pt>
                <c:pt idx="62">
                  <c:v>0.79800000000000004</c:v>
                </c:pt>
                <c:pt idx="63">
                  <c:v>0.72766666666666668</c:v>
                </c:pt>
                <c:pt idx="64">
                  <c:v>0.73223333333333329</c:v>
                </c:pt>
                <c:pt idx="65">
                  <c:v>0.70066666666666666</c:v>
                </c:pt>
                <c:pt idx="66">
                  <c:v>0.69533333333333336</c:v>
                </c:pt>
                <c:pt idx="67">
                  <c:v>0.73101851851851851</c:v>
                </c:pt>
                <c:pt idx="68">
                  <c:v>0.81777777777777783</c:v>
                </c:pt>
                <c:pt idx="69">
                  <c:v>0.77333333333333332</c:v>
                </c:pt>
                <c:pt idx="70">
                  <c:v>0.82383838383838381</c:v>
                </c:pt>
                <c:pt idx="71">
                  <c:v>0.81294117647058828</c:v>
                </c:pt>
                <c:pt idx="72">
                  <c:v>0.77294117647058824</c:v>
                </c:pt>
                <c:pt idx="73">
                  <c:v>0.80713615023474183</c:v>
                </c:pt>
                <c:pt idx="74">
                  <c:v>0.8183098591549296</c:v>
                </c:pt>
                <c:pt idx="75">
                  <c:v>0.73972602739726023</c:v>
                </c:pt>
                <c:pt idx="76">
                  <c:v>0.75652968036529677</c:v>
                </c:pt>
                <c:pt idx="77">
                  <c:v>0.77888888888888885</c:v>
                </c:pt>
                <c:pt idx="78">
                  <c:v>0.76990740740740737</c:v>
                </c:pt>
                <c:pt idx="79">
                  <c:v>0.79086757990867584</c:v>
                </c:pt>
                <c:pt idx="80">
                  <c:v>0.76288288288288286</c:v>
                </c:pt>
                <c:pt idx="81">
                  <c:v>0.76288288288288286</c:v>
                </c:pt>
                <c:pt idx="82">
                  <c:v>0.75789473684210529</c:v>
                </c:pt>
                <c:pt idx="83">
                  <c:v>0.75697777777777775</c:v>
                </c:pt>
                <c:pt idx="84">
                  <c:v>0.69048888888888893</c:v>
                </c:pt>
                <c:pt idx="85">
                  <c:v>0.72912280701754384</c:v>
                </c:pt>
                <c:pt idx="86">
                  <c:v>0.78826666666666667</c:v>
                </c:pt>
                <c:pt idx="87">
                  <c:v>0.81386666666666663</c:v>
                </c:pt>
                <c:pt idx="88">
                  <c:v>0.81173333333333331</c:v>
                </c:pt>
                <c:pt idx="89">
                  <c:v>0.78234234234234235</c:v>
                </c:pt>
                <c:pt idx="90">
                  <c:v>0.72072072072072069</c:v>
                </c:pt>
                <c:pt idx="91">
                  <c:v>0.67089430894308943</c:v>
                </c:pt>
                <c:pt idx="92">
                  <c:v>0.70406504065040654</c:v>
                </c:pt>
                <c:pt idx="93">
                  <c:v>0.72796934865900387</c:v>
                </c:pt>
                <c:pt idx="94">
                  <c:v>0.76689655172413795</c:v>
                </c:pt>
                <c:pt idx="95">
                  <c:v>0.79417624521072794</c:v>
                </c:pt>
                <c:pt idx="96">
                  <c:v>0.79184313725490196</c:v>
                </c:pt>
                <c:pt idx="97">
                  <c:v>0.83105882352941174</c:v>
                </c:pt>
                <c:pt idx="98">
                  <c:v>0.78951310861423218</c:v>
                </c:pt>
                <c:pt idx="99">
                  <c:v>0.8002996254681648</c:v>
                </c:pt>
                <c:pt idx="100">
                  <c:v>0.83475655430711615</c:v>
                </c:pt>
                <c:pt idx="101">
                  <c:v>0.83598484848484844</c:v>
                </c:pt>
                <c:pt idx="102">
                  <c:v>0.85186813186813182</c:v>
                </c:pt>
                <c:pt idx="103">
                  <c:v>0.80533333333333335</c:v>
                </c:pt>
                <c:pt idx="104">
                  <c:v>0.82143790849673204</c:v>
                </c:pt>
                <c:pt idx="105">
                  <c:v>0.83137254901960789</c:v>
                </c:pt>
                <c:pt idx="106">
                  <c:v>0.79261904761904767</c:v>
                </c:pt>
                <c:pt idx="107">
                  <c:v>0.79738095238095241</c:v>
                </c:pt>
                <c:pt idx="108">
                  <c:v>0.69066666666666665</c:v>
                </c:pt>
                <c:pt idx="109">
                  <c:v>0.68733333333333335</c:v>
                </c:pt>
                <c:pt idx="110">
                  <c:v>0.61460055096418731</c:v>
                </c:pt>
                <c:pt idx="111">
                  <c:v>0.69453125000000004</c:v>
                </c:pt>
                <c:pt idx="112">
                  <c:v>0.68125000000000002</c:v>
                </c:pt>
                <c:pt idx="113">
                  <c:v>0.67729166666666663</c:v>
                </c:pt>
                <c:pt idx="114">
                  <c:v>0.58520833333333333</c:v>
                </c:pt>
                <c:pt idx="115">
                  <c:v>0.60882051282051286</c:v>
                </c:pt>
                <c:pt idx="116">
                  <c:v>0.61374677002583977</c:v>
                </c:pt>
                <c:pt idx="117">
                  <c:v>0.71955182072829127</c:v>
                </c:pt>
                <c:pt idx="118">
                  <c:v>0.75862068965517238</c:v>
                </c:pt>
                <c:pt idx="119">
                  <c:v>0.75344827586206897</c:v>
                </c:pt>
                <c:pt idx="120">
                  <c:v>0.65416666666666667</c:v>
                </c:pt>
                <c:pt idx="121">
                  <c:v>0.67939939939939942</c:v>
                </c:pt>
                <c:pt idx="122">
                  <c:v>0.63234567901234573</c:v>
                </c:pt>
                <c:pt idx="123">
                  <c:v>0.68974358974358974</c:v>
                </c:pt>
                <c:pt idx="124">
                  <c:v>0.7038461538461539</c:v>
                </c:pt>
                <c:pt idx="125">
                  <c:v>0.68198019801980203</c:v>
                </c:pt>
                <c:pt idx="126">
                  <c:v>0.74239482200647244</c:v>
                </c:pt>
                <c:pt idx="127">
                  <c:v>0.69028571428571428</c:v>
                </c:pt>
                <c:pt idx="128">
                  <c:v>0.68379204892966361</c:v>
                </c:pt>
                <c:pt idx="129">
                  <c:v>0.67713395638629281</c:v>
                </c:pt>
                <c:pt idx="130">
                  <c:v>0.72172839506172837</c:v>
                </c:pt>
                <c:pt idx="131">
                  <c:v>0.66915887850467293</c:v>
                </c:pt>
                <c:pt idx="132">
                  <c:v>0.74</c:v>
                </c:pt>
                <c:pt idx="133">
                  <c:v>0.65081761006289307</c:v>
                </c:pt>
                <c:pt idx="134">
                  <c:v>0.70593939393939398</c:v>
                </c:pt>
                <c:pt idx="135">
                  <c:v>0.74152905198776753</c:v>
                </c:pt>
                <c:pt idx="136">
                  <c:v>0.71266055045871557</c:v>
                </c:pt>
                <c:pt idx="137">
                  <c:v>0.70198830409356727</c:v>
                </c:pt>
                <c:pt idx="138">
                  <c:v>0.69101449275362314</c:v>
                </c:pt>
                <c:pt idx="139">
                  <c:v>0.69333333333333336</c:v>
                </c:pt>
                <c:pt idx="140">
                  <c:v>0.69356321839080459</c:v>
                </c:pt>
                <c:pt idx="141">
                  <c:v>0.65042016806722691</c:v>
                </c:pt>
                <c:pt idx="142">
                  <c:v>0.69604519774011298</c:v>
                </c:pt>
                <c:pt idx="143">
                  <c:v>0.7111864406779661</c:v>
                </c:pt>
                <c:pt idx="144">
                  <c:v>0.70551724137931038</c:v>
                </c:pt>
                <c:pt idx="145">
                  <c:v>0.68103448275862066</c:v>
                </c:pt>
                <c:pt idx="146">
                  <c:v>0.62824858757062152</c:v>
                </c:pt>
                <c:pt idx="147">
                  <c:v>0.62508474576271189</c:v>
                </c:pt>
                <c:pt idx="148">
                  <c:v>0.62</c:v>
                </c:pt>
                <c:pt idx="149">
                  <c:v>0.60071684587813623</c:v>
                </c:pt>
                <c:pt idx="150">
                  <c:v>0.52215053763440855</c:v>
                </c:pt>
                <c:pt idx="151">
                  <c:v>0.54050179211469529</c:v>
                </c:pt>
                <c:pt idx="152">
                  <c:v>0.61333333333333329</c:v>
                </c:pt>
                <c:pt idx="153">
                  <c:v>0.59899999999999998</c:v>
                </c:pt>
                <c:pt idx="154">
                  <c:v>0.6595833333333333</c:v>
                </c:pt>
                <c:pt idx="155">
                  <c:v>0.67380952380952386</c:v>
                </c:pt>
                <c:pt idx="156">
                  <c:v>0.7318095238095238</c:v>
                </c:pt>
                <c:pt idx="157">
                  <c:v>0.68914285714285717</c:v>
                </c:pt>
                <c:pt idx="158">
                  <c:v>0.56307692307692303</c:v>
                </c:pt>
                <c:pt idx="159">
                  <c:v>0.57504273504273506</c:v>
                </c:pt>
                <c:pt idx="160">
                  <c:v>0.6223376623376623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411-4D57-9375-22409A0C22EF}"/>
            </c:ext>
          </c:extLst>
        </c:ser>
        <c:ser>
          <c:idx val="1"/>
          <c:order val="5"/>
          <c:tx>
            <c:strRef>
              <c:f>'Team Eff'!$G$64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Eff'!$A$65:$A$101,'Team Eff'!$A$103:$A$128,'Team Eff'!$A$130:$A$156,'Team Eff'!$A$158:$A$183,'Team Eff'!$A$185:$A$206,'Team Eff'!$A$208:$A$229)</c:f>
              <c:strCache>
                <c:ptCount val="160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22 2020</c:v>
                </c:pt>
                <c:pt idx="38">
                  <c:v>Week 23 2020</c:v>
                </c:pt>
                <c:pt idx="39">
                  <c:v>Week 24 2020</c:v>
                </c:pt>
                <c:pt idx="40">
                  <c:v>Week 25 2020</c:v>
                </c:pt>
                <c:pt idx="41">
                  <c:v>Week 26 2020</c:v>
                </c:pt>
                <c:pt idx="42">
                  <c:v>Week 27 2020</c:v>
                </c:pt>
                <c:pt idx="43">
                  <c:v>Week 28 2020</c:v>
                </c:pt>
                <c:pt idx="44">
                  <c:v>Week 29 2020</c:v>
                </c:pt>
                <c:pt idx="45">
                  <c:v>Week 30 2020</c:v>
                </c:pt>
                <c:pt idx="46">
                  <c:v>Week 31 2020</c:v>
                </c:pt>
                <c:pt idx="47">
                  <c:v>Week 32 2020</c:v>
                </c:pt>
                <c:pt idx="48">
                  <c:v>Week 34 2020</c:v>
                </c:pt>
                <c:pt idx="49">
                  <c:v>Week 35 2020</c:v>
                </c:pt>
                <c:pt idx="50">
                  <c:v>Week 36 2020</c:v>
                </c:pt>
                <c:pt idx="51">
                  <c:v>Week 37 2020</c:v>
                </c:pt>
                <c:pt idx="52">
                  <c:v>Week 38 2020</c:v>
                </c:pt>
                <c:pt idx="53">
                  <c:v>Week 39 2020</c:v>
                </c:pt>
                <c:pt idx="54">
                  <c:v>Week 40 2020</c:v>
                </c:pt>
                <c:pt idx="55">
                  <c:v>Week 41 2020</c:v>
                </c:pt>
                <c:pt idx="56">
                  <c:v>Week 42 2020</c:v>
                </c:pt>
                <c:pt idx="57">
                  <c:v>Week 43 2020</c:v>
                </c:pt>
                <c:pt idx="58">
                  <c:v>Week 44 2020</c:v>
                </c:pt>
                <c:pt idx="59">
                  <c:v>Week 45 2020</c:v>
                </c:pt>
                <c:pt idx="60">
                  <c:v>Week 45 2020</c:v>
                </c:pt>
                <c:pt idx="61">
                  <c:v>Week 46 2020</c:v>
                </c:pt>
                <c:pt idx="62">
                  <c:v>Week 47 2020</c:v>
                </c:pt>
                <c:pt idx="63">
                  <c:v>Week 48 2020</c:v>
                </c:pt>
                <c:pt idx="64">
                  <c:v>Week 49 2020</c:v>
                </c:pt>
                <c:pt idx="65">
                  <c:v>Week 50 2020</c:v>
                </c:pt>
                <c:pt idx="66">
                  <c:v>Week 06 2021</c:v>
                </c:pt>
                <c:pt idx="67">
                  <c:v>Week 07 2021</c:v>
                </c:pt>
                <c:pt idx="68">
                  <c:v>Week 08 2021</c:v>
                </c:pt>
                <c:pt idx="69">
                  <c:v>Week 09 2021</c:v>
                </c:pt>
                <c:pt idx="70">
                  <c:v>Week 10 2021</c:v>
                </c:pt>
                <c:pt idx="71">
                  <c:v>Week 11 2021</c:v>
                </c:pt>
                <c:pt idx="72">
                  <c:v>Week 12 2021</c:v>
                </c:pt>
                <c:pt idx="73">
                  <c:v>Week 13 2021</c:v>
                </c:pt>
                <c:pt idx="74">
                  <c:v>Week 14 2021</c:v>
                </c:pt>
                <c:pt idx="75">
                  <c:v>Week 15 2021</c:v>
                </c:pt>
                <c:pt idx="76">
                  <c:v>Week 16 2021</c:v>
                </c:pt>
                <c:pt idx="77">
                  <c:v>Week 17 2021</c:v>
                </c:pt>
                <c:pt idx="78">
                  <c:v>Week 18 2021</c:v>
                </c:pt>
                <c:pt idx="79">
                  <c:v>Week 19 2021</c:v>
                </c:pt>
                <c:pt idx="80">
                  <c:v>Week 20 2021</c:v>
                </c:pt>
                <c:pt idx="81">
                  <c:v>Week 21 2021</c:v>
                </c:pt>
                <c:pt idx="82">
                  <c:v>Week 24 2021</c:v>
                </c:pt>
                <c:pt idx="83">
                  <c:v>Week 25 2021</c:v>
                </c:pt>
                <c:pt idx="84">
                  <c:v>Week 26 2021</c:v>
                </c:pt>
                <c:pt idx="85">
                  <c:v>Week 27 2021</c:v>
                </c:pt>
                <c:pt idx="86">
                  <c:v>Week 28 2021</c:v>
                </c:pt>
                <c:pt idx="87">
                  <c:v>Week 29 2021</c:v>
                </c:pt>
                <c:pt idx="88">
                  <c:v>Week 30 2021</c:v>
                </c:pt>
                <c:pt idx="89">
                  <c:v>Week 31 2021</c:v>
                </c:pt>
                <c:pt idx="90">
                  <c:v>Week 33 2021</c:v>
                </c:pt>
                <c:pt idx="91">
                  <c:v>Week 34 2021</c:v>
                </c:pt>
                <c:pt idx="92">
                  <c:v>Week 35 2021</c:v>
                </c:pt>
                <c:pt idx="93">
                  <c:v>Week 36 2021</c:v>
                </c:pt>
                <c:pt idx="94">
                  <c:v>Week 37 2021</c:v>
                </c:pt>
                <c:pt idx="95">
                  <c:v>Week 38 2021</c:v>
                </c:pt>
                <c:pt idx="96">
                  <c:v>Week 39 2021</c:v>
                </c:pt>
                <c:pt idx="97">
                  <c:v>Week 40 2021</c:v>
                </c:pt>
                <c:pt idx="98">
                  <c:v>Week 41 2021</c:v>
                </c:pt>
                <c:pt idx="99">
                  <c:v>Week 42 2021</c:v>
                </c:pt>
                <c:pt idx="100">
                  <c:v>Week 43 2021</c:v>
                </c:pt>
                <c:pt idx="101">
                  <c:v>Week 44 2021</c:v>
                </c:pt>
                <c:pt idx="102">
                  <c:v>Week 45 2021</c:v>
                </c:pt>
                <c:pt idx="103">
                  <c:v>Week 46 2021</c:v>
                </c:pt>
                <c:pt idx="104">
                  <c:v>Week 47 2021</c:v>
                </c:pt>
                <c:pt idx="105">
                  <c:v>Week 48 2021</c:v>
                </c:pt>
                <c:pt idx="106">
                  <c:v>Week 49 2021</c:v>
                </c:pt>
                <c:pt idx="107">
                  <c:v>Week 3 2022</c:v>
                </c:pt>
                <c:pt idx="108">
                  <c:v>Week 4 2022</c:v>
                </c:pt>
                <c:pt idx="109">
                  <c:v>Week 5 2022</c:v>
                </c:pt>
                <c:pt idx="110">
                  <c:v>Week 6 2022</c:v>
                </c:pt>
                <c:pt idx="111">
                  <c:v>Week 7 2022</c:v>
                </c:pt>
                <c:pt idx="112">
                  <c:v>Week 8 2022</c:v>
                </c:pt>
                <c:pt idx="113">
                  <c:v>Week 9 2022</c:v>
                </c:pt>
                <c:pt idx="114">
                  <c:v>Week 10 2022</c:v>
                </c:pt>
                <c:pt idx="115">
                  <c:v>Week 11 2022</c:v>
                </c:pt>
                <c:pt idx="116">
                  <c:v>Week 13 2022</c:v>
                </c:pt>
                <c:pt idx="117">
                  <c:v>Week 14 2022</c:v>
                </c:pt>
                <c:pt idx="118">
                  <c:v>Week 15 2022</c:v>
                </c:pt>
                <c:pt idx="119">
                  <c:v>Week 17 2022</c:v>
                </c:pt>
                <c:pt idx="120">
                  <c:v>Week 18 2022</c:v>
                </c:pt>
                <c:pt idx="121">
                  <c:v>Week 19 2022</c:v>
                </c:pt>
                <c:pt idx="122">
                  <c:v>Week 20 2022</c:v>
                </c:pt>
                <c:pt idx="123">
                  <c:v>Week 21 2022</c:v>
                </c:pt>
                <c:pt idx="124">
                  <c:v>Week 22 2022</c:v>
                </c:pt>
                <c:pt idx="125">
                  <c:v>Week 23 2022</c:v>
                </c:pt>
                <c:pt idx="126">
                  <c:v>Week 24 2022</c:v>
                </c:pt>
                <c:pt idx="127">
                  <c:v>Week 25 2022</c:v>
                </c:pt>
                <c:pt idx="128">
                  <c:v>Week 26 2022</c:v>
                </c:pt>
                <c:pt idx="129">
                  <c:v>Week 27 2022</c:v>
                </c:pt>
                <c:pt idx="130">
                  <c:v>Week 28 2022</c:v>
                </c:pt>
                <c:pt idx="131">
                  <c:v>Week 29 2022</c:v>
                </c:pt>
                <c:pt idx="132">
                  <c:v>Week 30 2022</c:v>
                </c:pt>
                <c:pt idx="133">
                  <c:v>Week 31 2022</c:v>
                </c:pt>
                <c:pt idx="134">
                  <c:v>Week 32 2022</c:v>
                </c:pt>
                <c:pt idx="135">
                  <c:v>Week 33 2022</c:v>
                </c:pt>
                <c:pt idx="136">
                  <c:v>Week 34 2022</c:v>
                </c:pt>
                <c:pt idx="137">
                  <c:v>Week 35 2022</c:v>
                </c:pt>
                <c:pt idx="138">
                  <c:v>Week 37 2022</c:v>
                </c:pt>
                <c:pt idx="139">
                  <c:v>Week 38 2022</c:v>
                </c:pt>
                <c:pt idx="140">
                  <c:v>Week 39 2022</c:v>
                </c:pt>
                <c:pt idx="141">
                  <c:v>Week 40 2022</c:v>
                </c:pt>
                <c:pt idx="142">
                  <c:v>Week 41 2022</c:v>
                </c:pt>
                <c:pt idx="143">
                  <c:v>Week 42 2022</c:v>
                </c:pt>
                <c:pt idx="144">
                  <c:v>Week 43 2022</c:v>
                </c:pt>
                <c:pt idx="145">
                  <c:v>Week 44 2022</c:v>
                </c:pt>
                <c:pt idx="146">
                  <c:v>Week 45 2022</c:v>
                </c:pt>
                <c:pt idx="147">
                  <c:v>Week 46 2022</c:v>
                </c:pt>
                <c:pt idx="148">
                  <c:v>Week 47 2022</c:v>
                </c:pt>
                <c:pt idx="149">
                  <c:v>Week 48 2022</c:v>
                </c:pt>
                <c:pt idx="150">
                  <c:v>Week 49 2022</c:v>
                </c:pt>
                <c:pt idx="151">
                  <c:v>Week 03 2023</c:v>
                </c:pt>
                <c:pt idx="152">
                  <c:v>Week 04 2023</c:v>
                </c:pt>
                <c:pt idx="153">
                  <c:v>Week 05 2023</c:v>
                </c:pt>
                <c:pt idx="154">
                  <c:v>Week 06 2023</c:v>
                </c:pt>
                <c:pt idx="155">
                  <c:v>Week 07 2023</c:v>
                </c:pt>
                <c:pt idx="156">
                  <c:v>Week 08 2023</c:v>
                </c:pt>
                <c:pt idx="157">
                  <c:v>Week 09 2023</c:v>
                </c:pt>
                <c:pt idx="158">
                  <c:v>Week 10 2023</c:v>
                </c:pt>
                <c:pt idx="159">
                  <c:v>Week 11 2023</c:v>
                </c:pt>
              </c:strCache>
            </c:strRef>
          </c:cat>
          <c:val>
            <c:numRef>
              <c:f>('Team Eff'!$G$65:$G$128,'Team Eff'!$G$130:$G$156,'Team Eff'!$G$158:$G$170,'Team Eff'!$G$172:$G$183,'Team Eff'!$G$185:$G$206,'Team Eff'!$G$208:$G$229)</c:f>
              <c:numCache>
                <c:formatCode>0%</c:formatCode>
                <c:ptCount val="160"/>
                <c:pt idx="0">
                  <c:v>0.89</c:v>
                </c:pt>
                <c:pt idx="1">
                  <c:v>0.89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</c:v>
                </c:pt>
                <c:pt idx="9">
                  <c:v>0.89</c:v>
                </c:pt>
                <c:pt idx="10">
                  <c:v>0.89</c:v>
                </c:pt>
                <c:pt idx="11">
                  <c:v>0.89</c:v>
                </c:pt>
                <c:pt idx="12">
                  <c:v>0.89</c:v>
                </c:pt>
                <c:pt idx="13">
                  <c:v>0.89</c:v>
                </c:pt>
                <c:pt idx="14">
                  <c:v>0.89</c:v>
                </c:pt>
                <c:pt idx="15">
                  <c:v>0.89</c:v>
                </c:pt>
                <c:pt idx="16">
                  <c:v>0.89</c:v>
                </c:pt>
                <c:pt idx="17">
                  <c:v>0.89</c:v>
                </c:pt>
                <c:pt idx="18">
                  <c:v>0.89</c:v>
                </c:pt>
                <c:pt idx="19">
                  <c:v>0.89</c:v>
                </c:pt>
                <c:pt idx="20">
                  <c:v>0.89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0.89</c:v>
                </c:pt>
                <c:pt idx="25">
                  <c:v>0.89</c:v>
                </c:pt>
                <c:pt idx="26">
                  <c:v>0.89</c:v>
                </c:pt>
                <c:pt idx="27">
                  <c:v>0.89</c:v>
                </c:pt>
                <c:pt idx="28">
                  <c:v>0.89</c:v>
                </c:pt>
                <c:pt idx="29">
                  <c:v>0.89</c:v>
                </c:pt>
                <c:pt idx="30">
                  <c:v>0.89</c:v>
                </c:pt>
                <c:pt idx="31">
                  <c:v>0.89</c:v>
                </c:pt>
                <c:pt idx="32">
                  <c:v>0.89</c:v>
                </c:pt>
                <c:pt idx="33">
                  <c:v>0.89</c:v>
                </c:pt>
                <c:pt idx="34">
                  <c:v>0.89</c:v>
                </c:pt>
                <c:pt idx="35">
                  <c:v>0.89</c:v>
                </c:pt>
                <c:pt idx="36">
                  <c:v>0.89</c:v>
                </c:pt>
                <c:pt idx="37">
                  <c:v>0.89</c:v>
                </c:pt>
                <c:pt idx="38">
                  <c:v>0.89</c:v>
                </c:pt>
                <c:pt idx="39">
                  <c:v>0.89</c:v>
                </c:pt>
                <c:pt idx="40">
                  <c:v>0.89</c:v>
                </c:pt>
                <c:pt idx="41">
                  <c:v>0.89</c:v>
                </c:pt>
                <c:pt idx="42">
                  <c:v>0.89</c:v>
                </c:pt>
                <c:pt idx="43">
                  <c:v>0.89</c:v>
                </c:pt>
                <c:pt idx="44">
                  <c:v>0.89</c:v>
                </c:pt>
                <c:pt idx="45">
                  <c:v>0.89</c:v>
                </c:pt>
                <c:pt idx="46">
                  <c:v>0.89</c:v>
                </c:pt>
                <c:pt idx="47">
                  <c:v>0.89</c:v>
                </c:pt>
                <c:pt idx="48">
                  <c:v>0.89</c:v>
                </c:pt>
                <c:pt idx="49">
                  <c:v>0.89</c:v>
                </c:pt>
                <c:pt idx="50">
                  <c:v>0.81</c:v>
                </c:pt>
                <c:pt idx="51">
                  <c:v>0.81</c:v>
                </c:pt>
                <c:pt idx="52">
                  <c:v>0.81</c:v>
                </c:pt>
                <c:pt idx="53">
                  <c:v>0.81</c:v>
                </c:pt>
                <c:pt idx="54">
                  <c:v>0.81</c:v>
                </c:pt>
                <c:pt idx="55">
                  <c:v>0.81</c:v>
                </c:pt>
                <c:pt idx="56">
                  <c:v>0.81</c:v>
                </c:pt>
                <c:pt idx="57">
                  <c:v>0.81</c:v>
                </c:pt>
                <c:pt idx="58">
                  <c:v>0.81</c:v>
                </c:pt>
                <c:pt idx="59">
                  <c:v>0.81</c:v>
                </c:pt>
                <c:pt idx="60">
                  <c:v>0.81</c:v>
                </c:pt>
                <c:pt idx="61">
                  <c:v>0.81</c:v>
                </c:pt>
                <c:pt idx="62">
                  <c:v>0.81</c:v>
                </c:pt>
                <c:pt idx="63">
                  <c:v>0.81</c:v>
                </c:pt>
                <c:pt idx="64">
                  <c:v>0.81</c:v>
                </c:pt>
                <c:pt idx="65">
                  <c:v>0.81</c:v>
                </c:pt>
                <c:pt idx="66">
                  <c:v>0.81</c:v>
                </c:pt>
                <c:pt idx="67">
                  <c:v>0.81</c:v>
                </c:pt>
                <c:pt idx="68">
                  <c:v>0.81</c:v>
                </c:pt>
                <c:pt idx="69">
                  <c:v>0.81</c:v>
                </c:pt>
                <c:pt idx="70">
                  <c:v>0.81</c:v>
                </c:pt>
                <c:pt idx="71">
                  <c:v>0.81</c:v>
                </c:pt>
                <c:pt idx="72">
                  <c:v>0.81</c:v>
                </c:pt>
                <c:pt idx="73">
                  <c:v>0.81</c:v>
                </c:pt>
                <c:pt idx="74">
                  <c:v>0.81</c:v>
                </c:pt>
                <c:pt idx="75">
                  <c:v>0.81</c:v>
                </c:pt>
                <c:pt idx="76">
                  <c:v>0.81</c:v>
                </c:pt>
                <c:pt idx="77">
                  <c:v>0.81</c:v>
                </c:pt>
                <c:pt idx="78">
                  <c:v>0.81</c:v>
                </c:pt>
                <c:pt idx="79">
                  <c:v>0.81</c:v>
                </c:pt>
                <c:pt idx="80">
                  <c:v>0.81</c:v>
                </c:pt>
                <c:pt idx="81">
                  <c:v>0.81</c:v>
                </c:pt>
                <c:pt idx="82">
                  <c:v>0.81</c:v>
                </c:pt>
                <c:pt idx="83">
                  <c:v>0.81</c:v>
                </c:pt>
                <c:pt idx="84">
                  <c:v>0.81</c:v>
                </c:pt>
                <c:pt idx="85">
                  <c:v>0.81</c:v>
                </c:pt>
                <c:pt idx="86">
                  <c:v>0.81</c:v>
                </c:pt>
                <c:pt idx="87">
                  <c:v>0.81</c:v>
                </c:pt>
                <c:pt idx="88">
                  <c:v>0.81</c:v>
                </c:pt>
                <c:pt idx="89">
                  <c:v>0.81</c:v>
                </c:pt>
                <c:pt idx="90">
                  <c:v>0.81</c:v>
                </c:pt>
                <c:pt idx="91">
                  <c:v>0.81</c:v>
                </c:pt>
                <c:pt idx="92">
                  <c:v>0.81</c:v>
                </c:pt>
                <c:pt idx="93">
                  <c:v>0.81</c:v>
                </c:pt>
                <c:pt idx="94">
                  <c:v>0.81</c:v>
                </c:pt>
                <c:pt idx="95">
                  <c:v>0.81</c:v>
                </c:pt>
                <c:pt idx="96">
                  <c:v>0.81</c:v>
                </c:pt>
                <c:pt idx="97">
                  <c:v>0.81</c:v>
                </c:pt>
                <c:pt idx="98">
                  <c:v>0.81</c:v>
                </c:pt>
                <c:pt idx="99">
                  <c:v>0.81</c:v>
                </c:pt>
                <c:pt idx="100">
                  <c:v>0.81</c:v>
                </c:pt>
                <c:pt idx="101">
                  <c:v>0.81</c:v>
                </c:pt>
                <c:pt idx="102">
                  <c:v>0.81</c:v>
                </c:pt>
                <c:pt idx="103">
                  <c:v>0.82</c:v>
                </c:pt>
                <c:pt idx="104">
                  <c:v>0.82</c:v>
                </c:pt>
                <c:pt idx="105">
                  <c:v>0.82</c:v>
                </c:pt>
                <c:pt idx="106">
                  <c:v>0.82</c:v>
                </c:pt>
                <c:pt idx="107">
                  <c:v>0.82</c:v>
                </c:pt>
                <c:pt idx="108">
                  <c:v>0.82</c:v>
                </c:pt>
                <c:pt idx="109">
                  <c:v>0.82</c:v>
                </c:pt>
                <c:pt idx="110">
                  <c:v>0.82</c:v>
                </c:pt>
                <c:pt idx="111">
                  <c:v>0.82</c:v>
                </c:pt>
                <c:pt idx="112">
                  <c:v>0.82</c:v>
                </c:pt>
                <c:pt idx="113">
                  <c:v>0.82</c:v>
                </c:pt>
                <c:pt idx="114">
                  <c:v>0.82</c:v>
                </c:pt>
                <c:pt idx="115">
                  <c:v>0.82</c:v>
                </c:pt>
                <c:pt idx="116">
                  <c:v>0.82</c:v>
                </c:pt>
                <c:pt idx="117">
                  <c:v>0.82</c:v>
                </c:pt>
                <c:pt idx="118">
                  <c:v>0.82</c:v>
                </c:pt>
                <c:pt idx="119">
                  <c:v>0.82</c:v>
                </c:pt>
                <c:pt idx="120">
                  <c:v>0.82</c:v>
                </c:pt>
                <c:pt idx="121">
                  <c:v>0.82</c:v>
                </c:pt>
                <c:pt idx="122">
                  <c:v>0.82</c:v>
                </c:pt>
                <c:pt idx="123">
                  <c:v>0.82</c:v>
                </c:pt>
                <c:pt idx="124">
                  <c:v>0.82</c:v>
                </c:pt>
                <c:pt idx="125">
                  <c:v>0.82</c:v>
                </c:pt>
                <c:pt idx="126">
                  <c:v>0.82</c:v>
                </c:pt>
                <c:pt idx="127">
                  <c:v>0.82</c:v>
                </c:pt>
                <c:pt idx="128">
                  <c:v>0.82</c:v>
                </c:pt>
                <c:pt idx="129">
                  <c:v>0.82</c:v>
                </c:pt>
                <c:pt idx="130">
                  <c:v>0.82</c:v>
                </c:pt>
                <c:pt idx="131">
                  <c:v>0.82</c:v>
                </c:pt>
                <c:pt idx="132">
                  <c:v>0.82</c:v>
                </c:pt>
                <c:pt idx="133">
                  <c:v>0.82</c:v>
                </c:pt>
                <c:pt idx="134">
                  <c:v>0.82</c:v>
                </c:pt>
                <c:pt idx="135">
                  <c:v>0.82</c:v>
                </c:pt>
                <c:pt idx="136">
                  <c:v>0.82</c:v>
                </c:pt>
                <c:pt idx="137">
                  <c:v>0.82</c:v>
                </c:pt>
                <c:pt idx="138">
                  <c:v>0.82</c:v>
                </c:pt>
                <c:pt idx="139">
                  <c:v>0.82</c:v>
                </c:pt>
                <c:pt idx="140">
                  <c:v>0.82</c:v>
                </c:pt>
                <c:pt idx="141">
                  <c:v>0.82</c:v>
                </c:pt>
                <c:pt idx="142">
                  <c:v>0.82</c:v>
                </c:pt>
                <c:pt idx="143">
                  <c:v>0.82</c:v>
                </c:pt>
                <c:pt idx="144">
                  <c:v>0.83</c:v>
                </c:pt>
                <c:pt idx="145">
                  <c:v>0.83</c:v>
                </c:pt>
                <c:pt idx="146">
                  <c:v>0.83</c:v>
                </c:pt>
                <c:pt idx="147">
                  <c:v>0.83</c:v>
                </c:pt>
                <c:pt idx="148">
                  <c:v>0.83</c:v>
                </c:pt>
                <c:pt idx="149">
                  <c:v>0.83</c:v>
                </c:pt>
                <c:pt idx="150">
                  <c:v>0.83</c:v>
                </c:pt>
                <c:pt idx="151">
                  <c:v>0.85</c:v>
                </c:pt>
                <c:pt idx="152">
                  <c:v>0.85</c:v>
                </c:pt>
                <c:pt idx="153">
                  <c:v>0.85</c:v>
                </c:pt>
                <c:pt idx="154">
                  <c:v>0.85</c:v>
                </c:pt>
                <c:pt idx="155">
                  <c:v>0.85</c:v>
                </c:pt>
                <c:pt idx="156">
                  <c:v>0.85</c:v>
                </c:pt>
                <c:pt idx="157">
                  <c:v>0.85</c:v>
                </c:pt>
                <c:pt idx="158">
                  <c:v>0.85</c:v>
                </c:pt>
                <c:pt idx="159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7-4071-9433-504CD6D17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009648"/>
        <c:axId val="1269853232"/>
      </c:lineChart>
      <c:dateAx>
        <c:axId val="126800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853232"/>
        <c:crosses val="autoZero"/>
        <c:auto val="0"/>
        <c:lblOffset val="100"/>
        <c:baseTimeUnit val="days"/>
      </c:dateAx>
      <c:valAx>
        <c:axId val="1269853232"/>
        <c:scaling>
          <c:orientation val="minMax"/>
          <c:max val="1.02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00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SAP Planned</a:t>
            </a:r>
            <a:r>
              <a:rPr lang="en-NZ" baseline="0"/>
              <a:t> Hours vs Direct &amp; Indirect Hours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596254348397055E-2"/>
          <c:y val="0.11830940988835725"/>
          <c:w val="0.9551584540700282"/>
          <c:h val="0.60234939532080023"/>
        </c:manualLayout>
      </c:layout>
      <c:lineChart>
        <c:grouping val="standard"/>
        <c:varyColors val="0"/>
        <c:ser>
          <c:idx val="1"/>
          <c:order val="0"/>
          <c:tx>
            <c:strRef>
              <c:f>'Team Eff'!$H$64</c:f>
              <c:strCache>
                <c:ptCount val="1"/>
                <c:pt idx="0">
                  <c:v>Modules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Eff'!$A$65:$A$128,'Team Eff'!$A$130:$A$183,'Team Eff'!$A$185:$A$206,'Team Eff'!$A$208:$A$229)</c:f>
              <c:strCache>
                <c:ptCount val="162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21 2020</c:v>
                </c:pt>
                <c:pt idx="38">
                  <c:v>Week 22 2020</c:v>
                </c:pt>
                <c:pt idx="39">
                  <c:v>Week 23 2020</c:v>
                </c:pt>
                <c:pt idx="40">
                  <c:v>Week 24 2020</c:v>
                </c:pt>
                <c:pt idx="41">
                  <c:v>Week 25 2020</c:v>
                </c:pt>
                <c:pt idx="42">
                  <c:v>Week 26 2020</c:v>
                </c:pt>
                <c:pt idx="43">
                  <c:v>Week 27 2020</c:v>
                </c:pt>
                <c:pt idx="44">
                  <c:v>Week 28 2020</c:v>
                </c:pt>
                <c:pt idx="45">
                  <c:v>Week 29 2020</c:v>
                </c:pt>
                <c:pt idx="46">
                  <c:v>Week 30 2020</c:v>
                </c:pt>
                <c:pt idx="47">
                  <c:v>Week 31 2020</c:v>
                </c:pt>
                <c:pt idx="48">
                  <c:v>Week 32 2020</c:v>
                </c:pt>
                <c:pt idx="49">
                  <c:v>Week 34 2020</c:v>
                </c:pt>
                <c:pt idx="50">
                  <c:v>Week 35 2020</c:v>
                </c:pt>
                <c:pt idx="51">
                  <c:v>Week 36 2020</c:v>
                </c:pt>
                <c:pt idx="52">
                  <c:v>Week 37 2020</c:v>
                </c:pt>
                <c:pt idx="53">
                  <c:v>Week 38 2020</c:v>
                </c:pt>
                <c:pt idx="54">
                  <c:v>Week 39 2020</c:v>
                </c:pt>
                <c:pt idx="55">
                  <c:v>Week 40 2020</c:v>
                </c:pt>
                <c:pt idx="56">
                  <c:v>Week 41 2020</c:v>
                </c:pt>
                <c:pt idx="57">
                  <c:v>Week 42 2020</c:v>
                </c:pt>
                <c:pt idx="58">
                  <c:v>Week 43 2020</c:v>
                </c:pt>
                <c:pt idx="59">
                  <c:v>Week 44 2020</c:v>
                </c:pt>
                <c:pt idx="60">
                  <c:v>Week 45 2020</c:v>
                </c:pt>
                <c:pt idx="61">
                  <c:v>Week 45 2020</c:v>
                </c:pt>
                <c:pt idx="62">
                  <c:v>Week 46 2020</c:v>
                </c:pt>
                <c:pt idx="63">
                  <c:v>Week 47 2020</c:v>
                </c:pt>
                <c:pt idx="64">
                  <c:v>Week 48 2020</c:v>
                </c:pt>
                <c:pt idx="65">
                  <c:v>Week 49 2020</c:v>
                </c:pt>
                <c:pt idx="66">
                  <c:v>Week 50 2020</c:v>
                </c:pt>
                <c:pt idx="67">
                  <c:v>Week 06 2021</c:v>
                </c:pt>
                <c:pt idx="68">
                  <c:v>Week 07 2021</c:v>
                </c:pt>
                <c:pt idx="69">
                  <c:v>Week 08 2021</c:v>
                </c:pt>
                <c:pt idx="70">
                  <c:v>Week 09 2021</c:v>
                </c:pt>
                <c:pt idx="71">
                  <c:v>Week 10 2021</c:v>
                </c:pt>
                <c:pt idx="72">
                  <c:v>Week 11 2021</c:v>
                </c:pt>
                <c:pt idx="73">
                  <c:v>Week 12 2021</c:v>
                </c:pt>
                <c:pt idx="74">
                  <c:v>Week 13 2021</c:v>
                </c:pt>
                <c:pt idx="75">
                  <c:v>Week 14 2021</c:v>
                </c:pt>
                <c:pt idx="76">
                  <c:v>Week 15 2021</c:v>
                </c:pt>
                <c:pt idx="77">
                  <c:v>Week 16 2021</c:v>
                </c:pt>
                <c:pt idx="78">
                  <c:v>Week 17 2021</c:v>
                </c:pt>
                <c:pt idx="79">
                  <c:v>Week 18 2021</c:v>
                </c:pt>
                <c:pt idx="80">
                  <c:v>Week 19 2021</c:v>
                </c:pt>
                <c:pt idx="81">
                  <c:v>Week 20 2021</c:v>
                </c:pt>
                <c:pt idx="82">
                  <c:v>Week 21 2021</c:v>
                </c:pt>
                <c:pt idx="83">
                  <c:v>Week 24 2021</c:v>
                </c:pt>
                <c:pt idx="84">
                  <c:v>Week 25 2021</c:v>
                </c:pt>
                <c:pt idx="85">
                  <c:v>Week 26 2021</c:v>
                </c:pt>
                <c:pt idx="86">
                  <c:v>Week 27 2021</c:v>
                </c:pt>
                <c:pt idx="87">
                  <c:v>Week 28 2021</c:v>
                </c:pt>
                <c:pt idx="88">
                  <c:v>Week 29 2021</c:v>
                </c:pt>
                <c:pt idx="89">
                  <c:v>Week 30 2021</c:v>
                </c:pt>
                <c:pt idx="90">
                  <c:v>Week 31 2021</c:v>
                </c:pt>
                <c:pt idx="91">
                  <c:v>Week 32 2021</c:v>
                </c:pt>
                <c:pt idx="92">
                  <c:v>Week 33 2021</c:v>
                </c:pt>
                <c:pt idx="93">
                  <c:v>Week 34 2021</c:v>
                </c:pt>
                <c:pt idx="94">
                  <c:v>Week 35 2021</c:v>
                </c:pt>
                <c:pt idx="95">
                  <c:v>Week 36 2021</c:v>
                </c:pt>
                <c:pt idx="96">
                  <c:v>Week 37 2021</c:v>
                </c:pt>
                <c:pt idx="97">
                  <c:v>Week 38 2021</c:v>
                </c:pt>
                <c:pt idx="98">
                  <c:v>Week 39 2021</c:v>
                </c:pt>
                <c:pt idx="99">
                  <c:v>Week 40 2021</c:v>
                </c:pt>
                <c:pt idx="100">
                  <c:v>Week 41 2021</c:v>
                </c:pt>
                <c:pt idx="101">
                  <c:v>Week 42 2021</c:v>
                </c:pt>
                <c:pt idx="102">
                  <c:v>Week 43 2021</c:v>
                </c:pt>
                <c:pt idx="103">
                  <c:v>Week 44 2021</c:v>
                </c:pt>
                <c:pt idx="104">
                  <c:v>Week 45 2021</c:v>
                </c:pt>
                <c:pt idx="105">
                  <c:v>Week 46 2021</c:v>
                </c:pt>
                <c:pt idx="106">
                  <c:v>Week 47 2021</c:v>
                </c:pt>
                <c:pt idx="107">
                  <c:v>Week 48 2021</c:v>
                </c:pt>
                <c:pt idx="108">
                  <c:v>Week 49 2021</c:v>
                </c:pt>
                <c:pt idx="109">
                  <c:v>Week 3 2022</c:v>
                </c:pt>
                <c:pt idx="110">
                  <c:v>Week 4 2022</c:v>
                </c:pt>
                <c:pt idx="111">
                  <c:v>Week 5 2022</c:v>
                </c:pt>
                <c:pt idx="112">
                  <c:v>Week 6 2022</c:v>
                </c:pt>
                <c:pt idx="113">
                  <c:v>Week 7 2022</c:v>
                </c:pt>
                <c:pt idx="114">
                  <c:v>Week 8 2022</c:v>
                </c:pt>
                <c:pt idx="115">
                  <c:v>Week 9 2022</c:v>
                </c:pt>
                <c:pt idx="116">
                  <c:v>Week 10 2022</c:v>
                </c:pt>
                <c:pt idx="117">
                  <c:v>Week 11 2022</c:v>
                </c:pt>
                <c:pt idx="118">
                  <c:v>Week 13 2022</c:v>
                </c:pt>
                <c:pt idx="119">
                  <c:v>Week 14 2022</c:v>
                </c:pt>
                <c:pt idx="120">
                  <c:v>Week 15 2022</c:v>
                </c:pt>
                <c:pt idx="121">
                  <c:v>Week 17 2022</c:v>
                </c:pt>
                <c:pt idx="122">
                  <c:v>Week 18 2022</c:v>
                </c:pt>
                <c:pt idx="123">
                  <c:v>Week 19 2022</c:v>
                </c:pt>
                <c:pt idx="124">
                  <c:v>Week 20 2022</c:v>
                </c:pt>
                <c:pt idx="125">
                  <c:v>Week 21 2022</c:v>
                </c:pt>
                <c:pt idx="126">
                  <c:v>Week 22 2022</c:v>
                </c:pt>
                <c:pt idx="127">
                  <c:v>Week 23 2022</c:v>
                </c:pt>
                <c:pt idx="128">
                  <c:v>Week 24 2022</c:v>
                </c:pt>
                <c:pt idx="129">
                  <c:v>Week 25 2022</c:v>
                </c:pt>
                <c:pt idx="130">
                  <c:v>Week 26 2022</c:v>
                </c:pt>
                <c:pt idx="131">
                  <c:v>Week 27 2022</c:v>
                </c:pt>
                <c:pt idx="132">
                  <c:v>Week 28 2022</c:v>
                </c:pt>
                <c:pt idx="133">
                  <c:v>Week 29 2022</c:v>
                </c:pt>
                <c:pt idx="134">
                  <c:v>Week 30 2022</c:v>
                </c:pt>
                <c:pt idx="135">
                  <c:v>Week 31 2022</c:v>
                </c:pt>
                <c:pt idx="136">
                  <c:v>Week 32 2022</c:v>
                </c:pt>
                <c:pt idx="137">
                  <c:v>Week 33 2022</c:v>
                </c:pt>
                <c:pt idx="138">
                  <c:v>Week 34 2022</c:v>
                </c:pt>
                <c:pt idx="139">
                  <c:v>Week 35 2022</c:v>
                </c:pt>
                <c:pt idx="140">
                  <c:v>Week 37 2022</c:v>
                </c:pt>
                <c:pt idx="141">
                  <c:v>Week 38 2022</c:v>
                </c:pt>
                <c:pt idx="142">
                  <c:v>Week 39 2022</c:v>
                </c:pt>
                <c:pt idx="143">
                  <c:v>Week 40 2022</c:v>
                </c:pt>
                <c:pt idx="144">
                  <c:v>Week 41 2022</c:v>
                </c:pt>
                <c:pt idx="145">
                  <c:v>Week 42 2022</c:v>
                </c:pt>
                <c:pt idx="146">
                  <c:v>Week 43 2022</c:v>
                </c:pt>
                <c:pt idx="147">
                  <c:v>Week 44 2022</c:v>
                </c:pt>
                <c:pt idx="148">
                  <c:v>Week 45 2022</c:v>
                </c:pt>
                <c:pt idx="149">
                  <c:v>Week 46 2022</c:v>
                </c:pt>
                <c:pt idx="150">
                  <c:v>Week 47 2022</c:v>
                </c:pt>
                <c:pt idx="151">
                  <c:v>Week 48 2022</c:v>
                </c:pt>
                <c:pt idx="152">
                  <c:v>Week 49 2022</c:v>
                </c:pt>
                <c:pt idx="153">
                  <c:v>Week 03 2023</c:v>
                </c:pt>
                <c:pt idx="154">
                  <c:v>Week 04 2023</c:v>
                </c:pt>
                <c:pt idx="155">
                  <c:v>Week 05 2023</c:v>
                </c:pt>
                <c:pt idx="156">
                  <c:v>Week 06 2023</c:v>
                </c:pt>
                <c:pt idx="157">
                  <c:v>Week 07 2023</c:v>
                </c:pt>
                <c:pt idx="158">
                  <c:v>Week 08 2023</c:v>
                </c:pt>
                <c:pt idx="159">
                  <c:v>Week 09 2023</c:v>
                </c:pt>
                <c:pt idx="160">
                  <c:v>Week 10 2023</c:v>
                </c:pt>
                <c:pt idx="161">
                  <c:v>Week 11 2023</c:v>
                </c:pt>
              </c:strCache>
            </c:strRef>
          </c:cat>
          <c:val>
            <c:numRef>
              <c:f>('Team Eff'!$H$65:$H$128,'Team Eff'!$H$130:$H$183,'Team Eff'!$H$185:$H$206,'Team Eff'!$H$208:$H$229)</c:f>
              <c:numCache>
                <c:formatCode>0%</c:formatCode>
                <c:ptCount val="162"/>
                <c:pt idx="0">
                  <c:v>0.3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0.26</c:v>
                </c:pt>
                <c:pt idx="4">
                  <c:v>0.29863963650978553</c:v>
                </c:pt>
                <c:pt idx="5">
                  <c:v>0.29046519390459069</c:v>
                </c:pt>
                <c:pt idx="6">
                  <c:v>0.28501556550112744</c:v>
                </c:pt>
                <c:pt idx="7">
                  <c:v>0.29253605269790667</c:v>
                </c:pt>
                <c:pt idx="8">
                  <c:v>0.31498852172017527</c:v>
                </c:pt>
                <c:pt idx="9">
                  <c:v>0.30431366003936056</c:v>
                </c:pt>
                <c:pt idx="10">
                  <c:v>0.26091975604837314</c:v>
                </c:pt>
                <c:pt idx="11">
                  <c:v>0.28484203645366107</c:v>
                </c:pt>
                <c:pt idx="12">
                  <c:v>0.33824991828872253</c:v>
                </c:pt>
                <c:pt idx="13">
                  <c:v>0.27927871542917548</c:v>
                </c:pt>
                <c:pt idx="14">
                  <c:v>0.3232289515226115</c:v>
                </c:pt>
                <c:pt idx="15">
                  <c:v>0.30153199952711773</c:v>
                </c:pt>
                <c:pt idx="16">
                  <c:v>0.30876431685894901</c:v>
                </c:pt>
                <c:pt idx="17">
                  <c:v>0.32378528362506004</c:v>
                </c:pt>
                <c:pt idx="18">
                  <c:v>0.3410315788009653</c:v>
                </c:pt>
                <c:pt idx="19">
                  <c:v>0.29819400691242642</c:v>
                </c:pt>
                <c:pt idx="20">
                  <c:v>0.33546825777647971</c:v>
                </c:pt>
                <c:pt idx="21">
                  <c:v>0.33824991828872253</c:v>
                </c:pt>
                <c:pt idx="22">
                  <c:v>0.35215822084993642</c:v>
                </c:pt>
                <c:pt idx="23">
                  <c:v>0.29482489662736128</c:v>
                </c:pt>
                <c:pt idx="24">
                  <c:v>0.33678703533402821</c:v>
                </c:pt>
                <c:pt idx="25">
                  <c:v>0.32915755556917969</c:v>
                </c:pt>
                <c:pt idx="26">
                  <c:v>0.32315570423085394</c:v>
                </c:pt>
                <c:pt idx="27">
                  <c:v>0.32174539924941531</c:v>
                </c:pt>
                <c:pt idx="28">
                  <c:v>0.32434161572750858</c:v>
                </c:pt>
                <c:pt idx="29">
                  <c:v>0.32044729101036867</c:v>
                </c:pt>
                <c:pt idx="30">
                  <c:v>0.32601061203485426</c:v>
                </c:pt>
                <c:pt idx="31">
                  <c:v>0.33880625039117107</c:v>
                </c:pt>
                <c:pt idx="32">
                  <c:v>0.34496147793922305</c:v>
                </c:pt>
                <c:pt idx="33">
                  <c:v>0.34270057510831098</c:v>
                </c:pt>
                <c:pt idx="34">
                  <c:v>0.37537370455270447</c:v>
                </c:pt>
                <c:pt idx="35">
                  <c:v>0.30089243985489511</c:v>
                </c:pt>
                <c:pt idx="36">
                  <c:v>0.3793655490557592</c:v>
                </c:pt>
                <c:pt idx="37">
                  <c:v>0.4242824300639611</c:v>
                </c:pt>
                <c:pt idx="38">
                  <c:v>0.43460117299827777</c:v>
                </c:pt>
                <c:pt idx="39">
                  <c:v>0.41415273571332051</c:v>
                </c:pt>
                <c:pt idx="40">
                  <c:v>0.45798418553897025</c:v>
                </c:pt>
                <c:pt idx="41">
                  <c:v>0.39088266191092769</c:v>
                </c:pt>
                <c:pt idx="42">
                  <c:v>0.3986677685122581</c:v>
                </c:pt>
                <c:pt idx="43">
                  <c:v>0.38063756792627657</c:v>
                </c:pt>
                <c:pt idx="44">
                  <c:v>0.35244586682301982</c:v>
                </c:pt>
                <c:pt idx="45">
                  <c:v>0.37720176874404521</c:v>
                </c:pt>
                <c:pt idx="46">
                  <c:v>0.37996978271938836</c:v>
                </c:pt>
                <c:pt idx="47">
                  <c:v>0.35866739799203495</c:v>
                </c:pt>
                <c:pt idx="48">
                  <c:v>0.37764268356120784</c:v>
                </c:pt>
                <c:pt idx="49">
                  <c:v>0.40178339601925839</c:v>
                </c:pt>
                <c:pt idx="50">
                  <c:v>0.41424639648662087</c:v>
                </c:pt>
                <c:pt idx="51">
                  <c:v>0.36981400445576534</c:v>
                </c:pt>
                <c:pt idx="52">
                  <c:v>0.30682720198221058</c:v>
                </c:pt>
                <c:pt idx="53">
                  <c:v>0.40059644359379526</c:v>
                </c:pt>
                <c:pt idx="54">
                  <c:v>0.39288125282828512</c:v>
                </c:pt>
                <c:pt idx="55">
                  <c:v>0.3772754067855596</c:v>
                </c:pt>
                <c:pt idx="56">
                  <c:v>0.37557084922478151</c:v>
                </c:pt>
                <c:pt idx="57">
                  <c:v>0.38125270776070858</c:v>
                </c:pt>
                <c:pt idx="58">
                  <c:v>0.45057138189901924</c:v>
                </c:pt>
                <c:pt idx="59">
                  <c:v>0.44550712198311987</c:v>
                </c:pt>
                <c:pt idx="60">
                  <c:v>0.36458014019169072</c:v>
                </c:pt>
                <c:pt idx="61">
                  <c:v>0.45013930612606362</c:v>
                </c:pt>
                <c:pt idx="62">
                  <c:v>0.38825359314815189</c:v>
                </c:pt>
                <c:pt idx="63">
                  <c:v>0.35140421498140845</c:v>
                </c:pt>
                <c:pt idx="64">
                  <c:v>0.34499562747414875</c:v>
                </c:pt>
                <c:pt idx="65">
                  <c:v>0.26969472426384694</c:v>
                </c:pt>
                <c:pt idx="66">
                  <c:v>0.25901374508508074</c:v>
                </c:pt>
                <c:pt idx="67">
                  <c:v>0.3138005474818063</c:v>
                </c:pt>
                <c:pt idx="68">
                  <c:v>0.39406820525374825</c:v>
                </c:pt>
                <c:pt idx="69">
                  <c:v>0.32107063108776779</c:v>
                </c:pt>
                <c:pt idx="70">
                  <c:v>0.32403801215142553</c:v>
                </c:pt>
                <c:pt idx="71">
                  <c:v>0.3204771548750362</c:v>
                </c:pt>
                <c:pt idx="72">
                  <c:v>0.30623372576947905</c:v>
                </c:pt>
                <c:pt idx="73">
                  <c:v>0.34658654182097692</c:v>
                </c:pt>
                <c:pt idx="74">
                  <c:v>0.33462992725098806</c:v>
                </c:pt>
                <c:pt idx="75">
                  <c:v>0.34394676977305733</c:v>
                </c:pt>
                <c:pt idx="76">
                  <c:v>0.3447231733165631</c:v>
                </c:pt>
                <c:pt idx="77">
                  <c:v>0.34782878749058616</c:v>
                </c:pt>
                <c:pt idx="78">
                  <c:v>0.31</c:v>
                </c:pt>
                <c:pt idx="79">
                  <c:v>0.25934910496368674</c:v>
                </c:pt>
                <c:pt idx="80">
                  <c:v>0.30564024955674751</c:v>
                </c:pt>
                <c:pt idx="81">
                  <c:v>0.30564024955674751</c:v>
                </c:pt>
                <c:pt idx="82">
                  <c:v>0.31691629759864692</c:v>
                </c:pt>
                <c:pt idx="83">
                  <c:v>0.35936400119013934</c:v>
                </c:pt>
                <c:pt idx="84">
                  <c:v>0.30072787175523774</c:v>
                </c:pt>
                <c:pt idx="85">
                  <c:v>0.34091151215562615</c:v>
                </c:pt>
                <c:pt idx="86">
                  <c:v>0.34051851683244949</c:v>
                </c:pt>
                <c:pt idx="87">
                  <c:v>0.36176298757957198</c:v>
                </c:pt>
                <c:pt idx="88">
                  <c:v>0.35872806318712591</c:v>
                </c:pt>
                <c:pt idx="89">
                  <c:v>0.32897960923017922</c:v>
                </c:pt>
                <c:pt idx="90">
                  <c:v>0.36818443312807625</c:v>
                </c:pt>
                <c:pt idx="91">
                  <c:v>0.35852527361700015</c:v>
                </c:pt>
                <c:pt idx="92">
                  <c:v>0.31875226386551048</c:v>
                </c:pt>
                <c:pt idx="93">
                  <c:v>0.36250257459214913</c:v>
                </c:pt>
                <c:pt idx="94">
                  <c:v>0.34072323580264224</c:v>
                </c:pt>
                <c:pt idx="95">
                  <c:v>0.35834685144760653</c:v>
                </c:pt>
                <c:pt idx="96">
                  <c:v>0.32630391391130786</c:v>
                </c:pt>
                <c:pt idx="97">
                  <c:v>0.33652604865269936</c:v>
                </c:pt>
                <c:pt idx="98">
                  <c:v>0.35012814942159592</c:v>
                </c:pt>
                <c:pt idx="99">
                  <c:v>0.35154729015630509</c:v>
                </c:pt>
                <c:pt idx="100">
                  <c:v>0.33621963052923692</c:v>
                </c:pt>
                <c:pt idx="101">
                  <c:v>0.36885271231589817</c:v>
                </c:pt>
                <c:pt idx="102">
                  <c:v>0.40244160745576035</c:v>
                </c:pt>
                <c:pt idx="103">
                  <c:v>0.37022060475356072</c:v>
                </c:pt>
                <c:pt idx="104">
                  <c:v>0.40000234193408629</c:v>
                </c:pt>
                <c:pt idx="105">
                  <c:v>0.42529523006574987</c:v>
                </c:pt>
                <c:pt idx="106">
                  <c:v>0.45199327864917249</c:v>
                </c:pt>
                <c:pt idx="107">
                  <c:v>0.36943148240840912</c:v>
                </c:pt>
                <c:pt idx="108">
                  <c:v>0.41636392015026996</c:v>
                </c:pt>
                <c:pt idx="109">
                  <c:v>0.41050552792958389</c:v>
                </c:pt>
                <c:pt idx="110">
                  <c:v>0.45251888686480785</c:v>
                </c:pt>
                <c:pt idx="111">
                  <c:v>0.42881217359384649</c:v>
                </c:pt>
                <c:pt idx="112">
                  <c:v>0.41657628796600654</c:v>
                </c:pt>
                <c:pt idx="113">
                  <c:v>0.45828953442455189</c:v>
                </c:pt>
                <c:pt idx="114">
                  <c:v>0.4066763441398451</c:v>
                </c:pt>
                <c:pt idx="115">
                  <c:v>0.38709892713530114</c:v>
                </c:pt>
                <c:pt idx="116">
                  <c:v>0.35620623673741786</c:v>
                </c:pt>
                <c:pt idx="117">
                  <c:v>0.37956402275298623</c:v>
                </c:pt>
                <c:pt idx="118">
                  <c:v>0.38896911286702474</c:v>
                </c:pt>
                <c:pt idx="119">
                  <c:v>0.44305269363274008</c:v>
                </c:pt>
                <c:pt idx="120">
                  <c:v>0.41968858674195109</c:v>
                </c:pt>
                <c:pt idx="121">
                  <c:v>0.28811046679133995</c:v>
                </c:pt>
                <c:pt idx="122">
                  <c:v>0.31262604832922125</c:v>
                </c:pt>
                <c:pt idx="123">
                  <c:v>0.25197995711207016</c:v>
                </c:pt>
                <c:pt idx="124">
                  <c:v>0.42909320370697174</c:v>
                </c:pt>
                <c:pt idx="125">
                  <c:v>0.42053700821929535</c:v>
                </c:pt>
                <c:pt idx="126">
                  <c:v>0.38304556003021761</c:v>
                </c:pt>
                <c:pt idx="127">
                  <c:v>0.46011494446598017</c:v>
                </c:pt>
                <c:pt idx="128">
                  <c:v>0.45123849010387707</c:v>
                </c:pt>
                <c:pt idx="129">
                  <c:v>0.40316001663166651</c:v>
                </c:pt>
                <c:pt idx="130">
                  <c:v>0.34487225322411003</c:v>
                </c:pt>
                <c:pt idx="131">
                  <c:v>0.42285930030255259</c:v>
                </c:pt>
                <c:pt idx="132">
                  <c:v>0.36463349807104251</c:v>
                </c:pt>
                <c:pt idx="133">
                  <c:v>0.42</c:v>
                </c:pt>
                <c:pt idx="134">
                  <c:v>0.31486799394649173</c:v>
                </c:pt>
                <c:pt idx="135">
                  <c:v>0.46694115786305035</c:v>
                </c:pt>
                <c:pt idx="136">
                  <c:v>0.4293899458670708</c:v>
                </c:pt>
                <c:pt idx="137">
                  <c:v>0.37109094599478221</c:v>
                </c:pt>
                <c:pt idx="138">
                  <c:v>0.40713072836994246</c:v>
                </c:pt>
                <c:pt idx="139">
                  <c:v>0.39722968925588747</c:v>
                </c:pt>
                <c:pt idx="140">
                  <c:v>0.37949939446931896</c:v>
                </c:pt>
                <c:pt idx="141">
                  <c:v>0.42416051564611712</c:v>
                </c:pt>
                <c:pt idx="142">
                  <c:v>0.37243164687685459</c:v>
                </c:pt>
                <c:pt idx="143">
                  <c:v>0.39431466499841233</c:v>
                </c:pt>
                <c:pt idx="144">
                  <c:v>0.41478869568102222</c:v>
                </c:pt>
                <c:pt idx="145">
                  <c:v>0.38990836405777601</c:v>
                </c:pt>
                <c:pt idx="146">
                  <c:v>0.37102977116715502</c:v>
                </c:pt>
                <c:pt idx="147">
                  <c:v>0.42350911615694864</c:v>
                </c:pt>
                <c:pt idx="148">
                  <c:v>0.44057080839245688</c:v>
                </c:pt>
                <c:pt idx="149">
                  <c:v>0.45205091596937336</c:v>
                </c:pt>
                <c:pt idx="150">
                  <c:v>0.43266528204308907</c:v>
                </c:pt>
                <c:pt idx="151">
                  <c:v>0.3886413529074137</c:v>
                </c:pt>
                <c:pt idx="152">
                  <c:v>0.37491346102639667</c:v>
                </c:pt>
                <c:pt idx="153">
                  <c:v>0.31629348538732044</c:v>
                </c:pt>
                <c:pt idx="154">
                  <c:v>0.39205557652699685</c:v>
                </c:pt>
                <c:pt idx="155">
                  <c:v>0.44040026755144074</c:v>
                </c:pt>
                <c:pt idx="156">
                  <c:v>0.41056627159346193</c:v>
                </c:pt>
                <c:pt idx="157">
                  <c:v>0.41521419164923695</c:v>
                </c:pt>
                <c:pt idx="158">
                  <c:v>0.38873513193754888</c:v>
                </c:pt>
                <c:pt idx="159">
                  <c:v>0.34649902228676616</c:v>
                </c:pt>
                <c:pt idx="160">
                  <c:v>0.26344116841508547</c:v>
                </c:pt>
                <c:pt idx="161">
                  <c:v>0.35920767687203226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3-4BCA-B9B3-2A7E11491D18}"/>
            </c:ext>
          </c:extLst>
        </c:ser>
        <c:ser>
          <c:idx val="2"/>
          <c:order val="1"/>
          <c:tx>
            <c:strRef>
              <c:f>'Team Eff'!$I$64</c:f>
              <c:strCache>
                <c:ptCount val="1"/>
                <c:pt idx="0">
                  <c:v>FA/EFA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Eff'!$A$65:$A$128,'Team Eff'!$A$130:$A$183,'Team Eff'!$A$185:$A$206,'Team Eff'!$A$208:$A$229)</c:f>
              <c:strCache>
                <c:ptCount val="162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21 2020</c:v>
                </c:pt>
                <c:pt idx="38">
                  <c:v>Week 22 2020</c:v>
                </c:pt>
                <c:pt idx="39">
                  <c:v>Week 23 2020</c:v>
                </c:pt>
                <c:pt idx="40">
                  <c:v>Week 24 2020</c:v>
                </c:pt>
                <c:pt idx="41">
                  <c:v>Week 25 2020</c:v>
                </c:pt>
                <c:pt idx="42">
                  <c:v>Week 26 2020</c:v>
                </c:pt>
                <c:pt idx="43">
                  <c:v>Week 27 2020</c:v>
                </c:pt>
                <c:pt idx="44">
                  <c:v>Week 28 2020</c:v>
                </c:pt>
                <c:pt idx="45">
                  <c:v>Week 29 2020</c:v>
                </c:pt>
                <c:pt idx="46">
                  <c:v>Week 30 2020</c:v>
                </c:pt>
                <c:pt idx="47">
                  <c:v>Week 31 2020</c:v>
                </c:pt>
                <c:pt idx="48">
                  <c:v>Week 32 2020</c:v>
                </c:pt>
                <c:pt idx="49">
                  <c:v>Week 34 2020</c:v>
                </c:pt>
                <c:pt idx="50">
                  <c:v>Week 35 2020</c:v>
                </c:pt>
                <c:pt idx="51">
                  <c:v>Week 36 2020</c:v>
                </c:pt>
                <c:pt idx="52">
                  <c:v>Week 37 2020</c:v>
                </c:pt>
                <c:pt idx="53">
                  <c:v>Week 38 2020</c:v>
                </c:pt>
                <c:pt idx="54">
                  <c:v>Week 39 2020</c:v>
                </c:pt>
                <c:pt idx="55">
                  <c:v>Week 40 2020</c:v>
                </c:pt>
                <c:pt idx="56">
                  <c:v>Week 41 2020</c:v>
                </c:pt>
                <c:pt idx="57">
                  <c:v>Week 42 2020</c:v>
                </c:pt>
                <c:pt idx="58">
                  <c:v>Week 43 2020</c:v>
                </c:pt>
                <c:pt idx="59">
                  <c:v>Week 44 2020</c:v>
                </c:pt>
                <c:pt idx="60">
                  <c:v>Week 45 2020</c:v>
                </c:pt>
                <c:pt idx="61">
                  <c:v>Week 45 2020</c:v>
                </c:pt>
                <c:pt idx="62">
                  <c:v>Week 46 2020</c:v>
                </c:pt>
                <c:pt idx="63">
                  <c:v>Week 47 2020</c:v>
                </c:pt>
                <c:pt idx="64">
                  <c:v>Week 48 2020</c:v>
                </c:pt>
                <c:pt idx="65">
                  <c:v>Week 49 2020</c:v>
                </c:pt>
                <c:pt idx="66">
                  <c:v>Week 50 2020</c:v>
                </c:pt>
                <c:pt idx="67">
                  <c:v>Week 06 2021</c:v>
                </c:pt>
                <c:pt idx="68">
                  <c:v>Week 07 2021</c:v>
                </c:pt>
                <c:pt idx="69">
                  <c:v>Week 08 2021</c:v>
                </c:pt>
                <c:pt idx="70">
                  <c:v>Week 09 2021</c:v>
                </c:pt>
                <c:pt idx="71">
                  <c:v>Week 10 2021</c:v>
                </c:pt>
                <c:pt idx="72">
                  <c:v>Week 11 2021</c:v>
                </c:pt>
                <c:pt idx="73">
                  <c:v>Week 12 2021</c:v>
                </c:pt>
                <c:pt idx="74">
                  <c:v>Week 13 2021</c:v>
                </c:pt>
                <c:pt idx="75">
                  <c:v>Week 14 2021</c:v>
                </c:pt>
                <c:pt idx="76">
                  <c:v>Week 15 2021</c:v>
                </c:pt>
                <c:pt idx="77">
                  <c:v>Week 16 2021</c:v>
                </c:pt>
                <c:pt idx="78">
                  <c:v>Week 17 2021</c:v>
                </c:pt>
                <c:pt idx="79">
                  <c:v>Week 18 2021</c:v>
                </c:pt>
                <c:pt idx="80">
                  <c:v>Week 19 2021</c:v>
                </c:pt>
                <c:pt idx="81">
                  <c:v>Week 20 2021</c:v>
                </c:pt>
                <c:pt idx="82">
                  <c:v>Week 21 2021</c:v>
                </c:pt>
                <c:pt idx="83">
                  <c:v>Week 24 2021</c:v>
                </c:pt>
                <c:pt idx="84">
                  <c:v>Week 25 2021</c:v>
                </c:pt>
                <c:pt idx="85">
                  <c:v>Week 26 2021</c:v>
                </c:pt>
                <c:pt idx="86">
                  <c:v>Week 27 2021</c:v>
                </c:pt>
                <c:pt idx="87">
                  <c:v>Week 28 2021</c:v>
                </c:pt>
                <c:pt idx="88">
                  <c:v>Week 29 2021</c:v>
                </c:pt>
                <c:pt idx="89">
                  <c:v>Week 30 2021</c:v>
                </c:pt>
                <c:pt idx="90">
                  <c:v>Week 31 2021</c:v>
                </c:pt>
                <c:pt idx="91">
                  <c:v>Week 32 2021</c:v>
                </c:pt>
                <c:pt idx="92">
                  <c:v>Week 33 2021</c:v>
                </c:pt>
                <c:pt idx="93">
                  <c:v>Week 34 2021</c:v>
                </c:pt>
                <c:pt idx="94">
                  <c:v>Week 35 2021</c:v>
                </c:pt>
                <c:pt idx="95">
                  <c:v>Week 36 2021</c:v>
                </c:pt>
                <c:pt idx="96">
                  <c:v>Week 37 2021</c:v>
                </c:pt>
                <c:pt idx="97">
                  <c:v>Week 38 2021</c:v>
                </c:pt>
                <c:pt idx="98">
                  <c:v>Week 39 2021</c:v>
                </c:pt>
                <c:pt idx="99">
                  <c:v>Week 40 2021</c:v>
                </c:pt>
                <c:pt idx="100">
                  <c:v>Week 41 2021</c:v>
                </c:pt>
                <c:pt idx="101">
                  <c:v>Week 42 2021</c:v>
                </c:pt>
                <c:pt idx="102">
                  <c:v>Week 43 2021</c:v>
                </c:pt>
                <c:pt idx="103">
                  <c:v>Week 44 2021</c:v>
                </c:pt>
                <c:pt idx="104">
                  <c:v>Week 45 2021</c:v>
                </c:pt>
                <c:pt idx="105">
                  <c:v>Week 46 2021</c:v>
                </c:pt>
                <c:pt idx="106">
                  <c:v>Week 47 2021</c:v>
                </c:pt>
                <c:pt idx="107">
                  <c:v>Week 48 2021</c:v>
                </c:pt>
                <c:pt idx="108">
                  <c:v>Week 49 2021</c:v>
                </c:pt>
                <c:pt idx="109">
                  <c:v>Week 3 2022</c:v>
                </c:pt>
                <c:pt idx="110">
                  <c:v>Week 4 2022</c:v>
                </c:pt>
                <c:pt idx="111">
                  <c:v>Week 5 2022</c:v>
                </c:pt>
                <c:pt idx="112">
                  <c:v>Week 6 2022</c:v>
                </c:pt>
                <c:pt idx="113">
                  <c:v>Week 7 2022</c:v>
                </c:pt>
                <c:pt idx="114">
                  <c:v>Week 8 2022</c:v>
                </c:pt>
                <c:pt idx="115">
                  <c:v>Week 9 2022</c:v>
                </c:pt>
                <c:pt idx="116">
                  <c:v>Week 10 2022</c:v>
                </c:pt>
                <c:pt idx="117">
                  <c:v>Week 11 2022</c:v>
                </c:pt>
                <c:pt idx="118">
                  <c:v>Week 13 2022</c:v>
                </c:pt>
                <c:pt idx="119">
                  <c:v>Week 14 2022</c:v>
                </c:pt>
                <c:pt idx="120">
                  <c:v>Week 15 2022</c:v>
                </c:pt>
                <c:pt idx="121">
                  <c:v>Week 17 2022</c:v>
                </c:pt>
                <c:pt idx="122">
                  <c:v>Week 18 2022</c:v>
                </c:pt>
                <c:pt idx="123">
                  <c:v>Week 19 2022</c:v>
                </c:pt>
                <c:pt idx="124">
                  <c:v>Week 20 2022</c:v>
                </c:pt>
                <c:pt idx="125">
                  <c:v>Week 21 2022</c:v>
                </c:pt>
                <c:pt idx="126">
                  <c:v>Week 22 2022</c:v>
                </c:pt>
                <c:pt idx="127">
                  <c:v>Week 23 2022</c:v>
                </c:pt>
                <c:pt idx="128">
                  <c:v>Week 24 2022</c:v>
                </c:pt>
                <c:pt idx="129">
                  <c:v>Week 25 2022</c:v>
                </c:pt>
                <c:pt idx="130">
                  <c:v>Week 26 2022</c:v>
                </c:pt>
                <c:pt idx="131">
                  <c:v>Week 27 2022</c:v>
                </c:pt>
                <c:pt idx="132">
                  <c:v>Week 28 2022</c:v>
                </c:pt>
                <c:pt idx="133">
                  <c:v>Week 29 2022</c:v>
                </c:pt>
                <c:pt idx="134">
                  <c:v>Week 30 2022</c:v>
                </c:pt>
                <c:pt idx="135">
                  <c:v>Week 31 2022</c:v>
                </c:pt>
                <c:pt idx="136">
                  <c:v>Week 32 2022</c:v>
                </c:pt>
                <c:pt idx="137">
                  <c:v>Week 33 2022</c:v>
                </c:pt>
                <c:pt idx="138">
                  <c:v>Week 34 2022</c:v>
                </c:pt>
                <c:pt idx="139">
                  <c:v>Week 35 2022</c:v>
                </c:pt>
                <c:pt idx="140">
                  <c:v>Week 37 2022</c:v>
                </c:pt>
                <c:pt idx="141">
                  <c:v>Week 38 2022</c:v>
                </c:pt>
                <c:pt idx="142">
                  <c:v>Week 39 2022</c:v>
                </c:pt>
                <c:pt idx="143">
                  <c:v>Week 40 2022</c:v>
                </c:pt>
                <c:pt idx="144">
                  <c:v>Week 41 2022</c:v>
                </c:pt>
                <c:pt idx="145">
                  <c:v>Week 42 2022</c:v>
                </c:pt>
                <c:pt idx="146">
                  <c:v>Week 43 2022</c:v>
                </c:pt>
                <c:pt idx="147">
                  <c:v>Week 44 2022</c:v>
                </c:pt>
                <c:pt idx="148">
                  <c:v>Week 45 2022</c:v>
                </c:pt>
                <c:pt idx="149">
                  <c:v>Week 46 2022</c:v>
                </c:pt>
                <c:pt idx="150">
                  <c:v>Week 47 2022</c:v>
                </c:pt>
                <c:pt idx="151">
                  <c:v>Week 48 2022</c:v>
                </c:pt>
                <c:pt idx="152">
                  <c:v>Week 49 2022</c:v>
                </c:pt>
                <c:pt idx="153">
                  <c:v>Week 03 2023</c:v>
                </c:pt>
                <c:pt idx="154">
                  <c:v>Week 04 2023</c:v>
                </c:pt>
                <c:pt idx="155">
                  <c:v>Week 05 2023</c:v>
                </c:pt>
                <c:pt idx="156">
                  <c:v>Week 06 2023</c:v>
                </c:pt>
                <c:pt idx="157">
                  <c:v>Week 07 2023</c:v>
                </c:pt>
                <c:pt idx="158">
                  <c:v>Week 08 2023</c:v>
                </c:pt>
                <c:pt idx="159">
                  <c:v>Week 09 2023</c:v>
                </c:pt>
                <c:pt idx="160">
                  <c:v>Week 10 2023</c:v>
                </c:pt>
                <c:pt idx="161">
                  <c:v>Week 11 2023</c:v>
                </c:pt>
              </c:strCache>
            </c:strRef>
          </c:cat>
          <c:val>
            <c:numRef>
              <c:f>('Team Eff'!$I$64,'Team Eff'!$I$65:$I$128,'Team Eff'!$I$130:$I$183,'Team Eff'!$I$185:$I$206,'Team Eff'!$I$208:$I$229)</c:f>
              <c:numCache>
                <c:formatCode>0%</c:formatCode>
                <c:ptCount val="163"/>
                <c:pt idx="0" formatCode="General">
                  <c:v>0</c:v>
                </c:pt>
                <c:pt idx="1">
                  <c:v>0.27</c:v>
                </c:pt>
                <c:pt idx="2">
                  <c:v>0.25</c:v>
                </c:pt>
                <c:pt idx="3">
                  <c:v>0.37</c:v>
                </c:pt>
                <c:pt idx="4">
                  <c:v>0.34</c:v>
                </c:pt>
                <c:pt idx="5">
                  <c:v>0.28575304064746576</c:v>
                </c:pt>
                <c:pt idx="6">
                  <c:v>0.34965561935765849</c:v>
                </c:pt>
                <c:pt idx="7">
                  <c:v>0.39788398064836999</c:v>
                </c:pt>
                <c:pt idx="8">
                  <c:v>0.42368615393890063</c:v>
                </c:pt>
                <c:pt idx="9">
                  <c:v>0.30799837229280641</c:v>
                </c:pt>
                <c:pt idx="10">
                  <c:v>0.38608914973080466</c:v>
                </c:pt>
                <c:pt idx="11">
                  <c:v>0.43071251879516903</c:v>
                </c:pt>
                <c:pt idx="12">
                  <c:v>0.39</c:v>
                </c:pt>
                <c:pt idx="13">
                  <c:v>0.43459281175728764</c:v>
                </c:pt>
                <c:pt idx="14">
                  <c:v>0.41195776947826224</c:v>
                </c:pt>
                <c:pt idx="15">
                  <c:v>0.4</c:v>
                </c:pt>
                <c:pt idx="16">
                  <c:v>0.38839455849944488</c:v>
                </c:pt>
                <c:pt idx="17">
                  <c:v>0.40512998956106777</c:v>
                </c:pt>
                <c:pt idx="18">
                  <c:v>0.32874351709168032</c:v>
                </c:pt>
                <c:pt idx="19">
                  <c:v>0.36055740584248808</c:v>
                </c:pt>
                <c:pt idx="20">
                  <c:v>0.41490613245845137</c:v>
                </c:pt>
                <c:pt idx="21">
                  <c:v>0.41454463145300802</c:v>
                </c:pt>
                <c:pt idx="22">
                  <c:v>0.44105996669415204</c:v>
                </c:pt>
                <c:pt idx="23">
                  <c:v>0.43523952725097409</c:v>
                </c:pt>
                <c:pt idx="24">
                  <c:v>0.43588624274466053</c:v>
                </c:pt>
                <c:pt idx="25">
                  <c:v>0.42189017902576675</c:v>
                </c:pt>
                <c:pt idx="26">
                  <c:v>0.41818938798168104</c:v>
                </c:pt>
                <c:pt idx="27">
                  <c:v>0.42802670645506474</c:v>
                </c:pt>
                <c:pt idx="28">
                  <c:v>0.50474677851279603</c:v>
                </c:pt>
                <c:pt idx="29">
                  <c:v>0.48050961180902491</c:v>
                </c:pt>
                <c:pt idx="30">
                  <c:v>0.44817383712470288</c:v>
                </c:pt>
                <c:pt idx="31">
                  <c:v>0.41907163990881308</c:v>
                </c:pt>
                <c:pt idx="32">
                  <c:v>0.42489207935199103</c:v>
                </c:pt>
                <c:pt idx="33">
                  <c:v>0.3087559785954444</c:v>
                </c:pt>
                <c:pt idx="34">
                  <c:v>0.2834998658269009</c:v>
                </c:pt>
                <c:pt idx="35">
                  <c:v>0.2793146049309771</c:v>
                </c:pt>
                <c:pt idx="36">
                  <c:v>0.386743299135199</c:v>
                </c:pt>
                <c:pt idx="37">
                  <c:v>0.42541762904871888</c:v>
                </c:pt>
                <c:pt idx="38">
                  <c:v>0.4605110024887647</c:v>
                </c:pt>
                <c:pt idx="39">
                  <c:v>0.4755510196773558</c:v>
                </c:pt>
                <c:pt idx="40">
                  <c:v>0.43495551026495005</c:v>
                </c:pt>
                <c:pt idx="41">
                  <c:v>0.37121469337601654</c:v>
                </c:pt>
                <c:pt idx="42">
                  <c:v>0.40914902685040488</c:v>
                </c:pt>
                <c:pt idx="43">
                  <c:v>0.44568245125348188</c:v>
                </c:pt>
                <c:pt idx="44">
                  <c:v>0.41384799044966175</c:v>
                </c:pt>
                <c:pt idx="45">
                  <c:v>0.44037670778617849</c:v>
                </c:pt>
                <c:pt idx="46">
                  <c:v>0.46146971604988418</c:v>
                </c:pt>
                <c:pt idx="47">
                  <c:v>0.39350185600767806</c:v>
                </c:pt>
                <c:pt idx="48">
                  <c:v>0.46841795903603561</c:v>
                </c:pt>
                <c:pt idx="49">
                  <c:v>0.43952398722892561</c:v>
                </c:pt>
                <c:pt idx="50">
                  <c:v>0.40535772254449476</c:v>
                </c:pt>
                <c:pt idx="51">
                  <c:v>0.42681119532540118</c:v>
                </c:pt>
                <c:pt idx="52">
                  <c:v>0.45688346524001117</c:v>
                </c:pt>
                <c:pt idx="53">
                  <c:v>0.50404562939381881</c:v>
                </c:pt>
                <c:pt idx="54">
                  <c:v>0.45983110049962417</c:v>
                </c:pt>
                <c:pt idx="55">
                  <c:v>0.43488918688987899</c:v>
                </c:pt>
                <c:pt idx="56">
                  <c:v>0.42623754524087609</c:v>
                </c:pt>
                <c:pt idx="57">
                  <c:v>0.41269706849585747</c:v>
                </c:pt>
                <c:pt idx="58">
                  <c:v>0.45666265842904724</c:v>
                </c:pt>
                <c:pt idx="59">
                  <c:v>0.36544069881549668</c:v>
                </c:pt>
                <c:pt idx="60">
                  <c:v>0.41607637426452759</c:v>
                </c:pt>
                <c:pt idx="61">
                  <c:v>0.47887072277316178</c:v>
                </c:pt>
                <c:pt idx="62">
                  <c:v>0.45907014872935936</c:v>
                </c:pt>
                <c:pt idx="63">
                  <c:v>0.45646771024449906</c:v>
                </c:pt>
                <c:pt idx="64">
                  <c:v>0.48717648436585076</c:v>
                </c:pt>
                <c:pt idx="65">
                  <c:v>0.47072672853189063</c:v>
                </c:pt>
                <c:pt idx="66">
                  <c:v>0.47388260635433493</c:v>
                </c:pt>
                <c:pt idx="67">
                  <c:v>0.50744511652953628</c:v>
                </c:pt>
                <c:pt idx="68">
                  <c:v>0.47896873891276071</c:v>
                </c:pt>
                <c:pt idx="69">
                  <c:v>0.48934968003048579</c:v>
                </c:pt>
                <c:pt idx="70">
                  <c:v>0.46631589807077267</c:v>
                </c:pt>
                <c:pt idx="71">
                  <c:v>0.49048650719959908</c:v>
                </c:pt>
                <c:pt idx="72">
                  <c:v>0.48834878830221168</c:v>
                </c:pt>
                <c:pt idx="73">
                  <c:v>0.4793157471313037</c:v>
                </c:pt>
                <c:pt idx="74">
                  <c:v>0.47070235223545326</c:v>
                </c:pt>
                <c:pt idx="75">
                  <c:v>0.49712192569335428</c:v>
                </c:pt>
                <c:pt idx="76">
                  <c:v>0.43117623415061934</c:v>
                </c:pt>
                <c:pt idx="77">
                  <c:v>0.44238194419069193</c:v>
                </c:pt>
                <c:pt idx="78">
                  <c:v>0.45460866487149337</c:v>
                </c:pt>
                <c:pt idx="79">
                  <c:v>0.47723796159340592</c:v>
                </c:pt>
                <c:pt idx="80">
                  <c:v>0.49889769917540588</c:v>
                </c:pt>
                <c:pt idx="81">
                  <c:v>0.45788925969785049</c:v>
                </c:pt>
                <c:pt idx="82">
                  <c:v>0.45788925969785049</c:v>
                </c:pt>
                <c:pt idx="83">
                  <c:v>0.47661014559170867</c:v>
                </c:pt>
                <c:pt idx="84">
                  <c:v>0.42009066877190465</c:v>
                </c:pt>
                <c:pt idx="85">
                  <c:v>0.36171816126601353</c:v>
                </c:pt>
                <c:pt idx="86">
                  <c:v>0.37942129878829201</c:v>
                </c:pt>
                <c:pt idx="87">
                  <c:v>0.43001812912091081</c:v>
                </c:pt>
                <c:pt idx="88">
                  <c:v>0.45588388124848439</c:v>
                </c:pt>
                <c:pt idx="89">
                  <c:v>0.44664611263149384</c:v>
                </c:pt>
                <c:pt idx="90">
                  <c:v>0.41567110403155455</c:v>
                </c:pt>
                <c:pt idx="91">
                  <c:v>0.30306445755219097</c:v>
                </c:pt>
                <c:pt idx="92">
                  <c:v>0.34364002955504624</c:v>
                </c:pt>
                <c:pt idx="93">
                  <c:v>0.36317641607493956</c:v>
                </c:pt>
                <c:pt idx="94">
                  <c:v>0.28653366895843507</c:v>
                </c:pt>
                <c:pt idx="95">
                  <c:v>0.36277992478952775</c:v>
                </c:pt>
                <c:pt idx="96">
                  <c:v>0.39400918660785156</c:v>
                </c:pt>
                <c:pt idx="97">
                  <c:v>0.42679991151709151</c:v>
                </c:pt>
                <c:pt idx="98">
                  <c:v>0.41805173663834966</c:v>
                </c:pt>
                <c:pt idx="99">
                  <c:v>0.42188205359707798</c:v>
                </c:pt>
                <c:pt idx="100">
                  <c:v>0.41339928419190092</c:v>
                </c:pt>
                <c:pt idx="101">
                  <c:v>0.41983351429605498</c:v>
                </c:pt>
                <c:pt idx="102">
                  <c:v>0.453613222342864</c:v>
                </c:pt>
                <c:pt idx="103">
                  <c:v>0.4057557200285532</c:v>
                </c:pt>
                <c:pt idx="104">
                  <c:v>0.40124732313934702</c:v>
                </c:pt>
                <c:pt idx="105">
                  <c:v>0.41808336481551439</c:v>
                </c:pt>
                <c:pt idx="106">
                  <c:v>0.4476532584083176</c:v>
                </c:pt>
                <c:pt idx="107">
                  <c:v>0.45713743761188363</c:v>
                </c:pt>
                <c:pt idx="108">
                  <c:v>0.51677299602955096</c:v>
                </c:pt>
                <c:pt idx="109">
                  <c:v>0.55856719646961928</c:v>
                </c:pt>
                <c:pt idx="110">
                  <c:v>0.53349067620557822</c:v>
                </c:pt>
                <c:pt idx="111">
                  <c:v>0.50743076299000622</c:v>
                </c:pt>
                <c:pt idx="112">
                  <c:v>0.39103783555273725</c:v>
                </c:pt>
                <c:pt idx="113">
                  <c:v>0.41469134684099801</c:v>
                </c:pt>
                <c:pt idx="114">
                  <c:v>0.44690038348884248</c:v>
                </c:pt>
                <c:pt idx="115">
                  <c:v>0.42958802629062609</c:v>
                </c:pt>
                <c:pt idx="116">
                  <c:v>0.3925476341456049</c:v>
                </c:pt>
                <c:pt idx="117">
                  <c:v>0.43175473010139997</c:v>
                </c:pt>
                <c:pt idx="118">
                  <c:v>0.47864545444961043</c:v>
                </c:pt>
                <c:pt idx="119">
                  <c:v>0.46015676380847642</c:v>
                </c:pt>
                <c:pt idx="120">
                  <c:v>0.49884384828659412</c:v>
                </c:pt>
                <c:pt idx="121">
                  <c:v>0.47944680058300732</c:v>
                </c:pt>
                <c:pt idx="122">
                  <c:v>0.48163855738567252</c:v>
                </c:pt>
                <c:pt idx="123">
                  <c:v>0.50212677663658056</c:v>
                </c:pt>
                <c:pt idx="124">
                  <c:v>0.4823675713910851</c:v>
                </c:pt>
                <c:pt idx="125">
                  <c:v>0.47029430135577033</c:v>
                </c:pt>
                <c:pt idx="126">
                  <c:v>0.42375476111743887</c:v>
                </c:pt>
                <c:pt idx="127">
                  <c:v>0.42320120772042774</c:v>
                </c:pt>
                <c:pt idx="128">
                  <c:v>0.40486082519244926</c:v>
                </c:pt>
                <c:pt idx="129">
                  <c:v>0.39205782251566423</c:v>
                </c:pt>
                <c:pt idx="130">
                  <c:v>0.44818247701872832</c:v>
                </c:pt>
                <c:pt idx="131">
                  <c:v>0.39351401796477042</c:v>
                </c:pt>
                <c:pt idx="132">
                  <c:v>0.39497164611175006</c:v>
                </c:pt>
                <c:pt idx="133">
                  <c:v>0.46582332024692341</c:v>
                </c:pt>
                <c:pt idx="134">
                  <c:v>0.43467954236378836</c:v>
                </c:pt>
                <c:pt idx="135">
                  <c:v>0.39575301618195657</c:v>
                </c:pt>
                <c:pt idx="136">
                  <c:v>0.42918990405609414</c:v>
                </c:pt>
                <c:pt idx="137">
                  <c:v>0.45214657334281549</c:v>
                </c:pt>
                <c:pt idx="138">
                  <c:v>0.45264563137078767</c:v>
                </c:pt>
                <c:pt idx="139">
                  <c:v>0.416406412658755</c:v>
                </c:pt>
                <c:pt idx="140">
                  <c:v>0.38484203437120418</c:v>
                </c:pt>
                <c:pt idx="141">
                  <c:v>0.41601374331116292</c:v>
                </c:pt>
                <c:pt idx="142">
                  <c:v>0.35483025788823597</c:v>
                </c:pt>
                <c:pt idx="143">
                  <c:v>0.37507469707950314</c:v>
                </c:pt>
                <c:pt idx="144">
                  <c:v>0.39007768496268325</c:v>
                </c:pt>
                <c:pt idx="145">
                  <c:v>0.3819404711955347</c:v>
                </c:pt>
                <c:pt idx="146">
                  <c:v>0.39770632286938501</c:v>
                </c:pt>
                <c:pt idx="147">
                  <c:v>0.34646730492937156</c:v>
                </c:pt>
                <c:pt idx="148">
                  <c:v>0.28446307594415543</c:v>
                </c:pt>
                <c:pt idx="149">
                  <c:v>0.27148756721687817</c:v>
                </c:pt>
                <c:pt idx="150">
                  <c:v>0.27045070382522979</c:v>
                </c:pt>
                <c:pt idx="151">
                  <c:v>0.25511001264186589</c:v>
                </c:pt>
                <c:pt idx="152">
                  <c:v>0.17954290422011052</c:v>
                </c:pt>
                <c:pt idx="153">
                  <c:v>0.26817800883510179</c:v>
                </c:pt>
                <c:pt idx="154">
                  <c:v>0.41588476948825892</c:v>
                </c:pt>
                <c:pt idx="155">
                  <c:v>0.36110970228736627</c:v>
                </c:pt>
                <c:pt idx="156">
                  <c:v>0.42011124072289563</c:v>
                </c:pt>
                <c:pt idx="157">
                  <c:v>0.36055992835933448</c:v>
                </c:pt>
                <c:pt idx="158">
                  <c:v>0.44681151906490085</c:v>
                </c:pt>
                <c:pt idx="159">
                  <c:v>0.43235770058600809</c:v>
                </c:pt>
                <c:pt idx="160">
                  <c:v>0.41135208976070975</c:v>
                </c:pt>
                <c:pt idx="161">
                  <c:v>0.42792896501972344</c:v>
                </c:pt>
                <c:pt idx="162">
                  <c:v>0.37845831359205184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3-4BCA-B9B3-2A7E11491D18}"/>
            </c:ext>
          </c:extLst>
        </c:ser>
        <c:ser>
          <c:idx val="3"/>
          <c:order val="2"/>
          <c:tx>
            <c:strRef>
              <c:f>'Team Eff'!$J$64</c:f>
              <c:strCache>
                <c:ptCount val="1"/>
                <c:pt idx="0">
                  <c:v>SEC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Eff'!$A$65:$A$128,'Team Eff'!$A$130:$A$183,'Team Eff'!$A$185:$A$206,'Team Eff'!$A$208:$A$229)</c:f>
              <c:strCache>
                <c:ptCount val="162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21 2020</c:v>
                </c:pt>
                <c:pt idx="38">
                  <c:v>Week 22 2020</c:v>
                </c:pt>
                <c:pt idx="39">
                  <c:v>Week 23 2020</c:v>
                </c:pt>
                <c:pt idx="40">
                  <c:v>Week 24 2020</c:v>
                </c:pt>
                <c:pt idx="41">
                  <c:v>Week 25 2020</c:v>
                </c:pt>
                <c:pt idx="42">
                  <c:v>Week 26 2020</c:v>
                </c:pt>
                <c:pt idx="43">
                  <c:v>Week 27 2020</c:v>
                </c:pt>
                <c:pt idx="44">
                  <c:v>Week 28 2020</c:v>
                </c:pt>
                <c:pt idx="45">
                  <c:v>Week 29 2020</c:v>
                </c:pt>
                <c:pt idx="46">
                  <c:v>Week 30 2020</c:v>
                </c:pt>
                <c:pt idx="47">
                  <c:v>Week 31 2020</c:v>
                </c:pt>
                <c:pt idx="48">
                  <c:v>Week 32 2020</c:v>
                </c:pt>
                <c:pt idx="49">
                  <c:v>Week 34 2020</c:v>
                </c:pt>
                <c:pt idx="50">
                  <c:v>Week 35 2020</c:v>
                </c:pt>
                <c:pt idx="51">
                  <c:v>Week 36 2020</c:v>
                </c:pt>
                <c:pt idx="52">
                  <c:v>Week 37 2020</c:v>
                </c:pt>
                <c:pt idx="53">
                  <c:v>Week 38 2020</c:v>
                </c:pt>
                <c:pt idx="54">
                  <c:v>Week 39 2020</c:v>
                </c:pt>
                <c:pt idx="55">
                  <c:v>Week 40 2020</c:v>
                </c:pt>
                <c:pt idx="56">
                  <c:v>Week 41 2020</c:v>
                </c:pt>
                <c:pt idx="57">
                  <c:v>Week 42 2020</c:v>
                </c:pt>
                <c:pt idx="58">
                  <c:v>Week 43 2020</c:v>
                </c:pt>
                <c:pt idx="59">
                  <c:v>Week 44 2020</c:v>
                </c:pt>
                <c:pt idx="60">
                  <c:v>Week 45 2020</c:v>
                </c:pt>
                <c:pt idx="61">
                  <c:v>Week 45 2020</c:v>
                </c:pt>
                <c:pt idx="62">
                  <c:v>Week 46 2020</c:v>
                </c:pt>
                <c:pt idx="63">
                  <c:v>Week 47 2020</c:v>
                </c:pt>
                <c:pt idx="64">
                  <c:v>Week 48 2020</c:v>
                </c:pt>
                <c:pt idx="65">
                  <c:v>Week 49 2020</c:v>
                </c:pt>
                <c:pt idx="66">
                  <c:v>Week 50 2020</c:v>
                </c:pt>
                <c:pt idx="67">
                  <c:v>Week 06 2021</c:v>
                </c:pt>
                <c:pt idx="68">
                  <c:v>Week 07 2021</c:v>
                </c:pt>
                <c:pt idx="69">
                  <c:v>Week 08 2021</c:v>
                </c:pt>
                <c:pt idx="70">
                  <c:v>Week 09 2021</c:v>
                </c:pt>
                <c:pt idx="71">
                  <c:v>Week 10 2021</c:v>
                </c:pt>
                <c:pt idx="72">
                  <c:v>Week 11 2021</c:v>
                </c:pt>
                <c:pt idx="73">
                  <c:v>Week 12 2021</c:v>
                </c:pt>
                <c:pt idx="74">
                  <c:v>Week 13 2021</c:v>
                </c:pt>
                <c:pt idx="75">
                  <c:v>Week 14 2021</c:v>
                </c:pt>
                <c:pt idx="76">
                  <c:v>Week 15 2021</c:v>
                </c:pt>
                <c:pt idx="77">
                  <c:v>Week 16 2021</c:v>
                </c:pt>
                <c:pt idx="78">
                  <c:v>Week 17 2021</c:v>
                </c:pt>
                <c:pt idx="79">
                  <c:v>Week 18 2021</c:v>
                </c:pt>
                <c:pt idx="80">
                  <c:v>Week 19 2021</c:v>
                </c:pt>
                <c:pt idx="81">
                  <c:v>Week 20 2021</c:v>
                </c:pt>
                <c:pt idx="82">
                  <c:v>Week 21 2021</c:v>
                </c:pt>
                <c:pt idx="83">
                  <c:v>Week 24 2021</c:v>
                </c:pt>
                <c:pt idx="84">
                  <c:v>Week 25 2021</c:v>
                </c:pt>
                <c:pt idx="85">
                  <c:v>Week 26 2021</c:v>
                </c:pt>
                <c:pt idx="86">
                  <c:v>Week 27 2021</c:v>
                </c:pt>
                <c:pt idx="87">
                  <c:v>Week 28 2021</c:v>
                </c:pt>
                <c:pt idx="88">
                  <c:v>Week 29 2021</c:v>
                </c:pt>
                <c:pt idx="89">
                  <c:v>Week 30 2021</c:v>
                </c:pt>
                <c:pt idx="90">
                  <c:v>Week 31 2021</c:v>
                </c:pt>
                <c:pt idx="91">
                  <c:v>Week 32 2021</c:v>
                </c:pt>
                <c:pt idx="92">
                  <c:v>Week 33 2021</c:v>
                </c:pt>
                <c:pt idx="93">
                  <c:v>Week 34 2021</c:v>
                </c:pt>
                <c:pt idx="94">
                  <c:v>Week 35 2021</c:v>
                </c:pt>
                <c:pt idx="95">
                  <c:v>Week 36 2021</c:v>
                </c:pt>
                <c:pt idx="96">
                  <c:v>Week 37 2021</c:v>
                </c:pt>
                <c:pt idx="97">
                  <c:v>Week 38 2021</c:v>
                </c:pt>
                <c:pt idx="98">
                  <c:v>Week 39 2021</c:v>
                </c:pt>
                <c:pt idx="99">
                  <c:v>Week 40 2021</c:v>
                </c:pt>
                <c:pt idx="100">
                  <c:v>Week 41 2021</c:v>
                </c:pt>
                <c:pt idx="101">
                  <c:v>Week 42 2021</c:v>
                </c:pt>
                <c:pt idx="102">
                  <c:v>Week 43 2021</c:v>
                </c:pt>
                <c:pt idx="103">
                  <c:v>Week 44 2021</c:v>
                </c:pt>
                <c:pt idx="104">
                  <c:v>Week 45 2021</c:v>
                </c:pt>
                <c:pt idx="105">
                  <c:v>Week 46 2021</c:v>
                </c:pt>
                <c:pt idx="106">
                  <c:v>Week 47 2021</c:v>
                </c:pt>
                <c:pt idx="107">
                  <c:v>Week 48 2021</c:v>
                </c:pt>
                <c:pt idx="108">
                  <c:v>Week 49 2021</c:v>
                </c:pt>
                <c:pt idx="109">
                  <c:v>Week 3 2022</c:v>
                </c:pt>
                <c:pt idx="110">
                  <c:v>Week 4 2022</c:v>
                </c:pt>
                <c:pt idx="111">
                  <c:v>Week 5 2022</c:v>
                </c:pt>
                <c:pt idx="112">
                  <c:v>Week 6 2022</c:v>
                </c:pt>
                <c:pt idx="113">
                  <c:v>Week 7 2022</c:v>
                </c:pt>
                <c:pt idx="114">
                  <c:v>Week 8 2022</c:v>
                </c:pt>
                <c:pt idx="115">
                  <c:v>Week 9 2022</c:v>
                </c:pt>
                <c:pt idx="116">
                  <c:v>Week 10 2022</c:v>
                </c:pt>
                <c:pt idx="117">
                  <c:v>Week 11 2022</c:v>
                </c:pt>
                <c:pt idx="118">
                  <c:v>Week 13 2022</c:v>
                </c:pt>
                <c:pt idx="119">
                  <c:v>Week 14 2022</c:v>
                </c:pt>
                <c:pt idx="120">
                  <c:v>Week 15 2022</c:v>
                </c:pt>
                <c:pt idx="121">
                  <c:v>Week 17 2022</c:v>
                </c:pt>
                <c:pt idx="122">
                  <c:v>Week 18 2022</c:v>
                </c:pt>
                <c:pt idx="123">
                  <c:v>Week 19 2022</c:v>
                </c:pt>
                <c:pt idx="124">
                  <c:v>Week 20 2022</c:v>
                </c:pt>
                <c:pt idx="125">
                  <c:v>Week 21 2022</c:v>
                </c:pt>
                <c:pt idx="126">
                  <c:v>Week 22 2022</c:v>
                </c:pt>
                <c:pt idx="127">
                  <c:v>Week 23 2022</c:v>
                </c:pt>
                <c:pt idx="128">
                  <c:v>Week 24 2022</c:v>
                </c:pt>
                <c:pt idx="129">
                  <c:v>Week 25 2022</c:v>
                </c:pt>
                <c:pt idx="130">
                  <c:v>Week 26 2022</c:v>
                </c:pt>
                <c:pt idx="131">
                  <c:v>Week 27 2022</c:v>
                </c:pt>
                <c:pt idx="132">
                  <c:v>Week 28 2022</c:v>
                </c:pt>
                <c:pt idx="133">
                  <c:v>Week 29 2022</c:v>
                </c:pt>
                <c:pt idx="134">
                  <c:v>Week 30 2022</c:v>
                </c:pt>
                <c:pt idx="135">
                  <c:v>Week 31 2022</c:v>
                </c:pt>
                <c:pt idx="136">
                  <c:v>Week 32 2022</c:v>
                </c:pt>
                <c:pt idx="137">
                  <c:v>Week 33 2022</c:v>
                </c:pt>
                <c:pt idx="138">
                  <c:v>Week 34 2022</c:v>
                </c:pt>
                <c:pt idx="139">
                  <c:v>Week 35 2022</c:v>
                </c:pt>
                <c:pt idx="140">
                  <c:v>Week 37 2022</c:v>
                </c:pt>
                <c:pt idx="141">
                  <c:v>Week 38 2022</c:v>
                </c:pt>
                <c:pt idx="142">
                  <c:v>Week 39 2022</c:v>
                </c:pt>
                <c:pt idx="143">
                  <c:v>Week 40 2022</c:v>
                </c:pt>
                <c:pt idx="144">
                  <c:v>Week 41 2022</c:v>
                </c:pt>
                <c:pt idx="145">
                  <c:v>Week 42 2022</c:v>
                </c:pt>
                <c:pt idx="146">
                  <c:v>Week 43 2022</c:v>
                </c:pt>
                <c:pt idx="147">
                  <c:v>Week 44 2022</c:v>
                </c:pt>
                <c:pt idx="148">
                  <c:v>Week 45 2022</c:v>
                </c:pt>
                <c:pt idx="149">
                  <c:v>Week 46 2022</c:v>
                </c:pt>
                <c:pt idx="150">
                  <c:v>Week 47 2022</c:v>
                </c:pt>
                <c:pt idx="151">
                  <c:v>Week 48 2022</c:v>
                </c:pt>
                <c:pt idx="152">
                  <c:v>Week 49 2022</c:v>
                </c:pt>
                <c:pt idx="153">
                  <c:v>Week 03 2023</c:v>
                </c:pt>
                <c:pt idx="154">
                  <c:v>Week 04 2023</c:v>
                </c:pt>
                <c:pt idx="155">
                  <c:v>Week 05 2023</c:v>
                </c:pt>
                <c:pt idx="156">
                  <c:v>Week 06 2023</c:v>
                </c:pt>
                <c:pt idx="157">
                  <c:v>Week 07 2023</c:v>
                </c:pt>
                <c:pt idx="158">
                  <c:v>Week 08 2023</c:v>
                </c:pt>
                <c:pt idx="159">
                  <c:v>Week 09 2023</c:v>
                </c:pt>
                <c:pt idx="160">
                  <c:v>Week 10 2023</c:v>
                </c:pt>
                <c:pt idx="161">
                  <c:v>Week 11 2023</c:v>
                </c:pt>
              </c:strCache>
            </c:strRef>
          </c:cat>
          <c:val>
            <c:numRef>
              <c:f>('Team Eff'!$J$65:$J$128,'Team Eff'!$J$130:$J$183,'Team Eff'!$J$185:$J$206,'Team Eff'!$J$208:$J$229)</c:f>
              <c:numCache>
                <c:formatCode>0%</c:formatCode>
                <c:ptCount val="162"/>
                <c:pt idx="0">
                  <c:v>0.36</c:v>
                </c:pt>
                <c:pt idx="1">
                  <c:v>0.45</c:v>
                </c:pt>
                <c:pt idx="2">
                  <c:v>0.42</c:v>
                </c:pt>
                <c:pt idx="3">
                  <c:v>0.5</c:v>
                </c:pt>
                <c:pt idx="4">
                  <c:v>0.46288802686536606</c:v>
                </c:pt>
                <c:pt idx="5">
                  <c:v>0.4747951143731568</c:v>
                </c:pt>
                <c:pt idx="6">
                  <c:v>0.51646992065042452</c:v>
                </c:pt>
                <c:pt idx="7">
                  <c:v>0.55140978055609802</c:v>
                </c:pt>
                <c:pt idx="8">
                  <c:v>0.48394868789477091</c:v>
                </c:pt>
                <c:pt idx="9">
                  <c:v>0.46214383389612912</c:v>
                </c:pt>
                <c:pt idx="10">
                  <c:v>0.48595800891171065</c:v>
                </c:pt>
                <c:pt idx="11">
                  <c:v>0.45023674638833838</c:v>
                </c:pt>
                <c:pt idx="12">
                  <c:v>0.48819058781942143</c:v>
                </c:pt>
                <c:pt idx="13">
                  <c:v>0.43609707997283681</c:v>
                </c:pt>
                <c:pt idx="14">
                  <c:v>0.46065544795765528</c:v>
                </c:pt>
                <c:pt idx="15">
                  <c:v>0.4911673596963691</c:v>
                </c:pt>
                <c:pt idx="16">
                  <c:v>0.48744639485018443</c:v>
                </c:pt>
                <c:pt idx="17">
                  <c:v>0.47777188625010453</c:v>
                </c:pt>
                <c:pt idx="18">
                  <c:v>0.49265574563484299</c:v>
                </c:pt>
                <c:pt idx="19">
                  <c:v>0.4807486581270522</c:v>
                </c:pt>
                <c:pt idx="20">
                  <c:v>0.50605121908110762</c:v>
                </c:pt>
                <c:pt idx="21">
                  <c:v>0.51051637689652907</c:v>
                </c:pt>
                <c:pt idx="22">
                  <c:v>0.5075396050195814</c:v>
                </c:pt>
                <c:pt idx="23">
                  <c:v>0.54698183238913833</c:v>
                </c:pt>
                <c:pt idx="24">
                  <c:v>0.57629480809781086</c:v>
                </c:pt>
                <c:pt idx="25">
                  <c:v>0.55602313143105364</c:v>
                </c:pt>
                <c:pt idx="26">
                  <c:v>0.62</c:v>
                </c:pt>
                <c:pt idx="27">
                  <c:v>0.6121880146965667</c:v>
                </c:pt>
                <c:pt idx="28">
                  <c:v>0.64948688711516545</c:v>
                </c:pt>
                <c:pt idx="29">
                  <c:v>0.60813378943367546</c:v>
                </c:pt>
                <c:pt idx="30">
                  <c:v>0.60570125427594079</c:v>
                </c:pt>
                <c:pt idx="31">
                  <c:v>0.59353857848726732</c:v>
                </c:pt>
                <c:pt idx="32">
                  <c:v>0.60813378943367546</c:v>
                </c:pt>
                <c:pt idx="33">
                  <c:v>0.54367160775370593</c:v>
                </c:pt>
                <c:pt idx="34">
                  <c:v>0.54380225372591795</c:v>
                </c:pt>
                <c:pt idx="35">
                  <c:v>0.7025808796801164</c:v>
                </c:pt>
                <c:pt idx="36">
                  <c:v>0.7037440930570702</c:v>
                </c:pt>
                <c:pt idx="37">
                  <c:v>0.66768447837150136</c:v>
                </c:pt>
                <c:pt idx="38">
                  <c:v>0.63531870428422166</c:v>
                </c:pt>
                <c:pt idx="39">
                  <c:v>0.67640376501136001</c:v>
                </c:pt>
                <c:pt idx="40">
                  <c:v>0.66056475170399231</c:v>
                </c:pt>
                <c:pt idx="41">
                  <c:v>0.65225576111652073</c:v>
                </c:pt>
                <c:pt idx="42">
                  <c:v>0.65433300876338862</c:v>
                </c:pt>
                <c:pt idx="43">
                  <c:v>0.63880037488284913</c:v>
                </c:pt>
                <c:pt idx="44">
                  <c:v>0.6110643077787139</c:v>
                </c:pt>
                <c:pt idx="45">
                  <c:v>0.59758494804830109</c:v>
                </c:pt>
                <c:pt idx="46">
                  <c:v>0.59578770008424597</c:v>
                </c:pt>
                <c:pt idx="47">
                  <c:v>0.52032520325203258</c:v>
                </c:pt>
                <c:pt idx="48">
                  <c:v>0.47551502870651813</c:v>
                </c:pt>
                <c:pt idx="49">
                  <c:v>0.56685042263873586</c:v>
                </c:pt>
                <c:pt idx="50">
                  <c:v>0.3998529952223448</c:v>
                </c:pt>
                <c:pt idx="51">
                  <c:v>0.46571113561190747</c:v>
                </c:pt>
                <c:pt idx="52">
                  <c:v>0.53039323778022796</c:v>
                </c:pt>
                <c:pt idx="53">
                  <c:v>0.48805586181550908</c:v>
                </c:pt>
                <c:pt idx="54">
                  <c:v>0.3492833517089306</c:v>
                </c:pt>
                <c:pt idx="55">
                  <c:v>0.43160602719588392</c:v>
                </c:pt>
                <c:pt idx="56">
                  <c:v>0.49864020580668877</c:v>
                </c:pt>
                <c:pt idx="57">
                  <c:v>0.48452774715178248</c:v>
                </c:pt>
                <c:pt idx="58">
                  <c:v>0.44924660051451676</c:v>
                </c:pt>
                <c:pt idx="59">
                  <c:v>0.53849254332930285</c:v>
                </c:pt>
                <c:pt idx="60">
                  <c:v>0.52365981459089084</c:v>
                </c:pt>
                <c:pt idx="61">
                  <c:v>0.45401047964530439</c:v>
                </c:pt>
                <c:pt idx="62">
                  <c:v>0.52881902458686025</c:v>
                </c:pt>
                <c:pt idx="63">
                  <c:v>0.46948810963321247</c:v>
                </c:pt>
                <c:pt idx="64">
                  <c:v>0.4216439487814953</c:v>
                </c:pt>
                <c:pt idx="65">
                  <c:v>0.52606361007848002</c:v>
                </c:pt>
                <c:pt idx="66">
                  <c:v>0.51152416356877328</c:v>
                </c:pt>
                <c:pt idx="67">
                  <c:v>0.43247654018767856</c:v>
                </c:pt>
                <c:pt idx="68">
                  <c:v>0.44651162790697679</c:v>
                </c:pt>
                <c:pt idx="69">
                  <c:v>0.37588486970050572</c:v>
                </c:pt>
                <c:pt idx="70">
                  <c:v>0.49163749513807864</c:v>
                </c:pt>
                <c:pt idx="71">
                  <c:v>0.54362934362934368</c:v>
                </c:pt>
                <c:pt idx="72">
                  <c:v>0.48871728871728881</c:v>
                </c:pt>
                <c:pt idx="73">
                  <c:v>0.53264693264693275</c:v>
                </c:pt>
                <c:pt idx="74">
                  <c:v>0.50450450450450457</c:v>
                </c:pt>
                <c:pt idx="75">
                  <c:v>0.4062126642771805</c:v>
                </c:pt>
                <c:pt idx="76">
                  <c:v>0.45750696933492641</c:v>
                </c:pt>
                <c:pt idx="77">
                  <c:v>0.45240939864595786</c:v>
                </c:pt>
                <c:pt idx="78">
                  <c:v>0.49</c:v>
                </c:pt>
                <c:pt idx="79">
                  <c:v>0.53397052966945446</c:v>
                </c:pt>
                <c:pt idx="80">
                  <c:v>0.47152528872958988</c:v>
                </c:pt>
                <c:pt idx="81">
                  <c:v>0.47152528872958988</c:v>
                </c:pt>
                <c:pt idx="82">
                  <c:v>0.39633612106730393</c:v>
                </c:pt>
                <c:pt idx="83">
                  <c:v>0.46770211071286349</c:v>
                </c:pt>
                <c:pt idx="84">
                  <c:v>0.51867781760254883</c:v>
                </c:pt>
                <c:pt idx="85">
                  <c:v>0.5097570688968539</c:v>
                </c:pt>
                <c:pt idx="86">
                  <c:v>0.52907639680729768</c:v>
                </c:pt>
                <c:pt idx="87">
                  <c:v>0.51691372101862421</c:v>
                </c:pt>
                <c:pt idx="88">
                  <c:v>0.5558342835423794</c:v>
                </c:pt>
                <c:pt idx="89">
                  <c:v>0.64356829948227812</c:v>
                </c:pt>
                <c:pt idx="90">
                  <c:v>0.63209876543209886</c:v>
                </c:pt>
                <c:pt idx="91">
                  <c:v>0.64484269215452017</c:v>
                </c:pt>
                <c:pt idx="92">
                  <c:v>0.47937928976424948</c:v>
                </c:pt>
                <c:pt idx="93">
                  <c:v>0.61880035810205913</c:v>
                </c:pt>
                <c:pt idx="94">
                  <c:v>0.58639942734430917</c:v>
                </c:pt>
                <c:pt idx="95">
                  <c:v>0.61541398234311606</c:v>
                </c:pt>
                <c:pt idx="96">
                  <c:v>0.63297542352660452</c:v>
                </c:pt>
                <c:pt idx="97">
                  <c:v>0.56474836380049642</c:v>
                </c:pt>
                <c:pt idx="98">
                  <c:v>0.63480027081922807</c:v>
                </c:pt>
                <c:pt idx="99">
                  <c:v>0.55704445835942384</c:v>
                </c:pt>
                <c:pt idx="100">
                  <c:v>0.58326376465911345</c:v>
                </c:pt>
                <c:pt idx="101">
                  <c:v>0.56927052275889478</c:v>
                </c:pt>
                <c:pt idx="102">
                  <c:v>0.55098389982110907</c:v>
                </c:pt>
                <c:pt idx="103">
                  <c:v>0.62385457243554066</c:v>
                </c:pt>
                <c:pt idx="104">
                  <c:v>0.61192001553096476</c:v>
                </c:pt>
                <c:pt idx="105">
                  <c:v>0.59677480553974571</c:v>
                </c:pt>
                <c:pt idx="106">
                  <c:v>0.59738190096755828</c:v>
                </c:pt>
                <c:pt idx="107">
                  <c:v>0.67608977926173242</c:v>
                </c:pt>
                <c:pt idx="108">
                  <c:v>0.57874234835837501</c:v>
                </c:pt>
                <c:pt idx="109">
                  <c:v>0.38404273076281081</c:v>
                </c:pt>
                <c:pt idx="110">
                  <c:v>0.34665331330328825</c:v>
                </c:pt>
                <c:pt idx="111">
                  <c:v>0.36109691704990626</c:v>
                </c:pt>
                <c:pt idx="112">
                  <c:v>0.50417305399420875</c:v>
                </c:pt>
                <c:pt idx="113">
                  <c:v>0.3668199625276784</c:v>
                </c:pt>
                <c:pt idx="114">
                  <c:v>0.46656446942599211</c:v>
                </c:pt>
                <c:pt idx="115">
                  <c:v>0.27034576733094867</c:v>
                </c:pt>
                <c:pt idx="116">
                  <c:v>0.3335819570236192</c:v>
                </c:pt>
                <c:pt idx="117">
                  <c:v>0.31</c:v>
                </c:pt>
                <c:pt idx="118">
                  <c:v>0.52721645730930267</c:v>
                </c:pt>
                <c:pt idx="119">
                  <c:v>0.49808847624249036</c:v>
                </c:pt>
                <c:pt idx="120">
                  <c:v>0.54323684689604945</c:v>
                </c:pt>
                <c:pt idx="121">
                  <c:v>0.45800917614203063</c:v>
                </c:pt>
                <c:pt idx="122">
                  <c:v>0.47550979204522503</c:v>
                </c:pt>
                <c:pt idx="123">
                  <c:v>0.39808930425752853</c:v>
                </c:pt>
                <c:pt idx="124">
                  <c:v>0.30903426791277261</c:v>
                </c:pt>
                <c:pt idx="125">
                  <c:v>0.42134994807892007</c:v>
                </c:pt>
                <c:pt idx="126">
                  <c:v>0.37673758865248225</c:v>
                </c:pt>
                <c:pt idx="127">
                  <c:v>0.46463527239150509</c:v>
                </c:pt>
                <c:pt idx="128">
                  <c:v>0.39357340720221606</c:v>
                </c:pt>
                <c:pt idx="129">
                  <c:v>0.3902439024390244</c:v>
                </c:pt>
                <c:pt idx="130">
                  <c:v>0.52417359187442292</c:v>
                </c:pt>
                <c:pt idx="131">
                  <c:v>0.51512195121951221</c:v>
                </c:pt>
                <c:pt idx="132">
                  <c:v>0.40912466843501327</c:v>
                </c:pt>
                <c:pt idx="133">
                  <c:v>0.51471837488457983</c:v>
                </c:pt>
                <c:pt idx="134">
                  <c:v>0.48162511542012926</c:v>
                </c:pt>
                <c:pt idx="135">
                  <c:v>0.39</c:v>
                </c:pt>
                <c:pt idx="136">
                  <c:v>0.5159002770083102</c:v>
                </c:pt>
                <c:pt idx="137">
                  <c:v>0.49415549597855229</c:v>
                </c:pt>
                <c:pt idx="138">
                  <c:v>0.49356378600823048</c:v>
                </c:pt>
                <c:pt idx="139">
                  <c:v>0.52769101595298074</c:v>
                </c:pt>
                <c:pt idx="140">
                  <c:v>0.49619753086419754</c:v>
                </c:pt>
                <c:pt idx="141">
                  <c:v>0.52547901821060961</c:v>
                </c:pt>
                <c:pt idx="142">
                  <c:v>0.48899445764053839</c:v>
                </c:pt>
                <c:pt idx="143">
                  <c:v>0.56000000000000005</c:v>
                </c:pt>
                <c:pt idx="144">
                  <c:v>0.5532203389830509</c:v>
                </c:pt>
                <c:pt idx="145">
                  <c:v>0.56638119227539885</c:v>
                </c:pt>
                <c:pt idx="146">
                  <c:v>0.59983207388748949</c:v>
                </c:pt>
                <c:pt idx="147">
                  <c:v>0.51264483627204027</c:v>
                </c:pt>
                <c:pt idx="148">
                  <c:v>0.52124265323257768</c:v>
                </c:pt>
                <c:pt idx="149">
                  <c:v>0.38182182182182184</c:v>
                </c:pt>
                <c:pt idx="150">
                  <c:v>0.38438438438438438</c:v>
                </c:pt>
                <c:pt idx="151">
                  <c:v>0.34978978978978981</c:v>
                </c:pt>
                <c:pt idx="152">
                  <c:v>0.27547547547547546</c:v>
                </c:pt>
                <c:pt idx="153">
                  <c:v>0.326546329723225</c:v>
                </c:pt>
                <c:pt idx="154">
                  <c:v>0.28264741275571603</c:v>
                </c:pt>
                <c:pt idx="155">
                  <c:v>0.30228640192539108</c:v>
                </c:pt>
                <c:pt idx="156">
                  <c:v>0.36876190476190474</c:v>
                </c:pt>
                <c:pt idx="157">
                  <c:v>0.37302857142857143</c:v>
                </c:pt>
                <c:pt idx="158">
                  <c:v>0.29866666666666669</c:v>
                </c:pt>
                <c:pt idx="159">
                  <c:v>0.17424083769633508</c:v>
                </c:pt>
                <c:pt idx="160">
                  <c:v>0.2769982547993019</c:v>
                </c:pt>
                <c:pt idx="161">
                  <c:v>0.31624790619765492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3-4BCA-B9B3-2A7E11491D18}"/>
            </c:ext>
          </c:extLst>
        </c:ser>
        <c:ser>
          <c:idx val="4"/>
          <c:order val="3"/>
          <c:tx>
            <c:strRef>
              <c:f>'Team Eff'!$L$64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('Team Eff'!$A$65:$A$128,'Team Eff'!$A$130:$A$183,'Team Eff'!$A$185:$A$206,'Team Eff'!$A$208:$A$229)</c:f>
              <c:strCache>
                <c:ptCount val="162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21 2020</c:v>
                </c:pt>
                <c:pt idx="38">
                  <c:v>Week 22 2020</c:v>
                </c:pt>
                <c:pt idx="39">
                  <c:v>Week 23 2020</c:v>
                </c:pt>
                <c:pt idx="40">
                  <c:v>Week 24 2020</c:v>
                </c:pt>
                <c:pt idx="41">
                  <c:v>Week 25 2020</c:v>
                </c:pt>
                <c:pt idx="42">
                  <c:v>Week 26 2020</c:v>
                </c:pt>
                <c:pt idx="43">
                  <c:v>Week 27 2020</c:v>
                </c:pt>
                <c:pt idx="44">
                  <c:v>Week 28 2020</c:v>
                </c:pt>
                <c:pt idx="45">
                  <c:v>Week 29 2020</c:v>
                </c:pt>
                <c:pt idx="46">
                  <c:v>Week 30 2020</c:v>
                </c:pt>
                <c:pt idx="47">
                  <c:v>Week 31 2020</c:v>
                </c:pt>
                <c:pt idx="48">
                  <c:v>Week 32 2020</c:v>
                </c:pt>
                <c:pt idx="49">
                  <c:v>Week 34 2020</c:v>
                </c:pt>
                <c:pt idx="50">
                  <c:v>Week 35 2020</c:v>
                </c:pt>
                <c:pt idx="51">
                  <c:v>Week 36 2020</c:v>
                </c:pt>
                <c:pt idx="52">
                  <c:v>Week 37 2020</c:v>
                </c:pt>
                <c:pt idx="53">
                  <c:v>Week 38 2020</c:v>
                </c:pt>
                <c:pt idx="54">
                  <c:v>Week 39 2020</c:v>
                </c:pt>
                <c:pt idx="55">
                  <c:v>Week 40 2020</c:v>
                </c:pt>
                <c:pt idx="56">
                  <c:v>Week 41 2020</c:v>
                </c:pt>
                <c:pt idx="57">
                  <c:v>Week 42 2020</c:v>
                </c:pt>
                <c:pt idx="58">
                  <c:v>Week 43 2020</c:v>
                </c:pt>
                <c:pt idx="59">
                  <c:v>Week 44 2020</c:v>
                </c:pt>
                <c:pt idx="60">
                  <c:v>Week 45 2020</c:v>
                </c:pt>
                <c:pt idx="61">
                  <c:v>Week 45 2020</c:v>
                </c:pt>
                <c:pt idx="62">
                  <c:v>Week 46 2020</c:v>
                </c:pt>
                <c:pt idx="63">
                  <c:v>Week 47 2020</c:v>
                </c:pt>
                <c:pt idx="64">
                  <c:v>Week 48 2020</c:v>
                </c:pt>
                <c:pt idx="65">
                  <c:v>Week 49 2020</c:v>
                </c:pt>
                <c:pt idx="66">
                  <c:v>Week 50 2020</c:v>
                </c:pt>
                <c:pt idx="67">
                  <c:v>Week 06 2021</c:v>
                </c:pt>
                <c:pt idx="68">
                  <c:v>Week 07 2021</c:v>
                </c:pt>
                <c:pt idx="69">
                  <c:v>Week 08 2021</c:v>
                </c:pt>
                <c:pt idx="70">
                  <c:v>Week 09 2021</c:v>
                </c:pt>
                <c:pt idx="71">
                  <c:v>Week 10 2021</c:v>
                </c:pt>
                <c:pt idx="72">
                  <c:v>Week 11 2021</c:v>
                </c:pt>
                <c:pt idx="73">
                  <c:v>Week 12 2021</c:v>
                </c:pt>
                <c:pt idx="74">
                  <c:v>Week 13 2021</c:v>
                </c:pt>
                <c:pt idx="75">
                  <c:v>Week 14 2021</c:v>
                </c:pt>
                <c:pt idx="76">
                  <c:v>Week 15 2021</c:v>
                </c:pt>
                <c:pt idx="77">
                  <c:v>Week 16 2021</c:v>
                </c:pt>
                <c:pt idx="78">
                  <c:v>Week 17 2021</c:v>
                </c:pt>
                <c:pt idx="79">
                  <c:v>Week 18 2021</c:v>
                </c:pt>
                <c:pt idx="80">
                  <c:v>Week 19 2021</c:v>
                </c:pt>
                <c:pt idx="81">
                  <c:v>Week 20 2021</c:v>
                </c:pt>
                <c:pt idx="82">
                  <c:v>Week 21 2021</c:v>
                </c:pt>
                <c:pt idx="83">
                  <c:v>Week 24 2021</c:v>
                </c:pt>
                <c:pt idx="84">
                  <c:v>Week 25 2021</c:v>
                </c:pt>
                <c:pt idx="85">
                  <c:v>Week 26 2021</c:v>
                </c:pt>
                <c:pt idx="86">
                  <c:v>Week 27 2021</c:v>
                </c:pt>
                <c:pt idx="87">
                  <c:v>Week 28 2021</c:v>
                </c:pt>
                <c:pt idx="88">
                  <c:v>Week 29 2021</c:v>
                </c:pt>
                <c:pt idx="89">
                  <c:v>Week 30 2021</c:v>
                </c:pt>
                <c:pt idx="90">
                  <c:v>Week 31 2021</c:v>
                </c:pt>
                <c:pt idx="91">
                  <c:v>Week 32 2021</c:v>
                </c:pt>
                <c:pt idx="92">
                  <c:v>Week 33 2021</c:v>
                </c:pt>
                <c:pt idx="93">
                  <c:v>Week 34 2021</c:v>
                </c:pt>
                <c:pt idx="94">
                  <c:v>Week 35 2021</c:v>
                </c:pt>
                <c:pt idx="95">
                  <c:v>Week 36 2021</c:v>
                </c:pt>
                <c:pt idx="96">
                  <c:v>Week 37 2021</c:v>
                </c:pt>
                <c:pt idx="97">
                  <c:v>Week 38 2021</c:v>
                </c:pt>
                <c:pt idx="98">
                  <c:v>Week 39 2021</c:v>
                </c:pt>
                <c:pt idx="99">
                  <c:v>Week 40 2021</c:v>
                </c:pt>
                <c:pt idx="100">
                  <c:v>Week 41 2021</c:v>
                </c:pt>
                <c:pt idx="101">
                  <c:v>Week 42 2021</c:v>
                </c:pt>
                <c:pt idx="102">
                  <c:v>Week 43 2021</c:v>
                </c:pt>
                <c:pt idx="103">
                  <c:v>Week 44 2021</c:v>
                </c:pt>
                <c:pt idx="104">
                  <c:v>Week 45 2021</c:v>
                </c:pt>
                <c:pt idx="105">
                  <c:v>Week 46 2021</c:v>
                </c:pt>
                <c:pt idx="106">
                  <c:v>Week 47 2021</c:v>
                </c:pt>
                <c:pt idx="107">
                  <c:v>Week 48 2021</c:v>
                </c:pt>
                <c:pt idx="108">
                  <c:v>Week 49 2021</c:v>
                </c:pt>
                <c:pt idx="109">
                  <c:v>Week 3 2022</c:v>
                </c:pt>
                <c:pt idx="110">
                  <c:v>Week 4 2022</c:v>
                </c:pt>
                <c:pt idx="111">
                  <c:v>Week 5 2022</c:v>
                </c:pt>
                <c:pt idx="112">
                  <c:v>Week 6 2022</c:v>
                </c:pt>
                <c:pt idx="113">
                  <c:v>Week 7 2022</c:v>
                </c:pt>
                <c:pt idx="114">
                  <c:v>Week 8 2022</c:v>
                </c:pt>
                <c:pt idx="115">
                  <c:v>Week 9 2022</c:v>
                </c:pt>
                <c:pt idx="116">
                  <c:v>Week 10 2022</c:v>
                </c:pt>
                <c:pt idx="117">
                  <c:v>Week 11 2022</c:v>
                </c:pt>
                <c:pt idx="118">
                  <c:v>Week 13 2022</c:v>
                </c:pt>
                <c:pt idx="119">
                  <c:v>Week 14 2022</c:v>
                </c:pt>
                <c:pt idx="120">
                  <c:v>Week 15 2022</c:v>
                </c:pt>
                <c:pt idx="121">
                  <c:v>Week 17 2022</c:v>
                </c:pt>
                <c:pt idx="122">
                  <c:v>Week 18 2022</c:v>
                </c:pt>
                <c:pt idx="123">
                  <c:v>Week 19 2022</c:v>
                </c:pt>
                <c:pt idx="124">
                  <c:v>Week 20 2022</c:v>
                </c:pt>
                <c:pt idx="125">
                  <c:v>Week 21 2022</c:v>
                </c:pt>
                <c:pt idx="126">
                  <c:v>Week 22 2022</c:v>
                </c:pt>
                <c:pt idx="127">
                  <c:v>Week 23 2022</c:v>
                </c:pt>
                <c:pt idx="128">
                  <c:v>Week 24 2022</c:v>
                </c:pt>
                <c:pt idx="129">
                  <c:v>Week 25 2022</c:v>
                </c:pt>
                <c:pt idx="130">
                  <c:v>Week 26 2022</c:v>
                </c:pt>
                <c:pt idx="131">
                  <c:v>Week 27 2022</c:v>
                </c:pt>
                <c:pt idx="132">
                  <c:v>Week 28 2022</c:v>
                </c:pt>
                <c:pt idx="133">
                  <c:v>Week 29 2022</c:v>
                </c:pt>
                <c:pt idx="134">
                  <c:v>Week 30 2022</c:v>
                </c:pt>
                <c:pt idx="135">
                  <c:v>Week 31 2022</c:v>
                </c:pt>
                <c:pt idx="136">
                  <c:v>Week 32 2022</c:v>
                </c:pt>
                <c:pt idx="137">
                  <c:v>Week 33 2022</c:v>
                </c:pt>
                <c:pt idx="138">
                  <c:v>Week 34 2022</c:v>
                </c:pt>
                <c:pt idx="139">
                  <c:v>Week 35 2022</c:v>
                </c:pt>
                <c:pt idx="140">
                  <c:v>Week 37 2022</c:v>
                </c:pt>
                <c:pt idx="141">
                  <c:v>Week 38 2022</c:v>
                </c:pt>
                <c:pt idx="142">
                  <c:v>Week 39 2022</c:v>
                </c:pt>
                <c:pt idx="143">
                  <c:v>Week 40 2022</c:v>
                </c:pt>
                <c:pt idx="144">
                  <c:v>Week 41 2022</c:v>
                </c:pt>
                <c:pt idx="145">
                  <c:v>Week 42 2022</c:v>
                </c:pt>
                <c:pt idx="146">
                  <c:v>Week 43 2022</c:v>
                </c:pt>
                <c:pt idx="147">
                  <c:v>Week 44 2022</c:v>
                </c:pt>
                <c:pt idx="148">
                  <c:v>Week 45 2022</c:v>
                </c:pt>
                <c:pt idx="149">
                  <c:v>Week 46 2022</c:v>
                </c:pt>
                <c:pt idx="150">
                  <c:v>Week 47 2022</c:v>
                </c:pt>
                <c:pt idx="151">
                  <c:v>Week 48 2022</c:v>
                </c:pt>
                <c:pt idx="152">
                  <c:v>Week 49 2022</c:v>
                </c:pt>
                <c:pt idx="153">
                  <c:v>Week 03 2023</c:v>
                </c:pt>
                <c:pt idx="154">
                  <c:v>Week 04 2023</c:v>
                </c:pt>
                <c:pt idx="155">
                  <c:v>Week 05 2023</c:v>
                </c:pt>
                <c:pt idx="156">
                  <c:v>Week 06 2023</c:v>
                </c:pt>
                <c:pt idx="157">
                  <c:v>Week 07 2023</c:v>
                </c:pt>
                <c:pt idx="158">
                  <c:v>Week 08 2023</c:v>
                </c:pt>
                <c:pt idx="159">
                  <c:v>Week 09 2023</c:v>
                </c:pt>
                <c:pt idx="160">
                  <c:v>Week 10 2023</c:v>
                </c:pt>
                <c:pt idx="161">
                  <c:v>Week 11 2023</c:v>
                </c:pt>
              </c:strCache>
            </c:strRef>
          </c:cat>
          <c:val>
            <c:numRef>
              <c:f>('Team Eff'!$L$65:$L$128,'Team Eff'!$L$130:$L$183,'Team Eff'!$L$185:$L$206,'Team Eff'!$L$208:$L$229)</c:f>
              <c:numCache>
                <c:formatCode>0%</c:formatCode>
                <c:ptCount val="162"/>
                <c:pt idx="0">
                  <c:v>0.31</c:v>
                </c:pt>
                <c:pt idx="1">
                  <c:v>0.32</c:v>
                </c:pt>
                <c:pt idx="2">
                  <c:v>0.35</c:v>
                </c:pt>
                <c:pt idx="3">
                  <c:v>0.35</c:v>
                </c:pt>
                <c:pt idx="4">
                  <c:v>0.33984496124031005</c:v>
                </c:pt>
                <c:pt idx="5">
                  <c:v>0.36196382428940571</c:v>
                </c:pt>
                <c:pt idx="6">
                  <c:v>0.38801033591731265</c:v>
                </c:pt>
                <c:pt idx="7">
                  <c:v>0.40941602067183464</c:v>
                </c:pt>
                <c:pt idx="8">
                  <c:v>0.35952454780361759</c:v>
                </c:pt>
                <c:pt idx="9">
                  <c:v>0.37653333333333328</c:v>
                </c:pt>
                <c:pt idx="10">
                  <c:v>0.38143999999999995</c:v>
                </c:pt>
                <c:pt idx="11">
                  <c:v>0.36458666666666661</c:v>
                </c:pt>
                <c:pt idx="12">
                  <c:v>0.41301333333333323</c:v>
                </c:pt>
                <c:pt idx="13">
                  <c:v>0.36799999999999994</c:v>
                </c:pt>
                <c:pt idx="14">
                  <c:v>0.38549333333333324</c:v>
                </c:pt>
                <c:pt idx="15">
                  <c:v>0.38451612903225801</c:v>
                </c:pt>
                <c:pt idx="16">
                  <c:v>0.39166666666666661</c:v>
                </c:pt>
                <c:pt idx="17">
                  <c:v>0.3698924731182795</c:v>
                </c:pt>
                <c:pt idx="18">
                  <c:v>0.39118279569892467</c:v>
                </c:pt>
                <c:pt idx="19">
                  <c:v>0.38881720430107519</c:v>
                </c:pt>
                <c:pt idx="20">
                  <c:v>0.41045333333333328</c:v>
                </c:pt>
                <c:pt idx="21">
                  <c:v>0.42154666666666657</c:v>
                </c:pt>
                <c:pt idx="22">
                  <c:v>0.42410666666666658</c:v>
                </c:pt>
                <c:pt idx="23">
                  <c:v>0.41269841269841262</c:v>
                </c:pt>
                <c:pt idx="24">
                  <c:v>0.43369509043927651</c:v>
                </c:pt>
                <c:pt idx="25">
                  <c:v>0.42377260981912146</c:v>
                </c:pt>
                <c:pt idx="26">
                  <c:v>0.41680828136403281</c:v>
                </c:pt>
                <c:pt idx="27">
                  <c:v>0.44295602653096011</c:v>
                </c:pt>
                <c:pt idx="28">
                  <c:v>0.45512051388786862</c:v>
                </c:pt>
                <c:pt idx="29">
                  <c:v>0.42443089530432515</c:v>
                </c:pt>
                <c:pt idx="30">
                  <c:v>0.41703056174517278</c:v>
                </c:pt>
                <c:pt idx="31">
                  <c:v>0.42769574834512764</c:v>
                </c:pt>
                <c:pt idx="32">
                  <c:v>0.39705421749640613</c:v>
                </c:pt>
                <c:pt idx="33">
                  <c:v>0.3691799509379276</c:v>
                </c:pt>
                <c:pt idx="34">
                  <c:v>0.38637891681166697</c:v>
                </c:pt>
                <c:pt idx="35">
                  <c:v>0.4275272614997504</c:v>
                </c:pt>
                <c:pt idx="36">
                  <c:v>0.46502557116701743</c:v>
                </c:pt>
                <c:pt idx="37">
                  <c:v>0.49553050347692196</c:v>
                </c:pt>
                <c:pt idx="38">
                  <c:v>0.49770452256666409</c:v>
                </c:pt>
                <c:pt idx="39">
                  <c:v>0.48816555618104979</c:v>
                </c:pt>
                <c:pt idx="40">
                  <c:v>0.4750021705582676</c:v>
                </c:pt>
                <c:pt idx="41">
                  <c:v>0.46304551299676994</c:v>
                </c:pt>
                <c:pt idx="42">
                  <c:v>0.48037022163578302</c:v>
                </c:pt>
                <c:pt idx="43">
                  <c:v>0.45587195265694985</c:v>
                </c:pt>
                <c:pt idx="44">
                  <c:v>0.45768151769710619</c:v>
                </c:pt>
                <c:pt idx="45">
                  <c:v>0.46620258502061607</c:v>
                </c:pt>
                <c:pt idx="46">
                  <c:v>0.44660735162777859</c:v>
                </c:pt>
                <c:pt idx="47">
                  <c:v>0.4507328376330178</c:v>
                </c:pt>
                <c:pt idx="48">
                  <c:v>0.43281117992202578</c:v>
                </c:pt>
                <c:pt idx="49">
                  <c:v>0.44314573531653451</c:v>
                </c:pt>
                <c:pt idx="50">
                  <c:v>0.4303308866273437</c:v>
                </c:pt>
                <c:pt idx="51">
                  <c:v>0.44202462693756822</c:v>
                </c:pt>
                <c:pt idx="52">
                  <c:v>0.45075331123655366</c:v>
                </c:pt>
                <c:pt idx="53">
                  <c:v>0.46083070245190277</c:v>
                </c:pt>
                <c:pt idx="54">
                  <c:v>0.42473525651541072</c:v>
                </c:pt>
                <c:pt idx="55">
                  <c:v>0.42968739985283977</c:v>
                </c:pt>
                <c:pt idx="56">
                  <c:v>0.43454920608267122</c:v>
                </c:pt>
                <c:pt idx="57">
                  <c:v>0.44963906163600142</c:v>
                </c:pt>
                <c:pt idx="58">
                  <c:v>0.43448949756470762</c:v>
                </c:pt>
                <c:pt idx="59">
                  <c:v>0.46467705669108395</c:v>
                </c:pt>
                <c:pt idx="60">
                  <c:v>0.46274492755723329</c:v>
                </c:pt>
                <c:pt idx="61">
                  <c:v>0.47585336126174127</c:v>
                </c:pt>
                <c:pt idx="62">
                  <c:v>0.46592758562806075</c:v>
                </c:pt>
                <c:pt idx="63">
                  <c:v>0.42486212173185323</c:v>
                </c:pt>
                <c:pt idx="64">
                  <c:v>0.42137772118997402</c:v>
                </c:pt>
                <c:pt idx="65">
                  <c:v>0.40321207718000918</c:v>
                </c:pt>
                <c:pt idx="66">
                  <c:v>0.4001429081814934</c:v>
                </c:pt>
                <c:pt idx="67">
                  <c:v>0.40172903770757484</c:v>
                </c:pt>
                <c:pt idx="68">
                  <c:v>0.44940732881992412</c:v>
                </c:pt>
                <c:pt idx="69">
                  <c:v>0.40826447603125976</c:v>
                </c:pt>
                <c:pt idx="70">
                  <c:v>0.43492751652441936</c:v>
                </c:pt>
                <c:pt idx="71">
                  <c:v>0.44217986353855876</c:v>
                </c:pt>
                <c:pt idx="72">
                  <c:v>0.42042282249614055</c:v>
                </c:pt>
                <c:pt idx="73">
                  <c:v>0.4476488799664628</c:v>
                </c:pt>
                <c:pt idx="74">
                  <c:v>0.4538459735816337</c:v>
                </c:pt>
                <c:pt idx="75">
                  <c:v>0.40903822992493394</c:v>
                </c:pt>
                <c:pt idx="76">
                  <c:v>0.41832996255532751</c:v>
                </c:pt>
                <c:pt idx="77">
                  <c:v>0.4313282109262635</c:v>
                </c:pt>
                <c:pt idx="78">
                  <c:v>0.42</c:v>
                </c:pt>
                <c:pt idx="79">
                  <c:v>0.43402973554758667</c:v>
                </c:pt>
                <c:pt idx="80">
                  <c:v>0.42124009143118663</c:v>
                </c:pt>
                <c:pt idx="81">
                  <c:v>0.42124009143118663</c:v>
                </c:pt>
                <c:pt idx="82">
                  <c:v>0.42661294503655095</c:v>
                </c:pt>
                <c:pt idx="83">
                  <c:v>0.42049025925130418</c:v>
                </c:pt>
                <c:pt idx="84">
                  <c:v>0.38355663854675093</c:v>
                </c:pt>
                <c:pt idx="85">
                  <c:v>0.40740005538523372</c:v>
                </c:pt>
                <c:pt idx="86">
                  <c:v>0.43787078664168216</c:v>
                </c:pt>
                <c:pt idx="87">
                  <c:v>0.45209121814290054</c:v>
                </c:pt>
                <c:pt idx="88">
                  <c:v>0.45090618218446565</c:v>
                </c:pt>
                <c:pt idx="89">
                  <c:v>0.43198499692825043</c:v>
                </c:pt>
                <c:pt idx="90">
                  <c:v>0.3964802466107134</c:v>
                </c:pt>
                <c:pt idx="91">
                  <c:v>0.41432185770819552</c:v>
                </c:pt>
                <c:pt idx="92">
                  <c:v>0.38601242892660759</c:v>
                </c:pt>
                <c:pt idx="93">
                  <c:v>0.40509787136505354</c:v>
                </c:pt>
                <c:pt idx="94">
                  <c:v>0.42077196152815521</c:v>
                </c:pt>
                <c:pt idx="95">
                  <c:v>0.44327218852355549</c:v>
                </c:pt>
                <c:pt idx="96">
                  <c:v>0.45904006413450532</c:v>
                </c:pt>
                <c:pt idx="97">
                  <c:v>0.43986398025491724</c:v>
                </c:pt>
                <c:pt idx="98">
                  <c:v>0.46164805217720906</c:v>
                </c:pt>
                <c:pt idx="99">
                  <c:v>0.44750992992266231</c:v>
                </c:pt>
                <c:pt idx="100">
                  <c:v>0.44791856635873317</c:v>
                </c:pt>
                <c:pt idx="101">
                  <c:v>0.46720371616451911</c:v>
                </c:pt>
                <c:pt idx="102">
                  <c:v>0.45688757501795874</c:v>
                </c:pt>
                <c:pt idx="103">
                  <c:v>0.4726339342872995</c:v>
                </c:pt>
                <c:pt idx="104">
                  <c:v>0.46817078157003861</c:v>
                </c:pt>
                <c:pt idx="105">
                  <c:v>0.49281346375166407</c:v>
                </c:pt>
                <c:pt idx="106">
                  <c:v>0.49877365204656005</c:v>
                </c:pt>
                <c:pt idx="107">
                  <c:v>0.50722691700425293</c:v>
                </c:pt>
                <c:pt idx="108">
                  <c:v>0.51027424002620703</c:v>
                </c:pt>
                <c:pt idx="109">
                  <c:v>0.45285410644912771</c:v>
                </c:pt>
                <c:pt idx="110">
                  <c:v>0.45066851713228828</c:v>
                </c:pt>
                <c:pt idx="111">
                  <c:v>0.40194504649122331</c:v>
                </c:pt>
                <c:pt idx="112">
                  <c:v>0.46297984032663775</c:v>
                </c:pt>
                <c:pt idx="113">
                  <c:v>0.45412645755323749</c:v>
                </c:pt>
                <c:pt idx="114">
                  <c:v>0.4514878022952829</c:v>
                </c:pt>
                <c:pt idx="115">
                  <c:v>0.3901043483997077</c:v>
                </c:pt>
                <c:pt idx="116">
                  <c:v>0.40793676155525893</c:v>
                </c:pt>
                <c:pt idx="117">
                  <c:v>0.41018839445921002</c:v>
                </c:pt>
                <c:pt idx="118">
                  <c:v>0.45785499000982088</c:v>
                </c:pt>
                <c:pt idx="119">
                  <c:v>0.47821668650179061</c:v>
                </c:pt>
                <c:pt idx="120">
                  <c:v>0.47495611818473293</c:v>
                </c:pt>
                <c:pt idx="121">
                  <c:v>0.4047501984159867</c:v>
                </c:pt>
                <c:pt idx="122">
                  <c:v>0.42362995294456895</c:v>
                </c:pt>
                <c:pt idx="123">
                  <c:v>0.38799282645047545</c:v>
                </c:pt>
                <c:pt idx="124">
                  <c:v>0.41677076252394202</c:v>
                </c:pt>
                <c:pt idx="125">
                  <c:v>0.42529209781718247</c:v>
                </c:pt>
                <c:pt idx="126">
                  <c:v>0.40253160118515396</c:v>
                </c:pt>
                <c:pt idx="127">
                  <c:v>0.44170512813107127</c:v>
                </c:pt>
                <c:pt idx="128">
                  <c:v>0.41389471039362252</c:v>
                </c:pt>
                <c:pt idx="129">
                  <c:v>0.42081411345795905</c:v>
                </c:pt>
                <c:pt idx="130">
                  <c:v>0.41374243125072568</c:v>
                </c:pt>
                <c:pt idx="131">
                  <c:v>0.44258456972732135</c:v>
                </c:pt>
                <c:pt idx="132">
                  <c:v>0.40886949867802663</c:v>
                </c:pt>
                <c:pt idx="133">
                  <c:v>0.44219357825618089</c:v>
                </c:pt>
                <c:pt idx="134">
                  <c:v>0.39394614267413591</c:v>
                </c:pt>
                <c:pt idx="135">
                  <c:v>0.43353413318296602</c:v>
                </c:pt>
                <c:pt idx="136">
                  <c:v>0.45378412316997624</c:v>
                </c:pt>
                <c:pt idx="137">
                  <c:v>0.43368301166276785</c:v>
                </c:pt>
                <c:pt idx="138">
                  <c:v>0.43465115479106575</c:v>
                </c:pt>
                <c:pt idx="139">
                  <c:v>0.43160961055560682</c:v>
                </c:pt>
                <c:pt idx="140">
                  <c:v>0.42467909970609879</c:v>
                </c:pt>
                <c:pt idx="141">
                  <c:v>0.43460802267394849</c:v>
                </c:pt>
                <c:pt idx="142">
                  <c:v>0.41144606813844575</c:v>
                </c:pt>
                <c:pt idx="143">
                  <c:v>0.43894105470552286</c:v>
                </c:pt>
                <c:pt idx="144">
                  <c:v>0.4461053493304698</c:v>
                </c:pt>
                <c:pt idx="145">
                  <c:v>0.4373734080815746</c:v>
                </c:pt>
                <c:pt idx="146">
                  <c:v>0.42219573849516612</c:v>
                </c:pt>
                <c:pt idx="147">
                  <c:v>0.39618705587056935</c:v>
                </c:pt>
                <c:pt idx="148">
                  <c:v>0.39419186925827154</c:v>
                </c:pt>
                <c:pt idx="149">
                  <c:v>0.37047304077997034</c:v>
                </c:pt>
                <c:pt idx="150">
                  <c:v>0.35785126966740755</c:v>
                </c:pt>
                <c:pt idx="151">
                  <c:v>0.31104876470851983</c:v>
                </c:pt>
                <c:pt idx="152">
                  <c:v>0.32198073666971988</c:v>
                </c:pt>
                <c:pt idx="153">
                  <c:v>0.35525436164025187</c:v>
                </c:pt>
                <c:pt idx="154">
                  <c:v>0.34695222166713729</c:v>
                </c:pt>
                <c:pt idx="155">
                  <c:v>0.38204324353024377</c:v>
                </c:pt>
                <c:pt idx="156">
                  <c:v>0.38624160982227429</c:v>
                </c:pt>
                <c:pt idx="157">
                  <c:v>0.41948841411651672</c:v>
                </c:pt>
                <c:pt idx="158">
                  <c:v>0.39503099486557974</c:v>
                </c:pt>
                <c:pt idx="159">
                  <c:v>0.33754236571700857</c:v>
                </c:pt>
                <c:pt idx="160">
                  <c:v>0.34471539716818966</c:v>
                </c:pt>
                <c:pt idx="161">
                  <c:v>0.35998407416032513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3-4BCA-B9B3-2A7E11491D18}"/>
            </c:ext>
          </c:extLst>
        </c:ser>
        <c:ser>
          <c:idx val="0"/>
          <c:order val="4"/>
          <c:tx>
            <c:strRef>
              <c:f>'Team Eff'!$K$64</c:f>
              <c:strCache>
                <c:ptCount val="1"/>
                <c:pt idx="0">
                  <c:v>XFMR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('Team Eff'!$A$65:$A$128,'Team Eff'!$A$130:$A$183,'Team Eff'!$A$185:$A$206,'Team Eff'!$A$208:$A$229)</c:f>
              <c:strCache>
                <c:ptCount val="162"/>
                <c:pt idx="0">
                  <c:v>Week 28 2019</c:v>
                </c:pt>
                <c:pt idx="1">
                  <c:v>Week 29 2019</c:v>
                </c:pt>
                <c:pt idx="2">
                  <c:v>Week 30 2019</c:v>
                </c:pt>
                <c:pt idx="3">
                  <c:v>Week 31 2019</c:v>
                </c:pt>
                <c:pt idx="4">
                  <c:v>Week 32 2019</c:v>
                </c:pt>
                <c:pt idx="5">
                  <c:v>Week 33 2019</c:v>
                </c:pt>
                <c:pt idx="6">
                  <c:v>Week 34 2019</c:v>
                </c:pt>
                <c:pt idx="7">
                  <c:v>Week 35 2019</c:v>
                </c:pt>
                <c:pt idx="8">
                  <c:v>Week 36 2019</c:v>
                </c:pt>
                <c:pt idx="9">
                  <c:v>Week 37 2019</c:v>
                </c:pt>
                <c:pt idx="10">
                  <c:v>Week 38 2019</c:v>
                </c:pt>
                <c:pt idx="11">
                  <c:v>Week 39 2019</c:v>
                </c:pt>
                <c:pt idx="12">
                  <c:v>Week 40 2019</c:v>
                </c:pt>
                <c:pt idx="13">
                  <c:v>Week 41 2019</c:v>
                </c:pt>
                <c:pt idx="14">
                  <c:v>Week 41 2019</c:v>
                </c:pt>
                <c:pt idx="15">
                  <c:v>Week 42 2019</c:v>
                </c:pt>
                <c:pt idx="16">
                  <c:v>Week 43 2019</c:v>
                </c:pt>
                <c:pt idx="17">
                  <c:v>Week 44 2019</c:v>
                </c:pt>
                <c:pt idx="18">
                  <c:v>Week 45 2019</c:v>
                </c:pt>
                <c:pt idx="19">
                  <c:v>Week 46 2019</c:v>
                </c:pt>
                <c:pt idx="20">
                  <c:v>Week 47 2019</c:v>
                </c:pt>
                <c:pt idx="21">
                  <c:v>Week 48 2019</c:v>
                </c:pt>
                <c:pt idx="22">
                  <c:v>Week 49 2019</c:v>
                </c:pt>
                <c:pt idx="23">
                  <c:v>Week 02 2020</c:v>
                </c:pt>
                <c:pt idx="24">
                  <c:v>Week 03 2020</c:v>
                </c:pt>
                <c:pt idx="25">
                  <c:v>Week 04 2020</c:v>
                </c:pt>
                <c:pt idx="26">
                  <c:v>Week 05 2020</c:v>
                </c:pt>
                <c:pt idx="27">
                  <c:v>Week 06 2020</c:v>
                </c:pt>
                <c:pt idx="28">
                  <c:v>Week 07 2020</c:v>
                </c:pt>
                <c:pt idx="29">
                  <c:v>Week 08 2020</c:v>
                </c:pt>
                <c:pt idx="30">
                  <c:v>Week 09 2020</c:v>
                </c:pt>
                <c:pt idx="31">
                  <c:v>Week 10 2020</c:v>
                </c:pt>
                <c:pt idx="32">
                  <c:v>Week 11 2020</c:v>
                </c:pt>
                <c:pt idx="33">
                  <c:v>Week 12 2020</c:v>
                </c:pt>
                <c:pt idx="34">
                  <c:v>Week 18 2020</c:v>
                </c:pt>
                <c:pt idx="35">
                  <c:v>Week 19 2020</c:v>
                </c:pt>
                <c:pt idx="36">
                  <c:v>Week 20 2020</c:v>
                </c:pt>
                <c:pt idx="37">
                  <c:v>Week 21 2020</c:v>
                </c:pt>
                <c:pt idx="38">
                  <c:v>Week 22 2020</c:v>
                </c:pt>
                <c:pt idx="39">
                  <c:v>Week 23 2020</c:v>
                </c:pt>
                <c:pt idx="40">
                  <c:v>Week 24 2020</c:v>
                </c:pt>
                <c:pt idx="41">
                  <c:v>Week 25 2020</c:v>
                </c:pt>
                <c:pt idx="42">
                  <c:v>Week 26 2020</c:v>
                </c:pt>
                <c:pt idx="43">
                  <c:v>Week 27 2020</c:v>
                </c:pt>
                <c:pt idx="44">
                  <c:v>Week 28 2020</c:v>
                </c:pt>
                <c:pt idx="45">
                  <c:v>Week 29 2020</c:v>
                </c:pt>
                <c:pt idx="46">
                  <c:v>Week 30 2020</c:v>
                </c:pt>
                <c:pt idx="47">
                  <c:v>Week 31 2020</c:v>
                </c:pt>
                <c:pt idx="48">
                  <c:v>Week 32 2020</c:v>
                </c:pt>
                <c:pt idx="49">
                  <c:v>Week 34 2020</c:v>
                </c:pt>
                <c:pt idx="50">
                  <c:v>Week 35 2020</c:v>
                </c:pt>
                <c:pt idx="51">
                  <c:v>Week 36 2020</c:v>
                </c:pt>
                <c:pt idx="52">
                  <c:v>Week 37 2020</c:v>
                </c:pt>
                <c:pt idx="53">
                  <c:v>Week 38 2020</c:v>
                </c:pt>
                <c:pt idx="54">
                  <c:v>Week 39 2020</c:v>
                </c:pt>
                <c:pt idx="55">
                  <c:v>Week 40 2020</c:v>
                </c:pt>
                <c:pt idx="56">
                  <c:v>Week 41 2020</c:v>
                </c:pt>
                <c:pt idx="57">
                  <c:v>Week 42 2020</c:v>
                </c:pt>
                <c:pt idx="58">
                  <c:v>Week 43 2020</c:v>
                </c:pt>
                <c:pt idx="59">
                  <c:v>Week 44 2020</c:v>
                </c:pt>
                <c:pt idx="60">
                  <c:v>Week 45 2020</c:v>
                </c:pt>
                <c:pt idx="61">
                  <c:v>Week 45 2020</c:v>
                </c:pt>
                <c:pt idx="62">
                  <c:v>Week 46 2020</c:v>
                </c:pt>
                <c:pt idx="63">
                  <c:v>Week 47 2020</c:v>
                </c:pt>
                <c:pt idx="64">
                  <c:v>Week 48 2020</c:v>
                </c:pt>
                <c:pt idx="65">
                  <c:v>Week 49 2020</c:v>
                </c:pt>
                <c:pt idx="66">
                  <c:v>Week 50 2020</c:v>
                </c:pt>
                <c:pt idx="67">
                  <c:v>Week 06 2021</c:v>
                </c:pt>
                <c:pt idx="68">
                  <c:v>Week 07 2021</c:v>
                </c:pt>
                <c:pt idx="69">
                  <c:v>Week 08 2021</c:v>
                </c:pt>
                <c:pt idx="70">
                  <c:v>Week 09 2021</c:v>
                </c:pt>
                <c:pt idx="71">
                  <c:v>Week 10 2021</c:v>
                </c:pt>
                <c:pt idx="72">
                  <c:v>Week 11 2021</c:v>
                </c:pt>
                <c:pt idx="73">
                  <c:v>Week 12 2021</c:v>
                </c:pt>
                <c:pt idx="74">
                  <c:v>Week 13 2021</c:v>
                </c:pt>
                <c:pt idx="75">
                  <c:v>Week 14 2021</c:v>
                </c:pt>
                <c:pt idx="76">
                  <c:v>Week 15 2021</c:v>
                </c:pt>
                <c:pt idx="77">
                  <c:v>Week 16 2021</c:v>
                </c:pt>
                <c:pt idx="78">
                  <c:v>Week 17 2021</c:v>
                </c:pt>
                <c:pt idx="79">
                  <c:v>Week 18 2021</c:v>
                </c:pt>
                <c:pt idx="80">
                  <c:v>Week 19 2021</c:v>
                </c:pt>
                <c:pt idx="81">
                  <c:v>Week 20 2021</c:v>
                </c:pt>
                <c:pt idx="82">
                  <c:v>Week 21 2021</c:v>
                </c:pt>
                <c:pt idx="83">
                  <c:v>Week 24 2021</c:v>
                </c:pt>
                <c:pt idx="84">
                  <c:v>Week 25 2021</c:v>
                </c:pt>
                <c:pt idx="85">
                  <c:v>Week 26 2021</c:v>
                </c:pt>
                <c:pt idx="86">
                  <c:v>Week 27 2021</c:v>
                </c:pt>
                <c:pt idx="87">
                  <c:v>Week 28 2021</c:v>
                </c:pt>
                <c:pt idx="88">
                  <c:v>Week 29 2021</c:v>
                </c:pt>
                <c:pt idx="89">
                  <c:v>Week 30 2021</c:v>
                </c:pt>
                <c:pt idx="90">
                  <c:v>Week 31 2021</c:v>
                </c:pt>
                <c:pt idx="91">
                  <c:v>Week 32 2021</c:v>
                </c:pt>
                <c:pt idx="92">
                  <c:v>Week 33 2021</c:v>
                </c:pt>
                <c:pt idx="93">
                  <c:v>Week 34 2021</c:v>
                </c:pt>
                <c:pt idx="94">
                  <c:v>Week 35 2021</c:v>
                </c:pt>
                <c:pt idx="95">
                  <c:v>Week 36 2021</c:v>
                </c:pt>
                <c:pt idx="96">
                  <c:v>Week 37 2021</c:v>
                </c:pt>
                <c:pt idx="97">
                  <c:v>Week 38 2021</c:v>
                </c:pt>
                <c:pt idx="98">
                  <c:v>Week 39 2021</c:v>
                </c:pt>
                <c:pt idx="99">
                  <c:v>Week 40 2021</c:v>
                </c:pt>
                <c:pt idx="100">
                  <c:v>Week 41 2021</c:v>
                </c:pt>
                <c:pt idx="101">
                  <c:v>Week 42 2021</c:v>
                </c:pt>
                <c:pt idx="102">
                  <c:v>Week 43 2021</c:v>
                </c:pt>
                <c:pt idx="103">
                  <c:v>Week 44 2021</c:v>
                </c:pt>
                <c:pt idx="104">
                  <c:v>Week 45 2021</c:v>
                </c:pt>
                <c:pt idx="105">
                  <c:v>Week 46 2021</c:v>
                </c:pt>
                <c:pt idx="106">
                  <c:v>Week 47 2021</c:v>
                </c:pt>
                <c:pt idx="107">
                  <c:v>Week 48 2021</c:v>
                </c:pt>
                <c:pt idx="108">
                  <c:v>Week 49 2021</c:v>
                </c:pt>
                <c:pt idx="109">
                  <c:v>Week 3 2022</c:v>
                </c:pt>
                <c:pt idx="110">
                  <c:v>Week 4 2022</c:v>
                </c:pt>
                <c:pt idx="111">
                  <c:v>Week 5 2022</c:v>
                </c:pt>
                <c:pt idx="112">
                  <c:v>Week 6 2022</c:v>
                </c:pt>
                <c:pt idx="113">
                  <c:v>Week 7 2022</c:v>
                </c:pt>
                <c:pt idx="114">
                  <c:v>Week 8 2022</c:v>
                </c:pt>
                <c:pt idx="115">
                  <c:v>Week 9 2022</c:v>
                </c:pt>
                <c:pt idx="116">
                  <c:v>Week 10 2022</c:v>
                </c:pt>
                <c:pt idx="117">
                  <c:v>Week 11 2022</c:v>
                </c:pt>
                <c:pt idx="118">
                  <c:v>Week 13 2022</c:v>
                </c:pt>
                <c:pt idx="119">
                  <c:v>Week 14 2022</c:v>
                </c:pt>
                <c:pt idx="120">
                  <c:v>Week 15 2022</c:v>
                </c:pt>
                <c:pt idx="121">
                  <c:v>Week 17 2022</c:v>
                </c:pt>
                <c:pt idx="122">
                  <c:v>Week 18 2022</c:v>
                </c:pt>
                <c:pt idx="123">
                  <c:v>Week 19 2022</c:v>
                </c:pt>
                <c:pt idx="124">
                  <c:v>Week 20 2022</c:v>
                </c:pt>
                <c:pt idx="125">
                  <c:v>Week 21 2022</c:v>
                </c:pt>
                <c:pt idx="126">
                  <c:v>Week 22 2022</c:v>
                </c:pt>
                <c:pt idx="127">
                  <c:v>Week 23 2022</c:v>
                </c:pt>
                <c:pt idx="128">
                  <c:v>Week 24 2022</c:v>
                </c:pt>
                <c:pt idx="129">
                  <c:v>Week 25 2022</c:v>
                </c:pt>
                <c:pt idx="130">
                  <c:v>Week 26 2022</c:v>
                </c:pt>
                <c:pt idx="131">
                  <c:v>Week 27 2022</c:v>
                </c:pt>
                <c:pt idx="132">
                  <c:v>Week 28 2022</c:v>
                </c:pt>
                <c:pt idx="133">
                  <c:v>Week 29 2022</c:v>
                </c:pt>
                <c:pt idx="134">
                  <c:v>Week 30 2022</c:v>
                </c:pt>
                <c:pt idx="135">
                  <c:v>Week 31 2022</c:v>
                </c:pt>
                <c:pt idx="136">
                  <c:v>Week 32 2022</c:v>
                </c:pt>
                <c:pt idx="137">
                  <c:v>Week 33 2022</c:v>
                </c:pt>
                <c:pt idx="138">
                  <c:v>Week 34 2022</c:v>
                </c:pt>
                <c:pt idx="139">
                  <c:v>Week 35 2022</c:v>
                </c:pt>
                <c:pt idx="140">
                  <c:v>Week 37 2022</c:v>
                </c:pt>
                <c:pt idx="141">
                  <c:v>Week 38 2022</c:v>
                </c:pt>
                <c:pt idx="142">
                  <c:v>Week 39 2022</c:v>
                </c:pt>
                <c:pt idx="143">
                  <c:v>Week 40 2022</c:v>
                </c:pt>
                <c:pt idx="144">
                  <c:v>Week 41 2022</c:v>
                </c:pt>
                <c:pt idx="145">
                  <c:v>Week 42 2022</c:v>
                </c:pt>
                <c:pt idx="146">
                  <c:v>Week 43 2022</c:v>
                </c:pt>
                <c:pt idx="147">
                  <c:v>Week 44 2022</c:v>
                </c:pt>
                <c:pt idx="148">
                  <c:v>Week 45 2022</c:v>
                </c:pt>
                <c:pt idx="149">
                  <c:v>Week 46 2022</c:v>
                </c:pt>
                <c:pt idx="150">
                  <c:v>Week 47 2022</c:v>
                </c:pt>
                <c:pt idx="151">
                  <c:v>Week 48 2022</c:v>
                </c:pt>
                <c:pt idx="152">
                  <c:v>Week 49 2022</c:v>
                </c:pt>
                <c:pt idx="153">
                  <c:v>Week 03 2023</c:v>
                </c:pt>
                <c:pt idx="154">
                  <c:v>Week 04 2023</c:v>
                </c:pt>
                <c:pt idx="155">
                  <c:v>Week 05 2023</c:v>
                </c:pt>
                <c:pt idx="156">
                  <c:v>Week 06 2023</c:v>
                </c:pt>
                <c:pt idx="157">
                  <c:v>Week 07 2023</c:v>
                </c:pt>
                <c:pt idx="158">
                  <c:v>Week 08 2023</c:v>
                </c:pt>
                <c:pt idx="159">
                  <c:v>Week 09 2023</c:v>
                </c:pt>
                <c:pt idx="160">
                  <c:v>Week 10 2023</c:v>
                </c:pt>
                <c:pt idx="161">
                  <c:v>Week 11 2023</c:v>
                </c:pt>
              </c:strCache>
            </c:strRef>
          </c:cat>
          <c:val>
            <c:numRef>
              <c:f>('Team Eff'!$K$65:$K$128,'Team Eff'!$K$130:$K$183,'Team Eff'!$K$185:$K$206,'Team Eff'!$K$208:$K$229)</c:f>
              <c:numCache>
                <c:formatCode>0%</c:formatCode>
                <c:ptCount val="162"/>
                <c:pt idx="26">
                  <c:v>0.34816247582205034</c:v>
                </c:pt>
                <c:pt idx="27">
                  <c:v>0.34730281538792179</c:v>
                </c:pt>
                <c:pt idx="28">
                  <c:v>0.47659574468085114</c:v>
                </c:pt>
                <c:pt idx="29">
                  <c:v>0.37343649258542883</c:v>
                </c:pt>
                <c:pt idx="30">
                  <c:v>0.37962604771115416</c:v>
                </c:pt>
                <c:pt idx="31">
                  <c:v>0.4353320438426822</c:v>
                </c:pt>
                <c:pt idx="32">
                  <c:v>0.47865892972275959</c:v>
                </c:pt>
                <c:pt idx="33">
                  <c:v>0.40851063829787237</c:v>
                </c:pt>
                <c:pt idx="34">
                  <c:v>0.41090146750524115</c:v>
                </c:pt>
                <c:pt idx="35">
                  <c:v>0.44947589098532498</c:v>
                </c:pt>
                <c:pt idx="36">
                  <c:v>0.38686233403214543</c:v>
                </c:pt>
                <c:pt idx="37">
                  <c:v>0.47407407407407415</c:v>
                </c:pt>
                <c:pt idx="38">
                  <c:v>0.46065688329839277</c:v>
                </c:pt>
                <c:pt idx="39">
                  <c:v>0.52498135719612238</c:v>
                </c:pt>
                <c:pt idx="40">
                  <c:v>0.49395973154362421</c:v>
                </c:pt>
                <c:pt idx="41">
                  <c:v>0.49634601043997023</c:v>
                </c:pt>
                <c:pt idx="42">
                  <c:v>0.51304996271439229</c:v>
                </c:pt>
                <c:pt idx="43">
                  <c:v>0.45816554809843407</c:v>
                </c:pt>
                <c:pt idx="44">
                  <c:v>0.50589112602535424</c:v>
                </c:pt>
                <c:pt idx="45">
                  <c:v>0.46433949349760445</c:v>
                </c:pt>
                <c:pt idx="46">
                  <c:v>0.51304996271439229</c:v>
                </c:pt>
                <c:pt idx="47">
                  <c:v>0.54537987679671462</c:v>
                </c:pt>
                <c:pt idx="48">
                  <c:v>0.50803289057558509</c:v>
                </c:pt>
                <c:pt idx="49">
                  <c:v>0.50229276895943564</c:v>
                </c:pt>
                <c:pt idx="50">
                  <c:v>0.54179894179894184</c:v>
                </c:pt>
                <c:pt idx="51">
                  <c:v>0.5907113462669018</c:v>
                </c:pt>
                <c:pt idx="52">
                  <c:v>0.60952380952380958</c:v>
                </c:pt>
                <c:pt idx="53">
                  <c:v>0.61140505584950033</c:v>
                </c:pt>
                <c:pt idx="54">
                  <c:v>0.61328630217519109</c:v>
                </c:pt>
                <c:pt idx="55">
                  <c:v>0.61140505584950033</c:v>
                </c:pt>
                <c:pt idx="56">
                  <c:v>0.60011757789535569</c:v>
                </c:pt>
                <c:pt idx="57">
                  <c:v>0.59635508524397418</c:v>
                </c:pt>
                <c:pt idx="58">
                  <c:v>0.59259259259259256</c:v>
                </c:pt>
                <c:pt idx="59">
                  <c:v>0.58526532715095325</c:v>
                </c:pt>
                <c:pt idx="60">
                  <c:v>0.62977846470891308</c:v>
                </c:pt>
                <c:pt idx="61">
                  <c:v>0.63472436888201966</c:v>
                </c:pt>
                <c:pt idx="62">
                  <c:v>0.66776496430532672</c:v>
                </c:pt>
                <c:pt idx="63">
                  <c:v>0.39538714991762769</c:v>
                </c:pt>
                <c:pt idx="64">
                  <c:v>0.49675704412546517</c:v>
                </c:pt>
                <c:pt idx="65">
                  <c:v>0.43040935672514619</c:v>
                </c:pt>
                <c:pt idx="66">
                  <c:v>0.34194577352472089</c:v>
                </c:pt>
                <c:pt idx="67">
                  <c:v>0.36180904522613072</c:v>
                </c:pt>
                <c:pt idx="68">
                  <c:v>0.48419877163595759</c:v>
                </c:pt>
                <c:pt idx="69">
                  <c:v>0.55617628801986352</c:v>
                </c:pt>
                <c:pt idx="70">
                  <c:v>0.52836747361887038</c:v>
                </c:pt>
                <c:pt idx="71">
                  <c:v>0.54028553693358172</c:v>
                </c:pt>
                <c:pt idx="72">
                  <c:v>0.49658597144630667</c:v>
                </c:pt>
                <c:pt idx="73">
                  <c:v>0.55816263190564874</c:v>
                </c:pt>
                <c:pt idx="74">
                  <c:v>0.59342023587833648</c:v>
                </c:pt>
                <c:pt idx="75">
                  <c:v>0.53134698944754821</c:v>
                </c:pt>
                <c:pt idx="76">
                  <c:v>0.49459962756052145</c:v>
                </c:pt>
                <c:pt idx="77">
                  <c:v>0.57405338299193054</c:v>
                </c:pt>
                <c:pt idx="78">
                  <c:v>0.47</c:v>
                </c:pt>
                <c:pt idx="79">
                  <c:v>0.61167002012072447</c:v>
                </c:pt>
                <c:pt idx="80">
                  <c:v>0.59020791415157614</c:v>
                </c:pt>
                <c:pt idx="81">
                  <c:v>0.59020791415157614</c:v>
                </c:pt>
                <c:pt idx="82">
                  <c:v>0.64600938967136157</c:v>
                </c:pt>
                <c:pt idx="83">
                  <c:v>0.56874580818242793</c:v>
                </c:pt>
                <c:pt idx="84">
                  <c:v>0.56016096579476871</c:v>
                </c:pt>
                <c:pt idx="85">
                  <c:v>0.61167002012072447</c:v>
                </c:pt>
                <c:pt idx="86">
                  <c:v>0.67687819110138592</c:v>
                </c:pt>
                <c:pt idx="87">
                  <c:v>0.65587162654996367</c:v>
                </c:pt>
                <c:pt idx="88">
                  <c:v>0.62552881108679803</c:v>
                </c:pt>
                <c:pt idx="89">
                  <c:v>0.52638112973308515</c:v>
                </c:pt>
                <c:pt idx="90">
                  <c:v>0.4985723153320919</c:v>
                </c:pt>
                <c:pt idx="91">
                  <c:v>0.5303538175046556</c:v>
                </c:pt>
                <c:pt idx="92">
                  <c:v>0.50837666088965916</c:v>
                </c:pt>
                <c:pt idx="93">
                  <c:v>0.56753321779318311</c:v>
                </c:pt>
                <c:pt idx="94">
                  <c:v>0.50283073367995379</c:v>
                </c:pt>
                <c:pt idx="95">
                  <c:v>0.4954361640670133</c:v>
                </c:pt>
                <c:pt idx="96">
                  <c:v>0.61190063547082607</c:v>
                </c:pt>
                <c:pt idx="97">
                  <c:v>0.57307914500288848</c:v>
                </c:pt>
                <c:pt idx="98">
                  <c:v>0.56198729058347774</c:v>
                </c:pt>
                <c:pt idx="99">
                  <c:v>0.63364369956548738</c:v>
                </c:pt>
                <c:pt idx="100">
                  <c:v>0.57802607076350099</c:v>
                </c:pt>
                <c:pt idx="101">
                  <c:v>0.59391682184978278</c:v>
                </c:pt>
                <c:pt idx="102">
                  <c:v>0.57211250748055065</c:v>
                </c:pt>
                <c:pt idx="103">
                  <c:v>0.63961699581089171</c:v>
                </c:pt>
                <c:pt idx="104">
                  <c:v>0.51322561340514661</c:v>
                </c:pt>
                <c:pt idx="105">
                  <c:v>0.63339780786589306</c:v>
                </c:pt>
                <c:pt idx="106">
                  <c:v>0.55087040618955518</c:v>
                </c:pt>
                <c:pt idx="107">
                  <c:v>0.5381208856971873</c:v>
                </c:pt>
                <c:pt idx="108">
                  <c:v>0.5189706762417714</c:v>
                </c:pt>
                <c:pt idx="109">
                  <c:v>0.54449093444909358</c:v>
                </c:pt>
                <c:pt idx="110">
                  <c:v>0.56234309623430967</c:v>
                </c:pt>
                <c:pt idx="111">
                  <c:v>0.51385390428211597</c:v>
                </c:pt>
                <c:pt idx="112">
                  <c:v>0.69719350073855224</c:v>
                </c:pt>
                <c:pt idx="113">
                  <c:v>0.72003938946331847</c:v>
                </c:pt>
                <c:pt idx="114">
                  <c:v>0.65228951255539136</c:v>
                </c:pt>
                <c:pt idx="115">
                  <c:v>0.73737075332348578</c:v>
                </c:pt>
                <c:pt idx="116">
                  <c:v>0.68621752531924274</c:v>
                </c:pt>
                <c:pt idx="117">
                  <c:v>0.57490092470277421</c:v>
                </c:pt>
                <c:pt idx="118">
                  <c:v>0.51007969995311764</c:v>
                </c:pt>
                <c:pt idx="119">
                  <c:v>0.47839408346539886</c:v>
                </c:pt>
                <c:pt idx="120">
                  <c:v>0.47543581616481778</c:v>
                </c:pt>
                <c:pt idx="121">
                  <c:v>0.43993231810490702</c:v>
                </c:pt>
                <c:pt idx="122">
                  <c:v>0.44866339334424443</c:v>
                </c:pt>
                <c:pt idx="123">
                  <c:v>0.5571349862258953</c:v>
                </c:pt>
                <c:pt idx="124">
                  <c:v>0.4588943623426382</c:v>
                </c:pt>
                <c:pt idx="125">
                  <c:v>0.46064586754241926</c:v>
                </c:pt>
                <c:pt idx="126">
                  <c:v>0.47816091954022988</c:v>
                </c:pt>
                <c:pt idx="127">
                  <c:v>0.43130815544608642</c:v>
                </c:pt>
                <c:pt idx="128">
                  <c:v>0.40810071154898742</c:v>
                </c:pt>
                <c:pt idx="129">
                  <c:v>0.4926108374384236</c:v>
                </c:pt>
                <c:pt idx="130">
                  <c:v>0.44803749267721149</c:v>
                </c:pt>
                <c:pt idx="131">
                  <c:v>0.46678383128295253</c:v>
                </c:pt>
                <c:pt idx="132">
                  <c:v>0.4030462800234329</c:v>
                </c:pt>
                <c:pt idx="133">
                  <c:v>0.37867603983596954</c:v>
                </c:pt>
                <c:pt idx="134">
                  <c:v>0.45553602811950789</c:v>
                </c:pt>
                <c:pt idx="135">
                  <c:v>0.50240187463386055</c:v>
                </c:pt>
                <c:pt idx="136">
                  <c:v>0.37492677211482134</c:v>
                </c:pt>
                <c:pt idx="137">
                  <c:v>0.46624022743425725</c:v>
                </c:pt>
                <c:pt idx="138">
                  <c:v>0.42302771855010657</c:v>
                </c:pt>
                <c:pt idx="139">
                  <c:v>0.44349680170575689</c:v>
                </c:pt>
                <c:pt idx="140">
                  <c:v>0.41393034825870639</c:v>
                </c:pt>
                <c:pt idx="141">
                  <c:v>0.45031982942430698</c:v>
                </c:pt>
                <c:pt idx="142">
                  <c:v>0.46339729921819467</c:v>
                </c:pt>
                <c:pt idx="143">
                  <c:v>0.43667377398720675</c:v>
                </c:pt>
                <c:pt idx="144">
                  <c:v>0.44881602914389801</c:v>
                </c:pt>
                <c:pt idx="145">
                  <c:v>0.36915604128718882</c:v>
                </c:pt>
                <c:pt idx="146">
                  <c:v>0.33515482695810561</c:v>
                </c:pt>
                <c:pt idx="147">
                  <c:v>0.27006678809957496</c:v>
                </c:pt>
                <c:pt idx="148">
                  <c:v>0.17486338797814208</c:v>
                </c:pt>
                <c:pt idx="149">
                  <c:v>0.34446919079435778</c:v>
                </c:pt>
                <c:pt idx="150">
                  <c:v>0.31358574610244982</c:v>
                </c:pt>
                <c:pt idx="151">
                  <c:v>0.32783964365256119</c:v>
                </c:pt>
                <c:pt idx="152">
                  <c:v>0.4537490720118782</c:v>
                </c:pt>
                <c:pt idx="153">
                  <c:v>0.39635701275045537</c:v>
                </c:pt>
                <c:pt idx="154">
                  <c:v>0.30309653916211293</c:v>
                </c:pt>
                <c:pt idx="155">
                  <c:v>0.25986642380085001</c:v>
                </c:pt>
                <c:pt idx="156">
                  <c:v>0.416865552903739</c:v>
                </c:pt>
                <c:pt idx="157">
                  <c:v>0.42513922036595059</c:v>
                </c:pt>
                <c:pt idx="158">
                  <c:v>0.47350835322195695</c:v>
                </c:pt>
                <c:pt idx="159">
                  <c:v>0.35894988066825773</c:v>
                </c:pt>
                <c:pt idx="160">
                  <c:v>0.56006364359586314</c:v>
                </c:pt>
                <c:pt idx="161">
                  <c:v>0.3834422657952069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5-4065-8D3D-ADA06282E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009648"/>
        <c:axId val="1269853232"/>
      </c:lineChart>
      <c:catAx>
        <c:axId val="126800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853232"/>
        <c:crosses val="autoZero"/>
        <c:auto val="1"/>
        <c:lblAlgn val="ctr"/>
        <c:lblOffset val="100"/>
        <c:noMultiLvlLbl val="0"/>
      </c:catAx>
      <c:valAx>
        <c:axId val="12698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00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Total</a:t>
            </a:r>
            <a:r>
              <a:rPr lang="en-NZ" baseline="0"/>
              <a:t> EVS time to produce 60 mins of product 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330927384077"/>
          <c:y val="0.17171296296296298"/>
          <c:w val="0.8585579615048119"/>
          <c:h val="0.6191743219597550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('Team Eff'!$A$130:$A$144,'Team Eff'!$A$146:$A$156,'Team Eff'!$A$158:$A$183,'Team Eff'!$A$185:$A$206,'Team Eff'!$A$208:$A$229)</c:f>
              <c:strCache>
                <c:ptCount val="96"/>
                <c:pt idx="0">
                  <c:v>Week 48 2020</c:v>
                </c:pt>
                <c:pt idx="1">
                  <c:v>Week 49 2020</c:v>
                </c:pt>
                <c:pt idx="2">
                  <c:v>Week 50 2020</c:v>
                </c:pt>
                <c:pt idx="3">
                  <c:v>Week 06 2021</c:v>
                </c:pt>
                <c:pt idx="4">
                  <c:v>Week 07 2021</c:v>
                </c:pt>
                <c:pt idx="5">
                  <c:v>Week 08 2021</c:v>
                </c:pt>
                <c:pt idx="6">
                  <c:v>Week 09 2021</c:v>
                </c:pt>
                <c:pt idx="7">
                  <c:v>Week 10 2021</c:v>
                </c:pt>
                <c:pt idx="8">
                  <c:v>Week 11 2021</c:v>
                </c:pt>
                <c:pt idx="9">
                  <c:v>Week 12 2021</c:v>
                </c:pt>
                <c:pt idx="10">
                  <c:v>Week 13 2021</c:v>
                </c:pt>
                <c:pt idx="11">
                  <c:v>Week 14 2021</c:v>
                </c:pt>
                <c:pt idx="12">
                  <c:v>Week 15 2021</c:v>
                </c:pt>
                <c:pt idx="13">
                  <c:v>Week 16 2021</c:v>
                </c:pt>
                <c:pt idx="14">
                  <c:v>Week 17 2021</c:v>
                </c:pt>
                <c:pt idx="15">
                  <c:v>Week 19 2021</c:v>
                </c:pt>
                <c:pt idx="16">
                  <c:v>Week 20 2021</c:v>
                </c:pt>
                <c:pt idx="17">
                  <c:v>Week 21 2021</c:v>
                </c:pt>
                <c:pt idx="18">
                  <c:v>Week 24 2021</c:v>
                </c:pt>
                <c:pt idx="19">
                  <c:v>Week 25 2021</c:v>
                </c:pt>
                <c:pt idx="20">
                  <c:v>Week 26 2021</c:v>
                </c:pt>
                <c:pt idx="21">
                  <c:v>Week 27 2021</c:v>
                </c:pt>
                <c:pt idx="22">
                  <c:v>Week 28 2021</c:v>
                </c:pt>
                <c:pt idx="23">
                  <c:v>Week 29 2021</c:v>
                </c:pt>
                <c:pt idx="24">
                  <c:v>Week 30 2021</c:v>
                </c:pt>
                <c:pt idx="25">
                  <c:v>Week 31 2021</c:v>
                </c:pt>
                <c:pt idx="26">
                  <c:v>Week 33 2021</c:v>
                </c:pt>
                <c:pt idx="27">
                  <c:v>Week 34 2021</c:v>
                </c:pt>
                <c:pt idx="28">
                  <c:v>Week 35 2021</c:v>
                </c:pt>
                <c:pt idx="29">
                  <c:v>Week 36 2021</c:v>
                </c:pt>
                <c:pt idx="30">
                  <c:v>Week 37 2021</c:v>
                </c:pt>
                <c:pt idx="31">
                  <c:v>Week 38 2021</c:v>
                </c:pt>
                <c:pt idx="32">
                  <c:v>Week 39 2021</c:v>
                </c:pt>
                <c:pt idx="33">
                  <c:v>Week 40 2021</c:v>
                </c:pt>
                <c:pt idx="34">
                  <c:v>Week 41 2021</c:v>
                </c:pt>
                <c:pt idx="35">
                  <c:v>Week 42 2021</c:v>
                </c:pt>
                <c:pt idx="36">
                  <c:v>Week 43 2021</c:v>
                </c:pt>
                <c:pt idx="37">
                  <c:v>Week 44 2021</c:v>
                </c:pt>
                <c:pt idx="38">
                  <c:v>Week 45 2021</c:v>
                </c:pt>
                <c:pt idx="39">
                  <c:v>Week 46 2021</c:v>
                </c:pt>
                <c:pt idx="40">
                  <c:v>Week 47 2021</c:v>
                </c:pt>
                <c:pt idx="41">
                  <c:v>Week 48 2021</c:v>
                </c:pt>
                <c:pt idx="42">
                  <c:v>Week 49 2021</c:v>
                </c:pt>
                <c:pt idx="43">
                  <c:v>Week 3 2022</c:v>
                </c:pt>
                <c:pt idx="44">
                  <c:v>Week 4 2022</c:v>
                </c:pt>
                <c:pt idx="45">
                  <c:v>Week 5 2022</c:v>
                </c:pt>
                <c:pt idx="46">
                  <c:v>Week 6 2022</c:v>
                </c:pt>
                <c:pt idx="47">
                  <c:v>Week 7 2022</c:v>
                </c:pt>
                <c:pt idx="48">
                  <c:v>Week 8 2022</c:v>
                </c:pt>
                <c:pt idx="49">
                  <c:v>Week 9 2022</c:v>
                </c:pt>
                <c:pt idx="50">
                  <c:v>Week 10 2022</c:v>
                </c:pt>
                <c:pt idx="51">
                  <c:v>Week 11 2022</c:v>
                </c:pt>
                <c:pt idx="52">
                  <c:v>Week 13 2022</c:v>
                </c:pt>
                <c:pt idx="53">
                  <c:v>Week 14 2022</c:v>
                </c:pt>
                <c:pt idx="54">
                  <c:v>Week 15 2022</c:v>
                </c:pt>
                <c:pt idx="55">
                  <c:v>Week 17 2022</c:v>
                </c:pt>
                <c:pt idx="56">
                  <c:v>Week 18 2022</c:v>
                </c:pt>
                <c:pt idx="57">
                  <c:v>Week 19 2022</c:v>
                </c:pt>
                <c:pt idx="58">
                  <c:v>Week 20 2022</c:v>
                </c:pt>
                <c:pt idx="59">
                  <c:v>Week 21 2022</c:v>
                </c:pt>
                <c:pt idx="60">
                  <c:v>Week 22 2022</c:v>
                </c:pt>
                <c:pt idx="61">
                  <c:v>Week 23 2022</c:v>
                </c:pt>
                <c:pt idx="62">
                  <c:v>Week 24 2022</c:v>
                </c:pt>
                <c:pt idx="63">
                  <c:v>Week 25 2022</c:v>
                </c:pt>
                <c:pt idx="64">
                  <c:v>Week 26 2022</c:v>
                </c:pt>
                <c:pt idx="65">
                  <c:v>Week 27 2022</c:v>
                </c:pt>
                <c:pt idx="66">
                  <c:v>Week 28 2022</c:v>
                </c:pt>
                <c:pt idx="67">
                  <c:v>Week 29 2022</c:v>
                </c:pt>
                <c:pt idx="68">
                  <c:v>Week 30 2022</c:v>
                </c:pt>
                <c:pt idx="69">
                  <c:v>Week 31 2022</c:v>
                </c:pt>
                <c:pt idx="70">
                  <c:v>Week 32 2022</c:v>
                </c:pt>
                <c:pt idx="71">
                  <c:v>Week 33 2022</c:v>
                </c:pt>
                <c:pt idx="72">
                  <c:v>Week 34 2022</c:v>
                </c:pt>
                <c:pt idx="73">
                  <c:v>Week 35 2022</c:v>
                </c:pt>
                <c:pt idx="74">
                  <c:v>Week 37 2022</c:v>
                </c:pt>
                <c:pt idx="75">
                  <c:v>Week 38 2022</c:v>
                </c:pt>
                <c:pt idx="76">
                  <c:v>Week 39 2022</c:v>
                </c:pt>
                <c:pt idx="77">
                  <c:v>Week 40 2022</c:v>
                </c:pt>
                <c:pt idx="78">
                  <c:v>Week 41 2022</c:v>
                </c:pt>
                <c:pt idx="79">
                  <c:v>Week 42 2022</c:v>
                </c:pt>
                <c:pt idx="80">
                  <c:v>Week 43 2022</c:v>
                </c:pt>
                <c:pt idx="81">
                  <c:v>Week 44 2022</c:v>
                </c:pt>
                <c:pt idx="82">
                  <c:v>Week 45 2022</c:v>
                </c:pt>
                <c:pt idx="83">
                  <c:v>Week 46 2022</c:v>
                </c:pt>
                <c:pt idx="84">
                  <c:v>Week 47 2022</c:v>
                </c:pt>
                <c:pt idx="85">
                  <c:v>Week 48 2022</c:v>
                </c:pt>
                <c:pt idx="86">
                  <c:v>Week 49 2022</c:v>
                </c:pt>
                <c:pt idx="87">
                  <c:v>Week 03 2023</c:v>
                </c:pt>
                <c:pt idx="88">
                  <c:v>Week 04 2023</c:v>
                </c:pt>
                <c:pt idx="89">
                  <c:v>Week 05 2023</c:v>
                </c:pt>
                <c:pt idx="90">
                  <c:v>Week 06 2023</c:v>
                </c:pt>
                <c:pt idx="91">
                  <c:v>Week 07 2023</c:v>
                </c:pt>
                <c:pt idx="92">
                  <c:v>Week 08 2023</c:v>
                </c:pt>
                <c:pt idx="93">
                  <c:v>Week 09 2023</c:v>
                </c:pt>
                <c:pt idx="94">
                  <c:v>Week 10 2023</c:v>
                </c:pt>
                <c:pt idx="95">
                  <c:v>Week 11 2023</c:v>
                </c:pt>
              </c:strCache>
            </c:strRef>
          </c:cat>
          <c:val>
            <c:numRef>
              <c:f>('Team Eff'!$M$130:$M$144,'Team Eff'!$M$146:$M$156,'Team Eff'!$M$158:$M$183,'Team Eff'!$M$185:$M$206,'Team Eff'!$M$208:$M$229)</c:f>
              <c:numCache>
                <c:formatCode>0.00</c:formatCode>
                <c:ptCount val="96"/>
                <c:pt idx="0">
                  <c:v>142.39006236627679</c:v>
                </c:pt>
                <c:pt idx="1">
                  <c:v>148.80506660323502</c:v>
                </c:pt>
                <c:pt idx="2">
                  <c:v>149.94642857142858</c:v>
                </c:pt>
                <c:pt idx="3">
                  <c:v>149.35440151994933</c:v>
                </c:pt>
                <c:pt idx="4">
                  <c:v>133.50917119565219</c:v>
                </c:pt>
                <c:pt idx="5">
                  <c:v>146.9635579937304</c:v>
                </c:pt>
                <c:pt idx="6">
                  <c:v>137.95402157920549</c:v>
                </c:pt>
                <c:pt idx="7">
                  <c:v>135.69138929088277</c:v>
                </c:pt>
                <c:pt idx="8">
                  <c:v>142.71347031963469</c:v>
                </c:pt>
                <c:pt idx="9">
                  <c:v>134.03362028850628</c:v>
                </c:pt>
                <c:pt idx="10">
                  <c:v>132.20344234079172</c:v>
                </c:pt>
                <c:pt idx="11">
                  <c:v>146.68555555555554</c:v>
                </c:pt>
                <c:pt idx="12">
                  <c:v>143.42745050700142</c:v>
                </c:pt>
                <c:pt idx="13">
                  <c:v>139.1052068473609</c:v>
                </c:pt>
                <c:pt idx="14">
                  <c:v>142.85714285714286</c:v>
                </c:pt>
                <c:pt idx="15">
                  <c:v>142.43658478979688</c:v>
                </c:pt>
                <c:pt idx="16">
                  <c:v>142.43658478979688</c:v>
                </c:pt>
                <c:pt idx="17">
                  <c:v>140.64270833333333</c:v>
                </c:pt>
                <c:pt idx="18">
                  <c:v>142.69058243306716</c:v>
                </c:pt>
                <c:pt idx="19">
                  <c:v>156.43061277033985</c:v>
                </c:pt>
                <c:pt idx="20">
                  <c:v>147.27538498556305</c:v>
                </c:pt>
                <c:pt idx="21">
                  <c:v>137.02672530446549</c:v>
                </c:pt>
                <c:pt idx="22">
                  <c:v>132.71657929226737</c:v>
                </c:pt>
                <c:pt idx="23">
                  <c:v>133.06537450722735</c:v>
                </c:pt>
                <c:pt idx="24">
                  <c:v>138.8937125748503</c:v>
                </c:pt>
                <c:pt idx="25">
                  <c:v>151.331625</c:v>
                </c:pt>
                <c:pt idx="26">
                  <c:v>155.4354095976733</c:v>
                </c:pt>
                <c:pt idx="27">
                  <c:v>148.1123556581986</c:v>
                </c:pt>
                <c:pt idx="28">
                  <c:v>142.59505263157894</c:v>
                </c:pt>
                <c:pt idx="29">
                  <c:v>135.3570143884892</c:v>
                </c:pt>
                <c:pt idx="30">
                  <c:v>130.70754534928599</c:v>
                </c:pt>
                <c:pt idx="31">
                  <c:v>136.40580427892235</c:v>
                </c:pt>
                <c:pt idx="32">
                  <c:v>129.96913929784824</c:v>
                </c:pt>
                <c:pt idx="33">
                  <c:v>134.07523719165084</c:v>
                </c:pt>
                <c:pt idx="34">
                  <c:v>133.95292025458627</c:v>
                </c:pt>
                <c:pt idx="35">
                  <c:v>128.42363603732949</c:v>
                </c:pt>
                <c:pt idx="36">
                  <c:v>131.32333484367922</c:v>
                </c:pt>
                <c:pt idx="37">
                  <c:v>126.94814241486068</c:v>
                </c:pt>
                <c:pt idx="38">
                  <c:v>128.15836092715233</c:v>
                </c:pt>
                <c:pt idx="39">
                  <c:v>121.74992043284531</c:v>
                </c:pt>
                <c:pt idx="40">
                  <c:v>120.29504716981133</c:v>
                </c:pt>
                <c:pt idx="41">
                  <c:v>118.29025232802643</c:v>
                </c:pt>
                <c:pt idx="42">
                  <c:v>117.58383099432665</c:v>
                </c:pt>
                <c:pt idx="43">
                  <c:v>132.49300193050192</c:v>
                </c:pt>
                <c:pt idx="44">
                  <c:v>133.13554801163917</c:v>
                </c:pt>
                <c:pt idx="45">
                  <c:v>149.27413715822502</c:v>
                </c:pt>
                <c:pt idx="46">
                  <c:v>129.59527559055118</c:v>
                </c:pt>
                <c:pt idx="47">
                  <c:v>132.12178899082568</c:v>
                </c:pt>
                <c:pt idx="48">
                  <c:v>132.89395570593663</c:v>
                </c:pt>
                <c:pt idx="49">
                  <c:v>153.80500177999286</c:v>
                </c:pt>
                <c:pt idx="50">
                  <c:v>147.08162061994608</c:v>
                </c:pt>
                <c:pt idx="51">
                  <c:v>146.27425058942404</c:v>
                </c:pt>
                <c:pt idx="52">
                  <c:v>131.04585798816566</c:v>
                </c:pt>
                <c:pt idx="53">
                  <c:v>125.46613636363637</c:v>
                </c:pt>
                <c:pt idx="54">
                  <c:v>126.3274599542334</c:v>
                </c:pt>
                <c:pt idx="55">
                  <c:v>148.23958143767061</c:v>
                </c:pt>
                <c:pt idx="56">
                  <c:v>141.63304455445544</c:v>
                </c:pt>
                <c:pt idx="57">
                  <c:v>154.64203436157749</c:v>
                </c:pt>
                <c:pt idx="58">
                  <c:v>143.96403345724909</c:v>
                </c:pt>
                <c:pt idx="59">
                  <c:v>141.07950819672132</c:v>
                </c:pt>
                <c:pt idx="60">
                  <c:v>149.05662020905925</c:v>
                </c:pt>
                <c:pt idx="61">
                  <c:v>135.83722755013079</c:v>
                </c:pt>
                <c:pt idx="62">
                  <c:v>144.96440397350995</c:v>
                </c:pt>
                <c:pt idx="63">
                  <c:v>142.58076923076922</c:v>
                </c:pt>
                <c:pt idx="64">
                  <c:v>145.01775855723224</c:v>
                </c:pt>
                <c:pt idx="65">
                  <c:v>135.56731098186796</c:v>
                </c:pt>
                <c:pt idx="66">
                  <c:v>146.74608938547487</c:v>
                </c:pt>
                <c:pt idx="67">
                  <c:v>135.68718079673138</c:v>
                </c:pt>
                <c:pt idx="68">
                  <c:v>152.30508310784694</c:v>
                </c:pt>
                <c:pt idx="69">
                  <c:v>138.3974072802198</c:v>
                </c:pt>
                <c:pt idx="70">
                  <c:v>132.22146156384034</c:v>
                </c:pt>
                <c:pt idx="71">
                  <c:v>138.34989701338827</c:v>
                </c:pt>
                <c:pt idx="72">
                  <c:v>138.04173608797069</c:v>
                </c:pt>
                <c:pt idx="73">
                  <c:v>139.01451342281879</c:v>
                </c:pt>
                <c:pt idx="74">
                  <c:v>141.28314777327938</c:v>
                </c:pt>
                <c:pt idx="75">
                  <c:v>138.05543586344052</c:v>
                </c:pt>
                <c:pt idx="76">
                  <c:v>145.82713178294574</c:v>
                </c:pt>
                <c:pt idx="77">
                  <c:v>136.69261363636366</c:v>
                </c:pt>
                <c:pt idx="78">
                  <c:v>134.49737845567208</c:v>
                </c:pt>
                <c:pt idx="79">
                  <c:v>137.1825513196481</c:v>
                </c:pt>
                <c:pt idx="80">
                  <c:v>142.11417721518987</c:v>
                </c:pt>
                <c:pt idx="81">
                  <c:v>151.4436151079137</c:v>
                </c:pt>
                <c:pt idx="82">
                  <c:v>152.21014099783082</c:v>
                </c:pt>
                <c:pt idx="83">
                  <c:v>161.9551044083527</c:v>
                </c:pt>
                <c:pt idx="84">
                  <c:v>167.66742243436755</c:v>
                </c:pt>
                <c:pt idx="85">
                  <c:v>192.89579901153218</c:v>
                </c:pt>
                <c:pt idx="86">
                  <c:v>186.34655172413795</c:v>
                </c:pt>
                <c:pt idx="87">
                  <c:v>168.89307065217392</c:v>
                </c:pt>
                <c:pt idx="88">
                  <c:v>172.93447412353922</c:v>
                </c:pt>
                <c:pt idx="89">
                  <c:v>157.05028427037269</c:v>
                </c:pt>
                <c:pt idx="90">
                  <c:v>155.34318021201412</c:v>
                </c:pt>
                <c:pt idx="91">
                  <c:v>143.03136387298281</c:v>
                </c:pt>
                <c:pt idx="92">
                  <c:v>151.88681592039799</c:v>
                </c:pt>
                <c:pt idx="93">
                  <c:v>177.75546448087431</c:v>
                </c:pt>
                <c:pt idx="94">
                  <c:v>174.05662901307966</c:v>
                </c:pt>
                <c:pt idx="95">
                  <c:v>166.67404006677796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D-4A4D-98F7-396CB243FE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('Team Eff'!$A$130:$A$144,'Team Eff'!$A$146:$A$156,'Team Eff'!$A$158:$A$183,'Team Eff'!$A$185:$A$206,'Team Eff'!$A$208:$A$229)</c:f>
              <c:strCache>
                <c:ptCount val="96"/>
                <c:pt idx="0">
                  <c:v>Week 48 2020</c:v>
                </c:pt>
                <c:pt idx="1">
                  <c:v>Week 49 2020</c:v>
                </c:pt>
                <c:pt idx="2">
                  <c:v>Week 50 2020</c:v>
                </c:pt>
                <c:pt idx="3">
                  <c:v>Week 06 2021</c:v>
                </c:pt>
                <c:pt idx="4">
                  <c:v>Week 07 2021</c:v>
                </c:pt>
                <c:pt idx="5">
                  <c:v>Week 08 2021</c:v>
                </c:pt>
                <c:pt idx="6">
                  <c:v>Week 09 2021</c:v>
                </c:pt>
                <c:pt idx="7">
                  <c:v>Week 10 2021</c:v>
                </c:pt>
                <c:pt idx="8">
                  <c:v>Week 11 2021</c:v>
                </c:pt>
                <c:pt idx="9">
                  <c:v>Week 12 2021</c:v>
                </c:pt>
                <c:pt idx="10">
                  <c:v>Week 13 2021</c:v>
                </c:pt>
                <c:pt idx="11">
                  <c:v>Week 14 2021</c:v>
                </c:pt>
                <c:pt idx="12">
                  <c:v>Week 15 2021</c:v>
                </c:pt>
                <c:pt idx="13">
                  <c:v>Week 16 2021</c:v>
                </c:pt>
                <c:pt idx="14">
                  <c:v>Week 17 2021</c:v>
                </c:pt>
                <c:pt idx="15">
                  <c:v>Week 19 2021</c:v>
                </c:pt>
                <c:pt idx="16">
                  <c:v>Week 20 2021</c:v>
                </c:pt>
                <c:pt idx="17">
                  <c:v>Week 21 2021</c:v>
                </c:pt>
                <c:pt idx="18">
                  <c:v>Week 24 2021</c:v>
                </c:pt>
                <c:pt idx="19">
                  <c:v>Week 25 2021</c:v>
                </c:pt>
                <c:pt idx="20">
                  <c:v>Week 26 2021</c:v>
                </c:pt>
                <c:pt idx="21">
                  <c:v>Week 27 2021</c:v>
                </c:pt>
                <c:pt idx="22">
                  <c:v>Week 28 2021</c:v>
                </c:pt>
                <c:pt idx="23">
                  <c:v>Week 29 2021</c:v>
                </c:pt>
                <c:pt idx="24">
                  <c:v>Week 30 2021</c:v>
                </c:pt>
                <c:pt idx="25">
                  <c:v>Week 31 2021</c:v>
                </c:pt>
                <c:pt idx="26">
                  <c:v>Week 33 2021</c:v>
                </c:pt>
                <c:pt idx="27">
                  <c:v>Week 34 2021</c:v>
                </c:pt>
                <c:pt idx="28">
                  <c:v>Week 35 2021</c:v>
                </c:pt>
                <c:pt idx="29">
                  <c:v>Week 36 2021</c:v>
                </c:pt>
                <c:pt idx="30">
                  <c:v>Week 37 2021</c:v>
                </c:pt>
                <c:pt idx="31">
                  <c:v>Week 38 2021</c:v>
                </c:pt>
                <c:pt idx="32">
                  <c:v>Week 39 2021</c:v>
                </c:pt>
                <c:pt idx="33">
                  <c:v>Week 40 2021</c:v>
                </c:pt>
                <c:pt idx="34">
                  <c:v>Week 41 2021</c:v>
                </c:pt>
                <c:pt idx="35">
                  <c:v>Week 42 2021</c:v>
                </c:pt>
                <c:pt idx="36">
                  <c:v>Week 43 2021</c:v>
                </c:pt>
                <c:pt idx="37">
                  <c:v>Week 44 2021</c:v>
                </c:pt>
                <c:pt idx="38">
                  <c:v>Week 45 2021</c:v>
                </c:pt>
                <c:pt idx="39">
                  <c:v>Week 46 2021</c:v>
                </c:pt>
                <c:pt idx="40">
                  <c:v>Week 47 2021</c:v>
                </c:pt>
                <c:pt idx="41">
                  <c:v>Week 48 2021</c:v>
                </c:pt>
                <c:pt idx="42">
                  <c:v>Week 49 2021</c:v>
                </c:pt>
                <c:pt idx="43">
                  <c:v>Week 3 2022</c:v>
                </c:pt>
                <c:pt idx="44">
                  <c:v>Week 4 2022</c:v>
                </c:pt>
                <c:pt idx="45">
                  <c:v>Week 5 2022</c:v>
                </c:pt>
                <c:pt idx="46">
                  <c:v>Week 6 2022</c:v>
                </c:pt>
                <c:pt idx="47">
                  <c:v>Week 7 2022</c:v>
                </c:pt>
                <c:pt idx="48">
                  <c:v>Week 8 2022</c:v>
                </c:pt>
                <c:pt idx="49">
                  <c:v>Week 9 2022</c:v>
                </c:pt>
                <c:pt idx="50">
                  <c:v>Week 10 2022</c:v>
                </c:pt>
                <c:pt idx="51">
                  <c:v>Week 11 2022</c:v>
                </c:pt>
                <c:pt idx="52">
                  <c:v>Week 13 2022</c:v>
                </c:pt>
                <c:pt idx="53">
                  <c:v>Week 14 2022</c:v>
                </c:pt>
                <c:pt idx="54">
                  <c:v>Week 15 2022</c:v>
                </c:pt>
                <c:pt idx="55">
                  <c:v>Week 17 2022</c:v>
                </c:pt>
                <c:pt idx="56">
                  <c:v>Week 18 2022</c:v>
                </c:pt>
                <c:pt idx="57">
                  <c:v>Week 19 2022</c:v>
                </c:pt>
                <c:pt idx="58">
                  <c:v>Week 20 2022</c:v>
                </c:pt>
                <c:pt idx="59">
                  <c:v>Week 21 2022</c:v>
                </c:pt>
                <c:pt idx="60">
                  <c:v>Week 22 2022</c:v>
                </c:pt>
                <c:pt idx="61">
                  <c:v>Week 23 2022</c:v>
                </c:pt>
                <c:pt idx="62">
                  <c:v>Week 24 2022</c:v>
                </c:pt>
                <c:pt idx="63">
                  <c:v>Week 25 2022</c:v>
                </c:pt>
                <c:pt idx="64">
                  <c:v>Week 26 2022</c:v>
                </c:pt>
                <c:pt idx="65">
                  <c:v>Week 27 2022</c:v>
                </c:pt>
                <c:pt idx="66">
                  <c:v>Week 28 2022</c:v>
                </c:pt>
                <c:pt idx="67">
                  <c:v>Week 29 2022</c:v>
                </c:pt>
                <c:pt idx="68">
                  <c:v>Week 30 2022</c:v>
                </c:pt>
                <c:pt idx="69">
                  <c:v>Week 31 2022</c:v>
                </c:pt>
                <c:pt idx="70">
                  <c:v>Week 32 2022</c:v>
                </c:pt>
                <c:pt idx="71">
                  <c:v>Week 33 2022</c:v>
                </c:pt>
                <c:pt idx="72">
                  <c:v>Week 34 2022</c:v>
                </c:pt>
                <c:pt idx="73">
                  <c:v>Week 35 2022</c:v>
                </c:pt>
                <c:pt idx="74">
                  <c:v>Week 37 2022</c:v>
                </c:pt>
                <c:pt idx="75">
                  <c:v>Week 38 2022</c:v>
                </c:pt>
                <c:pt idx="76">
                  <c:v>Week 39 2022</c:v>
                </c:pt>
                <c:pt idx="77">
                  <c:v>Week 40 2022</c:v>
                </c:pt>
                <c:pt idx="78">
                  <c:v>Week 41 2022</c:v>
                </c:pt>
                <c:pt idx="79">
                  <c:v>Week 42 2022</c:v>
                </c:pt>
                <c:pt idx="80">
                  <c:v>Week 43 2022</c:v>
                </c:pt>
                <c:pt idx="81">
                  <c:v>Week 44 2022</c:v>
                </c:pt>
                <c:pt idx="82">
                  <c:v>Week 45 2022</c:v>
                </c:pt>
                <c:pt idx="83">
                  <c:v>Week 46 2022</c:v>
                </c:pt>
                <c:pt idx="84">
                  <c:v>Week 47 2022</c:v>
                </c:pt>
                <c:pt idx="85">
                  <c:v>Week 48 2022</c:v>
                </c:pt>
                <c:pt idx="86">
                  <c:v>Week 49 2022</c:v>
                </c:pt>
                <c:pt idx="87">
                  <c:v>Week 03 2023</c:v>
                </c:pt>
                <c:pt idx="88">
                  <c:v>Week 04 2023</c:v>
                </c:pt>
                <c:pt idx="89">
                  <c:v>Week 05 2023</c:v>
                </c:pt>
                <c:pt idx="90">
                  <c:v>Week 06 2023</c:v>
                </c:pt>
                <c:pt idx="91">
                  <c:v>Week 07 2023</c:v>
                </c:pt>
                <c:pt idx="92">
                  <c:v>Week 08 2023</c:v>
                </c:pt>
                <c:pt idx="93">
                  <c:v>Week 09 2023</c:v>
                </c:pt>
                <c:pt idx="94">
                  <c:v>Week 10 2023</c:v>
                </c:pt>
                <c:pt idx="95">
                  <c:v>Week 11 2023</c:v>
                </c:pt>
              </c:strCache>
            </c:strRef>
          </c:cat>
          <c:val>
            <c:numRef>
              <c:f>('Team Eff'!$N$130:$N$144,'Team Eff'!$N$146:$N$156,'Team Eff'!$N$158:$N$183,'Team Eff'!$N$185:$N$206,'Team Eff'!$N$208:$N$229)</c:f>
              <c:numCache>
                <c:formatCode>_-* #,##0_-;\-* #,##0_-;_-* "-"??_-;_-@_-</c:formatCode>
                <c:ptCount val="96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129</c:v>
                </c:pt>
                <c:pt idx="45">
                  <c:v>129</c:v>
                </c:pt>
                <c:pt idx="46">
                  <c:v>129</c:v>
                </c:pt>
                <c:pt idx="47">
                  <c:v>129</c:v>
                </c:pt>
                <c:pt idx="48">
                  <c:v>129</c:v>
                </c:pt>
                <c:pt idx="49">
                  <c:v>129</c:v>
                </c:pt>
                <c:pt idx="50">
                  <c:v>129</c:v>
                </c:pt>
                <c:pt idx="51">
                  <c:v>129</c:v>
                </c:pt>
                <c:pt idx="52">
                  <c:v>129</c:v>
                </c:pt>
                <c:pt idx="53">
                  <c:v>129</c:v>
                </c:pt>
                <c:pt idx="54">
                  <c:v>129</c:v>
                </c:pt>
                <c:pt idx="55">
                  <c:v>129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129</c:v>
                </c:pt>
                <c:pt idx="61">
                  <c:v>129</c:v>
                </c:pt>
                <c:pt idx="62">
                  <c:v>129</c:v>
                </c:pt>
                <c:pt idx="63">
                  <c:v>129</c:v>
                </c:pt>
                <c:pt idx="64">
                  <c:v>129</c:v>
                </c:pt>
                <c:pt idx="65">
                  <c:v>129</c:v>
                </c:pt>
                <c:pt idx="66">
                  <c:v>129</c:v>
                </c:pt>
                <c:pt idx="67">
                  <c:v>129</c:v>
                </c:pt>
                <c:pt idx="68">
                  <c:v>129</c:v>
                </c:pt>
                <c:pt idx="69">
                  <c:v>129</c:v>
                </c:pt>
                <c:pt idx="70">
                  <c:v>129</c:v>
                </c:pt>
                <c:pt idx="71">
                  <c:v>129</c:v>
                </c:pt>
                <c:pt idx="72">
                  <c:v>129</c:v>
                </c:pt>
                <c:pt idx="73">
                  <c:v>129</c:v>
                </c:pt>
                <c:pt idx="74">
                  <c:v>129</c:v>
                </c:pt>
                <c:pt idx="75">
                  <c:v>129</c:v>
                </c:pt>
                <c:pt idx="76">
                  <c:v>129</c:v>
                </c:pt>
                <c:pt idx="77">
                  <c:v>129</c:v>
                </c:pt>
                <c:pt idx="78">
                  <c:v>129</c:v>
                </c:pt>
                <c:pt idx="79">
                  <c:v>129</c:v>
                </c:pt>
                <c:pt idx="80">
                  <c:v>129</c:v>
                </c:pt>
                <c:pt idx="81">
                  <c:v>129</c:v>
                </c:pt>
                <c:pt idx="82">
                  <c:v>129</c:v>
                </c:pt>
                <c:pt idx="83">
                  <c:v>129</c:v>
                </c:pt>
                <c:pt idx="84">
                  <c:v>129</c:v>
                </c:pt>
                <c:pt idx="85">
                  <c:v>129</c:v>
                </c:pt>
                <c:pt idx="86">
                  <c:v>129</c:v>
                </c:pt>
                <c:pt idx="87">
                  <c:v>129</c:v>
                </c:pt>
                <c:pt idx="88">
                  <c:v>129</c:v>
                </c:pt>
                <c:pt idx="89">
                  <c:v>129</c:v>
                </c:pt>
                <c:pt idx="90">
                  <c:v>129</c:v>
                </c:pt>
                <c:pt idx="91">
                  <c:v>129</c:v>
                </c:pt>
                <c:pt idx="92">
                  <c:v>129</c:v>
                </c:pt>
                <c:pt idx="93">
                  <c:v>129</c:v>
                </c:pt>
                <c:pt idx="94">
                  <c:v>129</c:v>
                </c:pt>
                <c:pt idx="95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D-4A4D-98F7-396CB243F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466975"/>
        <c:axId val="1799053407"/>
      </c:lineChart>
      <c:catAx>
        <c:axId val="13734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053407"/>
        <c:crosses val="autoZero"/>
        <c:auto val="1"/>
        <c:lblAlgn val="ctr"/>
        <c:lblOffset val="100"/>
        <c:noMultiLvlLbl val="0"/>
      </c:catAx>
      <c:valAx>
        <c:axId val="1799053407"/>
        <c:scaling>
          <c:orientation val="minMax"/>
          <c:min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6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Electronics Team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154571847214555E-2"/>
          <c:y val="7.6527777777777792E-2"/>
          <c:w val="0.89032573923951575"/>
          <c:h val="0.6449154272382619"/>
        </c:manualLayout>
      </c:layout>
      <c:lineChart>
        <c:grouping val="standard"/>
        <c:varyColors val="0"/>
        <c:ser>
          <c:idx val="0"/>
          <c:order val="0"/>
          <c:tx>
            <c:strRef>
              <c:f>'Team Numbers'!$C$20</c:f>
              <c:strCache>
                <c:ptCount val="1"/>
                <c:pt idx="0">
                  <c:v>Employees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'Team Numbers'!$B$21:$B$146</c:f>
              <c:numCache>
                <c:formatCode>mmm\-yy</c:formatCode>
                <c:ptCount val="126"/>
                <c:pt idx="0">
                  <c:v>41183</c:v>
                </c:pt>
                <c:pt idx="1">
                  <c:v>41214</c:v>
                </c:pt>
                <c:pt idx="2">
                  <c:v>41244</c:v>
                </c:pt>
                <c:pt idx="3">
                  <c:v>41275</c:v>
                </c:pt>
                <c:pt idx="4">
                  <c:v>41306</c:v>
                </c:pt>
                <c:pt idx="5">
                  <c:v>41334</c:v>
                </c:pt>
                <c:pt idx="6">
                  <c:v>41365</c:v>
                </c:pt>
                <c:pt idx="7">
                  <c:v>41395</c:v>
                </c:pt>
                <c:pt idx="8">
                  <c:v>41426</c:v>
                </c:pt>
                <c:pt idx="9">
                  <c:v>41456</c:v>
                </c:pt>
                <c:pt idx="10">
                  <c:v>41487</c:v>
                </c:pt>
                <c:pt idx="11">
                  <c:v>41518</c:v>
                </c:pt>
                <c:pt idx="12">
                  <c:v>41548</c:v>
                </c:pt>
                <c:pt idx="13">
                  <c:v>41579</c:v>
                </c:pt>
                <c:pt idx="14">
                  <c:v>41609</c:v>
                </c:pt>
                <c:pt idx="15">
                  <c:v>41640</c:v>
                </c:pt>
                <c:pt idx="16">
                  <c:v>41671</c:v>
                </c:pt>
                <c:pt idx="17">
                  <c:v>41699</c:v>
                </c:pt>
                <c:pt idx="18">
                  <c:v>41730</c:v>
                </c:pt>
                <c:pt idx="19">
                  <c:v>41760</c:v>
                </c:pt>
                <c:pt idx="20">
                  <c:v>41791</c:v>
                </c:pt>
                <c:pt idx="21">
                  <c:v>41821</c:v>
                </c:pt>
                <c:pt idx="22">
                  <c:v>41852</c:v>
                </c:pt>
                <c:pt idx="23">
                  <c:v>41883</c:v>
                </c:pt>
                <c:pt idx="24">
                  <c:v>41913</c:v>
                </c:pt>
                <c:pt idx="25">
                  <c:v>41944</c:v>
                </c:pt>
                <c:pt idx="26">
                  <c:v>41974</c:v>
                </c:pt>
                <c:pt idx="27">
                  <c:v>42005</c:v>
                </c:pt>
                <c:pt idx="28">
                  <c:v>42036</c:v>
                </c:pt>
                <c:pt idx="29">
                  <c:v>42064</c:v>
                </c:pt>
                <c:pt idx="30">
                  <c:v>42095</c:v>
                </c:pt>
                <c:pt idx="31">
                  <c:v>42125</c:v>
                </c:pt>
                <c:pt idx="32">
                  <c:v>42156</c:v>
                </c:pt>
                <c:pt idx="33">
                  <c:v>42186</c:v>
                </c:pt>
                <c:pt idx="34">
                  <c:v>42217</c:v>
                </c:pt>
                <c:pt idx="35">
                  <c:v>42248</c:v>
                </c:pt>
                <c:pt idx="36">
                  <c:v>42278</c:v>
                </c:pt>
                <c:pt idx="37">
                  <c:v>42309</c:v>
                </c:pt>
                <c:pt idx="38">
                  <c:v>42339</c:v>
                </c:pt>
                <c:pt idx="39">
                  <c:v>42370</c:v>
                </c:pt>
                <c:pt idx="40">
                  <c:v>42401</c:v>
                </c:pt>
                <c:pt idx="41">
                  <c:v>42430</c:v>
                </c:pt>
                <c:pt idx="42">
                  <c:v>42461</c:v>
                </c:pt>
                <c:pt idx="43">
                  <c:v>42491</c:v>
                </c:pt>
                <c:pt idx="44">
                  <c:v>42522</c:v>
                </c:pt>
                <c:pt idx="45">
                  <c:v>42552</c:v>
                </c:pt>
                <c:pt idx="46">
                  <c:v>42583</c:v>
                </c:pt>
                <c:pt idx="47">
                  <c:v>42614</c:v>
                </c:pt>
                <c:pt idx="48">
                  <c:v>42644</c:v>
                </c:pt>
                <c:pt idx="49">
                  <c:v>42675</c:v>
                </c:pt>
                <c:pt idx="50">
                  <c:v>42705</c:v>
                </c:pt>
                <c:pt idx="51">
                  <c:v>42736</c:v>
                </c:pt>
                <c:pt idx="52">
                  <c:v>42767</c:v>
                </c:pt>
                <c:pt idx="53">
                  <c:v>42795</c:v>
                </c:pt>
                <c:pt idx="54">
                  <c:v>42826</c:v>
                </c:pt>
                <c:pt idx="55">
                  <c:v>42856</c:v>
                </c:pt>
                <c:pt idx="56">
                  <c:v>42887</c:v>
                </c:pt>
                <c:pt idx="57">
                  <c:v>42917</c:v>
                </c:pt>
                <c:pt idx="58">
                  <c:v>42948</c:v>
                </c:pt>
                <c:pt idx="59">
                  <c:v>42979</c:v>
                </c:pt>
                <c:pt idx="60">
                  <c:v>43009</c:v>
                </c:pt>
                <c:pt idx="61">
                  <c:v>43040</c:v>
                </c:pt>
                <c:pt idx="62">
                  <c:v>43070</c:v>
                </c:pt>
                <c:pt idx="63">
                  <c:v>43101</c:v>
                </c:pt>
                <c:pt idx="64">
                  <c:v>43132</c:v>
                </c:pt>
                <c:pt idx="65">
                  <c:v>43160</c:v>
                </c:pt>
                <c:pt idx="66">
                  <c:v>43191</c:v>
                </c:pt>
                <c:pt idx="67">
                  <c:v>43221</c:v>
                </c:pt>
                <c:pt idx="68">
                  <c:v>43252</c:v>
                </c:pt>
                <c:pt idx="69">
                  <c:v>43282</c:v>
                </c:pt>
                <c:pt idx="70">
                  <c:v>43313</c:v>
                </c:pt>
                <c:pt idx="71">
                  <c:v>43344</c:v>
                </c:pt>
                <c:pt idx="72">
                  <c:v>43374</c:v>
                </c:pt>
                <c:pt idx="73">
                  <c:v>43405</c:v>
                </c:pt>
                <c:pt idx="74">
                  <c:v>43435</c:v>
                </c:pt>
                <c:pt idx="75">
                  <c:v>43466</c:v>
                </c:pt>
                <c:pt idx="76">
                  <c:v>43497</c:v>
                </c:pt>
                <c:pt idx="77">
                  <c:v>43525</c:v>
                </c:pt>
                <c:pt idx="78">
                  <c:v>43556</c:v>
                </c:pt>
                <c:pt idx="79">
                  <c:v>43586</c:v>
                </c:pt>
                <c:pt idx="80">
                  <c:v>43617</c:v>
                </c:pt>
                <c:pt idx="81">
                  <c:v>43647</c:v>
                </c:pt>
                <c:pt idx="82">
                  <c:v>43678</c:v>
                </c:pt>
                <c:pt idx="83">
                  <c:v>43709</c:v>
                </c:pt>
                <c:pt idx="84">
                  <c:v>43739</c:v>
                </c:pt>
                <c:pt idx="85">
                  <c:v>43770</c:v>
                </c:pt>
                <c:pt idx="86">
                  <c:v>43800</c:v>
                </c:pt>
                <c:pt idx="87">
                  <c:v>43831</c:v>
                </c:pt>
                <c:pt idx="88">
                  <c:v>43862</c:v>
                </c:pt>
                <c:pt idx="89">
                  <c:v>43891</c:v>
                </c:pt>
                <c:pt idx="90">
                  <c:v>43922</c:v>
                </c:pt>
                <c:pt idx="91">
                  <c:v>43952</c:v>
                </c:pt>
                <c:pt idx="92">
                  <c:v>43983</c:v>
                </c:pt>
                <c:pt idx="93">
                  <c:v>44013</c:v>
                </c:pt>
                <c:pt idx="94">
                  <c:v>44044</c:v>
                </c:pt>
                <c:pt idx="95">
                  <c:v>44075</c:v>
                </c:pt>
                <c:pt idx="96">
                  <c:v>44105</c:v>
                </c:pt>
                <c:pt idx="97">
                  <c:v>44136</c:v>
                </c:pt>
                <c:pt idx="98">
                  <c:v>44166</c:v>
                </c:pt>
                <c:pt idx="99">
                  <c:v>44197</c:v>
                </c:pt>
                <c:pt idx="100">
                  <c:v>44228</c:v>
                </c:pt>
                <c:pt idx="101">
                  <c:v>44256</c:v>
                </c:pt>
                <c:pt idx="102">
                  <c:v>44287</c:v>
                </c:pt>
                <c:pt idx="103">
                  <c:v>44317</c:v>
                </c:pt>
                <c:pt idx="104">
                  <c:v>44348</c:v>
                </c:pt>
                <c:pt idx="105">
                  <c:v>44378</c:v>
                </c:pt>
                <c:pt idx="106">
                  <c:v>44409</c:v>
                </c:pt>
                <c:pt idx="107">
                  <c:v>44440</c:v>
                </c:pt>
                <c:pt idx="108">
                  <c:v>44470</c:v>
                </c:pt>
                <c:pt idx="109">
                  <c:v>44501</c:v>
                </c:pt>
                <c:pt idx="110">
                  <c:v>44531</c:v>
                </c:pt>
                <c:pt idx="111">
                  <c:v>44562</c:v>
                </c:pt>
                <c:pt idx="112">
                  <c:v>44593</c:v>
                </c:pt>
                <c:pt idx="113">
                  <c:v>44621</c:v>
                </c:pt>
                <c:pt idx="114">
                  <c:v>44652</c:v>
                </c:pt>
                <c:pt idx="115">
                  <c:v>44682</c:v>
                </c:pt>
                <c:pt idx="116">
                  <c:v>44713</c:v>
                </c:pt>
                <c:pt idx="117">
                  <c:v>44743</c:v>
                </c:pt>
                <c:pt idx="118">
                  <c:v>44774</c:v>
                </c:pt>
                <c:pt idx="119">
                  <c:v>44805</c:v>
                </c:pt>
                <c:pt idx="120">
                  <c:v>44835</c:v>
                </c:pt>
                <c:pt idx="121">
                  <c:v>44866</c:v>
                </c:pt>
                <c:pt idx="122">
                  <c:v>44896</c:v>
                </c:pt>
                <c:pt idx="123">
                  <c:v>44927</c:v>
                </c:pt>
                <c:pt idx="124">
                  <c:v>44958</c:v>
                </c:pt>
                <c:pt idx="125">
                  <c:v>44986</c:v>
                </c:pt>
              </c:numCache>
            </c:numRef>
          </c:cat>
          <c:val>
            <c:numRef>
              <c:f>'Team Numbers'!$C$21:$C$146</c:f>
              <c:numCache>
                <c:formatCode>General</c:formatCode>
                <c:ptCount val="126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58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58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74</c:v>
                </c:pt>
                <c:pt idx="37">
                  <c:v>74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74</c:v>
                </c:pt>
                <c:pt idx="42">
                  <c:v>72</c:v>
                </c:pt>
                <c:pt idx="43">
                  <c:v>70</c:v>
                </c:pt>
                <c:pt idx="44">
                  <c:v>68</c:v>
                </c:pt>
                <c:pt idx="45">
                  <c:v>67</c:v>
                </c:pt>
                <c:pt idx="46">
                  <c:v>71</c:v>
                </c:pt>
                <c:pt idx="47">
                  <c:v>71</c:v>
                </c:pt>
                <c:pt idx="48">
                  <c:v>73</c:v>
                </c:pt>
                <c:pt idx="49">
                  <c:v>79</c:v>
                </c:pt>
                <c:pt idx="50">
                  <c:v>76</c:v>
                </c:pt>
                <c:pt idx="51">
                  <c:v>75</c:v>
                </c:pt>
                <c:pt idx="52">
                  <c:v>78</c:v>
                </c:pt>
                <c:pt idx="53">
                  <c:v>80</c:v>
                </c:pt>
                <c:pt idx="54">
                  <c:v>83</c:v>
                </c:pt>
                <c:pt idx="55">
                  <c:v>90</c:v>
                </c:pt>
                <c:pt idx="56">
                  <c:v>94</c:v>
                </c:pt>
                <c:pt idx="57">
                  <c:v>98</c:v>
                </c:pt>
                <c:pt idx="58">
                  <c:v>101</c:v>
                </c:pt>
                <c:pt idx="59">
                  <c:v>103</c:v>
                </c:pt>
                <c:pt idx="60">
                  <c:v>103</c:v>
                </c:pt>
                <c:pt idx="61">
                  <c:v>107</c:v>
                </c:pt>
                <c:pt idx="62">
                  <c:v>107</c:v>
                </c:pt>
                <c:pt idx="63">
                  <c:v>106</c:v>
                </c:pt>
                <c:pt idx="64">
                  <c:v>112</c:v>
                </c:pt>
                <c:pt idx="65">
                  <c:v>114</c:v>
                </c:pt>
                <c:pt idx="66">
                  <c:v>115</c:v>
                </c:pt>
                <c:pt idx="67">
                  <c:v>122</c:v>
                </c:pt>
                <c:pt idx="68">
                  <c:v>121</c:v>
                </c:pt>
                <c:pt idx="69">
                  <c:v>121</c:v>
                </c:pt>
                <c:pt idx="70">
                  <c:v>126</c:v>
                </c:pt>
                <c:pt idx="71">
                  <c:v>128</c:v>
                </c:pt>
                <c:pt idx="72">
                  <c:v>127</c:v>
                </c:pt>
                <c:pt idx="73">
                  <c:v>129</c:v>
                </c:pt>
                <c:pt idx="74">
                  <c:v>135</c:v>
                </c:pt>
                <c:pt idx="75">
                  <c:v>130</c:v>
                </c:pt>
                <c:pt idx="76">
                  <c:v>128</c:v>
                </c:pt>
                <c:pt idx="77">
                  <c:v>126</c:v>
                </c:pt>
                <c:pt idx="78">
                  <c:v>127</c:v>
                </c:pt>
                <c:pt idx="79">
                  <c:v>131</c:v>
                </c:pt>
                <c:pt idx="80">
                  <c:v>131</c:v>
                </c:pt>
                <c:pt idx="81">
                  <c:v>133</c:v>
                </c:pt>
                <c:pt idx="82">
                  <c:v>132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124</c:v>
                </c:pt>
                <c:pt idx="87">
                  <c:v>126</c:v>
                </c:pt>
                <c:pt idx="88">
                  <c:v>121</c:v>
                </c:pt>
                <c:pt idx="89">
                  <c:v>119</c:v>
                </c:pt>
                <c:pt idx="90">
                  <c:v>117</c:v>
                </c:pt>
                <c:pt idx="91">
                  <c:v>118</c:v>
                </c:pt>
                <c:pt idx="92">
                  <c:v>128</c:v>
                </c:pt>
                <c:pt idx="93">
                  <c:v>135</c:v>
                </c:pt>
                <c:pt idx="94">
                  <c:v>132</c:v>
                </c:pt>
                <c:pt idx="95">
                  <c:v>135</c:v>
                </c:pt>
                <c:pt idx="96">
                  <c:v>141</c:v>
                </c:pt>
                <c:pt idx="97">
                  <c:v>141</c:v>
                </c:pt>
                <c:pt idx="98">
                  <c:v>139</c:v>
                </c:pt>
                <c:pt idx="99">
                  <c:v>136</c:v>
                </c:pt>
                <c:pt idx="100">
                  <c:v>132</c:v>
                </c:pt>
                <c:pt idx="101">
                  <c:v>138</c:v>
                </c:pt>
                <c:pt idx="102">
                  <c:v>136</c:v>
                </c:pt>
                <c:pt idx="103">
                  <c:v>140</c:v>
                </c:pt>
                <c:pt idx="104">
                  <c:v>138</c:v>
                </c:pt>
                <c:pt idx="105">
                  <c:v>147</c:v>
                </c:pt>
                <c:pt idx="106">
                  <c:v>152</c:v>
                </c:pt>
                <c:pt idx="107">
                  <c:v>154</c:v>
                </c:pt>
                <c:pt idx="108">
                  <c:v>173</c:v>
                </c:pt>
                <c:pt idx="109">
                  <c:v>185</c:v>
                </c:pt>
                <c:pt idx="110">
                  <c:v>191</c:v>
                </c:pt>
                <c:pt idx="111">
                  <c:v>200</c:v>
                </c:pt>
                <c:pt idx="112">
                  <c:v>199</c:v>
                </c:pt>
                <c:pt idx="113">
                  <c:v>193</c:v>
                </c:pt>
                <c:pt idx="114">
                  <c:v>183</c:v>
                </c:pt>
                <c:pt idx="115">
                  <c:v>187</c:v>
                </c:pt>
                <c:pt idx="116">
                  <c:v>180</c:v>
                </c:pt>
                <c:pt idx="117">
                  <c:v>187</c:v>
                </c:pt>
                <c:pt idx="118">
                  <c:v>191</c:v>
                </c:pt>
                <c:pt idx="119">
                  <c:v>199</c:v>
                </c:pt>
                <c:pt idx="120">
                  <c:v>199</c:v>
                </c:pt>
                <c:pt idx="121">
                  <c:v>169</c:v>
                </c:pt>
                <c:pt idx="122">
                  <c:v>153</c:v>
                </c:pt>
                <c:pt idx="123">
                  <c:v>147</c:v>
                </c:pt>
                <c:pt idx="124">
                  <c:v>142</c:v>
                </c:pt>
                <c:pt idx="125">
                  <c:v>137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32-4C2A-8785-23D833ED7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888176"/>
        <c:axId val="1364966480"/>
      </c:lineChart>
      <c:dateAx>
        <c:axId val="12738881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966480"/>
        <c:crosses val="autoZero"/>
        <c:auto val="1"/>
        <c:lblOffset val="100"/>
        <c:baseTimeUnit val="months"/>
      </c:dateAx>
      <c:valAx>
        <c:axId val="1364966480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8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Security / Transformers Team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'Team Numbers'!$W$20</c:f>
              <c:strCache>
                <c:ptCount val="1"/>
                <c:pt idx="0">
                  <c:v>Employees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'Team Numbers'!$B$103:$B$145</c:f>
              <c:numCache>
                <c:formatCode>mmm\-yy</c:formatCode>
                <c:ptCount val="43"/>
                <c:pt idx="0">
                  <c:v>43678</c:v>
                </c:pt>
                <c:pt idx="1">
                  <c:v>43709</c:v>
                </c:pt>
                <c:pt idx="2">
                  <c:v>43739</c:v>
                </c:pt>
                <c:pt idx="3">
                  <c:v>43770</c:v>
                </c:pt>
                <c:pt idx="4">
                  <c:v>43800</c:v>
                </c:pt>
                <c:pt idx="5">
                  <c:v>43831</c:v>
                </c:pt>
                <c:pt idx="6">
                  <c:v>43862</c:v>
                </c:pt>
                <c:pt idx="7">
                  <c:v>43891</c:v>
                </c:pt>
                <c:pt idx="8">
                  <c:v>43922</c:v>
                </c:pt>
                <c:pt idx="9">
                  <c:v>43952</c:v>
                </c:pt>
                <c:pt idx="10">
                  <c:v>43983</c:v>
                </c:pt>
                <c:pt idx="11">
                  <c:v>44013</c:v>
                </c:pt>
                <c:pt idx="12">
                  <c:v>44044</c:v>
                </c:pt>
                <c:pt idx="13">
                  <c:v>44075</c:v>
                </c:pt>
                <c:pt idx="14">
                  <c:v>44105</c:v>
                </c:pt>
                <c:pt idx="15">
                  <c:v>44136</c:v>
                </c:pt>
                <c:pt idx="16">
                  <c:v>44166</c:v>
                </c:pt>
                <c:pt idx="17">
                  <c:v>44197</c:v>
                </c:pt>
                <c:pt idx="18">
                  <c:v>44228</c:v>
                </c:pt>
                <c:pt idx="19">
                  <c:v>44256</c:v>
                </c:pt>
                <c:pt idx="20">
                  <c:v>44287</c:v>
                </c:pt>
                <c:pt idx="21">
                  <c:v>44317</c:v>
                </c:pt>
                <c:pt idx="22">
                  <c:v>44348</c:v>
                </c:pt>
                <c:pt idx="23">
                  <c:v>44378</c:v>
                </c:pt>
                <c:pt idx="24">
                  <c:v>44409</c:v>
                </c:pt>
                <c:pt idx="25">
                  <c:v>44440</c:v>
                </c:pt>
                <c:pt idx="26">
                  <c:v>44470</c:v>
                </c:pt>
                <c:pt idx="27">
                  <c:v>44501</c:v>
                </c:pt>
                <c:pt idx="28">
                  <c:v>44531</c:v>
                </c:pt>
                <c:pt idx="29">
                  <c:v>44562</c:v>
                </c:pt>
                <c:pt idx="30">
                  <c:v>44593</c:v>
                </c:pt>
                <c:pt idx="31">
                  <c:v>44621</c:v>
                </c:pt>
                <c:pt idx="32">
                  <c:v>44652</c:v>
                </c:pt>
                <c:pt idx="33">
                  <c:v>44682</c:v>
                </c:pt>
                <c:pt idx="34">
                  <c:v>44713</c:v>
                </c:pt>
                <c:pt idx="35">
                  <c:v>44743</c:v>
                </c:pt>
                <c:pt idx="36">
                  <c:v>44774</c:v>
                </c:pt>
                <c:pt idx="37">
                  <c:v>44805</c:v>
                </c:pt>
                <c:pt idx="38">
                  <c:v>44835</c:v>
                </c:pt>
                <c:pt idx="39">
                  <c:v>44866</c:v>
                </c:pt>
                <c:pt idx="40">
                  <c:v>44896</c:v>
                </c:pt>
                <c:pt idx="41">
                  <c:v>44927</c:v>
                </c:pt>
                <c:pt idx="42">
                  <c:v>44958</c:v>
                </c:pt>
              </c:numCache>
            </c:numRef>
          </c:cat>
          <c:val>
            <c:numRef>
              <c:f>'Team Numbers'!$W$103:$W$145</c:f>
              <c:numCache>
                <c:formatCode>General</c:formatCode>
                <c:ptCount val="43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26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31</c:v>
                </c:pt>
                <c:pt idx="11">
                  <c:v>33</c:v>
                </c:pt>
                <c:pt idx="12">
                  <c:v>33</c:v>
                </c:pt>
                <c:pt idx="13">
                  <c:v>29</c:v>
                </c:pt>
                <c:pt idx="14">
                  <c:v>30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25</c:v>
                </c:pt>
                <c:pt idx="19">
                  <c:v>29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31</c:v>
                </c:pt>
                <c:pt idx="24">
                  <c:v>39</c:v>
                </c:pt>
                <c:pt idx="25">
                  <c:v>44</c:v>
                </c:pt>
                <c:pt idx="26">
                  <c:v>50</c:v>
                </c:pt>
                <c:pt idx="27">
                  <c:v>56</c:v>
                </c:pt>
                <c:pt idx="28">
                  <c:v>58</c:v>
                </c:pt>
                <c:pt idx="29">
                  <c:v>61</c:v>
                </c:pt>
                <c:pt idx="30">
                  <c:v>55</c:v>
                </c:pt>
                <c:pt idx="31">
                  <c:v>51</c:v>
                </c:pt>
                <c:pt idx="32">
                  <c:v>47</c:v>
                </c:pt>
                <c:pt idx="33">
                  <c:v>48</c:v>
                </c:pt>
                <c:pt idx="34">
                  <c:v>48</c:v>
                </c:pt>
                <c:pt idx="35">
                  <c:v>49</c:v>
                </c:pt>
                <c:pt idx="36">
                  <c:v>53</c:v>
                </c:pt>
                <c:pt idx="37">
                  <c:v>56</c:v>
                </c:pt>
                <c:pt idx="38">
                  <c:v>56</c:v>
                </c:pt>
                <c:pt idx="39">
                  <c:v>46</c:v>
                </c:pt>
                <c:pt idx="40">
                  <c:v>43</c:v>
                </c:pt>
                <c:pt idx="41">
                  <c:v>42</c:v>
                </c:pt>
                <c:pt idx="42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A-49EA-B521-0C8B87B43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888176"/>
        <c:axId val="1364966480"/>
      </c:lineChart>
      <c:dateAx>
        <c:axId val="12738881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966480"/>
        <c:crosses val="autoZero"/>
        <c:auto val="1"/>
        <c:lblOffset val="100"/>
        <c:baseTimeUnit val="months"/>
      </c:dateAx>
      <c:valAx>
        <c:axId val="136496648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8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Modules / EL Stores Team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'Team Numbers'!$M$20</c:f>
              <c:strCache>
                <c:ptCount val="1"/>
                <c:pt idx="0">
                  <c:v>Employees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'Team Numbers'!$B$88:$B$143</c:f>
              <c:numCache>
                <c:formatCode>mmm\-yy</c:formatCode>
                <c:ptCount val="56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</c:numCache>
            </c:numRef>
          </c:cat>
          <c:val>
            <c:numRef>
              <c:f>'Team Numbers'!$M$88:$M$143</c:f>
              <c:numCache>
                <c:formatCode>General</c:formatCode>
                <c:ptCount val="56"/>
                <c:pt idx="0">
                  <c:v>43</c:v>
                </c:pt>
                <c:pt idx="1">
                  <c:v>39</c:v>
                </c:pt>
                <c:pt idx="2">
                  <c:v>40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41</c:v>
                </c:pt>
                <c:pt idx="7">
                  <c:v>40</c:v>
                </c:pt>
                <c:pt idx="8">
                  <c:v>39</c:v>
                </c:pt>
                <c:pt idx="9">
                  <c:v>39</c:v>
                </c:pt>
                <c:pt idx="10">
                  <c:v>40</c:v>
                </c:pt>
                <c:pt idx="11">
                  <c:v>40</c:v>
                </c:pt>
                <c:pt idx="12">
                  <c:v>42</c:v>
                </c:pt>
                <c:pt idx="13">
                  <c:v>42</c:v>
                </c:pt>
                <c:pt idx="14">
                  <c:v>47</c:v>
                </c:pt>
                <c:pt idx="15">
                  <c:v>45</c:v>
                </c:pt>
                <c:pt idx="16">
                  <c:v>44</c:v>
                </c:pt>
                <c:pt idx="17">
                  <c:v>45</c:v>
                </c:pt>
                <c:pt idx="18">
                  <c:v>45</c:v>
                </c:pt>
                <c:pt idx="19">
                  <c:v>41</c:v>
                </c:pt>
                <c:pt idx="20">
                  <c:v>42</c:v>
                </c:pt>
                <c:pt idx="21">
                  <c:v>39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36</c:v>
                </c:pt>
                <c:pt idx="26">
                  <c:v>38</c:v>
                </c:pt>
                <c:pt idx="27">
                  <c:v>39</c:v>
                </c:pt>
                <c:pt idx="28">
                  <c:v>42</c:v>
                </c:pt>
                <c:pt idx="29">
                  <c:v>44</c:v>
                </c:pt>
                <c:pt idx="30">
                  <c:v>44</c:v>
                </c:pt>
                <c:pt idx="31">
                  <c:v>43</c:v>
                </c:pt>
                <c:pt idx="32">
                  <c:v>42</c:v>
                </c:pt>
                <c:pt idx="33">
                  <c:v>40</c:v>
                </c:pt>
                <c:pt idx="34">
                  <c:v>39</c:v>
                </c:pt>
                <c:pt idx="35">
                  <c:v>38</c:v>
                </c:pt>
                <c:pt idx="36">
                  <c:v>38</c:v>
                </c:pt>
                <c:pt idx="37">
                  <c:v>35</c:v>
                </c:pt>
                <c:pt idx="38">
                  <c:v>41</c:v>
                </c:pt>
                <c:pt idx="39">
                  <c:v>43</c:v>
                </c:pt>
                <c:pt idx="40">
                  <c:v>45</c:v>
                </c:pt>
                <c:pt idx="41">
                  <c:v>50</c:v>
                </c:pt>
                <c:pt idx="42">
                  <c:v>52</c:v>
                </c:pt>
                <c:pt idx="43">
                  <c:v>52</c:v>
                </c:pt>
                <c:pt idx="44">
                  <c:v>53</c:v>
                </c:pt>
                <c:pt idx="45">
                  <c:v>57</c:v>
                </c:pt>
                <c:pt idx="46">
                  <c:v>58</c:v>
                </c:pt>
                <c:pt idx="47">
                  <c:v>56</c:v>
                </c:pt>
                <c:pt idx="48">
                  <c:v>58</c:v>
                </c:pt>
                <c:pt idx="49">
                  <c:v>56</c:v>
                </c:pt>
                <c:pt idx="50">
                  <c:v>61</c:v>
                </c:pt>
                <c:pt idx="51">
                  <c:v>60</c:v>
                </c:pt>
                <c:pt idx="52">
                  <c:v>63</c:v>
                </c:pt>
                <c:pt idx="53">
                  <c:v>65</c:v>
                </c:pt>
                <c:pt idx="54">
                  <c:v>50</c:v>
                </c:pt>
                <c:pt idx="5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9A-45BD-ACE5-1EAC97A8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682960"/>
        <c:axId val="200563488"/>
      </c:lineChart>
      <c:dateAx>
        <c:axId val="2896829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63488"/>
        <c:crosses val="autoZero"/>
        <c:auto val="1"/>
        <c:lblOffset val="100"/>
        <c:baseTimeUnit val="months"/>
      </c:dateAx>
      <c:valAx>
        <c:axId val="20056348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8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AM / EFA Stores Team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'Team Numbers'!$R$20</c:f>
              <c:strCache>
                <c:ptCount val="1"/>
                <c:pt idx="0">
                  <c:v>Employees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'Team Numbers'!$B$88:$B$143</c:f>
              <c:numCache>
                <c:formatCode>mmm\-yy</c:formatCode>
                <c:ptCount val="56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</c:numCache>
            </c:numRef>
          </c:cat>
          <c:val>
            <c:numRef>
              <c:f>'Team Numbers'!$R$88:$R$143</c:f>
              <c:numCache>
                <c:formatCode>General</c:formatCode>
                <c:ptCount val="56"/>
                <c:pt idx="0">
                  <c:v>66</c:v>
                </c:pt>
                <c:pt idx="1">
                  <c:v>69</c:v>
                </c:pt>
                <c:pt idx="2">
                  <c:v>68</c:v>
                </c:pt>
                <c:pt idx="3">
                  <c:v>72</c:v>
                </c:pt>
                <c:pt idx="4">
                  <c:v>73</c:v>
                </c:pt>
                <c:pt idx="5">
                  <c:v>72</c:v>
                </c:pt>
                <c:pt idx="6">
                  <c:v>73</c:v>
                </c:pt>
                <c:pt idx="7">
                  <c:v>80</c:v>
                </c:pt>
                <c:pt idx="8">
                  <c:v>77</c:v>
                </c:pt>
                <c:pt idx="9">
                  <c:v>76</c:v>
                </c:pt>
                <c:pt idx="10">
                  <c:v>72</c:v>
                </c:pt>
                <c:pt idx="11">
                  <c:v>73</c:v>
                </c:pt>
                <c:pt idx="12">
                  <c:v>72</c:v>
                </c:pt>
                <c:pt idx="13">
                  <c:v>72</c:v>
                </c:pt>
                <c:pt idx="14">
                  <c:v>70</c:v>
                </c:pt>
                <c:pt idx="15">
                  <c:v>44</c:v>
                </c:pt>
                <c:pt idx="16">
                  <c:v>41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41</c:v>
                </c:pt>
                <c:pt idx="21">
                  <c:v>40</c:v>
                </c:pt>
                <c:pt idx="22">
                  <c:v>40</c:v>
                </c:pt>
                <c:pt idx="23">
                  <c:v>38</c:v>
                </c:pt>
                <c:pt idx="24">
                  <c:v>39</c:v>
                </c:pt>
                <c:pt idx="25">
                  <c:v>45</c:v>
                </c:pt>
                <c:pt idx="26">
                  <c:v>48</c:v>
                </c:pt>
                <c:pt idx="27">
                  <c:v>44</c:v>
                </c:pt>
                <c:pt idx="28">
                  <c:v>48</c:v>
                </c:pt>
                <c:pt idx="29">
                  <c:v>51</c:v>
                </c:pt>
                <c:pt idx="30">
                  <c:v>52</c:v>
                </c:pt>
                <c:pt idx="31">
                  <c:v>51</c:v>
                </c:pt>
                <c:pt idx="32">
                  <c:v>50</c:v>
                </c:pt>
                <c:pt idx="33">
                  <c:v>51</c:v>
                </c:pt>
                <c:pt idx="34">
                  <c:v>54</c:v>
                </c:pt>
                <c:pt idx="35">
                  <c:v>54</c:v>
                </c:pt>
                <c:pt idx="36">
                  <c:v>57</c:v>
                </c:pt>
                <c:pt idx="37">
                  <c:v>58</c:v>
                </c:pt>
                <c:pt idx="38">
                  <c:v>57</c:v>
                </c:pt>
                <c:pt idx="39">
                  <c:v>52</c:v>
                </c:pt>
                <c:pt idx="40">
                  <c:v>47</c:v>
                </c:pt>
                <c:pt idx="41">
                  <c:v>55</c:v>
                </c:pt>
                <c:pt idx="42">
                  <c:v>59</c:v>
                </c:pt>
                <c:pt idx="43">
                  <c:v>62</c:v>
                </c:pt>
                <c:pt idx="44">
                  <c:v>66</c:v>
                </c:pt>
                <c:pt idx="45">
                  <c:v>67</c:v>
                </c:pt>
                <c:pt idx="46">
                  <c:v>63</c:v>
                </c:pt>
                <c:pt idx="47">
                  <c:v>59</c:v>
                </c:pt>
                <c:pt idx="48">
                  <c:v>60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56</c:v>
                </c:pt>
                <c:pt idx="53">
                  <c:v>54</c:v>
                </c:pt>
                <c:pt idx="54">
                  <c:v>49</c:v>
                </c:pt>
                <c:pt idx="55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02-40D6-A403-E9FC4994A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682960"/>
        <c:axId val="200563488"/>
      </c:lineChart>
      <c:dateAx>
        <c:axId val="2896829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63488"/>
        <c:crosses val="autoZero"/>
        <c:auto val="1"/>
        <c:lblOffset val="100"/>
        <c:baseTimeUnit val="months"/>
      </c:dateAx>
      <c:valAx>
        <c:axId val="2005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8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EFA and EL Stores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'Team Numbers'!$F$20</c:f>
              <c:strCache>
                <c:ptCount val="1"/>
                <c:pt idx="0">
                  <c:v>Stores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'Team Numbers'!$B$88:$B$118</c:f>
              <c:numCache>
                <c:formatCode>mmm\-yy</c:formatCode>
                <c:ptCount val="31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</c:numCache>
            </c:numRef>
          </c:cat>
          <c:val>
            <c:numRef>
              <c:f>'Team Numbers'!$F$88:$F$118</c:f>
              <c:numCache>
                <c:formatCode>General</c:formatCode>
                <c:ptCount val="31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8</c:v>
                </c:pt>
                <c:pt idx="18">
                  <c:v>8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D1-4633-B597-D61604C5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682960"/>
        <c:axId val="200563488"/>
      </c:lineChart>
      <c:lineChart>
        <c:grouping val="standard"/>
        <c:varyColors val="0"/>
        <c:ser>
          <c:idx val="0"/>
          <c:order val="1"/>
          <c:tx>
            <c:strRef>
              <c:f>'Team Numbers'!$AI$20</c:f>
              <c:strCache>
                <c:ptCount val="1"/>
                <c:pt idx="0">
                  <c:v>Ratio to Directs</c:v>
                </c:pt>
              </c:strCache>
            </c:strRef>
          </c:tx>
          <c:marker>
            <c:symbol val="none"/>
          </c:marker>
          <c:cat>
            <c:numRef>
              <c:f>'Team Numbers'!$B$88:$B$118</c:f>
              <c:numCache>
                <c:formatCode>mmm\-yy</c:formatCode>
                <c:ptCount val="31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</c:numCache>
            </c:numRef>
          </c:cat>
          <c:val>
            <c:numRef>
              <c:f>'Team Numbers'!$AI$88:$AI$118</c:f>
              <c:numCache>
                <c:formatCode>0%</c:formatCode>
                <c:ptCount val="31"/>
                <c:pt idx="0">
                  <c:v>0.11842105263157894</c:v>
                </c:pt>
                <c:pt idx="1">
                  <c:v>0.10526315789473684</c:v>
                </c:pt>
                <c:pt idx="2">
                  <c:v>0.1038961038961039</c:v>
                </c:pt>
                <c:pt idx="3">
                  <c:v>0.10843373493975904</c:v>
                </c:pt>
                <c:pt idx="4">
                  <c:v>8.2352941176470587E-2</c:v>
                </c:pt>
                <c:pt idx="5">
                  <c:v>9.6385542168674704E-2</c:v>
                </c:pt>
                <c:pt idx="6">
                  <c:v>7.9545454545454544E-2</c:v>
                </c:pt>
                <c:pt idx="7">
                  <c:v>9.8901098901098897E-2</c:v>
                </c:pt>
                <c:pt idx="8">
                  <c:v>0.1111111111111111</c:v>
                </c:pt>
                <c:pt idx="9">
                  <c:v>9.0909090909090912E-2</c:v>
                </c:pt>
                <c:pt idx="10">
                  <c:v>0.1</c:v>
                </c:pt>
                <c:pt idx="11">
                  <c:v>9.8765432098765427E-2</c:v>
                </c:pt>
                <c:pt idx="12">
                  <c:v>9.7560975609756101E-2</c:v>
                </c:pt>
                <c:pt idx="13">
                  <c:v>9.5238095238095233E-2</c:v>
                </c:pt>
                <c:pt idx="14">
                  <c:v>0.11392405063291139</c:v>
                </c:pt>
                <c:pt idx="15">
                  <c:v>0.11688311688311688</c:v>
                </c:pt>
                <c:pt idx="16">
                  <c:v>0.12328767123287671</c:v>
                </c:pt>
                <c:pt idx="17">
                  <c:v>0.1095890410958904</c:v>
                </c:pt>
                <c:pt idx="18">
                  <c:v>0.1095890410958904</c:v>
                </c:pt>
                <c:pt idx="19">
                  <c:v>0.10144927536231885</c:v>
                </c:pt>
                <c:pt idx="20">
                  <c:v>0.11764705882352941</c:v>
                </c:pt>
                <c:pt idx="21">
                  <c:v>0.12307692307692308</c:v>
                </c:pt>
                <c:pt idx="22">
                  <c:v>0.125</c:v>
                </c:pt>
                <c:pt idx="23">
                  <c:v>0.12903225806451613</c:v>
                </c:pt>
                <c:pt idx="24">
                  <c:v>0.12121212121212122</c:v>
                </c:pt>
                <c:pt idx="25">
                  <c:v>0.11688311688311688</c:v>
                </c:pt>
                <c:pt idx="26">
                  <c:v>9.4117647058823528E-2</c:v>
                </c:pt>
                <c:pt idx="27">
                  <c:v>0.10843373493975904</c:v>
                </c:pt>
                <c:pt idx="28">
                  <c:v>0.12048192771084337</c:v>
                </c:pt>
                <c:pt idx="29">
                  <c:v>0.10112359550561797</c:v>
                </c:pt>
                <c:pt idx="3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D1-4633-B597-D61604C5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740144"/>
        <c:axId val="1450825360"/>
      </c:lineChart>
      <c:dateAx>
        <c:axId val="2896829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63488"/>
        <c:crosses val="autoZero"/>
        <c:auto val="1"/>
        <c:lblOffset val="100"/>
        <c:baseTimeUnit val="months"/>
      </c:dateAx>
      <c:valAx>
        <c:axId val="2005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82960"/>
        <c:crosses val="autoZero"/>
        <c:crossBetween val="between"/>
      </c:valAx>
      <c:valAx>
        <c:axId val="145082536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1349740144"/>
        <c:crosses val="max"/>
        <c:crossBetween val="between"/>
      </c:valAx>
      <c:dateAx>
        <c:axId val="13497401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450825360"/>
        <c:crosses val="autoZero"/>
        <c:auto val="1"/>
        <c:lblOffset val="100"/>
        <c:baseTimeUnit val="month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Percentage of In-directs against Directs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'Team Numbers'!$AH$19</c:f>
              <c:strCache>
                <c:ptCount val="1"/>
                <c:pt idx="0">
                  <c:v>Prod Eng</c:v>
                </c:pt>
              </c:strCache>
            </c:strRef>
          </c:tx>
          <c:marker>
            <c:symbol val="none"/>
          </c:marker>
          <c:cat>
            <c:numRef>
              <c:f>'Team Numbers'!$B$88:$B$146</c:f>
              <c:numCache>
                <c:formatCode>mmm\-yy</c:formatCode>
                <c:ptCount val="59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</c:numCache>
            </c:numRef>
          </c:cat>
          <c:val>
            <c:numRef>
              <c:f>'Team Numbers'!$AH$88:$AH$146</c:f>
              <c:numCache>
                <c:formatCode>0%</c:formatCode>
                <c:ptCount val="59"/>
                <c:pt idx="0">
                  <c:v>0.10655737704918032</c:v>
                </c:pt>
                <c:pt idx="1">
                  <c:v>0.10743801652892562</c:v>
                </c:pt>
                <c:pt idx="2">
                  <c:v>0.10743801652892562</c:v>
                </c:pt>
                <c:pt idx="3">
                  <c:v>0.10317460317460317</c:v>
                </c:pt>
                <c:pt idx="4">
                  <c:v>0.109375</c:v>
                </c:pt>
                <c:pt idx="5">
                  <c:v>0.16867469879518071</c:v>
                </c:pt>
                <c:pt idx="6">
                  <c:v>0.17045454545454544</c:v>
                </c:pt>
                <c:pt idx="7">
                  <c:v>0.16483516483516483</c:v>
                </c:pt>
                <c:pt idx="8">
                  <c:v>0.1728395061728395</c:v>
                </c:pt>
                <c:pt idx="9">
                  <c:v>0.14772727272727273</c:v>
                </c:pt>
                <c:pt idx="10">
                  <c:v>0.1875</c:v>
                </c:pt>
                <c:pt idx="11">
                  <c:v>0.1728395061728395</c:v>
                </c:pt>
                <c:pt idx="12">
                  <c:v>0.2073170731707317</c:v>
                </c:pt>
                <c:pt idx="13">
                  <c:v>0.20238095238095238</c:v>
                </c:pt>
                <c:pt idx="14">
                  <c:v>0.20253164556962025</c:v>
                </c:pt>
                <c:pt idx="15">
                  <c:v>0.20779220779220781</c:v>
                </c:pt>
                <c:pt idx="16">
                  <c:v>0.21917808219178081</c:v>
                </c:pt>
                <c:pt idx="17">
                  <c:v>0.21917808219178081</c:v>
                </c:pt>
                <c:pt idx="18">
                  <c:v>0.21917808219178081</c:v>
                </c:pt>
                <c:pt idx="19">
                  <c:v>0.2318840579710145</c:v>
                </c:pt>
                <c:pt idx="20">
                  <c:v>0.23529411764705882</c:v>
                </c:pt>
                <c:pt idx="21">
                  <c:v>0.24615384615384617</c:v>
                </c:pt>
                <c:pt idx="22">
                  <c:v>0.25</c:v>
                </c:pt>
                <c:pt idx="23">
                  <c:v>0.25806451612903225</c:v>
                </c:pt>
                <c:pt idx="24">
                  <c:v>0.24242424242424243</c:v>
                </c:pt>
                <c:pt idx="25">
                  <c:v>0.20779220779220781</c:v>
                </c:pt>
                <c:pt idx="26">
                  <c:v>0.18823529411764706</c:v>
                </c:pt>
                <c:pt idx="27">
                  <c:v>0.19277108433734941</c:v>
                </c:pt>
                <c:pt idx="28">
                  <c:v>0.19277108433734941</c:v>
                </c:pt>
                <c:pt idx="29">
                  <c:v>0.1797752808988764</c:v>
                </c:pt>
                <c:pt idx="30">
                  <c:v>0.17777777777777778</c:v>
                </c:pt>
                <c:pt idx="31">
                  <c:v>0.18390804597701149</c:v>
                </c:pt>
                <c:pt idx="32">
                  <c:v>0.1951219512195122</c:v>
                </c:pt>
                <c:pt idx="33">
                  <c:v>0.20512820512820512</c:v>
                </c:pt>
                <c:pt idx="34">
                  <c:v>0.1797752808988764</c:v>
                </c:pt>
                <c:pt idx="35">
                  <c:v>0.19540229885057472</c:v>
                </c:pt>
                <c:pt idx="36">
                  <c:v>0.20224719101123595</c:v>
                </c:pt>
                <c:pt idx="37">
                  <c:v>0.20930232558139536</c:v>
                </c:pt>
                <c:pt idx="38">
                  <c:v>0.18947368421052632</c:v>
                </c:pt>
                <c:pt idx="39">
                  <c:v>0.18367346938775511</c:v>
                </c:pt>
                <c:pt idx="40">
                  <c:v>0.17821782178217821</c:v>
                </c:pt>
                <c:pt idx="41">
                  <c:v>0.16216216216216217</c:v>
                </c:pt>
                <c:pt idx="42">
                  <c:v>0.1484375</c:v>
                </c:pt>
                <c:pt idx="43">
                  <c:v>0.14503816793893129</c:v>
                </c:pt>
                <c:pt idx="44">
                  <c:v>0.14388489208633093</c:v>
                </c:pt>
                <c:pt idx="45">
                  <c:v>0.15555555555555556</c:v>
                </c:pt>
                <c:pt idx="46">
                  <c:v>0.1640625</c:v>
                </c:pt>
                <c:pt idx="47">
                  <c:v>0.17499999999999999</c:v>
                </c:pt>
                <c:pt idx="48">
                  <c:v>0.17073170731707318</c:v>
                </c:pt>
                <c:pt idx="49">
                  <c:v>0.19090909090909092</c:v>
                </c:pt>
                <c:pt idx="50">
                  <c:v>0.18103448275862069</c:v>
                </c:pt>
                <c:pt idx="51">
                  <c:v>0.17948717948717949</c:v>
                </c:pt>
                <c:pt idx="52">
                  <c:v>0.19047619047619047</c:v>
                </c:pt>
                <c:pt idx="53">
                  <c:v>0.1951219512195122</c:v>
                </c:pt>
                <c:pt idx="54">
                  <c:v>0.23762376237623761</c:v>
                </c:pt>
                <c:pt idx="55">
                  <c:v>0.25274725274725274</c:v>
                </c:pt>
                <c:pt idx="56">
                  <c:v>0.26436781609195403</c:v>
                </c:pt>
                <c:pt idx="57">
                  <c:v>0.25</c:v>
                </c:pt>
                <c:pt idx="58">
                  <c:v>0.31428571428571428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8-416A-8FFB-7A7DBF676995}"/>
            </c:ext>
          </c:extLst>
        </c:ser>
        <c:ser>
          <c:idx val="2"/>
          <c:order val="1"/>
          <c:tx>
            <c:strRef>
              <c:f>'Team Numbers'!$AI$19</c:f>
              <c:strCache>
                <c:ptCount val="1"/>
                <c:pt idx="0">
                  <c:v>Stores</c:v>
                </c:pt>
              </c:strCache>
            </c:strRef>
          </c:tx>
          <c:marker>
            <c:symbol val="none"/>
          </c:marker>
          <c:cat>
            <c:numRef>
              <c:f>'Team Numbers'!$B$88:$B$146</c:f>
              <c:numCache>
                <c:formatCode>mmm\-yy</c:formatCode>
                <c:ptCount val="59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</c:numCache>
            </c:numRef>
          </c:cat>
          <c:val>
            <c:numRef>
              <c:f>'Team Numbers'!$AI$88:$AI$146</c:f>
              <c:numCache>
                <c:formatCode>0%</c:formatCode>
                <c:ptCount val="59"/>
                <c:pt idx="0">
                  <c:v>0.11842105263157894</c:v>
                </c:pt>
                <c:pt idx="1">
                  <c:v>0.10526315789473684</c:v>
                </c:pt>
                <c:pt idx="2">
                  <c:v>0.1038961038961039</c:v>
                </c:pt>
                <c:pt idx="3">
                  <c:v>0.10843373493975904</c:v>
                </c:pt>
                <c:pt idx="4">
                  <c:v>8.2352941176470587E-2</c:v>
                </c:pt>
                <c:pt idx="5">
                  <c:v>9.6385542168674704E-2</c:v>
                </c:pt>
                <c:pt idx="6">
                  <c:v>7.9545454545454544E-2</c:v>
                </c:pt>
                <c:pt idx="7">
                  <c:v>9.8901098901098897E-2</c:v>
                </c:pt>
                <c:pt idx="8">
                  <c:v>0.1111111111111111</c:v>
                </c:pt>
                <c:pt idx="9">
                  <c:v>9.0909090909090912E-2</c:v>
                </c:pt>
                <c:pt idx="10">
                  <c:v>0.1</c:v>
                </c:pt>
                <c:pt idx="11">
                  <c:v>9.8765432098765427E-2</c:v>
                </c:pt>
                <c:pt idx="12">
                  <c:v>9.7560975609756101E-2</c:v>
                </c:pt>
                <c:pt idx="13">
                  <c:v>9.5238095238095233E-2</c:v>
                </c:pt>
                <c:pt idx="14">
                  <c:v>0.11392405063291139</c:v>
                </c:pt>
                <c:pt idx="15">
                  <c:v>0.11688311688311688</c:v>
                </c:pt>
                <c:pt idx="16">
                  <c:v>0.12328767123287671</c:v>
                </c:pt>
                <c:pt idx="17">
                  <c:v>0.1095890410958904</c:v>
                </c:pt>
                <c:pt idx="18">
                  <c:v>0.1095890410958904</c:v>
                </c:pt>
                <c:pt idx="19">
                  <c:v>0.10144927536231885</c:v>
                </c:pt>
                <c:pt idx="20">
                  <c:v>0.11764705882352941</c:v>
                </c:pt>
                <c:pt idx="21">
                  <c:v>0.12307692307692308</c:v>
                </c:pt>
                <c:pt idx="22">
                  <c:v>0.125</c:v>
                </c:pt>
                <c:pt idx="23">
                  <c:v>0.12903225806451613</c:v>
                </c:pt>
                <c:pt idx="24">
                  <c:v>0.12121212121212122</c:v>
                </c:pt>
                <c:pt idx="25">
                  <c:v>0.11688311688311688</c:v>
                </c:pt>
                <c:pt idx="26">
                  <c:v>9.4117647058823528E-2</c:v>
                </c:pt>
                <c:pt idx="27">
                  <c:v>0.10843373493975904</c:v>
                </c:pt>
                <c:pt idx="28">
                  <c:v>0.12048192771084337</c:v>
                </c:pt>
                <c:pt idx="29">
                  <c:v>0.10112359550561797</c:v>
                </c:pt>
                <c:pt idx="30">
                  <c:v>0.1</c:v>
                </c:pt>
                <c:pt idx="31">
                  <c:v>0.10344827586206896</c:v>
                </c:pt>
                <c:pt idx="32">
                  <c:v>0.10975609756097561</c:v>
                </c:pt>
                <c:pt idx="33">
                  <c:v>0.11538461538461539</c:v>
                </c:pt>
                <c:pt idx="34">
                  <c:v>8.98876404494382E-2</c:v>
                </c:pt>
                <c:pt idx="35">
                  <c:v>9.1954022988505746E-2</c:v>
                </c:pt>
                <c:pt idx="36">
                  <c:v>0.10112359550561797</c:v>
                </c:pt>
                <c:pt idx="37">
                  <c:v>9.3023255813953487E-2</c:v>
                </c:pt>
                <c:pt idx="38">
                  <c:v>7.3684210526315783E-2</c:v>
                </c:pt>
                <c:pt idx="39">
                  <c:v>0.10204081632653061</c:v>
                </c:pt>
                <c:pt idx="40">
                  <c:v>9.9009900990099015E-2</c:v>
                </c:pt>
                <c:pt idx="41">
                  <c:v>9.0090090090090086E-2</c:v>
                </c:pt>
                <c:pt idx="42">
                  <c:v>7.8125E-2</c:v>
                </c:pt>
                <c:pt idx="43">
                  <c:v>7.6335877862595422E-2</c:v>
                </c:pt>
                <c:pt idx="44">
                  <c:v>6.4748201438848921E-2</c:v>
                </c:pt>
                <c:pt idx="45">
                  <c:v>7.407407407407407E-2</c:v>
                </c:pt>
                <c:pt idx="46">
                  <c:v>7.03125E-2</c:v>
                </c:pt>
                <c:pt idx="47">
                  <c:v>6.6666666666666666E-2</c:v>
                </c:pt>
                <c:pt idx="48">
                  <c:v>6.5040650406504072E-2</c:v>
                </c:pt>
                <c:pt idx="49">
                  <c:v>0.10909090909090909</c:v>
                </c:pt>
                <c:pt idx="50">
                  <c:v>0.11206896551724138</c:v>
                </c:pt>
                <c:pt idx="51">
                  <c:v>0.12820512820512819</c:v>
                </c:pt>
                <c:pt idx="52">
                  <c:v>9.5238095238095233E-2</c:v>
                </c:pt>
                <c:pt idx="53">
                  <c:v>8.943089430894309E-2</c:v>
                </c:pt>
                <c:pt idx="54">
                  <c:v>0.10891089108910891</c:v>
                </c:pt>
                <c:pt idx="55">
                  <c:v>8.7912087912087919E-2</c:v>
                </c:pt>
                <c:pt idx="56">
                  <c:v>6.8965517241379309E-2</c:v>
                </c:pt>
                <c:pt idx="57">
                  <c:v>6.8181818181818177E-2</c:v>
                </c:pt>
                <c:pt idx="58">
                  <c:v>0.17142857142857143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8-416A-8FFB-7A7DBF676995}"/>
            </c:ext>
          </c:extLst>
        </c:ser>
        <c:ser>
          <c:idx val="3"/>
          <c:order val="2"/>
          <c:tx>
            <c:strRef>
              <c:f>'Team Numbers'!$AK$19</c:f>
              <c:strCache>
                <c:ptCount val="1"/>
                <c:pt idx="0">
                  <c:v>FA T/L, Sups,Setters</c:v>
                </c:pt>
              </c:strCache>
            </c:strRef>
          </c:tx>
          <c:marker>
            <c:symbol val="none"/>
          </c:marker>
          <c:cat>
            <c:numRef>
              <c:f>'Team Numbers'!$B$88:$B$146</c:f>
              <c:numCache>
                <c:formatCode>mmm\-yy</c:formatCode>
                <c:ptCount val="59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</c:numCache>
            </c:numRef>
          </c:cat>
          <c:val>
            <c:numRef>
              <c:f>'Team Numbers'!$AK$88:$AK$146</c:f>
              <c:numCache>
                <c:formatCode>0%</c:formatCode>
                <c:ptCount val="59"/>
                <c:pt idx="0">
                  <c:v>0.29166666666666669</c:v>
                </c:pt>
                <c:pt idx="1">
                  <c:v>0.25490196078431371</c:v>
                </c:pt>
                <c:pt idx="2">
                  <c:v>0.26</c:v>
                </c:pt>
                <c:pt idx="3">
                  <c:v>0.2</c:v>
                </c:pt>
                <c:pt idx="4">
                  <c:v>0.21052631578947367</c:v>
                </c:pt>
                <c:pt idx="5">
                  <c:v>0.21818181818181817</c:v>
                </c:pt>
                <c:pt idx="6">
                  <c:v>0.21666666666666667</c:v>
                </c:pt>
                <c:pt idx="7">
                  <c:v>0.15625</c:v>
                </c:pt>
                <c:pt idx="8">
                  <c:v>0.29090909090909089</c:v>
                </c:pt>
                <c:pt idx="9">
                  <c:v>0.16393442622950818</c:v>
                </c:pt>
                <c:pt idx="10">
                  <c:v>0.24074074074074073</c:v>
                </c:pt>
                <c:pt idx="11">
                  <c:v>0.25454545454545452</c:v>
                </c:pt>
                <c:pt idx="12">
                  <c:v>0.24074074074074073</c:v>
                </c:pt>
                <c:pt idx="13">
                  <c:v>0.21818181818181817</c:v>
                </c:pt>
                <c:pt idx="14">
                  <c:v>0.25490196078431371</c:v>
                </c:pt>
                <c:pt idx="15">
                  <c:v>0.52</c:v>
                </c:pt>
                <c:pt idx="16">
                  <c:v>0.56521739130434778</c:v>
                </c:pt>
                <c:pt idx="17">
                  <c:v>0.59090909090909094</c:v>
                </c:pt>
                <c:pt idx="18">
                  <c:v>0.59090909090909094</c:v>
                </c:pt>
                <c:pt idx="19">
                  <c:v>0.59090909090909094</c:v>
                </c:pt>
                <c:pt idx="20">
                  <c:v>0.59090909090909094</c:v>
                </c:pt>
                <c:pt idx="21">
                  <c:v>0.61904761904761907</c:v>
                </c:pt>
                <c:pt idx="22">
                  <c:v>0.61904761904761907</c:v>
                </c:pt>
                <c:pt idx="23">
                  <c:v>0.68421052631578949</c:v>
                </c:pt>
                <c:pt idx="24">
                  <c:v>0.65</c:v>
                </c:pt>
                <c:pt idx="25">
                  <c:v>0.46153846153846156</c:v>
                </c:pt>
                <c:pt idx="26">
                  <c:v>0.4</c:v>
                </c:pt>
                <c:pt idx="27">
                  <c:v>0.37037037037037035</c:v>
                </c:pt>
                <c:pt idx="28">
                  <c:v>0.41379310344827586</c:v>
                </c:pt>
                <c:pt idx="29">
                  <c:v>0.40625</c:v>
                </c:pt>
                <c:pt idx="30">
                  <c:v>0.35294117647058826</c:v>
                </c:pt>
                <c:pt idx="31">
                  <c:v>0.36363636363636365</c:v>
                </c:pt>
                <c:pt idx="32">
                  <c:v>0.46666666666666667</c:v>
                </c:pt>
                <c:pt idx="33">
                  <c:v>0.40625</c:v>
                </c:pt>
                <c:pt idx="34">
                  <c:v>0.37142857142857144</c:v>
                </c:pt>
                <c:pt idx="35">
                  <c:v>0.37142857142857144</c:v>
                </c:pt>
                <c:pt idx="36">
                  <c:v>0.34210526315789475</c:v>
                </c:pt>
                <c:pt idx="37">
                  <c:v>0.33333333333333331</c:v>
                </c:pt>
                <c:pt idx="38">
                  <c:v>0.36842105263157893</c:v>
                </c:pt>
                <c:pt idx="39">
                  <c:v>0.36363636363636365</c:v>
                </c:pt>
                <c:pt idx="40">
                  <c:v>0.37931034482758619</c:v>
                </c:pt>
                <c:pt idx="41">
                  <c:v>0.37142857142857144</c:v>
                </c:pt>
                <c:pt idx="42">
                  <c:v>0.33333333333333331</c:v>
                </c:pt>
                <c:pt idx="43">
                  <c:v>0.30952380952380953</c:v>
                </c:pt>
                <c:pt idx="44">
                  <c:v>0.30434782608695654</c:v>
                </c:pt>
                <c:pt idx="45">
                  <c:v>0.30434782608695654</c:v>
                </c:pt>
                <c:pt idx="46">
                  <c:v>0.32558139534883723</c:v>
                </c:pt>
                <c:pt idx="47">
                  <c:v>0.2857142857142857</c:v>
                </c:pt>
                <c:pt idx="48">
                  <c:v>0.25</c:v>
                </c:pt>
                <c:pt idx="49">
                  <c:v>0.3235294117647059</c:v>
                </c:pt>
                <c:pt idx="50">
                  <c:v>0.35294117647058826</c:v>
                </c:pt>
                <c:pt idx="51">
                  <c:v>0.40625</c:v>
                </c:pt>
                <c:pt idx="52">
                  <c:v>0.38235294117647056</c:v>
                </c:pt>
                <c:pt idx="53">
                  <c:v>0.39393939393939392</c:v>
                </c:pt>
                <c:pt idx="54">
                  <c:v>0.57692307692307687</c:v>
                </c:pt>
                <c:pt idx="55">
                  <c:v>0.60869565217391308</c:v>
                </c:pt>
                <c:pt idx="56">
                  <c:v>0.66666666666666663</c:v>
                </c:pt>
                <c:pt idx="57">
                  <c:v>0.41935483870967744</c:v>
                </c:pt>
                <c:pt idx="58">
                  <c:v>0.40740740740740738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28-416A-8FFB-7A7DBF676995}"/>
            </c:ext>
          </c:extLst>
        </c:ser>
        <c:ser>
          <c:idx val="4"/>
          <c:order val="3"/>
          <c:tx>
            <c:strRef>
              <c:f>'Team Numbers'!$AL$19</c:f>
              <c:strCache>
                <c:ptCount val="1"/>
                <c:pt idx="0">
                  <c:v>PCB T/L, Sups, Setters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'Team Numbers'!$B$88:$B$146</c:f>
              <c:numCache>
                <c:formatCode>mmm\-yy</c:formatCode>
                <c:ptCount val="59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</c:numCache>
            </c:numRef>
          </c:cat>
          <c:val>
            <c:numRef>
              <c:f>'Team Numbers'!$AL$88:$AL$146</c:f>
              <c:numCache>
                <c:formatCode>0%</c:formatCode>
                <c:ptCount val="59"/>
                <c:pt idx="0">
                  <c:v>0.39285714285714285</c:v>
                </c:pt>
                <c:pt idx="1">
                  <c:v>0.44</c:v>
                </c:pt>
                <c:pt idx="2">
                  <c:v>0.37037037037037035</c:v>
                </c:pt>
                <c:pt idx="3">
                  <c:v>0.35714285714285715</c:v>
                </c:pt>
                <c:pt idx="4">
                  <c:v>0.35714285714285715</c:v>
                </c:pt>
                <c:pt idx="5">
                  <c:v>0.35714285714285715</c:v>
                </c:pt>
                <c:pt idx="6">
                  <c:v>0.35714285714285715</c:v>
                </c:pt>
                <c:pt idx="7">
                  <c:v>0.37037037037037035</c:v>
                </c:pt>
                <c:pt idx="8">
                  <c:v>0.38461538461538464</c:v>
                </c:pt>
                <c:pt idx="9">
                  <c:v>0.33333333333333331</c:v>
                </c:pt>
                <c:pt idx="10">
                  <c:v>0.42307692307692307</c:v>
                </c:pt>
                <c:pt idx="11">
                  <c:v>0.42307692307692307</c:v>
                </c:pt>
                <c:pt idx="12">
                  <c:v>0.39285714285714285</c:v>
                </c:pt>
                <c:pt idx="13">
                  <c:v>0.34482758620689657</c:v>
                </c:pt>
                <c:pt idx="14">
                  <c:v>0.5714285714285714</c:v>
                </c:pt>
                <c:pt idx="15">
                  <c:v>0.61538461538461542</c:v>
                </c:pt>
                <c:pt idx="16">
                  <c:v>0.64</c:v>
                </c:pt>
                <c:pt idx="17">
                  <c:v>0.61538461538461542</c:v>
                </c:pt>
                <c:pt idx="18">
                  <c:v>0.61538461538461542</c:v>
                </c:pt>
                <c:pt idx="19">
                  <c:v>0.77272727272727271</c:v>
                </c:pt>
                <c:pt idx="20">
                  <c:v>0.73913043478260865</c:v>
                </c:pt>
                <c:pt idx="21">
                  <c:v>0.68181818181818177</c:v>
                </c:pt>
                <c:pt idx="22">
                  <c:v>0.63636363636363635</c:v>
                </c:pt>
                <c:pt idx="23">
                  <c:v>0.63636363636363635</c:v>
                </c:pt>
                <c:pt idx="24">
                  <c:v>0.44</c:v>
                </c:pt>
                <c:pt idx="25">
                  <c:v>0.41666666666666669</c:v>
                </c:pt>
                <c:pt idx="26">
                  <c:v>0.38461538461538464</c:v>
                </c:pt>
                <c:pt idx="27">
                  <c:v>0.37037037037037035</c:v>
                </c:pt>
                <c:pt idx="28">
                  <c:v>0.34482758620689657</c:v>
                </c:pt>
                <c:pt idx="29">
                  <c:v>0.32258064516129031</c:v>
                </c:pt>
                <c:pt idx="30">
                  <c:v>0.32258064516129031</c:v>
                </c:pt>
                <c:pt idx="31">
                  <c:v>0.37931034482758619</c:v>
                </c:pt>
                <c:pt idx="32">
                  <c:v>0.39285714285714285</c:v>
                </c:pt>
                <c:pt idx="33">
                  <c:v>0.42307692307692307</c:v>
                </c:pt>
                <c:pt idx="34">
                  <c:v>0.19354838709677419</c:v>
                </c:pt>
                <c:pt idx="35">
                  <c:v>0.2</c:v>
                </c:pt>
                <c:pt idx="36">
                  <c:v>0.20689655172413793</c:v>
                </c:pt>
                <c:pt idx="37">
                  <c:v>0.32</c:v>
                </c:pt>
                <c:pt idx="38">
                  <c:v>0.25806451612903225</c:v>
                </c:pt>
                <c:pt idx="39">
                  <c:v>0.25</c:v>
                </c:pt>
                <c:pt idx="40">
                  <c:v>0.23529411764705882</c:v>
                </c:pt>
                <c:pt idx="41">
                  <c:v>0.20512820512820512</c:v>
                </c:pt>
                <c:pt idx="42">
                  <c:v>0.1951219512195122</c:v>
                </c:pt>
                <c:pt idx="43">
                  <c:v>0.1951219512195122</c:v>
                </c:pt>
                <c:pt idx="44">
                  <c:v>0.16279069767441862</c:v>
                </c:pt>
                <c:pt idx="45">
                  <c:v>0.17777777777777778</c:v>
                </c:pt>
                <c:pt idx="46">
                  <c:v>0.22222222222222221</c:v>
                </c:pt>
                <c:pt idx="47">
                  <c:v>0.26190476190476192</c:v>
                </c:pt>
                <c:pt idx="48">
                  <c:v>0.30952380952380953</c:v>
                </c:pt>
                <c:pt idx="49">
                  <c:v>0.35</c:v>
                </c:pt>
                <c:pt idx="50">
                  <c:v>0.34883720930232559</c:v>
                </c:pt>
                <c:pt idx="51">
                  <c:v>0.32558139534883723</c:v>
                </c:pt>
                <c:pt idx="52">
                  <c:v>0.27659574468085107</c:v>
                </c:pt>
                <c:pt idx="53">
                  <c:v>0.34782608695652173</c:v>
                </c:pt>
                <c:pt idx="54">
                  <c:v>0.27027027027027029</c:v>
                </c:pt>
                <c:pt idx="55">
                  <c:v>0.27272727272727271</c:v>
                </c:pt>
                <c:pt idx="56">
                  <c:v>0.28125</c:v>
                </c:pt>
                <c:pt idx="57">
                  <c:v>0.19444444444444445</c:v>
                </c:pt>
                <c:pt idx="58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28-416A-8FFB-7A7DBF676995}"/>
            </c:ext>
          </c:extLst>
        </c:ser>
        <c:ser>
          <c:idx val="1"/>
          <c:order val="4"/>
          <c:tx>
            <c:strRef>
              <c:f>'Team Numbers'!$AM$19</c:f>
              <c:strCache>
                <c:ptCount val="1"/>
                <c:pt idx="0">
                  <c:v>Elec Indirects (Excl PE)</c:v>
                </c:pt>
              </c:strCache>
            </c:strRef>
          </c:tx>
          <c:marker>
            <c:symbol val="none"/>
          </c:marker>
          <c:cat>
            <c:numRef>
              <c:f>'Team Numbers'!$B$88:$B$146</c:f>
              <c:numCache>
                <c:formatCode>mmm\-yy</c:formatCode>
                <c:ptCount val="59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</c:numCache>
            </c:numRef>
          </c:cat>
          <c:val>
            <c:numRef>
              <c:f>'Team Numbers'!$AM$88:$AM$146</c:f>
              <c:numCache>
                <c:formatCode>0%</c:formatCode>
                <c:ptCount val="59"/>
                <c:pt idx="0">
                  <c:v>0.32894736842105265</c:v>
                </c:pt>
                <c:pt idx="1">
                  <c:v>0.31578947368421051</c:v>
                </c:pt>
                <c:pt idx="2">
                  <c:v>0.29870129870129869</c:v>
                </c:pt>
                <c:pt idx="3">
                  <c:v>0.25301204819277107</c:v>
                </c:pt>
                <c:pt idx="4">
                  <c:v>0.25882352941176473</c:v>
                </c:pt>
                <c:pt idx="5">
                  <c:v>0.26506024096385544</c:v>
                </c:pt>
                <c:pt idx="6">
                  <c:v>0.26136363636363635</c:v>
                </c:pt>
                <c:pt idx="7">
                  <c:v>0.21978021978021978</c:v>
                </c:pt>
                <c:pt idx="8">
                  <c:v>0.32098765432098764</c:v>
                </c:pt>
                <c:pt idx="9">
                  <c:v>0.21590909090909091</c:v>
                </c:pt>
                <c:pt idx="10">
                  <c:v>0.3</c:v>
                </c:pt>
                <c:pt idx="11">
                  <c:v>0.30864197530864196</c:v>
                </c:pt>
                <c:pt idx="12">
                  <c:v>0.29268292682926828</c:v>
                </c:pt>
                <c:pt idx="13">
                  <c:v>0.26190476190476192</c:v>
                </c:pt>
                <c:pt idx="14">
                  <c:v>0.36708860759493672</c:v>
                </c:pt>
                <c:pt idx="15">
                  <c:v>0.38961038961038963</c:v>
                </c:pt>
                <c:pt idx="16">
                  <c:v>0.42465753424657532</c:v>
                </c:pt>
                <c:pt idx="17">
                  <c:v>0.42465753424657532</c:v>
                </c:pt>
                <c:pt idx="18">
                  <c:v>0.42465753424657532</c:v>
                </c:pt>
                <c:pt idx="19">
                  <c:v>0.46376811594202899</c:v>
                </c:pt>
                <c:pt idx="20">
                  <c:v>0.5</c:v>
                </c:pt>
                <c:pt idx="21">
                  <c:v>0.49230769230769234</c:v>
                </c:pt>
                <c:pt idx="22">
                  <c:v>0.484375</c:v>
                </c:pt>
                <c:pt idx="23">
                  <c:v>0.5</c:v>
                </c:pt>
                <c:pt idx="24">
                  <c:v>0.42424242424242425</c:v>
                </c:pt>
                <c:pt idx="25">
                  <c:v>0.33766233766233766</c:v>
                </c:pt>
                <c:pt idx="26">
                  <c:v>0.30588235294117649</c:v>
                </c:pt>
                <c:pt idx="27">
                  <c:v>0.28915662650602408</c:v>
                </c:pt>
                <c:pt idx="28">
                  <c:v>0.31325301204819278</c:v>
                </c:pt>
                <c:pt idx="29">
                  <c:v>0.30337078651685395</c:v>
                </c:pt>
                <c:pt idx="30">
                  <c:v>0.28888888888888886</c:v>
                </c:pt>
                <c:pt idx="31">
                  <c:v>0.31034482758620691</c:v>
                </c:pt>
                <c:pt idx="32">
                  <c:v>0.35365853658536583</c:v>
                </c:pt>
                <c:pt idx="33">
                  <c:v>0.37179487179487181</c:v>
                </c:pt>
                <c:pt idx="34">
                  <c:v>0.2808988764044944</c:v>
                </c:pt>
                <c:pt idx="35">
                  <c:v>0.27586206896551724</c:v>
                </c:pt>
                <c:pt idx="36">
                  <c:v>0.2696629213483146</c:v>
                </c:pt>
                <c:pt idx="37">
                  <c:v>0.30232558139534882</c:v>
                </c:pt>
                <c:pt idx="38">
                  <c:v>0.28421052631578947</c:v>
                </c:pt>
                <c:pt idx="39">
                  <c:v>0.26530612244897961</c:v>
                </c:pt>
                <c:pt idx="40">
                  <c:v>0.24752475247524752</c:v>
                </c:pt>
                <c:pt idx="41">
                  <c:v>0.25</c:v>
                </c:pt>
                <c:pt idx="42">
                  <c:v>0.2265625</c:v>
                </c:pt>
                <c:pt idx="43">
                  <c:v>0.23664122137404581</c:v>
                </c:pt>
                <c:pt idx="44">
                  <c:v>0.23021582733812951</c:v>
                </c:pt>
                <c:pt idx="45">
                  <c:v>0.24444444444444444</c:v>
                </c:pt>
                <c:pt idx="46">
                  <c:v>0.2734375</c:v>
                </c:pt>
                <c:pt idx="47">
                  <c:v>0.28333333333333333</c:v>
                </c:pt>
                <c:pt idx="48">
                  <c:v>0.28455284552845528</c:v>
                </c:pt>
                <c:pt idx="49">
                  <c:v>0.33636363636363636</c:v>
                </c:pt>
                <c:pt idx="50">
                  <c:v>0.33043478260869563</c:v>
                </c:pt>
                <c:pt idx="51">
                  <c:v>0.3247863247863248</c:v>
                </c:pt>
                <c:pt idx="52">
                  <c:v>0.29365079365079366</c:v>
                </c:pt>
                <c:pt idx="53">
                  <c:v>0.33064516129032256</c:v>
                </c:pt>
                <c:pt idx="54">
                  <c:v>0.32673267326732675</c:v>
                </c:pt>
                <c:pt idx="55">
                  <c:v>0.34065934065934067</c:v>
                </c:pt>
                <c:pt idx="56">
                  <c:v>0.35632183908045978</c:v>
                </c:pt>
                <c:pt idx="57">
                  <c:v>0.29545454545454547</c:v>
                </c:pt>
                <c:pt idx="58">
                  <c:v>0.30379746835443039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28-416A-8FFB-7A7DBF67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682960"/>
        <c:axId val="200563488"/>
      </c:lineChart>
      <c:dateAx>
        <c:axId val="2896829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63488"/>
        <c:crosses val="autoZero"/>
        <c:auto val="1"/>
        <c:lblOffset val="100"/>
        <c:baseTimeUnit val="months"/>
      </c:dateAx>
      <c:valAx>
        <c:axId val="200563488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829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2812335958005245"/>
          <c:w val="1"/>
          <c:h val="0.1718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Production Engineering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'Team Numbers'!$H$19:$K$19</c:f>
              <c:strCache>
                <c:ptCount val="1"/>
                <c:pt idx="0">
                  <c:v>Production Engineering Team Numbers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'Team Numbers'!$B$88:$B$143</c:f>
              <c:numCache>
                <c:formatCode>mmm\-yy</c:formatCode>
                <c:ptCount val="56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</c:numCache>
            </c:numRef>
          </c:cat>
          <c:val>
            <c:numRef>
              <c:f>'Team Numbers'!$J$88:$J$143</c:f>
              <c:numCache>
                <c:formatCode>General</c:formatCode>
                <c:ptCount val="56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14</c:v>
                </c:pt>
                <c:pt idx="5">
                  <c:v>14</c:v>
                </c:pt>
                <c:pt idx="6">
                  <c:v>15</c:v>
                </c:pt>
                <c:pt idx="7">
                  <c:v>15</c:v>
                </c:pt>
                <c:pt idx="8">
                  <c:v>14</c:v>
                </c:pt>
                <c:pt idx="9">
                  <c:v>13</c:v>
                </c:pt>
                <c:pt idx="10">
                  <c:v>15</c:v>
                </c:pt>
                <c:pt idx="11">
                  <c:v>14</c:v>
                </c:pt>
                <c:pt idx="12">
                  <c:v>17</c:v>
                </c:pt>
                <c:pt idx="13">
                  <c:v>17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F-4E78-A470-CD3393176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682960"/>
        <c:axId val="200563488"/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011632"/>
        <c:axId val="1136312432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'Team Numbers'!$AH$20</c15:sqref>
                        </c15:formulaRef>
                      </c:ext>
                    </c:extLst>
                    <c:strCache>
                      <c:ptCount val="1"/>
                      <c:pt idx="0">
                        <c:v>Ratio to Directs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'Team Numbers'!$B$88:$B$118</c15:sqref>
                        </c15:formulaRef>
                      </c:ext>
                    </c:extLst>
                    <c:numCache>
                      <c:formatCode>mmm\-yy</c:formatCode>
                      <c:ptCount val="31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'Team Numbers'!$AH$88:$AH$143</c15:sqref>
                        </c15:formulaRef>
                      </c:ext>
                    </c:extLst>
                    <c:numCache>
                      <c:formatCode>0%</c:formatCode>
                      <c:ptCount val="56"/>
                      <c:pt idx="0">
                        <c:v>0.10655737704918032</c:v>
                      </c:pt>
                      <c:pt idx="1">
                        <c:v>0.10743801652892562</c:v>
                      </c:pt>
                      <c:pt idx="2">
                        <c:v>0.10743801652892562</c:v>
                      </c:pt>
                      <c:pt idx="3">
                        <c:v>0.10317460317460317</c:v>
                      </c:pt>
                      <c:pt idx="4">
                        <c:v>0.109375</c:v>
                      </c:pt>
                      <c:pt idx="5">
                        <c:v>0.16867469879518071</c:v>
                      </c:pt>
                      <c:pt idx="6">
                        <c:v>0.17045454545454544</c:v>
                      </c:pt>
                      <c:pt idx="7">
                        <c:v>0.16483516483516483</c:v>
                      </c:pt>
                      <c:pt idx="8">
                        <c:v>0.1728395061728395</c:v>
                      </c:pt>
                      <c:pt idx="9">
                        <c:v>0.14772727272727273</c:v>
                      </c:pt>
                      <c:pt idx="10">
                        <c:v>0.1875</c:v>
                      </c:pt>
                      <c:pt idx="11">
                        <c:v>0.1728395061728395</c:v>
                      </c:pt>
                      <c:pt idx="12">
                        <c:v>0.2073170731707317</c:v>
                      </c:pt>
                      <c:pt idx="13">
                        <c:v>0.20238095238095238</c:v>
                      </c:pt>
                      <c:pt idx="14">
                        <c:v>0.20253164556962025</c:v>
                      </c:pt>
                      <c:pt idx="15">
                        <c:v>0.20779220779220781</c:v>
                      </c:pt>
                      <c:pt idx="16">
                        <c:v>0.21917808219178081</c:v>
                      </c:pt>
                      <c:pt idx="17">
                        <c:v>0.21917808219178081</c:v>
                      </c:pt>
                      <c:pt idx="18">
                        <c:v>0.21917808219178081</c:v>
                      </c:pt>
                      <c:pt idx="19">
                        <c:v>0.2318840579710145</c:v>
                      </c:pt>
                      <c:pt idx="20">
                        <c:v>0.23529411764705882</c:v>
                      </c:pt>
                      <c:pt idx="21">
                        <c:v>0.24615384615384617</c:v>
                      </c:pt>
                      <c:pt idx="22">
                        <c:v>0.25</c:v>
                      </c:pt>
                      <c:pt idx="23">
                        <c:v>0.25806451612903225</c:v>
                      </c:pt>
                      <c:pt idx="24">
                        <c:v>0.24242424242424243</c:v>
                      </c:pt>
                      <c:pt idx="25">
                        <c:v>0.20779220779220781</c:v>
                      </c:pt>
                      <c:pt idx="26">
                        <c:v>0.18823529411764706</c:v>
                      </c:pt>
                      <c:pt idx="27">
                        <c:v>0.19277108433734941</c:v>
                      </c:pt>
                      <c:pt idx="28">
                        <c:v>0.19277108433734941</c:v>
                      </c:pt>
                      <c:pt idx="29">
                        <c:v>0.1797752808988764</c:v>
                      </c:pt>
                      <c:pt idx="30">
                        <c:v>0.17777777777777778</c:v>
                      </c:pt>
                      <c:pt idx="31">
                        <c:v>0.18390804597701149</c:v>
                      </c:pt>
                      <c:pt idx="32">
                        <c:v>0.1951219512195122</c:v>
                      </c:pt>
                      <c:pt idx="33">
                        <c:v>0.20512820512820512</c:v>
                      </c:pt>
                      <c:pt idx="34">
                        <c:v>0.1797752808988764</c:v>
                      </c:pt>
                      <c:pt idx="35">
                        <c:v>0.19540229885057472</c:v>
                      </c:pt>
                      <c:pt idx="36">
                        <c:v>0.20224719101123595</c:v>
                      </c:pt>
                      <c:pt idx="37">
                        <c:v>0.20930232558139536</c:v>
                      </c:pt>
                      <c:pt idx="38">
                        <c:v>0.18947368421052632</c:v>
                      </c:pt>
                      <c:pt idx="39">
                        <c:v>0.18367346938775511</c:v>
                      </c:pt>
                      <c:pt idx="40">
                        <c:v>0.17821782178217821</c:v>
                      </c:pt>
                      <c:pt idx="41">
                        <c:v>0.16216216216216217</c:v>
                      </c:pt>
                      <c:pt idx="42">
                        <c:v>0.1484375</c:v>
                      </c:pt>
                      <c:pt idx="43">
                        <c:v>0.14503816793893129</c:v>
                      </c:pt>
                      <c:pt idx="44">
                        <c:v>0.14388489208633093</c:v>
                      </c:pt>
                      <c:pt idx="45">
                        <c:v>0.15555555555555556</c:v>
                      </c:pt>
                      <c:pt idx="46">
                        <c:v>0.1640625</c:v>
                      </c:pt>
                      <c:pt idx="47">
                        <c:v>0.17499999999999999</c:v>
                      </c:pt>
                      <c:pt idx="48">
                        <c:v>0.17073170731707318</c:v>
                      </c:pt>
                      <c:pt idx="49">
                        <c:v>0.19090909090909092</c:v>
                      </c:pt>
                      <c:pt idx="50">
                        <c:v>0.18103448275862069</c:v>
                      </c:pt>
                      <c:pt idx="51">
                        <c:v>0.17948717948717949</c:v>
                      </c:pt>
                      <c:pt idx="52">
                        <c:v>0.19047619047619047</c:v>
                      </c:pt>
                      <c:pt idx="53">
                        <c:v>0.1951219512195122</c:v>
                      </c:pt>
                      <c:pt idx="54">
                        <c:v>0.23762376237623761</c:v>
                      </c:pt>
                      <c:pt idx="55">
                        <c:v>0.25274725274725274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19F-4E78-A470-CD3393176D96}"/>
                  </c:ext>
                </c:extLst>
              </c15:ser>
            </c15:filteredLineSeries>
          </c:ext>
        </c:extLst>
      </c:lineChart>
      <c:dateAx>
        <c:axId val="2896829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63488"/>
        <c:crosses val="autoZero"/>
        <c:auto val="1"/>
        <c:lblOffset val="100"/>
        <c:baseTimeUnit val="months"/>
      </c:dateAx>
      <c:valAx>
        <c:axId val="20056348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82960"/>
        <c:crosses val="autoZero"/>
        <c:crossBetween val="between"/>
      </c:valAx>
      <c:valAx>
        <c:axId val="1136312432"/>
        <c:scaling>
          <c:orientation val="minMax"/>
        </c:scaling>
        <c:delete val="1"/>
        <c:axPos val="r"/>
        <c:numFmt formatCode="0%" sourceLinked="1"/>
        <c:majorTickMark val="none"/>
        <c:minorTickMark val="none"/>
        <c:tickLblPos val="nextTo"/>
        <c:crossAx val="1356011632"/>
        <c:crosses val="max"/>
        <c:crossBetween val="between"/>
      </c:valAx>
      <c:catAx>
        <c:axId val="135601163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extTo"/>
        <c:crossAx val="11363124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Setters, Team</a:t>
            </a:r>
            <a:r>
              <a:rPr lang="en-NZ" baseline="0"/>
              <a:t> Leaders, Supervisors, Managers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7171296296296296"/>
          <c:w val="0.82640748031496059"/>
          <c:h val="0.55030839895013128"/>
        </c:manualLayout>
      </c:layout>
      <c:lineChart>
        <c:grouping val="standard"/>
        <c:varyColors val="0"/>
        <c:ser>
          <c:idx val="0"/>
          <c:order val="0"/>
          <c:tx>
            <c:strRef>
              <c:f>'Team Numbers'!$AD$20</c:f>
              <c:strCache>
                <c:ptCount val="1"/>
                <c:pt idx="0">
                  <c:v>Indirect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'Team Numbers'!$B$63:$B$128</c:f>
              <c:numCache>
                <c:formatCode>mmm\-yy</c:formatCode>
                <c:ptCount val="66"/>
                <c:pt idx="0">
                  <c:v>42461</c:v>
                </c:pt>
                <c:pt idx="1">
                  <c:v>42491</c:v>
                </c:pt>
                <c:pt idx="2">
                  <c:v>42522</c:v>
                </c:pt>
                <c:pt idx="3">
                  <c:v>42552</c:v>
                </c:pt>
                <c:pt idx="4">
                  <c:v>42583</c:v>
                </c:pt>
                <c:pt idx="5">
                  <c:v>42614</c:v>
                </c:pt>
                <c:pt idx="6">
                  <c:v>42644</c:v>
                </c:pt>
                <c:pt idx="7">
                  <c:v>42675</c:v>
                </c:pt>
                <c:pt idx="8">
                  <c:v>42705</c:v>
                </c:pt>
                <c:pt idx="9">
                  <c:v>42736</c:v>
                </c:pt>
                <c:pt idx="10">
                  <c:v>42767</c:v>
                </c:pt>
                <c:pt idx="11">
                  <c:v>42795</c:v>
                </c:pt>
                <c:pt idx="12">
                  <c:v>42826</c:v>
                </c:pt>
                <c:pt idx="13">
                  <c:v>42856</c:v>
                </c:pt>
                <c:pt idx="14">
                  <c:v>42887</c:v>
                </c:pt>
                <c:pt idx="15">
                  <c:v>42917</c:v>
                </c:pt>
                <c:pt idx="16">
                  <c:v>42948</c:v>
                </c:pt>
                <c:pt idx="17">
                  <c:v>42979</c:v>
                </c:pt>
                <c:pt idx="18">
                  <c:v>43009</c:v>
                </c:pt>
                <c:pt idx="19">
                  <c:v>43040</c:v>
                </c:pt>
                <c:pt idx="20">
                  <c:v>43070</c:v>
                </c:pt>
                <c:pt idx="21">
                  <c:v>43101</c:v>
                </c:pt>
                <c:pt idx="22">
                  <c:v>43132</c:v>
                </c:pt>
                <c:pt idx="23">
                  <c:v>43160</c:v>
                </c:pt>
                <c:pt idx="24">
                  <c:v>43191</c:v>
                </c:pt>
                <c:pt idx="25">
                  <c:v>43221</c:v>
                </c:pt>
                <c:pt idx="26">
                  <c:v>43252</c:v>
                </c:pt>
                <c:pt idx="27">
                  <c:v>43282</c:v>
                </c:pt>
                <c:pt idx="28">
                  <c:v>43313</c:v>
                </c:pt>
                <c:pt idx="29">
                  <c:v>43344</c:v>
                </c:pt>
                <c:pt idx="30">
                  <c:v>43374</c:v>
                </c:pt>
                <c:pt idx="31">
                  <c:v>43405</c:v>
                </c:pt>
                <c:pt idx="32">
                  <c:v>43435</c:v>
                </c:pt>
                <c:pt idx="33">
                  <c:v>43466</c:v>
                </c:pt>
                <c:pt idx="34">
                  <c:v>43497</c:v>
                </c:pt>
                <c:pt idx="35">
                  <c:v>43525</c:v>
                </c:pt>
                <c:pt idx="36">
                  <c:v>43556</c:v>
                </c:pt>
                <c:pt idx="37">
                  <c:v>43586</c:v>
                </c:pt>
                <c:pt idx="38">
                  <c:v>43617</c:v>
                </c:pt>
                <c:pt idx="39">
                  <c:v>43647</c:v>
                </c:pt>
                <c:pt idx="40">
                  <c:v>43678</c:v>
                </c:pt>
                <c:pt idx="41">
                  <c:v>43709</c:v>
                </c:pt>
                <c:pt idx="42">
                  <c:v>43739</c:v>
                </c:pt>
                <c:pt idx="43">
                  <c:v>43770</c:v>
                </c:pt>
                <c:pt idx="44">
                  <c:v>43800</c:v>
                </c:pt>
                <c:pt idx="45">
                  <c:v>43831</c:v>
                </c:pt>
                <c:pt idx="46">
                  <c:v>43862</c:v>
                </c:pt>
                <c:pt idx="47">
                  <c:v>43891</c:v>
                </c:pt>
                <c:pt idx="48">
                  <c:v>43922</c:v>
                </c:pt>
                <c:pt idx="49">
                  <c:v>43952</c:v>
                </c:pt>
                <c:pt idx="50">
                  <c:v>43983</c:v>
                </c:pt>
                <c:pt idx="51">
                  <c:v>44013</c:v>
                </c:pt>
                <c:pt idx="52">
                  <c:v>44044</c:v>
                </c:pt>
                <c:pt idx="53">
                  <c:v>44075</c:v>
                </c:pt>
                <c:pt idx="54">
                  <c:v>44105</c:v>
                </c:pt>
                <c:pt idx="55">
                  <c:v>44136</c:v>
                </c:pt>
                <c:pt idx="56">
                  <c:v>44166</c:v>
                </c:pt>
                <c:pt idx="57">
                  <c:v>44197</c:v>
                </c:pt>
                <c:pt idx="58">
                  <c:v>44228</c:v>
                </c:pt>
                <c:pt idx="59">
                  <c:v>44256</c:v>
                </c:pt>
                <c:pt idx="60">
                  <c:v>44287</c:v>
                </c:pt>
                <c:pt idx="61">
                  <c:v>44317</c:v>
                </c:pt>
                <c:pt idx="62">
                  <c:v>44348</c:v>
                </c:pt>
                <c:pt idx="63">
                  <c:v>44378</c:v>
                </c:pt>
                <c:pt idx="64">
                  <c:v>44409</c:v>
                </c:pt>
                <c:pt idx="65">
                  <c:v>44440</c:v>
                </c:pt>
              </c:numCache>
            </c:numRef>
          </c:cat>
          <c:val>
            <c:numRef>
              <c:f>'Team Numbers'!$AD$63:$AD$128</c:f>
              <c:numCache>
                <c:formatCode>General</c:formatCode>
                <c:ptCount val="66"/>
                <c:pt idx="0">
                  <c:v>18</c:v>
                </c:pt>
                <c:pt idx="1">
                  <c:v>17</c:v>
                </c:pt>
                <c:pt idx="2">
                  <c:v>14</c:v>
                </c:pt>
                <c:pt idx="3">
                  <c:v>15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15</c:v>
                </c:pt>
                <c:pt idx="13">
                  <c:v>21</c:v>
                </c:pt>
                <c:pt idx="14">
                  <c:v>22</c:v>
                </c:pt>
                <c:pt idx="15">
                  <c:v>21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27</c:v>
                </c:pt>
                <c:pt idx="22">
                  <c:v>24</c:v>
                </c:pt>
                <c:pt idx="23">
                  <c:v>23</c:v>
                </c:pt>
                <c:pt idx="24">
                  <c:v>26</c:v>
                </c:pt>
                <c:pt idx="25">
                  <c:v>25</c:v>
                </c:pt>
                <c:pt idx="26">
                  <c:v>24</c:v>
                </c:pt>
                <c:pt idx="27">
                  <c:v>23</c:v>
                </c:pt>
                <c:pt idx="28">
                  <c:v>21</c:v>
                </c:pt>
                <c:pt idx="29">
                  <c:v>22</c:v>
                </c:pt>
                <c:pt idx="30">
                  <c:v>22</c:v>
                </c:pt>
                <c:pt idx="31">
                  <c:v>23</c:v>
                </c:pt>
                <c:pt idx="32">
                  <c:v>20</c:v>
                </c:pt>
                <c:pt idx="33">
                  <c:v>26</c:v>
                </c:pt>
                <c:pt idx="34">
                  <c:v>19</c:v>
                </c:pt>
                <c:pt idx="35">
                  <c:v>24</c:v>
                </c:pt>
                <c:pt idx="36">
                  <c:v>25</c:v>
                </c:pt>
                <c:pt idx="37">
                  <c:v>24</c:v>
                </c:pt>
                <c:pt idx="38">
                  <c:v>22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32</c:v>
                </c:pt>
                <c:pt idx="45">
                  <c:v>34</c:v>
                </c:pt>
                <c:pt idx="46">
                  <c:v>32</c:v>
                </c:pt>
                <c:pt idx="47">
                  <c:v>31</c:v>
                </c:pt>
                <c:pt idx="48">
                  <c:v>31</c:v>
                </c:pt>
                <c:pt idx="49">
                  <c:v>28</c:v>
                </c:pt>
                <c:pt idx="50">
                  <c:v>26</c:v>
                </c:pt>
                <c:pt idx="51">
                  <c:v>26</c:v>
                </c:pt>
                <c:pt idx="52">
                  <c:v>24</c:v>
                </c:pt>
                <c:pt idx="53">
                  <c:v>26</c:v>
                </c:pt>
                <c:pt idx="54">
                  <c:v>27</c:v>
                </c:pt>
                <c:pt idx="55">
                  <c:v>26</c:v>
                </c:pt>
                <c:pt idx="56">
                  <c:v>27</c:v>
                </c:pt>
                <c:pt idx="57">
                  <c:v>29</c:v>
                </c:pt>
                <c:pt idx="58">
                  <c:v>29</c:v>
                </c:pt>
                <c:pt idx="59">
                  <c:v>25</c:v>
                </c:pt>
                <c:pt idx="60">
                  <c:v>24</c:v>
                </c:pt>
                <c:pt idx="61">
                  <c:v>24</c:v>
                </c:pt>
                <c:pt idx="62">
                  <c:v>26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B-44C1-8AFA-BF70E44FF68B}"/>
            </c:ext>
          </c:extLst>
        </c:ser>
        <c:ser>
          <c:idx val="2"/>
          <c:order val="2"/>
          <c:tx>
            <c:strRef>
              <c:f>'Team Numbers'!$AC$20</c:f>
              <c:strCache>
                <c:ptCount val="1"/>
                <c:pt idx="0">
                  <c:v>Direct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'Team Numbers'!$B$63:$B$128</c:f>
              <c:numCache>
                <c:formatCode>mmm\-yy</c:formatCode>
                <c:ptCount val="66"/>
                <c:pt idx="0">
                  <c:v>42461</c:v>
                </c:pt>
                <c:pt idx="1">
                  <c:v>42491</c:v>
                </c:pt>
                <c:pt idx="2">
                  <c:v>42522</c:v>
                </c:pt>
                <c:pt idx="3">
                  <c:v>42552</c:v>
                </c:pt>
                <c:pt idx="4">
                  <c:v>42583</c:v>
                </c:pt>
                <c:pt idx="5">
                  <c:v>42614</c:v>
                </c:pt>
                <c:pt idx="6">
                  <c:v>42644</c:v>
                </c:pt>
                <c:pt idx="7">
                  <c:v>42675</c:v>
                </c:pt>
                <c:pt idx="8">
                  <c:v>42705</c:v>
                </c:pt>
                <c:pt idx="9">
                  <c:v>42736</c:v>
                </c:pt>
                <c:pt idx="10">
                  <c:v>42767</c:v>
                </c:pt>
                <c:pt idx="11">
                  <c:v>42795</c:v>
                </c:pt>
                <c:pt idx="12">
                  <c:v>42826</c:v>
                </c:pt>
                <c:pt idx="13">
                  <c:v>42856</c:v>
                </c:pt>
                <c:pt idx="14">
                  <c:v>42887</c:v>
                </c:pt>
                <c:pt idx="15">
                  <c:v>42917</c:v>
                </c:pt>
                <c:pt idx="16">
                  <c:v>42948</c:v>
                </c:pt>
                <c:pt idx="17">
                  <c:v>42979</c:v>
                </c:pt>
                <c:pt idx="18">
                  <c:v>43009</c:v>
                </c:pt>
                <c:pt idx="19">
                  <c:v>43040</c:v>
                </c:pt>
                <c:pt idx="20">
                  <c:v>43070</c:v>
                </c:pt>
                <c:pt idx="21">
                  <c:v>43101</c:v>
                </c:pt>
                <c:pt idx="22">
                  <c:v>43132</c:v>
                </c:pt>
                <c:pt idx="23">
                  <c:v>43160</c:v>
                </c:pt>
                <c:pt idx="24">
                  <c:v>43191</c:v>
                </c:pt>
                <c:pt idx="25">
                  <c:v>43221</c:v>
                </c:pt>
                <c:pt idx="26">
                  <c:v>43252</c:v>
                </c:pt>
                <c:pt idx="27">
                  <c:v>43282</c:v>
                </c:pt>
                <c:pt idx="28">
                  <c:v>43313</c:v>
                </c:pt>
                <c:pt idx="29">
                  <c:v>43344</c:v>
                </c:pt>
                <c:pt idx="30">
                  <c:v>43374</c:v>
                </c:pt>
                <c:pt idx="31">
                  <c:v>43405</c:v>
                </c:pt>
                <c:pt idx="32">
                  <c:v>43435</c:v>
                </c:pt>
                <c:pt idx="33">
                  <c:v>43466</c:v>
                </c:pt>
                <c:pt idx="34">
                  <c:v>43497</c:v>
                </c:pt>
                <c:pt idx="35">
                  <c:v>43525</c:v>
                </c:pt>
                <c:pt idx="36">
                  <c:v>43556</c:v>
                </c:pt>
                <c:pt idx="37">
                  <c:v>43586</c:v>
                </c:pt>
                <c:pt idx="38">
                  <c:v>43617</c:v>
                </c:pt>
                <c:pt idx="39">
                  <c:v>43647</c:v>
                </c:pt>
                <c:pt idx="40">
                  <c:v>43678</c:v>
                </c:pt>
                <c:pt idx="41">
                  <c:v>43709</c:v>
                </c:pt>
                <c:pt idx="42">
                  <c:v>43739</c:v>
                </c:pt>
                <c:pt idx="43">
                  <c:v>43770</c:v>
                </c:pt>
                <c:pt idx="44">
                  <c:v>43800</c:v>
                </c:pt>
                <c:pt idx="45">
                  <c:v>43831</c:v>
                </c:pt>
                <c:pt idx="46">
                  <c:v>43862</c:v>
                </c:pt>
                <c:pt idx="47">
                  <c:v>43891</c:v>
                </c:pt>
                <c:pt idx="48">
                  <c:v>43922</c:v>
                </c:pt>
                <c:pt idx="49">
                  <c:v>43952</c:v>
                </c:pt>
                <c:pt idx="50">
                  <c:v>43983</c:v>
                </c:pt>
                <c:pt idx="51">
                  <c:v>44013</c:v>
                </c:pt>
                <c:pt idx="52">
                  <c:v>44044</c:v>
                </c:pt>
                <c:pt idx="53">
                  <c:v>44075</c:v>
                </c:pt>
                <c:pt idx="54">
                  <c:v>44105</c:v>
                </c:pt>
                <c:pt idx="55">
                  <c:v>44136</c:v>
                </c:pt>
                <c:pt idx="56">
                  <c:v>44166</c:v>
                </c:pt>
                <c:pt idx="57">
                  <c:v>44197</c:v>
                </c:pt>
                <c:pt idx="58">
                  <c:v>44228</c:v>
                </c:pt>
                <c:pt idx="59">
                  <c:v>44256</c:v>
                </c:pt>
                <c:pt idx="60">
                  <c:v>44287</c:v>
                </c:pt>
                <c:pt idx="61">
                  <c:v>44317</c:v>
                </c:pt>
                <c:pt idx="62">
                  <c:v>44348</c:v>
                </c:pt>
                <c:pt idx="63">
                  <c:v>44378</c:v>
                </c:pt>
                <c:pt idx="64">
                  <c:v>44409</c:v>
                </c:pt>
                <c:pt idx="65">
                  <c:v>44440</c:v>
                </c:pt>
              </c:numCache>
            </c:numRef>
          </c:cat>
          <c:val>
            <c:numRef>
              <c:f>'Team Numbers'!$AC$63:$AC$128</c:f>
              <c:numCache>
                <c:formatCode>General</c:formatCode>
                <c:ptCount val="66"/>
                <c:pt idx="0">
                  <c:v>54</c:v>
                </c:pt>
                <c:pt idx="1">
                  <c:v>53</c:v>
                </c:pt>
                <c:pt idx="2">
                  <c:v>53</c:v>
                </c:pt>
                <c:pt idx="3">
                  <c:v>52</c:v>
                </c:pt>
                <c:pt idx="4">
                  <c:v>56</c:v>
                </c:pt>
                <c:pt idx="5">
                  <c:v>58</c:v>
                </c:pt>
                <c:pt idx="6">
                  <c:v>58</c:v>
                </c:pt>
                <c:pt idx="7">
                  <c:v>64</c:v>
                </c:pt>
                <c:pt idx="8">
                  <c:v>61</c:v>
                </c:pt>
                <c:pt idx="9">
                  <c:v>60</c:v>
                </c:pt>
                <c:pt idx="10">
                  <c:v>49</c:v>
                </c:pt>
                <c:pt idx="11">
                  <c:v>64</c:v>
                </c:pt>
                <c:pt idx="12">
                  <c:v>68</c:v>
                </c:pt>
                <c:pt idx="13">
                  <c:v>69</c:v>
                </c:pt>
                <c:pt idx="14">
                  <c:v>72</c:v>
                </c:pt>
                <c:pt idx="15">
                  <c:v>77</c:v>
                </c:pt>
                <c:pt idx="16">
                  <c:v>76</c:v>
                </c:pt>
                <c:pt idx="17">
                  <c:v>74</c:v>
                </c:pt>
                <c:pt idx="18">
                  <c:v>74</c:v>
                </c:pt>
                <c:pt idx="19">
                  <c:v>78</c:v>
                </c:pt>
                <c:pt idx="20">
                  <c:v>78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77</c:v>
                </c:pt>
                <c:pt idx="25">
                  <c:v>76</c:v>
                </c:pt>
                <c:pt idx="26">
                  <c:v>76</c:v>
                </c:pt>
                <c:pt idx="27">
                  <c:v>77</c:v>
                </c:pt>
                <c:pt idx="28">
                  <c:v>83</c:v>
                </c:pt>
                <c:pt idx="29">
                  <c:v>85</c:v>
                </c:pt>
                <c:pt idx="30">
                  <c:v>83</c:v>
                </c:pt>
                <c:pt idx="31">
                  <c:v>88</c:v>
                </c:pt>
                <c:pt idx="32">
                  <c:v>91</c:v>
                </c:pt>
                <c:pt idx="33">
                  <c:v>81</c:v>
                </c:pt>
                <c:pt idx="34">
                  <c:v>88</c:v>
                </c:pt>
                <c:pt idx="35">
                  <c:v>80</c:v>
                </c:pt>
                <c:pt idx="36">
                  <c:v>81</c:v>
                </c:pt>
                <c:pt idx="37">
                  <c:v>82</c:v>
                </c:pt>
                <c:pt idx="38">
                  <c:v>84</c:v>
                </c:pt>
                <c:pt idx="39">
                  <c:v>79</c:v>
                </c:pt>
                <c:pt idx="40">
                  <c:v>77</c:v>
                </c:pt>
                <c:pt idx="41">
                  <c:v>73</c:v>
                </c:pt>
                <c:pt idx="42">
                  <c:v>73</c:v>
                </c:pt>
                <c:pt idx="43">
                  <c:v>73</c:v>
                </c:pt>
                <c:pt idx="44">
                  <c:v>69</c:v>
                </c:pt>
                <c:pt idx="45">
                  <c:v>68</c:v>
                </c:pt>
                <c:pt idx="46">
                  <c:v>65</c:v>
                </c:pt>
                <c:pt idx="47">
                  <c:v>64</c:v>
                </c:pt>
                <c:pt idx="48">
                  <c:v>62</c:v>
                </c:pt>
                <c:pt idx="49">
                  <c:v>66</c:v>
                </c:pt>
                <c:pt idx="50">
                  <c:v>77</c:v>
                </c:pt>
                <c:pt idx="51">
                  <c:v>85</c:v>
                </c:pt>
                <c:pt idx="52">
                  <c:v>83</c:v>
                </c:pt>
                <c:pt idx="53">
                  <c:v>83</c:v>
                </c:pt>
                <c:pt idx="54">
                  <c:v>89</c:v>
                </c:pt>
                <c:pt idx="55">
                  <c:v>90</c:v>
                </c:pt>
                <c:pt idx="56">
                  <c:v>87</c:v>
                </c:pt>
                <c:pt idx="57">
                  <c:v>82</c:v>
                </c:pt>
                <c:pt idx="58">
                  <c:v>78</c:v>
                </c:pt>
                <c:pt idx="59">
                  <c:v>89</c:v>
                </c:pt>
                <c:pt idx="60">
                  <c:v>87</c:v>
                </c:pt>
                <c:pt idx="61">
                  <c:v>89</c:v>
                </c:pt>
                <c:pt idx="62">
                  <c:v>86</c:v>
                </c:pt>
                <c:pt idx="63">
                  <c:v>95</c:v>
                </c:pt>
                <c:pt idx="64">
                  <c:v>98</c:v>
                </c:pt>
                <c:pt idx="65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0B-44C1-8AFA-BF70E44FF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4161536"/>
        <c:axId val="1450777936"/>
      </c:lineChart>
      <c:lineChart>
        <c:grouping val="standard"/>
        <c:varyColors val="0"/>
        <c:ser>
          <c:idx val="1"/>
          <c:order val="1"/>
          <c:tx>
            <c:strRef>
              <c:f>'Team Numbers'!$AF$20</c:f>
              <c:strCache>
                <c:ptCount val="1"/>
                <c:pt idx="0">
                  <c:v>Ratio to Directs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'Team Numbers'!$B$63:$B$118</c:f>
              <c:numCache>
                <c:formatCode>mmm\-yy</c:formatCode>
                <c:ptCount val="56"/>
                <c:pt idx="0">
                  <c:v>42461</c:v>
                </c:pt>
                <c:pt idx="1">
                  <c:v>42491</c:v>
                </c:pt>
                <c:pt idx="2">
                  <c:v>42522</c:v>
                </c:pt>
                <c:pt idx="3">
                  <c:v>42552</c:v>
                </c:pt>
                <c:pt idx="4">
                  <c:v>42583</c:v>
                </c:pt>
                <c:pt idx="5">
                  <c:v>42614</c:v>
                </c:pt>
                <c:pt idx="6">
                  <c:v>42644</c:v>
                </c:pt>
                <c:pt idx="7">
                  <c:v>42675</c:v>
                </c:pt>
                <c:pt idx="8">
                  <c:v>42705</c:v>
                </c:pt>
                <c:pt idx="9">
                  <c:v>42736</c:v>
                </c:pt>
                <c:pt idx="10">
                  <c:v>42767</c:v>
                </c:pt>
                <c:pt idx="11">
                  <c:v>42795</c:v>
                </c:pt>
                <c:pt idx="12">
                  <c:v>42826</c:v>
                </c:pt>
                <c:pt idx="13">
                  <c:v>42856</c:v>
                </c:pt>
                <c:pt idx="14">
                  <c:v>42887</c:v>
                </c:pt>
                <c:pt idx="15">
                  <c:v>42917</c:v>
                </c:pt>
                <c:pt idx="16">
                  <c:v>42948</c:v>
                </c:pt>
                <c:pt idx="17">
                  <c:v>42979</c:v>
                </c:pt>
                <c:pt idx="18">
                  <c:v>43009</c:v>
                </c:pt>
                <c:pt idx="19">
                  <c:v>43040</c:v>
                </c:pt>
                <c:pt idx="20">
                  <c:v>43070</c:v>
                </c:pt>
                <c:pt idx="21">
                  <c:v>43101</c:v>
                </c:pt>
                <c:pt idx="22">
                  <c:v>43132</c:v>
                </c:pt>
                <c:pt idx="23">
                  <c:v>43160</c:v>
                </c:pt>
                <c:pt idx="24">
                  <c:v>43191</c:v>
                </c:pt>
                <c:pt idx="25">
                  <c:v>43221</c:v>
                </c:pt>
                <c:pt idx="26">
                  <c:v>43252</c:v>
                </c:pt>
                <c:pt idx="27">
                  <c:v>43282</c:v>
                </c:pt>
                <c:pt idx="28">
                  <c:v>43313</c:v>
                </c:pt>
                <c:pt idx="29">
                  <c:v>43344</c:v>
                </c:pt>
                <c:pt idx="30">
                  <c:v>43374</c:v>
                </c:pt>
                <c:pt idx="31">
                  <c:v>43405</c:v>
                </c:pt>
                <c:pt idx="32">
                  <c:v>43435</c:v>
                </c:pt>
                <c:pt idx="33">
                  <c:v>43466</c:v>
                </c:pt>
                <c:pt idx="34">
                  <c:v>43497</c:v>
                </c:pt>
                <c:pt idx="35">
                  <c:v>43525</c:v>
                </c:pt>
                <c:pt idx="36">
                  <c:v>43556</c:v>
                </c:pt>
                <c:pt idx="37">
                  <c:v>43586</c:v>
                </c:pt>
                <c:pt idx="38">
                  <c:v>43617</c:v>
                </c:pt>
                <c:pt idx="39">
                  <c:v>43647</c:v>
                </c:pt>
                <c:pt idx="40">
                  <c:v>43678</c:v>
                </c:pt>
                <c:pt idx="41">
                  <c:v>43709</c:v>
                </c:pt>
                <c:pt idx="42">
                  <c:v>43739</c:v>
                </c:pt>
                <c:pt idx="43">
                  <c:v>43770</c:v>
                </c:pt>
                <c:pt idx="44">
                  <c:v>43800</c:v>
                </c:pt>
                <c:pt idx="45">
                  <c:v>43831</c:v>
                </c:pt>
                <c:pt idx="46">
                  <c:v>43862</c:v>
                </c:pt>
                <c:pt idx="47">
                  <c:v>43891</c:v>
                </c:pt>
                <c:pt idx="48">
                  <c:v>43922</c:v>
                </c:pt>
                <c:pt idx="49">
                  <c:v>43952</c:v>
                </c:pt>
                <c:pt idx="50">
                  <c:v>43983</c:v>
                </c:pt>
                <c:pt idx="51">
                  <c:v>44013</c:v>
                </c:pt>
                <c:pt idx="52">
                  <c:v>44044</c:v>
                </c:pt>
                <c:pt idx="53">
                  <c:v>44075</c:v>
                </c:pt>
                <c:pt idx="54">
                  <c:v>44105</c:v>
                </c:pt>
                <c:pt idx="55">
                  <c:v>44136</c:v>
                </c:pt>
              </c:numCache>
            </c:numRef>
          </c:cat>
          <c:val>
            <c:numRef>
              <c:f>'Team Numbers'!$AF$63:$AF$128</c:f>
              <c:numCache>
                <c:formatCode>0%</c:formatCode>
                <c:ptCount val="66"/>
                <c:pt idx="0">
                  <c:v>0.33333333333333331</c:v>
                </c:pt>
                <c:pt idx="1">
                  <c:v>0.32075471698113206</c:v>
                </c:pt>
                <c:pt idx="2">
                  <c:v>0.26415094339622641</c:v>
                </c:pt>
                <c:pt idx="3">
                  <c:v>0.28846153846153844</c:v>
                </c:pt>
                <c:pt idx="4">
                  <c:v>0.26785714285714285</c:v>
                </c:pt>
                <c:pt idx="5">
                  <c:v>0.22413793103448276</c:v>
                </c:pt>
                <c:pt idx="6">
                  <c:v>0.25862068965517243</c:v>
                </c:pt>
                <c:pt idx="7">
                  <c:v>0.234375</c:v>
                </c:pt>
                <c:pt idx="8">
                  <c:v>0.24590163934426229</c:v>
                </c:pt>
                <c:pt idx="9">
                  <c:v>0.25</c:v>
                </c:pt>
                <c:pt idx="10">
                  <c:v>0.32653061224489793</c:v>
                </c:pt>
                <c:pt idx="11">
                  <c:v>0.25</c:v>
                </c:pt>
                <c:pt idx="12">
                  <c:v>0.22058823529411764</c:v>
                </c:pt>
                <c:pt idx="13">
                  <c:v>0.30434782608695654</c:v>
                </c:pt>
                <c:pt idx="14">
                  <c:v>0.30555555555555558</c:v>
                </c:pt>
                <c:pt idx="15">
                  <c:v>0.27272727272727271</c:v>
                </c:pt>
                <c:pt idx="16">
                  <c:v>0.38157894736842107</c:v>
                </c:pt>
                <c:pt idx="17">
                  <c:v>0.39189189189189189</c:v>
                </c:pt>
                <c:pt idx="18">
                  <c:v>0.39189189189189189</c:v>
                </c:pt>
                <c:pt idx="19">
                  <c:v>0.37179487179487181</c:v>
                </c:pt>
                <c:pt idx="20">
                  <c:v>0.37179487179487181</c:v>
                </c:pt>
                <c:pt idx="21">
                  <c:v>0.34177215189873417</c:v>
                </c:pt>
                <c:pt idx="22">
                  <c:v>0.30769230769230771</c:v>
                </c:pt>
                <c:pt idx="23">
                  <c:v>0.29870129870129869</c:v>
                </c:pt>
                <c:pt idx="24">
                  <c:v>0.33766233766233766</c:v>
                </c:pt>
                <c:pt idx="25">
                  <c:v>0.32894736842105265</c:v>
                </c:pt>
                <c:pt idx="26">
                  <c:v>0.31578947368421051</c:v>
                </c:pt>
                <c:pt idx="27">
                  <c:v>0.29870129870129869</c:v>
                </c:pt>
                <c:pt idx="28">
                  <c:v>0.25301204819277107</c:v>
                </c:pt>
                <c:pt idx="29">
                  <c:v>0.25882352941176473</c:v>
                </c:pt>
                <c:pt idx="30">
                  <c:v>0.26506024096385544</c:v>
                </c:pt>
                <c:pt idx="31">
                  <c:v>0.26136363636363635</c:v>
                </c:pt>
                <c:pt idx="32">
                  <c:v>0.21978021978021978</c:v>
                </c:pt>
                <c:pt idx="33">
                  <c:v>0.32098765432098764</c:v>
                </c:pt>
                <c:pt idx="34">
                  <c:v>0.21590909090909091</c:v>
                </c:pt>
                <c:pt idx="35">
                  <c:v>0.3</c:v>
                </c:pt>
                <c:pt idx="36">
                  <c:v>0.30864197530864196</c:v>
                </c:pt>
                <c:pt idx="37">
                  <c:v>0.29268292682926828</c:v>
                </c:pt>
                <c:pt idx="38">
                  <c:v>0.26190476190476192</c:v>
                </c:pt>
                <c:pt idx="39">
                  <c:v>0.36708860759493672</c:v>
                </c:pt>
                <c:pt idx="40">
                  <c:v>0.38961038961038963</c:v>
                </c:pt>
                <c:pt idx="41">
                  <c:v>0.42465753424657532</c:v>
                </c:pt>
                <c:pt idx="42">
                  <c:v>0.42465753424657532</c:v>
                </c:pt>
                <c:pt idx="43">
                  <c:v>0.42465753424657532</c:v>
                </c:pt>
                <c:pt idx="44">
                  <c:v>0.46376811594202899</c:v>
                </c:pt>
                <c:pt idx="45">
                  <c:v>0.5</c:v>
                </c:pt>
                <c:pt idx="46">
                  <c:v>0.49230769230769234</c:v>
                </c:pt>
                <c:pt idx="47">
                  <c:v>0.484375</c:v>
                </c:pt>
                <c:pt idx="48">
                  <c:v>0.5</c:v>
                </c:pt>
                <c:pt idx="49">
                  <c:v>0.42424242424242425</c:v>
                </c:pt>
                <c:pt idx="50">
                  <c:v>0.33766233766233766</c:v>
                </c:pt>
                <c:pt idx="51">
                  <c:v>0.30588235294117649</c:v>
                </c:pt>
                <c:pt idx="52">
                  <c:v>0.28915662650602408</c:v>
                </c:pt>
                <c:pt idx="53">
                  <c:v>0.31325301204819278</c:v>
                </c:pt>
                <c:pt idx="54">
                  <c:v>0.30337078651685395</c:v>
                </c:pt>
                <c:pt idx="55">
                  <c:v>0.28888888888888886</c:v>
                </c:pt>
                <c:pt idx="56">
                  <c:v>0.31034482758620691</c:v>
                </c:pt>
                <c:pt idx="57">
                  <c:v>0.35365853658536583</c:v>
                </c:pt>
                <c:pt idx="58">
                  <c:v>0.37179487179487181</c:v>
                </c:pt>
                <c:pt idx="59">
                  <c:v>0.2808988764044944</c:v>
                </c:pt>
                <c:pt idx="60">
                  <c:v>0.27586206896551724</c:v>
                </c:pt>
                <c:pt idx="61">
                  <c:v>0.2696629213483146</c:v>
                </c:pt>
                <c:pt idx="62">
                  <c:v>0.30232558139534882</c:v>
                </c:pt>
                <c:pt idx="63">
                  <c:v>0.28421052631578947</c:v>
                </c:pt>
                <c:pt idx="64">
                  <c:v>0.26530612244897961</c:v>
                </c:pt>
                <c:pt idx="65">
                  <c:v>0.24752475247524752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0B-44C1-8AFA-BF70E44FF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245440"/>
        <c:axId val="1148380704"/>
      </c:lineChart>
      <c:dateAx>
        <c:axId val="12441615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777936"/>
        <c:crosses val="autoZero"/>
        <c:auto val="1"/>
        <c:lblOffset val="100"/>
        <c:baseTimeUnit val="months"/>
      </c:dateAx>
      <c:valAx>
        <c:axId val="14507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161536"/>
        <c:crosses val="autoZero"/>
        <c:crossBetween val="between"/>
      </c:valAx>
      <c:valAx>
        <c:axId val="1148380704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245440"/>
        <c:crosses val="max"/>
        <c:crossBetween val="between"/>
      </c:valAx>
      <c:dateAx>
        <c:axId val="144624544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4838070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200"/>
              <a:t>Directs vs Stores, Setters, T/L's, Supervisors,</a:t>
            </a:r>
            <a:r>
              <a:rPr lang="en-NZ" sz="1200" baseline="0"/>
              <a:t> Managers</a:t>
            </a:r>
            <a:r>
              <a:rPr lang="en-NZ" sz="12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'Team Numbers'!$AC$20</c:f>
              <c:strCache>
                <c:ptCount val="1"/>
                <c:pt idx="0">
                  <c:v>Direct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'Team Numbers'!$B$63:$B$143</c:f>
              <c:numCache>
                <c:formatCode>mmm\-yy</c:formatCode>
                <c:ptCount val="81"/>
                <c:pt idx="0">
                  <c:v>42461</c:v>
                </c:pt>
                <c:pt idx="1">
                  <c:v>42491</c:v>
                </c:pt>
                <c:pt idx="2">
                  <c:v>42522</c:v>
                </c:pt>
                <c:pt idx="3">
                  <c:v>42552</c:v>
                </c:pt>
                <c:pt idx="4">
                  <c:v>42583</c:v>
                </c:pt>
                <c:pt idx="5">
                  <c:v>42614</c:v>
                </c:pt>
                <c:pt idx="6">
                  <c:v>42644</c:v>
                </c:pt>
                <c:pt idx="7">
                  <c:v>42675</c:v>
                </c:pt>
                <c:pt idx="8">
                  <c:v>42705</c:v>
                </c:pt>
                <c:pt idx="9">
                  <c:v>42736</c:v>
                </c:pt>
                <c:pt idx="10">
                  <c:v>42767</c:v>
                </c:pt>
                <c:pt idx="11">
                  <c:v>42795</c:v>
                </c:pt>
                <c:pt idx="12">
                  <c:v>42826</c:v>
                </c:pt>
                <c:pt idx="13">
                  <c:v>42856</c:v>
                </c:pt>
                <c:pt idx="14">
                  <c:v>42887</c:v>
                </c:pt>
                <c:pt idx="15">
                  <c:v>42917</c:v>
                </c:pt>
                <c:pt idx="16">
                  <c:v>42948</c:v>
                </c:pt>
                <c:pt idx="17">
                  <c:v>42979</c:v>
                </c:pt>
                <c:pt idx="18">
                  <c:v>43009</c:v>
                </c:pt>
                <c:pt idx="19">
                  <c:v>43040</c:v>
                </c:pt>
                <c:pt idx="20">
                  <c:v>43070</c:v>
                </c:pt>
                <c:pt idx="21">
                  <c:v>43101</c:v>
                </c:pt>
                <c:pt idx="22">
                  <c:v>43132</c:v>
                </c:pt>
                <c:pt idx="23">
                  <c:v>43160</c:v>
                </c:pt>
                <c:pt idx="24">
                  <c:v>43191</c:v>
                </c:pt>
                <c:pt idx="25">
                  <c:v>43221</c:v>
                </c:pt>
                <c:pt idx="26">
                  <c:v>43252</c:v>
                </c:pt>
                <c:pt idx="27">
                  <c:v>43282</c:v>
                </c:pt>
                <c:pt idx="28">
                  <c:v>43313</c:v>
                </c:pt>
                <c:pt idx="29">
                  <c:v>43344</c:v>
                </c:pt>
                <c:pt idx="30">
                  <c:v>43374</c:v>
                </c:pt>
                <c:pt idx="31">
                  <c:v>43405</c:v>
                </c:pt>
                <c:pt idx="32">
                  <c:v>43435</c:v>
                </c:pt>
                <c:pt idx="33">
                  <c:v>43466</c:v>
                </c:pt>
                <c:pt idx="34">
                  <c:v>43497</c:v>
                </c:pt>
                <c:pt idx="35">
                  <c:v>43525</c:v>
                </c:pt>
                <c:pt idx="36">
                  <c:v>43556</c:v>
                </c:pt>
                <c:pt idx="37">
                  <c:v>43586</c:v>
                </c:pt>
                <c:pt idx="38">
                  <c:v>43617</c:v>
                </c:pt>
                <c:pt idx="39">
                  <c:v>43647</c:v>
                </c:pt>
                <c:pt idx="40">
                  <c:v>43678</c:v>
                </c:pt>
                <c:pt idx="41">
                  <c:v>43709</c:v>
                </c:pt>
                <c:pt idx="42">
                  <c:v>43739</c:v>
                </c:pt>
                <c:pt idx="43">
                  <c:v>43770</c:v>
                </c:pt>
                <c:pt idx="44">
                  <c:v>43800</c:v>
                </c:pt>
                <c:pt idx="45">
                  <c:v>43831</c:v>
                </c:pt>
                <c:pt idx="46">
                  <c:v>43862</c:v>
                </c:pt>
                <c:pt idx="47">
                  <c:v>43891</c:v>
                </c:pt>
                <c:pt idx="48">
                  <c:v>43922</c:v>
                </c:pt>
                <c:pt idx="49">
                  <c:v>43952</c:v>
                </c:pt>
                <c:pt idx="50">
                  <c:v>43983</c:v>
                </c:pt>
                <c:pt idx="51">
                  <c:v>44013</c:v>
                </c:pt>
                <c:pt idx="52">
                  <c:v>44044</c:v>
                </c:pt>
                <c:pt idx="53">
                  <c:v>44075</c:v>
                </c:pt>
                <c:pt idx="54">
                  <c:v>44105</c:v>
                </c:pt>
                <c:pt idx="55">
                  <c:v>44136</c:v>
                </c:pt>
                <c:pt idx="56">
                  <c:v>44166</c:v>
                </c:pt>
                <c:pt idx="57">
                  <c:v>44197</c:v>
                </c:pt>
                <c:pt idx="58">
                  <c:v>44228</c:v>
                </c:pt>
                <c:pt idx="59">
                  <c:v>44256</c:v>
                </c:pt>
                <c:pt idx="60">
                  <c:v>44287</c:v>
                </c:pt>
                <c:pt idx="61">
                  <c:v>44317</c:v>
                </c:pt>
                <c:pt idx="62">
                  <c:v>44348</c:v>
                </c:pt>
                <c:pt idx="63">
                  <c:v>44378</c:v>
                </c:pt>
                <c:pt idx="64">
                  <c:v>44409</c:v>
                </c:pt>
                <c:pt idx="65">
                  <c:v>44440</c:v>
                </c:pt>
                <c:pt idx="66">
                  <c:v>44470</c:v>
                </c:pt>
                <c:pt idx="67">
                  <c:v>44501</c:v>
                </c:pt>
                <c:pt idx="68">
                  <c:v>44531</c:v>
                </c:pt>
                <c:pt idx="69">
                  <c:v>44562</c:v>
                </c:pt>
                <c:pt idx="70">
                  <c:v>44593</c:v>
                </c:pt>
                <c:pt idx="71">
                  <c:v>44621</c:v>
                </c:pt>
                <c:pt idx="72">
                  <c:v>44652</c:v>
                </c:pt>
                <c:pt idx="73">
                  <c:v>44682</c:v>
                </c:pt>
                <c:pt idx="74">
                  <c:v>44713</c:v>
                </c:pt>
                <c:pt idx="75">
                  <c:v>44743</c:v>
                </c:pt>
                <c:pt idx="76">
                  <c:v>44774</c:v>
                </c:pt>
                <c:pt idx="77">
                  <c:v>44805</c:v>
                </c:pt>
                <c:pt idx="78">
                  <c:v>44835</c:v>
                </c:pt>
                <c:pt idx="79">
                  <c:v>44866</c:v>
                </c:pt>
                <c:pt idx="80">
                  <c:v>44896</c:v>
                </c:pt>
              </c:numCache>
            </c:numRef>
          </c:cat>
          <c:val>
            <c:numRef>
              <c:f>'Team Numbers'!$AC$63:$AC$146</c:f>
              <c:numCache>
                <c:formatCode>General</c:formatCode>
                <c:ptCount val="84"/>
                <c:pt idx="0">
                  <c:v>54</c:v>
                </c:pt>
                <c:pt idx="1">
                  <c:v>53</c:v>
                </c:pt>
                <c:pt idx="2">
                  <c:v>53</c:v>
                </c:pt>
                <c:pt idx="3">
                  <c:v>52</c:v>
                </c:pt>
                <c:pt idx="4">
                  <c:v>56</c:v>
                </c:pt>
                <c:pt idx="5">
                  <c:v>58</c:v>
                </c:pt>
                <c:pt idx="6">
                  <c:v>58</c:v>
                </c:pt>
                <c:pt idx="7">
                  <c:v>64</c:v>
                </c:pt>
                <c:pt idx="8">
                  <c:v>61</c:v>
                </c:pt>
                <c:pt idx="9">
                  <c:v>60</c:v>
                </c:pt>
                <c:pt idx="10">
                  <c:v>49</c:v>
                </c:pt>
                <c:pt idx="11">
                  <c:v>64</c:v>
                </c:pt>
                <c:pt idx="12">
                  <c:v>68</c:v>
                </c:pt>
                <c:pt idx="13">
                  <c:v>69</c:v>
                </c:pt>
                <c:pt idx="14">
                  <c:v>72</c:v>
                </c:pt>
                <c:pt idx="15">
                  <c:v>77</c:v>
                </c:pt>
                <c:pt idx="16">
                  <c:v>76</c:v>
                </c:pt>
                <c:pt idx="17">
                  <c:v>74</c:v>
                </c:pt>
                <c:pt idx="18">
                  <c:v>74</c:v>
                </c:pt>
                <c:pt idx="19">
                  <c:v>78</c:v>
                </c:pt>
                <c:pt idx="20">
                  <c:v>78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77</c:v>
                </c:pt>
                <c:pt idx="25">
                  <c:v>76</c:v>
                </c:pt>
                <c:pt idx="26">
                  <c:v>76</c:v>
                </c:pt>
                <c:pt idx="27">
                  <c:v>77</c:v>
                </c:pt>
                <c:pt idx="28">
                  <c:v>83</c:v>
                </c:pt>
                <c:pt idx="29">
                  <c:v>85</c:v>
                </c:pt>
                <c:pt idx="30">
                  <c:v>83</c:v>
                </c:pt>
                <c:pt idx="31">
                  <c:v>88</c:v>
                </c:pt>
                <c:pt idx="32">
                  <c:v>91</c:v>
                </c:pt>
                <c:pt idx="33">
                  <c:v>81</c:v>
                </c:pt>
                <c:pt idx="34">
                  <c:v>88</c:v>
                </c:pt>
                <c:pt idx="35">
                  <c:v>80</c:v>
                </c:pt>
                <c:pt idx="36">
                  <c:v>81</c:v>
                </c:pt>
                <c:pt idx="37">
                  <c:v>82</c:v>
                </c:pt>
                <c:pt idx="38">
                  <c:v>84</c:v>
                </c:pt>
                <c:pt idx="39">
                  <c:v>79</c:v>
                </c:pt>
                <c:pt idx="40">
                  <c:v>77</c:v>
                </c:pt>
                <c:pt idx="41">
                  <c:v>73</c:v>
                </c:pt>
                <c:pt idx="42">
                  <c:v>73</c:v>
                </c:pt>
                <c:pt idx="43">
                  <c:v>73</c:v>
                </c:pt>
                <c:pt idx="44">
                  <c:v>69</c:v>
                </c:pt>
                <c:pt idx="45">
                  <c:v>68</c:v>
                </c:pt>
                <c:pt idx="46">
                  <c:v>65</c:v>
                </c:pt>
                <c:pt idx="47">
                  <c:v>64</c:v>
                </c:pt>
                <c:pt idx="48">
                  <c:v>62</c:v>
                </c:pt>
                <c:pt idx="49">
                  <c:v>66</c:v>
                </c:pt>
                <c:pt idx="50">
                  <c:v>77</c:v>
                </c:pt>
                <c:pt idx="51">
                  <c:v>85</c:v>
                </c:pt>
                <c:pt idx="52">
                  <c:v>83</c:v>
                </c:pt>
                <c:pt idx="53">
                  <c:v>83</c:v>
                </c:pt>
                <c:pt idx="54">
                  <c:v>89</c:v>
                </c:pt>
                <c:pt idx="55">
                  <c:v>90</c:v>
                </c:pt>
                <c:pt idx="56">
                  <c:v>87</c:v>
                </c:pt>
                <c:pt idx="57">
                  <c:v>82</c:v>
                </c:pt>
                <c:pt idx="58">
                  <c:v>78</c:v>
                </c:pt>
                <c:pt idx="59">
                  <c:v>89</c:v>
                </c:pt>
                <c:pt idx="60">
                  <c:v>87</c:v>
                </c:pt>
                <c:pt idx="61">
                  <c:v>89</c:v>
                </c:pt>
                <c:pt idx="62">
                  <c:v>86</c:v>
                </c:pt>
                <c:pt idx="63">
                  <c:v>95</c:v>
                </c:pt>
                <c:pt idx="64">
                  <c:v>98</c:v>
                </c:pt>
                <c:pt idx="65">
                  <c:v>101</c:v>
                </c:pt>
                <c:pt idx="66">
                  <c:v>116</c:v>
                </c:pt>
                <c:pt idx="67">
                  <c:v>128</c:v>
                </c:pt>
                <c:pt idx="68">
                  <c:v>131</c:v>
                </c:pt>
                <c:pt idx="69">
                  <c:v>139</c:v>
                </c:pt>
                <c:pt idx="70">
                  <c:v>135</c:v>
                </c:pt>
                <c:pt idx="71">
                  <c:v>128</c:v>
                </c:pt>
                <c:pt idx="72">
                  <c:v>120</c:v>
                </c:pt>
                <c:pt idx="73">
                  <c:v>123</c:v>
                </c:pt>
                <c:pt idx="74">
                  <c:v>110</c:v>
                </c:pt>
                <c:pt idx="75">
                  <c:v>115</c:v>
                </c:pt>
                <c:pt idx="76">
                  <c:v>117</c:v>
                </c:pt>
                <c:pt idx="77">
                  <c:v>126</c:v>
                </c:pt>
                <c:pt idx="78">
                  <c:v>124</c:v>
                </c:pt>
                <c:pt idx="79">
                  <c:v>101</c:v>
                </c:pt>
                <c:pt idx="80">
                  <c:v>91</c:v>
                </c:pt>
                <c:pt idx="81">
                  <c:v>87</c:v>
                </c:pt>
                <c:pt idx="82">
                  <c:v>88</c:v>
                </c:pt>
                <c:pt idx="83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1-4498-94E1-14FED7F4925A}"/>
            </c:ext>
          </c:extLst>
        </c:ser>
        <c:ser>
          <c:idx val="1"/>
          <c:order val="1"/>
          <c:tx>
            <c:strRef>
              <c:f>'Team Numbers'!$AD$20</c:f>
              <c:strCache>
                <c:ptCount val="1"/>
                <c:pt idx="0">
                  <c:v>Indirect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'Team Numbers'!$B$63:$B$143</c:f>
              <c:numCache>
                <c:formatCode>mmm\-yy</c:formatCode>
                <c:ptCount val="81"/>
                <c:pt idx="0">
                  <c:v>42461</c:v>
                </c:pt>
                <c:pt idx="1">
                  <c:v>42491</c:v>
                </c:pt>
                <c:pt idx="2">
                  <c:v>42522</c:v>
                </c:pt>
                <c:pt idx="3">
                  <c:v>42552</c:v>
                </c:pt>
                <c:pt idx="4">
                  <c:v>42583</c:v>
                </c:pt>
                <c:pt idx="5">
                  <c:v>42614</c:v>
                </c:pt>
                <c:pt idx="6">
                  <c:v>42644</c:v>
                </c:pt>
                <c:pt idx="7">
                  <c:v>42675</c:v>
                </c:pt>
                <c:pt idx="8">
                  <c:v>42705</c:v>
                </c:pt>
                <c:pt idx="9">
                  <c:v>42736</c:v>
                </c:pt>
                <c:pt idx="10">
                  <c:v>42767</c:v>
                </c:pt>
                <c:pt idx="11">
                  <c:v>42795</c:v>
                </c:pt>
                <c:pt idx="12">
                  <c:v>42826</c:v>
                </c:pt>
                <c:pt idx="13">
                  <c:v>42856</c:v>
                </c:pt>
                <c:pt idx="14">
                  <c:v>42887</c:v>
                </c:pt>
                <c:pt idx="15">
                  <c:v>42917</c:v>
                </c:pt>
                <c:pt idx="16">
                  <c:v>42948</c:v>
                </c:pt>
                <c:pt idx="17">
                  <c:v>42979</c:v>
                </c:pt>
                <c:pt idx="18">
                  <c:v>43009</c:v>
                </c:pt>
                <c:pt idx="19">
                  <c:v>43040</c:v>
                </c:pt>
                <c:pt idx="20">
                  <c:v>43070</c:v>
                </c:pt>
                <c:pt idx="21">
                  <c:v>43101</c:v>
                </c:pt>
                <c:pt idx="22">
                  <c:v>43132</c:v>
                </c:pt>
                <c:pt idx="23">
                  <c:v>43160</c:v>
                </c:pt>
                <c:pt idx="24">
                  <c:v>43191</c:v>
                </c:pt>
                <c:pt idx="25">
                  <c:v>43221</c:v>
                </c:pt>
                <c:pt idx="26">
                  <c:v>43252</c:v>
                </c:pt>
                <c:pt idx="27">
                  <c:v>43282</c:v>
                </c:pt>
                <c:pt idx="28">
                  <c:v>43313</c:v>
                </c:pt>
                <c:pt idx="29">
                  <c:v>43344</c:v>
                </c:pt>
                <c:pt idx="30">
                  <c:v>43374</c:v>
                </c:pt>
                <c:pt idx="31">
                  <c:v>43405</c:v>
                </c:pt>
                <c:pt idx="32">
                  <c:v>43435</c:v>
                </c:pt>
                <c:pt idx="33">
                  <c:v>43466</c:v>
                </c:pt>
                <c:pt idx="34">
                  <c:v>43497</c:v>
                </c:pt>
                <c:pt idx="35">
                  <c:v>43525</c:v>
                </c:pt>
                <c:pt idx="36">
                  <c:v>43556</c:v>
                </c:pt>
                <c:pt idx="37">
                  <c:v>43586</c:v>
                </c:pt>
                <c:pt idx="38">
                  <c:v>43617</c:v>
                </c:pt>
                <c:pt idx="39">
                  <c:v>43647</c:v>
                </c:pt>
                <c:pt idx="40">
                  <c:v>43678</c:v>
                </c:pt>
                <c:pt idx="41">
                  <c:v>43709</c:v>
                </c:pt>
                <c:pt idx="42">
                  <c:v>43739</c:v>
                </c:pt>
                <c:pt idx="43">
                  <c:v>43770</c:v>
                </c:pt>
                <c:pt idx="44">
                  <c:v>43800</c:v>
                </c:pt>
                <c:pt idx="45">
                  <c:v>43831</c:v>
                </c:pt>
                <c:pt idx="46">
                  <c:v>43862</c:v>
                </c:pt>
                <c:pt idx="47">
                  <c:v>43891</c:v>
                </c:pt>
                <c:pt idx="48">
                  <c:v>43922</c:v>
                </c:pt>
                <c:pt idx="49">
                  <c:v>43952</c:v>
                </c:pt>
                <c:pt idx="50">
                  <c:v>43983</c:v>
                </c:pt>
                <c:pt idx="51">
                  <c:v>44013</c:v>
                </c:pt>
                <c:pt idx="52">
                  <c:v>44044</c:v>
                </c:pt>
                <c:pt idx="53">
                  <c:v>44075</c:v>
                </c:pt>
                <c:pt idx="54">
                  <c:v>44105</c:v>
                </c:pt>
                <c:pt idx="55">
                  <c:v>44136</c:v>
                </c:pt>
                <c:pt idx="56">
                  <c:v>44166</c:v>
                </c:pt>
                <c:pt idx="57">
                  <c:v>44197</c:v>
                </c:pt>
                <c:pt idx="58">
                  <c:v>44228</c:v>
                </c:pt>
                <c:pt idx="59">
                  <c:v>44256</c:v>
                </c:pt>
                <c:pt idx="60">
                  <c:v>44287</c:v>
                </c:pt>
                <c:pt idx="61">
                  <c:v>44317</c:v>
                </c:pt>
                <c:pt idx="62">
                  <c:v>44348</c:v>
                </c:pt>
                <c:pt idx="63">
                  <c:v>44378</c:v>
                </c:pt>
                <c:pt idx="64">
                  <c:v>44409</c:v>
                </c:pt>
                <c:pt idx="65">
                  <c:v>44440</c:v>
                </c:pt>
                <c:pt idx="66">
                  <c:v>44470</c:v>
                </c:pt>
                <c:pt idx="67">
                  <c:v>44501</c:v>
                </c:pt>
                <c:pt idx="68">
                  <c:v>44531</c:v>
                </c:pt>
                <c:pt idx="69">
                  <c:v>44562</c:v>
                </c:pt>
                <c:pt idx="70">
                  <c:v>44593</c:v>
                </c:pt>
                <c:pt idx="71">
                  <c:v>44621</c:v>
                </c:pt>
                <c:pt idx="72">
                  <c:v>44652</c:v>
                </c:pt>
                <c:pt idx="73">
                  <c:v>44682</c:v>
                </c:pt>
                <c:pt idx="74">
                  <c:v>44713</c:v>
                </c:pt>
                <c:pt idx="75">
                  <c:v>44743</c:v>
                </c:pt>
                <c:pt idx="76">
                  <c:v>44774</c:v>
                </c:pt>
                <c:pt idx="77">
                  <c:v>44805</c:v>
                </c:pt>
                <c:pt idx="78">
                  <c:v>44835</c:v>
                </c:pt>
                <c:pt idx="79">
                  <c:v>44866</c:v>
                </c:pt>
                <c:pt idx="80">
                  <c:v>44896</c:v>
                </c:pt>
              </c:numCache>
            </c:numRef>
          </c:cat>
          <c:val>
            <c:numRef>
              <c:f>'Team Numbers'!$AD$63:$AD$146</c:f>
              <c:numCache>
                <c:formatCode>General</c:formatCode>
                <c:ptCount val="84"/>
                <c:pt idx="0">
                  <c:v>18</c:v>
                </c:pt>
                <c:pt idx="1">
                  <c:v>17</c:v>
                </c:pt>
                <c:pt idx="2">
                  <c:v>14</c:v>
                </c:pt>
                <c:pt idx="3">
                  <c:v>15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15</c:v>
                </c:pt>
                <c:pt idx="13">
                  <c:v>21</c:v>
                </c:pt>
                <c:pt idx="14">
                  <c:v>22</c:v>
                </c:pt>
                <c:pt idx="15">
                  <c:v>21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27</c:v>
                </c:pt>
                <c:pt idx="22">
                  <c:v>24</c:v>
                </c:pt>
                <c:pt idx="23">
                  <c:v>23</c:v>
                </c:pt>
                <c:pt idx="24">
                  <c:v>26</c:v>
                </c:pt>
                <c:pt idx="25">
                  <c:v>25</c:v>
                </c:pt>
                <c:pt idx="26">
                  <c:v>24</c:v>
                </c:pt>
                <c:pt idx="27">
                  <c:v>23</c:v>
                </c:pt>
                <c:pt idx="28">
                  <c:v>21</c:v>
                </c:pt>
                <c:pt idx="29">
                  <c:v>22</c:v>
                </c:pt>
                <c:pt idx="30">
                  <c:v>22</c:v>
                </c:pt>
                <c:pt idx="31">
                  <c:v>23</c:v>
                </c:pt>
                <c:pt idx="32">
                  <c:v>20</c:v>
                </c:pt>
                <c:pt idx="33">
                  <c:v>26</c:v>
                </c:pt>
                <c:pt idx="34">
                  <c:v>19</c:v>
                </c:pt>
                <c:pt idx="35">
                  <c:v>24</c:v>
                </c:pt>
                <c:pt idx="36">
                  <c:v>25</c:v>
                </c:pt>
                <c:pt idx="37">
                  <c:v>24</c:v>
                </c:pt>
                <c:pt idx="38">
                  <c:v>22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32</c:v>
                </c:pt>
                <c:pt idx="45">
                  <c:v>34</c:v>
                </c:pt>
                <c:pt idx="46">
                  <c:v>32</c:v>
                </c:pt>
                <c:pt idx="47">
                  <c:v>31</c:v>
                </c:pt>
                <c:pt idx="48">
                  <c:v>31</c:v>
                </c:pt>
                <c:pt idx="49">
                  <c:v>28</c:v>
                </c:pt>
                <c:pt idx="50">
                  <c:v>26</c:v>
                </c:pt>
                <c:pt idx="51">
                  <c:v>26</c:v>
                </c:pt>
                <c:pt idx="52">
                  <c:v>24</c:v>
                </c:pt>
                <c:pt idx="53">
                  <c:v>26</c:v>
                </c:pt>
                <c:pt idx="54">
                  <c:v>27</c:v>
                </c:pt>
                <c:pt idx="55">
                  <c:v>26</c:v>
                </c:pt>
                <c:pt idx="56">
                  <c:v>27</c:v>
                </c:pt>
                <c:pt idx="57">
                  <c:v>29</c:v>
                </c:pt>
                <c:pt idx="58">
                  <c:v>29</c:v>
                </c:pt>
                <c:pt idx="59">
                  <c:v>25</c:v>
                </c:pt>
                <c:pt idx="60">
                  <c:v>24</c:v>
                </c:pt>
                <c:pt idx="61">
                  <c:v>24</c:v>
                </c:pt>
                <c:pt idx="62">
                  <c:v>26</c:v>
                </c:pt>
                <c:pt idx="63">
                  <c:v>27</c:v>
                </c:pt>
                <c:pt idx="64">
                  <c:v>26</c:v>
                </c:pt>
                <c:pt idx="65">
                  <c:v>25</c:v>
                </c:pt>
                <c:pt idx="66">
                  <c:v>29</c:v>
                </c:pt>
                <c:pt idx="67">
                  <c:v>29</c:v>
                </c:pt>
                <c:pt idx="68">
                  <c:v>31</c:v>
                </c:pt>
                <c:pt idx="69">
                  <c:v>32</c:v>
                </c:pt>
                <c:pt idx="70">
                  <c:v>33</c:v>
                </c:pt>
                <c:pt idx="71">
                  <c:v>35</c:v>
                </c:pt>
                <c:pt idx="72">
                  <c:v>34</c:v>
                </c:pt>
                <c:pt idx="73">
                  <c:v>35</c:v>
                </c:pt>
                <c:pt idx="74">
                  <c:v>37</c:v>
                </c:pt>
                <c:pt idx="75">
                  <c:v>38</c:v>
                </c:pt>
                <c:pt idx="76">
                  <c:v>38</c:v>
                </c:pt>
                <c:pt idx="77">
                  <c:v>37</c:v>
                </c:pt>
                <c:pt idx="78">
                  <c:v>41</c:v>
                </c:pt>
                <c:pt idx="79">
                  <c:v>33</c:v>
                </c:pt>
                <c:pt idx="80">
                  <c:v>31</c:v>
                </c:pt>
                <c:pt idx="81">
                  <c:v>31</c:v>
                </c:pt>
                <c:pt idx="82">
                  <c:v>26</c:v>
                </c:pt>
                <c:pt idx="8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1-4498-94E1-14FED7F49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157184"/>
        <c:axId val="1317228848"/>
      </c:lineChart>
      <c:lineChart>
        <c:grouping val="standard"/>
        <c:varyColors val="0"/>
        <c:ser>
          <c:idx val="2"/>
          <c:order val="2"/>
          <c:tx>
            <c:strRef>
              <c:f>'Team Numbers'!$AF$20</c:f>
              <c:strCache>
                <c:ptCount val="1"/>
                <c:pt idx="0">
                  <c:v>Ratio to Directs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'Team Numbers'!$B$63:$B$146</c:f>
              <c:numCache>
                <c:formatCode>mmm\-yy</c:formatCode>
                <c:ptCount val="84"/>
                <c:pt idx="0">
                  <c:v>42461</c:v>
                </c:pt>
                <c:pt idx="1">
                  <c:v>42491</c:v>
                </c:pt>
                <c:pt idx="2">
                  <c:v>42522</c:v>
                </c:pt>
                <c:pt idx="3">
                  <c:v>42552</c:v>
                </c:pt>
                <c:pt idx="4">
                  <c:v>42583</c:v>
                </c:pt>
                <c:pt idx="5">
                  <c:v>42614</c:v>
                </c:pt>
                <c:pt idx="6">
                  <c:v>42644</c:v>
                </c:pt>
                <c:pt idx="7">
                  <c:v>42675</c:v>
                </c:pt>
                <c:pt idx="8">
                  <c:v>42705</c:v>
                </c:pt>
                <c:pt idx="9">
                  <c:v>42736</c:v>
                </c:pt>
                <c:pt idx="10">
                  <c:v>42767</c:v>
                </c:pt>
                <c:pt idx="11">
                  <c:v>42795</c:v>
                </c:pt>
                <c:pt idx="12">
                  <c:v>42826</c:v>
                </c:pt>
                <c:pt idx="13">
                  <c:v>42856</c:v>
                </c:pt>
                <c:pt idx="14">
                  <c:v>42887</c:v>
                </c:pt>
                <c:pt idx="15">
                  <c:v>42917</c:v>
                </c:pt>
                <c:pt idx="16">
                  <c:v>42948</c:v>
                </c:pt>
                <c:pt idx="17">
                  <c:v>42979</c:v>
                </c:pt>
                <c:pt idx="18">
                  <c:v>43009</c:v>
                </c:pt>
                <c:pt idx="19">
                  <c:v>43040</c:v>
                </c:pt>
                <c:pt idx="20">
                  <c:v>43070</c:v>
                </c:pt>
                <c:pt idx="21">
                  <c:v>43101</c:v>
                </c:pt>
                <c:pt idx="22">
                  <c:v>43132</c:v>
                </c:pt>
                <c:pt idx="23">
                  <c:v>43160</c:v>
                </c:pt>
                <c:pt idx="24">
                  <c:v>43191</c:v>
                </c:pt>
                <c:pt idx="25">
                  <c:v>43221</c:v>
                </c:pt>
                <c:pt idx="26">
                  <c:v>43252</c:v>
                </c:pt>
                <c:pt idx="27">
                  <c:v>43282</c:v>
                </c:pt>
                <c:pt idx="28">
                  <c:v>43313</c:v>
                </c:pt>
                <c:pt idx="29">
                  <c:v>43344</c:v>
                </c:pt>
                <c:pt idx="30">
                  <c:v>43374</c:v>
                </c:pt>
                <c:pt idx="31">
                  <c:v>43405</c:v>
                </c:pt>
                <c:pt idx="32">
                  <c:v>43435</c:v>
                </c:pt>
                <c:pt idx="33">
                  <c:v>43466</c:v>
                </c:pt>
                <c:pt idx="34">
                  <c:v>43497</c:v>
                </c:pt>
                <c:pt idx="35">
                  <c:v>43525</c:v>
                </c:pt>
                <c:pt idx="36">
                  <c:v>43556</c:v>
                </c:pt>
                <c:pt idx="37">
                  <c:v>43586</c:v>
                </c:pt>
                <c:pt idx="38">
                  <c:v>43617</c:v>
                </c:pt>
                <c:pt idx="39">
                  <c:v>43647</c:v>
                </c:pt>
                <c:pt idx="40">
                  <c:v>43678</c:v>
                </c:pt>
                <c:pt idx="41">
                  <c:v>43709</c:v>
                </c:pt>
                <c:pt idx="42">
                  <c:v>43739</c:v>
                </c:pt>
                <c:pt idx="43">
                  <c:v>43770</c:v>
                </c:pt>
                <c:pt idx="44">
                  <c:v>43800</c:v>
                </c:pt>
                <c:pt idx="45">
                  <c:v>43831</c:v>
                </c:pt>
                <c:pt idx="46">
                  <c:v>43862</c:v>
                </c:pt>
                <c:pt idx="47">
                  <c:v>43891</c:v>
                </c:pt>
                <c:pt idx="48">
                  <c:v>43922</c:v>
                </c:pt>
                <c:pt idx="49">
                  <c:v>43952</c:v>
                </c:pt>
                <c:pt idx="50">
                  <c:v>43983</c:v>
                </c:pt>
                <c:pt idx="51">
                  <c:v>44013</c:v>
                </c:pt>
                <c:pt idx="52">
                  <c:v>44044</c:v>
                </c:pt>
                <c:pt idx="53">
                  <c:v>44075</c:v>
                </c:pt>
                <c:pt idx="54">
                  <c:v>44105</c:v>
                </c:pt>
                <c:pt idx="55">
                  <c:v>44136</c:v>
                </c:pt>
                <c:pt idx="56">
                  <c:v>44166</c:v>
                </c:pt>
                <c:pt idx="57">
                  <c:v>44197</c:v>
                </c:pt>
                <c:pt idx="58">
                  <c:v>44228</c:v>
                </c:pt>
                <c:pt idx="59">
                  <c:v>44256</c:v>
                </c:pt>
                <c:pt idx="60">
                  <c:v>44287</c:v>
                </c:pt>
                <c:pt idx="61">
                  <c:v>44317</c:v>
                </c:pt>
                <c:pt idx="62">
                  <c:v>44348</c:v>
                </c:pt>
                <c:pt idx="63">
                  <c:v>44378</c:v>
                </c:pt>
                <c:pt idx="64">
                  <c:v>44409</c:v>
                </c:pt>
                <c:pt idx="65">
                  <c:v>44440</c:v>
                </c:pt>
                <c:pt idx="66">
                  <c:v>44470</c:v>
                </c:pt>
                <c:pt idx="67">
                  <c:v>44501</c:v>
                </c:pt>
                <c:pt idx="68">
                  <c:v>44531</c:v>
                </c:pt>
                <c:pt idx="69">
                  <c:v>44562</c:v>
                </c:pt>
                <c:pt idx="70">
                  <c:v>44593</c:v>
                </c:pt>
                <c:pt idx="71">
                  <c:v>44621</c:v>
                </c:pt>
                <c:pt idx="72">
                  <c:v>44652</c:v>
                </c:pt>
                <c:pt idx="73">
                  <c:v>44682</c:v>
                </c:pt>
                <c:pt idx="74">
                  <c:v>44713</c:v>
                </c:pt>
                <c:pt idx="75">
                  <c:v>44743</c:v>
                </c:pt>
                <c:pt idx="76">
                  <c:v>44774</c:v>
                </c:pt>
                <c:pt idx="77">
                  <c:v>44805</c:v>
                </c:pt>
                <c:pt idx="78">
                  <c:v>44835</c:v>
                </c:pt>
                <c:pt idx="79">
                  <c:v>44866</c:v>
                </c:pt>
                <c:pt idx="80">
                  <c:v>44896</c:v>
                </c:pt>
                <c:pt idx="81">
                  <c:v>44927</c:v>
                </c:pt>
                <c:pt idx="82">
                  <c:v>44958</c:v>
                </c:pt>
                <c:pt idx="83">
                  <c:v>44986</c:v>
                </c:pt>
              </c:numCache>
            </c:numRef>
          </c:cat>
          <c:val>
            <c:numRef>
              <c:f>'Team Numbers'!$AF$63:$AF$146</c:f>
              <c:numCache>
                <c:formatCode>0%</c:formatCode>
                <c:ptCount val="84"/>
                <c:pt idx="0">
                  <c:v>0.33333333333333331</c:v>
                </c:pt>
                <c:pt idx="1">
                  <c:v>0.32075471698113206</c:v>
                </c:pt>
                <c:pt idx="2">
                  <c:v>0.26415094339622641</c:v>
                </c:pt>
                <c:pt idx="3">
                  <c:v>0.28846153846153844</c:v>
                </c:pt>
                <c:pt idx="4">
                  <c:v>0.26785714285714285</c:v>
                </c:pt>
                <c:pt idx="5">
                  <c:v>0.22413793103448276</c:v>
                </c:pt>
                <c:pt idx="6">
                  <c:v>0.25862068965517243</c:v>
                </c:pt>
                <c:pt idx="7">
                  <c:v>0.234375</c:v>
                </c:pt>
                <c:pt idx="8">
                  <c:v>0.24590163934426229</c:v>
                </c:pt>
                <c:pt idx="9">
                  <c:v>0.25</c:v>
                </c:pt>
                <c:pt idx="10">
                  <c:v>0.32653061224489793</c:v>
                </c:pt>
                <c:pt idx="11">
                  <c:v>0.25</c:v>
                </c:pt>
                <c:pt idx="12">
                  <c:v>0.22058823529411764</c:v>
                </c:pt>
                <c:pt idx="13">
                  <c:v>0.30434782608695654</c:v>
                </c:pt>
                <c:pt idx="14">
                  <c:v>0.30555555555555558</c:v>
                </c:pt>
                <c:pt idx="15">
                  <c:v>0.27272727272727271</c:v>
                </c:pt>
                <c:pt idx="16">
                  <c:v>0.38157894736842107</c:v>
                </c:pt>
                <c:pt idx="17">
                  <c:v>0.39189189189189189</c:v>
                </c:pt>
                <c:pt idx="18">
                  <c:v>0.39189189189189189</c:v>
                </c:pt>
                <c:pt idx="19">
                  <c:v>0.37179487179487181</c:v>
                </c:pt>
                <c:pt idx="20">
                  <c:v>0.37179487179487181</c:v>
                </c:pt>
                <c:pt idx="21">
                  <c:v>0.34177215189873417</c:v>
                </c:pt>
                <c:pt idx="22">
                  <c:v>0.30769230769230771</c:v>
                </c:pt>
                <c:pt idx="23">
                  <c:v>0.29870129870129869</c:v>
                </c:pt>
                <c:pt idx="24">
                  <c:v>0.33766233766233766</c:v>
                </c:pt>
                <c:pt idx="25">
                  <c:v>0.32894736842105265</c:v>
                </c:pt>
                <c:pt idx="26">
                  <c:v>0.31578947368421051</c:v>
                </c:pt>
                <c:pt idx="27">
                  <c:v>0.29870129870129869</c:v>
                </c:pt>
                <c:pt idx="28">
                  <c:v>0.25301204819277107</c:v>
                </c:pt>
                <c:pt idx="29">
                  <c:v>0.25882352941176473</c:v>
                </c:pt>
                <c:pt idx="30">
                  <c:v>0.26506024096385544</c:v>
                </c:pt>
                <c:pt idx="31">
                  <c:v>0.26136363636363635</c:v>
                </c:pt>
                <c:pt idx="32">
                  <c:v>0.21978021978021978</c:v>
                </c:pt>
                <c:pt idx="33">
                  <c:v>0.32098765432098764</c:v>
                </c:pt>
                <c:pt idx="34">
                  <c:v>0.21590909090909091</c:v>
                </c:pt>
                <c:pt idx="35">
                  <c:v>0.3</c:v>
                </c:pt>
                <c:pt idx="36">
                  <c:v>0.30864197530864196</c:v>
                </c:pt>
                <c:pt idx="37">
                  <c:v>0.29268292682926828</c:v>
                </c:pt>
                <c:pt idx="38">
                  <c:v>0.26190476190476192</c:v>
                </c:pt>
                <c:pt idx="39">
                  <c:v>0.36708860759493672</c:v>
                </c:pt>
                <c:pt idx="40">
                  <c:v>0.38961038961038963</c:v>
                </c:pt>
                <c:pt idx="41">
                  <c:v>0.42465753424657532</c:v>
                </c:pt>
                <c:pt idx="42">
                  <c:v>0.42465753424657532</c:v>
                </c:pt>
                <c:pt idx="43">
                  <c:v>0.42465753424657532</c:v>
                </c:pt>
                <c:pt idx="44">
                  <c:v>0.46376811594202899</c:v>
                </c:pt>
                <c:pt idx="45">
                  <c:v>0.5</c:v>
                </c:pt>
                <c:pt idx="46">
                  <c:v>0.49230769230769234</c:v>
                </c:pt>
                <c:pt idx="47">
                  <c:v>0.484375</c:v>
                </c:pt>
                <c:pt idx="48">
                  <c:v>0.5</c:v>
                </c:pt>
                <c:pt idx="49">
                  <c:v>0.42424242424242425</c:v>
                </c:pt>
                <c:pt idx="50">
                  <c:v>0.33766233766233766</c:v>
                </c:pt>
                <c:pt idx="51">
                  <c:v>0.30588235294117649</c:v>
                </c:pt>
                <c:pt idx="52">
                  <c:v>0.28915662650602408</c:v>
                </c:pt>
                <c:pt idx="53">
                  <c:v>0.31325301204819278</c:v>
                </c:pt>
                <c:pt idx="54">
                  <c:v>0.30337078651685395</c:v>
                </c:pt>
                <c:pt idx="55">
                  <c:v>0.28888888888888886</c:v>
                </c:pt>
                <c:pt idx="56">
                  <c:v>0.31034482758620691</c:v>
                </c:pt>
                <c:pt idx="57">
                  <c:v>0.35365853658536583</c:v>
                </c:pt>
                <c:pt idx="58">
                  <c:v>0.37179487179487181</c:v>
                </c:pt>
                <c:pt idx="59">
                  <c:v>0.2808988764044944</c:v>
                </c:pt>
                <c:pt idx="60">
                  <c:v>0.27586206896551724</c:v>
                </c:pt>
                <c:pt idx="61">
                  <c:v>0.2696629213483146</c:v>
                </c:pt>
                <c:pt idx="62">
                  <c:v>0.30232558139534882</c:v>
                </c:pt>
                <c:pt idx="63">
                  <c:v>0.28421052631578947</c:v>
                </c:pt>
                <c:pt idx="64">
                  <c:v>0.26530612244897961</c:v>
                </c:pt>
                <c:pt idx="65">
                  <c:v>0.24752475247524752</c:v>
                </c:pt>
                <c:pt idx="66">
                  <c:v>0.25</c:v>
                </c:pt>
                <c:pt idx="67">
                  <c:v>0.2265625</c:v>
                </c:pt>
                <c:pt idx="68">
                  <c:v>0.23664122137404581</c:v>
                </c:pt>
                <c:pt idx="69">
                  <c:v>0.23021582733812951</c:v>
                </c:pt>
                <c:pt idx="70">
                  <c:v>0.24444444444444444</c:v>
                </c:pt>
                <c:pt idx="71">
                  <c:v>0.2734375</c:v>
                </c:pt>
                <c:pt idx="72">
                  <c:v>0.28333333333333333</c:v>
                </c:pt>
                <c:pt idx="73">
                  <c:v>0.28455284552845528</c:v>
                </c:pt>
                <c:pt idx="74">
                  <c:v>0.33636363636363636</c:v>
                </c:pt>
                <c:pt idx="75">
                  <c:v>0.33043478260869563</c:v>
                </c:pt>
                <c:pt idx="76">
                  <c:v>0.3247863247863248</c:v>
                </c:pt>
                <c:pt idx="77">
                  <c:v>0.29365079365079366</c:v>
                </c:pt>
                <c:pt idx="78">
                  <c:v>0.33064516129032256</c:v>
                </c:pt>
                <c:pt idx="79">
                  <c:v>0.32673267326732675</c:v>
                </c:pt>
                <c:pt idx="80">
                  <c:v>0.34065934065934067</c:v>
                </c:pt>
                <c:pt idx="81">
                  <c:v>0.35632183908045978</c:v>
                </c:pt>
                <c:pt idx="82">
                  <c:v>0.29545454545454547</c:v>
                </c:pt>
                <c:pt idx="83">
                  <c:v>0.30379746835443039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1-4498-94E1-14FED7F49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185840"/>
        <c:axId val="1348493104"/>
      </c:lineChart>
      <c:dateAx>
        <c:axId val="13541571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28848"/>
        <c:crosses val="autoZero"/>
        <c:auto val="1"/>
        <c:lblOffset val="100"/>
        <c:baseTimeUnit val="months"/>
      </c:dateAx>
      <c:valAx>
        <c:axId val="131722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157184"/>
        <c:crosses val="autoZero"/>
        <c:crossBetween val="between"/>
      </c:valAx>
      <c:valAx>
        <c:axId val="1348493104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185840"/>
        <c:crosses val="max"/>
        <c:crossBetween val="between"/>
      </c:valAx>
      <c:dateAx>
        <c:axId val="144618584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4849310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In-Directs against Total Team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'Team Numbers'!$AO$20</c:f>
              <c:strCache>
                <c:ptCount val="1"/>
                <c:pt idx="0">
                  <c:v>All In-Directs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'Team Numbers'!$B$88:$B$108</c:f>
              <c:numCache>
                <c:formatCode>mmm\-yy</c:formatCode>
                <c:ptCount val="21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</c:numCache>
            </c:numRef>
          </c:cat>
          <c:val>
            <c:numRef>
              <c:f>'Team Numbers'!$AO$88:$AO$108</c:f>
              <c:numCache>
                <c:formatCode>0%</c:formatCode>
                <c:ptCount val="21"/>
                <c:pt idx="0">
                  <c:v>0.38524590163934425</c:v>
                </c:pt>
                <c:pt idx="1">
                  <c:v>0.37190082644628097</c:v>
                </c:pt>
                <c:pt idx="2">
                  <c:v>0.36363636363636365</c:v>
                </c:pt>
                <c:pt idx="3">
                  <c:v>0.34126984126984128</c:v>
                </c:pt>
                <c:pt idx="4">
                  <c:v>0.3359375</c:v>
                </c:pt>
                <c:pt idx="5">
                  <c:v>0.34645669291338582</c:v>
                </c:pt>
                <c:pt idx="6">
                  <c:v>0.34883720930232559</c:v>
                </c:pt>
                <c:pt idx="7">
                  <c:v>0.32592592592592595</c:v>
                </c:pt>
                <c:pt idx="8">
                  <c:v>0.37692307692307692</c:v>
                </c:pt>
                <c:pt idx="9">
                  <c:v>0.3125</c:v>
                </c:pt>
                <c:pt idx="10">
                  <c:v>0.37301587301587302</c:v>
                </c:pt>
                <c:pt idx="11">
                  <c:v>0.37007874015748032</c:v>
                </c:pt>
                <c:pt idx="12">
                  <c:v>0.37404580152671757</c:v>
                </c:pt>
                <c:pt idx="13">
                  <c:v>0.35877862595419846</c:v>
                </c:pt>
                <c:pt idx="14">
                  <c:v>0.40601503759398494</c:v>
                </c:pt>
                <c:pt idx="15">
                  <c:v>0.41666666666666669</c:v>
                </c:pt>
                <c:pt idx="16">
                  <c:v>0.4375</c:v>
                </c:pt>
                <c:pt idx="17">
                  <c:v>0.4296875</c:v>
                </c:pt>
                <c:pt idx="18">
                  <c:v>0.4296875</c:v>
                </c:pt>
                <c:pt idx="19">
                  <c:v>0.44354838709677419</c:v>
                </c:pt>
                <c:pt idx="20">
                  <c:v>0.46031746031746029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5-4C68-BDDA-9D08E6F08D46}"/>
            </c:ext>
          </c:extLst>
        </c:ser>
        <c:ser>
          <c:idx val="2"/>
          <c:order val="1"/>
          <c:tx>
            <c:strRef>
              <c:f>'Team Numbers'!$AP$20</c:f>
              <c:strCache>
                <c:ptCount val="1"/>
                <c:pt idx="0">
                  <c:v>Prod Eng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'Team Numbers'!$B$88:$B$108</c:f>
              <c:numCache>
                <c:formatCode>mmm\-yy</c:formatCode>
                <c:ptCount val="21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</c:numCache>
            </c:numRef>
          </c:cat>
          <c:val>
            <c:numRef>
              <c:f>'Team Numbers'!$AP$88:$AP$108</c:f>
              <c:numCache>
                <c:formatCode>0%</c:formatCode>
                <c:ptCount val="21"/>
                <c:pt idx="0">
                  <c:v>0.10655737704918032</c:v>
                </c:pt>
                <c:pt idx="1">
                  <c:v>0.10743801652892562</c:v>
                </c:pt>
                <c:pt idx="2">
                  <c:v>0.10743801652892562</c:v>
                </c:pt>
                <c:pt idx="3">
                  <c:v>0.10317460317460317</c:v>
                </c:pt>
                <c:pt idx="4">
                  <c:v>0.109375</c:v>
                </c:pt>
                <c:pt idx="5">
                  <c:v>0.11023622047244094</c:v>
                </c:pt>
                <c:pt idx="6">
                  <c:v>0.11627906976744186</c:v>
                </c:pt>
                <c:pt idx="7">
                  <c:v>0.1111111111111111</c:v>
                </c:pt>
                <c:pt idx="8">
                  <c:v>0.1076923076923077</c:v>
                </c:pt>
                <c:pt idx="9">
                  <c:v>0.1015625</c:v>
                </c:pt>
                <c:pt idx="10">
                  <c:v>0.11904761904761904</c:v>
                </c:pt>
                <c:pt idx="11">
                  <c:v>0.11023622047244094</c:v>
                </c:pt>
                <c:pt idx="12">
                  <c:v>0.12977099236641221</c:v>
                </c:pt>
                <c:pt idx="13">
                  <c:v>0.12977099236641221</c:v>
                </c:pt>
                <c:pt idx="14">
                  <c:v>0.12030075187969924</c:v>
                </c:pt>
                <c:pt idx="15">
                  <c:v>0.12121212121212122</c:v>
                </c:pt>
                <c:pt idx="16">
                  <c:v>0.125</c:v>
                </c:pt>
                <c:pt idx="17">
                  <c:v>0.125</c:v>
                </c:pt>
                <c:pt idx="18">
                  <c:v>0.125</c:v>
                </c:pt>
                <c:pt idx="19">
                  <c:v>0.12903225806451613</c:v>
                </c:pt>
                <c:pt idx="20">
                  <c:v>0.12698412698412698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5-4C68-BDDA-9D08E6F08D46}"/>
            </c:ext>
          </c:extLst>
        </c:ser>
        <c:ser>
          <c:idx val="3"/>
          <c:order val="2"/>
          <c:tx>
            <c:strRef>
              <c:f>'Team Numbers'!$AQ$20</c:f>
              <c:strCache>
                <c:ptCount val="1"/>
                <c:pt idx="0">
                  <c:v>All Stores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'Team Numbers'!$B$88:$B$108</c:f>
              <c:numCache>
                <c:formatCode>mmm\-yy</c:formatCode>
                <c:ptCount val="21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</c:numCache>
            </c:numRef>
          </c:cat>
          <c:val>
            <c:numRef>
              <c:f>'Team Numbers'!$AQ$88:$AQ$108</c:f>
              <c:numCache>
                <c:formatCode>0%</c:formatCode>
                <c:ptCount val="21"/>
                <c:pt idx="0">
                  <c:v>7.3770491803278687E-2</c:v>
                </c:pt>
                <c:pt idx="1">
                  <c:v>6.6115702479338845E-2</c:v>
                </c:pt>
                <c:pt idx="2">
                  <c:v>6.6115702479338845E-2</c:v>
                </c:pt>
                <c:pt idx="3">
                  <c:v>7.1428571428571425E-2</c:v>
                </c:pt>
                <c:pt idx="4">
                  <c:v>5.46875E-2</c:v>
                </c:pt>
                <c:pt idx="5">
                  <c:v>6.2992125984251968E-2</c:v>
                </c:pt>
                <c:pt idx="6">
                  <c:v>5.4263565891472867E-2</c:v>
                </c:pt>
                <c:pt idx="7">
                  <c:v>6.6666666666666666E-2</c:v>
                </c:pt>
                <c:pt idx="8">
                  <c:v>6.9230769230769235E-2</c:v>
                </c:pt>
                <c:pt idx="9">
                  <c:v>6.25E-2</c:v>
                </c:pt>
                <c:pt idx="10">
                  <c:v>6.3492063492063489E-2</c:v>
                </c:pt>
                <c:pt idx="11">
                  <c:v>6.2992125984251968E-2</c:v>
                </c:pt>
                <c:pt idx="12">
                  <c:v>6.1068702290076333E-2</c:v>
                </c:pt>
                <c:pt idx="13">
                  <c:v>6.1068702290076333E-2</c:v>
                </c:pt>
                <c:pt idx="14">
                  <c:v>6.7669172932330823E-2</c:v>
                </c:pt>
                <c:pt idx="15">
                  <c:v>6.8181818181818177E-2</c:v>
                </c:pt>
                <c:pt idx="16">
                  <c:v>7.03125E-2</c:v>
                </c:pt>
                <c:pt idx="17">
                  <c:v>6.25E-2</c:v>
                </c:pt>
                <c:pt idx="18">
                  <c:v>6.25E-2</c:v>
                </c:pt>
                <c:pt idx="19">
                  <c:v>5.6451612903225805E-2</c:v>
                </c:pt>
                <c:pt idx="20">
                  <c:v>6.3492063492063489E-2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A5-4C68-BDDA-9D08E6F08D46}"/>
            </c:ext>
          </c:extLst>
        </c:ser>
        <c:ser>
          <c:idx val="4"/>
          <c:order val="3"/>
          <c:tx>
            <c:strRef>
              <c:f>'Team Numbers'!$AR$20</c:f>
              <c:strCache>
                <c:ptCount val="1"/>
                <c:pt idx="0">
                  <c:v>PCB Team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'Team Numbers'!$B$88:$B$108</c:f>
              <c:numCache>
                <c:formatCode>mmm\-yy</c:formatCode>
                <c:ptCount val="21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</c:numCache>
            </c:numRef>
          </c:cat>
          <c:val>
            <c:numRef>
              <c:f>'Team Numbers'!$AR$88:$AR$108</c:f>
              <c:numCache>
                <c:formatCode>0%</c:formatCode>
                <c:ptCount val="21"/>
                <c:pt idx="0">
                  <c:v>0.11475409836065574</c:v>
                </c:pt>
                <c:pt idx="1">
                  <c:v>0.11570247933884298</c:v>
                </c:pt>
                <c:pt idx="2">
                  <c:v>0.10743801652892562</c:v>
                </c:pt>
                <c:pt idx="3">
                  <c:v>0.10317460317460317</c:v>
                </c:pt>
                <c:pt idx="4">
                  <c:v>0.1015625</c:v>
                </c:pt>
                <c:pt idx="5">
                  <c:v>0.10236220472440945</c:v>
                </c:pt>
                <c:pt idx="6">
                  <c:v>0.10077519379844961</c:v>
                </c:pt>
                <c:pt idx="7">
                  <c:v>9.6296296296296297E-2</c:v>
                </c:pt>
                <c:pt idx="8">
                  <c:v>0.1</c:v>
                </c:pt>
                <c:pt idx="9">
                  <c:v>9.375E-2</c:v>
                </c:pt>
                <c:pt idx="10">
                  <c:v>0.1111111111111111</c:v>
                </c:pt>
                <c:pt idx="11">
                  <c:v>0.11023622047244094</c:v>
                </c:pt>
                <c:pt idx="12">
                  <c:v>0.10687022900763359</c:v>
                </c:pt>
                <c:pt idx="13">
                  <c:v>9.9236641221374045E-2</c:v>
                </c:pt>
                <c:pt idx="14">
                  <c:v>0.14285714285714285</c:v>
                </c:pt>
                <c:pt idx="15">
                  <c:v>0.14393939393939395</c:v>
                </c:pt>
                <c:pt idx="16">
                  <c:v>0.1484375</c:v>
                </c:pt>
                <c:pt idx="17">
                  <c:v>0.1484375</c:v>
                </c:pt>
                <c:pt idx="18">
                  <c:v>0.1484375</c:v>
                </c:pt>
                <c:pt idx="19">
                  <c:v>0.15322580645161291</c:v>
                </c:pt>
                <c:pt idx="20">
                  <c:v>0.15079365079365079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A5-4C68-BDDA-9D08E6F08D46}"/>
            </c:ext>
          </c:extLst>
        </c:ser>
        <c:ser>
          <c:idx val="1"/>
          <c:order val="4"/>
          <c:tx>
            <c:strRef>
              <c:f>'Team Numbers'!$AS$20</c:f>
              <c:strCache>
                <c:ptCount val="1"/>
                <c:pt idx="0">
                  <c:v>FA Team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'Team Numbers'!$B$88:$B$108</c:f>
              <c:numCache>
                <c:formatCode>mmm\-yy</c:formatCode>
                <c:ptCount val="21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</c:numCache>
            </c:numRef>
          </c:cat>
          <c:val>
            <c:numRef>
              <c:f>'Team Numbers'!$AS$88:$AS$108</c:f>
              <c:numCache>
                <c:formatCode>0%</c:formatCode>
                <c:ptCount val="21"/>
                <c:pt idx="0">
                  <c:v>0.16393442622950818</c:v>
                </c:pt>
                <c:pt idx="1">
                  <c:v>0.1487603305785124</c:v>
                </c:pt>
                <c:pt idx="2">
                  <c:v>0.1487603305785124</c:v>
                </c:pt>
                <c:pt idx="3">
                  <c:v>0.13492063492063491</c:v>
                </c:pt>
                <c:pt idx="4">
                  <c:v>0.125</c:v>
                </c:pt>
                <c:pt idx="5">
                  <c:v>0.13385826771653545</c:v>
                </c:pt>
                <c:pt idx="6">
                  <c:v>0.13178294573643412</c:v>
                </c:pt>
                <c:pt idx="7">
                  <c:v>0.11851851851851852</c:v>
                </c:pt>
                <c:pt idx="8">
                  <c:v>0.16923076923076924</c:v>
                </c:pt>
                <c:pt idx="9">
                  <c:v>0.1171875</c:v>
                </c:pt>
                <c:pt idx="10">
                  <c:v>0.14285714285714285</c:v>
                </c:pt>
                <c:pt idx="11">
                  <c:v>0.14960629921259844</c:v>
                </c:pt>
                <c:pt idx="12">
                  <c:v>0.13740458015267176</c:v>
                </c:pt>
                <c:pt idx="13">
                  <c:v>0.12977099236641221</c:v>
                </c:pt>
                <c:pt idx="14">
                  <c:v>0.14285714285714285</c:v>
                </c:pt>
                <c:pt idx="15">
                  <c:v>0.15151515151515152</c:v>
                </c:pt>
                <c:pt idx="16">
                  <c:v>0.1640625</c:v>
                </c:pt>
                <c:pt idx="17">
                  <c:v>0.15625</c:v>
                </c:pt>
                <c:pt idx="18">
                  <c:v>0.15625</c:v>
                </c:pt>
                <c:pt idx="19">
                  <c:v>0.16129032258064516</c:v>
                </c:pt>
                <c:pt idx="20">
                  <c:v>0.18253968253968253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A5-4C68-BDDA-9D08E6F08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682960"/>
        <c:axId val="200563488"/>
      </c:lineChart>
      <c:dateAx>
        <c:axId val="2896829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63488"/>
        <c:crosses val="autoZero"/>
        <c:auto val="1"/>
        <c:lblOffset val="100"/>
        <c:baseTimeUnit val="months"/>
      </c:dateAx>
      <c:valAx>
        <c:axId val="200563488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829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0034558180227466"/>
          <c:w val="1"/>
          <c:h val="0.1718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In-Directs against Their Own Team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'Team Numbers'!$AU$20</c:f>
              <c:strCache>
                <c:ptCount val="1"/>
                <c:pt idx="0">
                  <c:v>Prod Eng</c:v>
                </c:pt>
              </c:strCache>
            </c:strRef>
          </c:tx>
          <c:spPr>
            <a:ln w="254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'Team Numbers'!$B$88:$B$146</c:f>
              <c:numCache>
                <c:formatCode>mmm\-yy</c:formatCode>
                <c:ptCount val="59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</c:numCache>
            </c:numRef>
          </c:cat>
          <c:val>
            <c:numRef>
              <c:f>'Team Numbers'!$AU$88:$AU$146</c:f>
              <c:numCache>
                <c:formatCode>0%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C-4276-A2B6-71337F49E9DA}"/>
            </c:ext>
          </c:extLst>
        </c:ser>
        <c:ser>
          <c:idx val="2"/>
          <c:order val="1"/>
          <c:tx>
            <c:strRef>
              <c:f>'Team Numbers'!$AV$20</c:f>
              <c:strCache>
                <c:ptCount val="1"/>
                <c:pt idx="0">
                  <c:v>PCB Team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'Team Numbers'!$B$88:$B$146</c:f>
              <c:numCache>
                <c:formatCode>mmm\-yy</c:formatCode>
                <c:ptCount val="59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</c:numCache>
            </c:numRef>
          </c:cat>
          <c:val>
            <c:numRef>
              <c:f>'Team Numbers'!$AV$88:$AV$146</c:f>
              <c:numCache>
                <c:formatCode>0%</c:formatCode>
                <c:ptCount val="59"/>
                <c:pt idx="0">
                  <c:v>0.32558139534883723</c:v>
                </c:pt>
                <c:pt idx="1">
                  <c:v>0.35897435897435898</c:v>
                </c:pt>
                <c:pt idx="2">
                  <c:v>0.32500000000000001</c:v>
                </c:pt>
                <c:pt idx="3">
                  <c:v>0.31707317073170732</c:v>
                </c:pt>
                <c:pt idx="4">
                  <c:v>0.31707317073170732</c:v>
                </c:pt>
                <c:pt idx="5">
                  <c:v>0.31707317073170732</c:v>
                </c:pt>
                <c:pt idx="6">
                  <c:v>0.31707317073170732</c:v>
                </c:pt>
                <c:pt idx="7">
                  <c:v>0.32500000000000001</c:v>
                </c:pt>
                <c:pt idx="8">
                  <c:v>0.33333333333333331</c:v>
                </c:pt>
                <c:pt idx="9">
                  <c:v>0.30769230769230771</c:v>
                </c:pt>
                <c:pt idx="10">
                  <c:v>0.35</c:v>
                </c:pt>
                <c:pt idx="11">
                  <c:v>0.35</c:v>
                </c:pt>
                <c:pt idx="12">
                  <c:v>0.33333333333333331</c:v>
                </c:pt>
                <c:pt idx="13">
                  <c:v>0.30952380952380953</c:v>
                </c:pt>
                <c:pt idx="14">
                  <c:v>0.40425531914893614</c:v>
                </c:pt>
                <c:pt idx="15">
                  <c:v>0.42222222222222222</c:v>
                </c:pt>
                <c:pt idx="16">
                  <c:v>0.43181818181818182</c:v>
                </c:pt>
                <c:pt idx="17">
                  <c:v>0.42222222222222222</c:v>
                </c:pt>
                <c:pt idx="18">
                  <c:v>0.42222222222222222</c:v>
                </c:pt>
                <c:pt idx="19">
                  <c:v>0.46341463414634149</c:v>
                </c:pt>
                <c:pt idx="20">
                  <c:v>0.45238095238095238</c:v>
                </c:pt>
                <c:pt idx="21">
                  <c:v>0.4358974358974359</c:v>
                </c:pt>
                <c:pt idx="22">
                  <c:v>0.42105263157894735</c:v>
                </c:pt>
                <c:pt idx="23">
                  <c:v>0.42105263157894735</c:v>
                </c:pt>
                <c:pt idx="24">
                  <c:v>0.34210526315789475</c:v>
                </c:pt>
                <c:pt idx="25">
                  <c:v>0.33333333333333331</c:v>
                </c:pt>
                <c:pt idx="26">
                  <c:v>0.31578947368421051</c:v>
                </c:pt>
                <c:pt idx="27">
                  <c:v>0.30769230769230771</c:v>
                </c:pt>
                <c:pt idx="28">
                  <c:v>0.30952380952380953</c:v>
                </c:pt>
                <c:pt idx="29">
                  <c:v>0.29545454545454547</c:v>
                </c:pt>
                <c:pt idx="30">
                  <c:v>0.29545454545454547</c:v>
                </c:pt>
                <c:pt idx="31">
                  <c:v>0.32558139534883723</c:v>
                </c:pt>
                <c:pt idx="32">
                  <c:v>0.33333333333333331</c:v>
                </c:pt>
                <c:pt idx="33">
                  <c:v>0.35</c:v>
                </c:pt>
                <c:pt idx="34">
                  <c:v>0.20512820512820512</c:v>
                </c:pt>
                <c:pt idx="35">
                  <c:v>0.21052631578947367</c:v>
                </c:pt>
                <c:pt idx="36">
                  <c:v>0.23684210526315788</c:v>
                </c:pt>
                <c:pt idx="37">
                  <c:v>0.2857142857142857</c:v>
                </c:pt>
                <c:pt idx="38">
                  <c:v>0.24390243902439024</c:v>
                </c:pt>
                <c:pt idx="39">
                  <c:v>0.2558139534883721</c:v>
                </c:pt>
                <c:pt idx="40">
                  <c:v>0.24444444444444444</c:v>
                </c:pt>
                <c:pt idx="41">
                  <c:v>0.22</c:v>
                </c:pt>
                <c:pt idx="42">
                  <c:v>0.21153846153846154</c:v>
                </c:pt>
                <c:pt idx="43">
                  <c:v>0.21153846153846154</c:v>
                </c:pt>
                <c:pt idx="44">
                  <c:v>0.18867924528301888</c:v>
                </c:pt>
                <c:pt idx="45">
                  <c:v>0.21052631578947367</c:v>
                </c:pt>
                <c:pt idx="46">
                  <c:v>0.22413793103448276</c:v>
                </c:pt>
                <c:pt idx="47">
                  <c:v>0.25</c:v>
                </c:pt>
                <c:pt idx="48">
                  <c:v>0.27586206896551724</c:v>
                </c:pt>
                <c:pt idx="49">
                  <c:v>0.2857142857142857</c:v>
                </c:pt>
                <c:pt idx="50">
                  <c:v>0.29508196721311475</c:v>
                </c:pt>
                <c:pt idx="51">
                  <c:v>0.28333333333333333</c:v>
                </c:pt>
                <c:pt idx="52">
                  <c:v>0.25396825396825395</c:v>
                </c:pt>
                <c:pt idx="53">
                  <c:v>0.29230769230769232</c:v>
                </c:pt>
                <c:pt idx="54">
                  <c:v>0.26</c:v>
                </c:pt>
                <c:pt idx="55">
                  <c:v>0.25</c:v>
                </c:pt>
                <c:pt idx="56">
                  <c:v>0.2558139534883721</c:v>
                </c:pt>
                <c:pt idx="57">
                  <c:v>0.2</c:v>
                </c:pt>
                <c:pt idx="58">
                  <c:v>0.23809523809523808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C-4276-A2B6-71337F49E9DA}"/>
            </c:ext>
          </c:extLst>
        </c:ser>
        <c:ser>
          <c:idx val="3"/>
          <c:order val="2"/>
          <c:tx>
            <c:strRef>
              <c:f>'Team Numbers'!$AW$20</c:f>
              <c:strCache>
                <c:ptCount val="1"/>
                <c:pt idx="0">
                  <c:v>FA Team</c:v>
                </c:pt>
              </c:strCache>
            </c:strRef>
          </c:tx>
          <c:marker>
            <c:symbol val="none"/>
          </c:marker>
          <c:cat>
            <c:numRef>
              <c:f>'Team Numbers'!$B$88:$B$146</c:f>
              <c:numCache>
                <c:formatCode>mmm\-yy</c:formatCode>
                <c:ptCount val="59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</c:numCache>
            </c:numRef>
          </c:cat>
          <c:val>
            <c:numRef>
              <c:f>'Team Numbers'!$AW$88:$AW$146</c:f>
              <c:numCache>
                <c:formatCode>0%</c:formatCode>
                <c:ptCount val="59"/>
                <c:pt idx="0">
                  <c:v>0.30303030303030304</c:v>
                </c:pt>
                <c:pt idx="1">
                  <c:v>0.2608695652173913</c:v>
                </c:pt>
                <c:pt idx="2">
                  <c:v>0.26470588235294118</c:v>
                </c:pt>
                <c:pt idx="3">
                  <c:v>0.2361111111111111</c:v>
                </c:pt>
                <c:pt idx="4">
                  <c:v>0.21917808219178081</c:v>
                </c:pt>
                <c:pt idx="5">
                  <c:v>0.2361111111111111</c:v>
                </c:pt>
                <c:pt idx="6">
                  <c:v>0.23287671232876711</c:v>
                </c:pt>
                <c:pt idx="7">
                  <c:v>0.2</c:v>
                </c:pt>
                <c:pt idx="8">
                  <c:v>0.2857142857142857</c:v>
                </c:pt>
                <c:pt idx="9">
                  <c:v>0.19736842105263158</c:v>
                </c:pt>
                <c:pt idx="10">
                  <c:v>0.25</c:v>
                </c:pt>
                <c:pt idx="11">
                  <c:v>0.26027397260273971</c:v>
                </c:pt>
                <c:pt idx="12">
                  <c:v>0.25</c:v>
                </c:pt>
                <c:pt idx="13">
                  <c:v>0.2361111111111111</c:v>
                </c:pt>
                <c:pt idx="14">
                  <c:v>0.27142857142857141</c:v>
                </c:pt>
                <c:pt idx="15">
                  <c:v>0.28169014084507044</c:v>
                </c:pt>
                <c:pt idx="16">
                  <c:v>0.30882352941176472</c:v>
                </c:pt>
                <c:pt idx="17">
                  <c:v>0.29850746268656714</c:v>
                </c:pt>
                <c:pt idx="18">
                  <c:v>0.29850746268656714</c:v>
                </c:pt>
                <c:pt idx="19">
                  <c:v>0.29850746268656714</c:v>
                </c:pt>
                <c:pt idx="20">
                  <c:v>0.33823529411764708</c:v>
                </c:pt>
                <c:pt idx="21">
                  <c:v>0.34848484848484851</c:v>
                </c:pt>
                <c:pt idx="22">
                  <c:v>0.35384615384615387</c:v>
                </c:pt>
                <c:pt idx="23">
                  <c:v>0.36507936507936506</c:v>
                </c:pt>
                <c:pt idx="24">
                  <c:v>0.359375</c:v>
                </c:pt>
                <c:pt idx="25">
                  <c:v>0.30263157894736842</c:v>
                </c:pt>
                <c:pt idx="26">
                  <c:v>0.27160493827160492</c:v>
                </c:pt>
                <c:pt idx="27">
                  <c:v>0.27272727272727271</c:v>
                </c:pt>
                <c:pt idx="28">
                  <c:v>0.29870129870129869</c:v>
                </c:pt>
                <c:pt idx="29">
                  <c:v>0.2839506172839506</c:v>
                </c:pt>
                <c:pt idx="30">
                  <c:v>0.27160493827160492</c:v>
                </c:pt>
                <c:pt idx="31">
                  <c:v>0.27500000000000002</c:v>
                </c:pt>
                <c:pt idx="32">
                  <c:v>0.30769230769230771</c:v>
                </c:pt>
                <c:pt idx="33">
                  <c:v>0.31578947368421051</c:v>
                </c:pt>
                <c:pt idx="34">
                  <c:v>0.30120481927710846</c:v>
                </c:pt>
                <c:pt idx="35">
                  <c:v>0.29629629629629628</c:v>
                </c:pt>
                <c:pt idx="36">
                  <c:v>0.2857142857142857</c:v>
                </c:pt>
                <c:pt idx="37">
                  <c:v>0.28235294117647058</c:v>
                </c:pt>
                <c:pt idx="38">
                  <c:v>0.27272727272727271</c:v>
                </c:pt>
                <c:pt idx="39">
                  <c:v>0.27472527472527475</c:v>
                </c:pt>
                <c:pt idx="40">
                  <c:v>0.26373626373626374</c:v>
                </c:pt>
                <c:pt idx="41">
                  <c:v>0.26666666666666666</c:v>
                </c:pt>
                <c:pt idx="42">
                  <c:v>0.24347826086956523</c:v>
                </c:pt>
                <c:pt idx="43">
                  <c:v>0.25</c:v>
                </c:pt>
                <c:pt idx="44">
                  <c:v>0.24409448818897639</c:v>
                </c:pt>
                <c:pt idx="45">
                  <c:v>0.25409836065573771</c:v>
                </c:pt>
                <c:pt idx="46">
                  <c:v>0.27192982456140352</c:v>
                </c:pt>
                <c:pt idx="47">
                  <c:v>0.26415094339622641</c:v>
                </c:pt>
                <c:pt idx="48">
                  <c:v>0.25</c:v>
                </c:pt>
                <c:pt idx="49">
                  <c:v>0.32038834951456313</c:v>
                </c:pt>
                <c:pt idx="50">
                  <c:v>0.31428571428571428</c:v>
                </c:pt>
                <c:pt idx="51">
                  <c:v>0.32727272727272727</c:v>
                </c:pt>
                <c:pt idx="52">
                  <c:v>0.29464285714285715</c:v>
                </c:pt>
                <c:pt idx="53">
                  <c:v>0.3</c:v>
                </c:pt>
                <c:pt idx="54">
                  <c:v>0.32631578947368423</c:v>
                </c:pt>
                <c:pt idx="55">
                  <c:v>0.32558139534883723</c:v>
                </c:pt>
                <c:pt idx="56">
                  <c:v>0.32098765432098764</c:v>
                </c:pt>
                <c:pt idx="57">
                  <c:v>0.30666666666666664</c:v>
                </c:pt>
                <c:pt idx="58">
                  <c:v>0.35616438356164382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9C-4276-A2B6-71337F49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682960"/>
        <c:axId val="200563488"/>
      </c:lineChart>
      <c:dateAx>
        <c:axId val="2896829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63488"/>
        <c:crosses val="autoZero"/>
        <c:auto val="1"/>
        <c:lblOffset val="100"/>
        <c:baseTimeUnit val="months"/>
      </c:dateAx>
      <c:valAx>
        <c:axId val="2005634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829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0034558180227466"/>
          <c:w val="1"/>
          <c:h val="0.1718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Modules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 Numbers '!$B$3:$B$3</c:f>
              <c:strCache>
                <c:ptCount val="1"/>
                <c:pt idx="0">
                  <c:v>PCB Qty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'!$B$5:$B$16</c:f>
              <c:numCache>
                <c:formatCode>_-* #,##0_-;\-* #,##0_-;_-* "-"??_-;_-@_-</c:formatCode>
                <c:ptCount val="12"/>
                <c:pt idx="0">
                  <c:v>358763</c:v>
                </c:pt>
                <c:pt idx="1">
                  <c:v>384012</c:v>
                </c:pt>
                <c:pt idx="2">
                  <c:v>353449</c:v>
                </c:pt>
                <c:pt idx="3">
                  <c:v>419193</c:v>
                </c:pt>
                <c:pt idx="4">
                  <c:v>385171</c:v>
                </c:pt>
                <c:pt idx="5">
                  <c:v>359977</c:v>
                </c:pt>
                <c:pt idx="6">
                  <c:v>497741</c:v>
                </c:pt>
                <c:pt idx="7">
                  <c:v>504948</c:v>
                </c:pt>
                <c:pt idx="8">
                  <c:v>526558</c:v>
                </c:pt>
                <c:pt idx="9">
                  <c:v>569504</c:v>
                </c:pt>
                <c:pt idx="10">
                  <c:v>703003</c:v>
                </c:pt>
                <c:pt idx="11">
                  <c:v>750179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16-42F7-9A7A-853DD2D8A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84453552"/>
        <c:axId val="1880160912"/>
        <c:extLst/>
      </c:barChart>
      <c:catAx>
        <c:axId val="1884453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60912"/>
        <c:crosses val="autoZero"/>
        <c:auto val="1"/>
        <c:lblAlgn val="ctr"/>
        <c:lblOffset val="100"/>
        <c:noMultiLvlLbl val="0"/>
      </c:catAx>
      <c:valAx>
        <c:axId val="1880160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5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AM Final Assy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 Numbers '!$F$3:$F$3</c:f>
              <c:strCache>
                <c:ptCount val="1"/>
                <c:pt idx="0">
                  <c:v>AM Qty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'!$F$5:$F$16</c:f>
              <c:numCache>
                <c:formatCode>_-* #,##0_-;\-* #,##0_-;_-* "-"??_-;_-@_-</c:formatCode>
                <c:ptCount val="12"/>
                <c:pt idx="0">
                  <c:v>229218</c:v>
                </c:pt>
                <c:pt idx="1">
                  <c:v>266846</c:v>
                </c:pt>
                <c:pt idx="2">
                  <c:v>227725</c:v>
                </c:pt>
                <c:pt idx="3">
                  <c:v>242205</c:v>
                </c:pt>
                <c:pt idx="4">
                  <c:v>219271</c:v>
                </c:pt>
                <c:pt idx="5">
                  <c:v>185079</c:v>
                </c:pt>
                <c:pt idx="6">
                  <c:v>228526</c:v>
                </c:pt>
                <c:pt idx="7">
                  <c:v>227467</c:v>
                </c:pt>
                <c:pt idx="8">
                  <c:v>235190</c:v>
                </c:pt>
                <c:pt idx="9">
                  <c:v>253717</c:v>
                </c:pt>
                <c:pt idx="10">
                  <c:v>317893</c:v>
                </c:pt>
                <c:pt idx="11">
                  <c:v>285210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7-4119-8B35-5B275AB40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84453552"/>
        <c:axId val="1880160912"/>
        <c:extLst/>
      </c:barChart>
      <c:catAx>
        <c:axId val="1884453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60912"/>
        <c:crosses val="autoZero"/>
        <c:auto val="1"/>
        <c:lblAlgn val="ctr"/>
        <c:lblOffset val="100"/>
        <c:noMultiLvlLbl val="0"/>
      </c:catAx>
      <c:valAx>
        <c:axId val="1880160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5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SEC Final Assy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 Numbers '!$H$3:$H$3</c:f>
              <c:strCache>
                <c:ptCount val="1"/>
                <c:pt idx="0">
                  <c:v>SEC Qty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dLbl>
              <c:idx val="8"/>
              <c:layout>
                <c:manualLayout>
                  <c:x val="-4.4667783361250699E-3"/>
                  <c:y val="-4.69889180519105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BB-4A59-B178-29BD74A45FB5}"/>
                </c:ext>
              </c:extLst>
            </c:dLbl>
            <c:dLbl>
              <c:idx val="9"/>
              <c:layout>
                <c:manualLayout>
                  <c:x val="-8.1889990162138649E-17"/>
                  <c:y val="-4.69889180519105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7BB-4A59-B178-29BD74A45FB5}"/>
                </c:ext>
              </c:extLst>
            </c:dLbl>
            <c:dLbl>
              <c:idx val="10"/>
              <c:layout>
                <c:manualLayout>
                  <c:x val="0"/>
                  <c:y val="-1.39581510644503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7BB-4A59-B178-29BD74A45F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'!$H$5:$H$16</c:f>
              <c:numCache>
                <c:formatCode>_-* #,##0_-;\-* #,##0_-;_-* "-"??_-;_-@_-</c:formatCode>
                <c:ptCount val="12"/>
                <c:pt idx="0">
                  <c:v>76739</c:v>
                </c:pt>
                <c:pt idx="1">
                  <c:v>75046</c:v>
                </c:pt>
                <c:pt idx="2">
                  <c:v>77758</c:v>
                </c:pt>
                <c:pt idx="3">
                  <c:v>105447</c:v>
                </c:pt>
                <c:pt idx="4">
                  <c:v>110046</c:v>
                </c:pt>
                <c:pt idx="5">
                  <c:v>101987</c:v>
                </c:pt>
                <c:pt idx="6">
                  <c:v>157184</c:v>
                </c:pt>
                <c:pt idx="7">
                  <c:v>158968</c:v>
                </c:pt>
                <c:pt idx="8">
                  <c:v>172569</c:v>
                </c:pt>
                <c:pt idx="9">
                  <c:v>195073</c:v>
                </c:pt>
                <c:pt idx="10">
                  <c:v>269301</c:v>
                </c:pt>
                <c:pt idx="11">
                  <c:v>322105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C-44F8-9149-B5D849BC4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84453552"/>
        <c:axId val="1880160912"/>
        <c:extLst/>
      </c:barChart>
      <c:catAx>
        <c:axId val="1884453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60912"/>
        <c:crosses val="autoZero"/>
        <c:auto val="1"/>
        <c:lblAlgn val="ctr"/>
        <c:lblOffset val="100"/>
        <c:noMultiLvlLbl val="0"/>
      </c:catAx>
      <c:valAx>
        <c:axId val="1880160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5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Transformers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 Numbers '!$D$3:$D$3</c:f>
              <c:strCache>
                <c:ptCount val="1"/>
                <c:pt idx="0">
                  <c:v>XFMR Qty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'!$D$5:$D$16</c:f>
              <c:numCache>
                <c:formatCode>_-* #,##0_-;\-* #,##0_-;_-* "-"??_-;_-@_-</c:formatCode>
                <c:ptCount val="12"/>
                <c:pt idx="0">
                  <c:v>248497</c:v>
                </c:pt>
                <c:pt idx="1">
                  <c:v>272622</c:v>
                </c:pt>
                <c:pt idx="2">
                  <c:v>212978</c:v>
                </c:pt>
                <c:pt idx="3">
                  <c:v>238798</c:v>
                </c:pt>
                <c:pt idx="4">
                  <c:v>241027</c:v>
                </c:pt>
                <c:pt idx="5">
                  <c:v>182787</c:v>
                </c:pt>
                <c:pt idx="6">
                  <c:v>193688</c:v>
                </c:pt>
                <c:pt idx="7">
                  <c:v>192989</c:v>
                </c:pt>
                <c:pt idx="8">
                  <c:v>199971</c:v>
                </c:pt>
                <c:pt idx="9">
                  <c:v>231938</c:v>
                </c:pt>
                <c:pt idx="10">
                  <c:v>268264</c:v>
                </c:pt>
                <c:pt idx="11">
                  <c:v>214043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F1-4605-A2E9-0CFE17871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84453552"/>
        <c:axId val="1880160912"/>
        <c:extLst/>
      </c:barChart>
      <c:catAx>
        <c:axId val="1884453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60912"/>
        <c:crosses val="autoZero"/>
        <c:auto val="1"/>
        <c:lblAlgn val="ctr"/>
        <c:lblOffset val="100"/>
        <c:noMultiLvlLbl val="0"/>
      </c:catAx>
      <c:valAx>
        <c:axId val="1880160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5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400" b="0" i="0" u="none" strike="noStrike" baseline="0">
                <a:effectLst/>
              </a:rPr>
              <a:t>SEC &amp; AM FA unitsvs </a:t>
            </a:r>
            <a:r>
              <a:rPr lang="en-NZ"/>
              <a:t>Qty</a:t>
            </a:r>
            <a:r>
              <a:rPr lang="en-NZ" baseline="0"/>
              <a:t> of Modules units 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'Unit Numbers '!$L$4</c:f>
              <c:strCache>
                <c:ptCount val="1"/>
                <c:pt idx="0">
                  <c:v> % of Modules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'Unit Numbers '!$A$5:$A$14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'Unit Numbers '!$L$5:$L$14</c:f>
              <c:numCache>
                <c:formatCode>0.0%</c:formatCode>
                <c:ptCount val="10"/>
                <c:pt idx="0">
                  <c:v>0.85281090859425301</c:v>
                </c:pt>
                <c:pt idx="1">
                  <c:v>0.89031592762726164</c:v>
                </c:pt>
                <c:pt idx="2">
                  <c:v>0.86429159510990272</c:v>
                </c:pt>
                <c:pt idx="3">
                  <c:v>0.82933636773514829</c:v>
                </c:pt>
                <c:pt idx="4">
                  <c:v>0.85498908277102892</c:v>
                </c:pt>
                <c:pt idx="5">
                  <c:v>0.79745650416554392</c:v>
                </c:pt>
                <c:pt idx="6">
                  <c:v>0.77492109350043492</c:v>
                </c:pt>
                <c:pt idx="7">
                  <c:v>0.76529662460292947</c:v>
                </c:pt>
                <c:pt idx="8">
                  <c:v>0.77438572768811798</c:v>
                </c:pt>
                <c:pt idx="9">
                  <c:v>0.788036607293364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0-456B-A582-28383D549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4453552"/>
        <c:axId val="1880160912"/>
      </c:lineChart>
      <c:lineChart>
        <c:grouping val="standard"/>
        <c:varyColors val="0"/>
        <c:ser>
          <c:idx val="0"/>
          <c:order val="1"/>
          <c:tx>
            <c:strRef>
              <c:f>'Unit Numbers 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'Unit Numbers '!$A$5:$A$14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  <c:extLst xmlns:c15="http://schemas.microsoft.com/office/drawing/2012/chart"/>
            </c:numRef>
          </c:cat>
          <c:val>
            <c:numRef>
              <c:f>'Unit Numbers 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690-456B-A582-28383D549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7202304"/>
        <c:axId val="1889460064"/>
        <c:extLst/>
      </c:lineChart>
      <c:catAx>
        <c:axId val="18844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60912"/>
        <c:crosses val="autoZero"/>
        <c:auto val="1"/>
        <c:lblAlgn val="ctr"/>
        <c:lblOffset val="100"/>
        <c:noMultiLvlLbl val="0"/>
      </c:catAx>
      <c:valAx>
        <c:axId val="188016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53552"/>
        <c:crosses val="autoZero"/>
        <c:crossBetween val="between"/>
      </c:valAx>
      <c:valAx>
        <c:axId val="1889460064"/>
        <c:scaling>
          <c:orientation val="minMax"/>
          <c:max val="1.0009999999999999"/>
          <c:min val="0.98099999999999998"/>
        </c:scaling>
        <c:delete val="1"/>
        <c:axPos val="r"/>
        <c:numFmt formatCode="0.0%" sourceLinked="0"/>
        <c:majorTickMark val="out"/>
        <c:minorTickMark val="none"/>
        <c:tickLblPos val="nextTo"/>
        <c:crossAx val="2017202304"/>
        <c:crosses val="max"/>
        <c:crossBetween val="between"/>
      </c:valAx>
      <c:catAx>
        <c:axId val="2017202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9460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Electronics Units Produced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'Unit Numbers '!$B$3:$B$3</c:f>
              <c:strCache>
                <c:ptCount val="1"/>
                <c:pt idx="0">
                  <c:v>PCB Qty</c:v>
                </c:pt>
              </c:strCache>
            </c:strRef>
          </c:tx>
          <c:spPr>
            <a:solidFill>
              <a:srgbClr val="CC3300"/>
            </a:solidFill>
            <a:ln>
              <a:noFill/>
            </a:ln>
            <a:effectLst/>
          </c:spPr>
          <c:invertIfNegative val="0"/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'!$B$5:$B$16</c:f>
              <c:numCache>
                <c:formatCode>_-* #,##0_-;\-* #,##0_-;_-* "-"??_-;_-@_-</c:formatCode>
                <c:ptCount val="12"/>
                <c:pt idx="0">
                  <c:v>358763</c:v>
                </c:pt>
                <c:pt idx="1">
                  <c:v>384012</c:v>
                </c:pt>
                <c:pt idx="2">
                  <c:v>353449</c:v>
                </c:pt>
                <c:pt idx="3">
                  <c:v>419193</c:v>
                </c:pt>
                <c:pt idx="4">
                  <c:v>385171</c:v>
                </c:pt>
                <c:pt idx="5">
                  <c:v>359977</c:v>
                </c:pt>
                <c:pt idx="6">
                  <c:v>497741</c:v>
                </c:pt>
                <c:pt idx="7">
                  <c:v>504948</c:v>
                </c:pt>
                <c:pt idx="8">
                  <c:v>526558</c:v>
                </c:pt>
                <c:pt idx="9">
                  <c:v>569504</c:v>
                </c:pt>
                <c:pt idx="10">
                  <c:v>703003</c:v>
                </c:pt>
                <c:pt idx="11">
                  <c:v>750179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C-40AC-A666-9DCA6164443F}"/>
            </c:ext>
          </c:extLst>
        </c:ser>
        <c:ser>
          <c:idx val="1"/>
          <c:order val="1"/>
          <c:tx>
            <c:strRef>
              <c:f>'Unit Numbers '!$F$3:$F$3</c:f>
              <c:strCache>
                <c:ptCount val="1"/>
                <c:pt idx="0">
                  <c:v>AM Qty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'!$F$5:$F$16</c:f>
              <c:numCache>
                <c:formatCode>_-* #,##0_-;\-* #,##0_-;_-* "-"??_-;_-@_-</c:formatCode>
                <c:ptCount val="12"/>
                <c:pt idx="0">
                  <c:v>229218</c:v>
                </c:pt>
                <c:pt idx="1">
                  <c:v>266846</c:v>
                </c:pt>
                <c:pt idx="2">
                  <c:v>227725</c:v>
                </c:pt>
                <c:pt idx="3">
                  <c:v>242205</c:v>
                </c:pt>
                <c:pt idx="4">
                  <c:v>219271</c:v>
                </c:pt>
                <c:pt idx="5">
                  <c:v>185079</c:v>
                </c:pt>
                <c:pt idx="6">
                  <c:v>228526</c:v>
                </c:pt>
                <c:pt idx="7">
                  <c:v>227467</c:v>
                </c:pt>
                <c:pt idx="8">
                  <c:v>235190</c:v>
                </c:pt>
                <c:pt idx="9">
                  <c:v>253717</c:v>
                </c:pt>
                <c:pt idx="10">
                  <c:v>317893</c:v>
                </c:pt>
                <c:pt idx="11">
                  <c:v>285210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C-40AC-A666-9DCA6164443F}"/>
            </c:ext>
          </c:extLst>
        </c:ser>
        <c:ser>
          <c:idx val="3"/>
          <c:order val="2"/>
          <c:tx>
            <c:strRef>
              <c:f>'Unit Numbers '!$H$3:$H$3</c:f>
              <c:strCache>
                <c:ptCount val="1"/>
                <c:pt idx="0">
                  <c:v>SEC Qty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'!$H$5:$H$16</c:f>
              <c:numCache>
                <c:formatCode>_-* #,##0_-;\-* #,##0_-;_-* "-"??_-;_-@_-</c:formatCode>
                <c:ptCount val="12"/>
                <c:pt idx="0">
                  <c:v>76739</c:v>
                </c:pt>
                <c:pt idx="1">
                  <c:v>75046</c:v>
                </c:pt>
                <c:pt idx="2">
                  <c:v>77758</c:v>
                </c:pt>
                <c:pt idx="3">
                  <c:v>105447</c:v>
                </c:pt>
                <c:pt idx="4">
                  <c:v>110046</c:v>
                </c:pt>
                <c:pt idx="5">
                  <c:v>101987</c:v>
                </c:pt>
                <c:pt idx="6">
                  <c:v>157184</c:v>
                </c:pt>
                <c:pt idx="7">
                  <c:v>158968</c:v>
                </c:pt>
                <c:pt idx="8">
                  <c:v>172569</c:v>
                </c:pt>
                <c:pt idx="9">
                  <c:v>195073</c:v>
                </c:pt>
                <c:pt idx="10">
                  <c:v>269301</c:v>
                </c:pt>
                <c:pt idx="11">
                  <c:v>322105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C-40AC-A666-9DCA6164443F}"/>
            </c:ext>
          </c:extLst>
        </c:ser>
        <c:ser>
          <c:idx val="4"/>
          <c:order val="3"/>
          <c:tx>
            <c:strRef>
              <c:f>'Unit Numbers '!$D$3:$D$3</c:f>
              <c:strCache>
                <c:ptCount val="1"/>
                <c:pt idx="0">
                  <c:v>XFMR Qty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'!$D$5:$D$16</c:f>
              <c:numCache>
                <c:formatCode>_-* #,##0_-;\-* #,##0_-;_-* "-"??_-;_-@_-</c:formatCode>
                <c:ptCount val="12"/>
                <c:pt idx="0">
                  <c:v>248497</c:v>
                </c:pt>
                <c:pt idx="1">
                  <c:v>272622</c:v>
                </c:pt>
                <c:pt idx="2">
                  <c:v>212978</c:v>
                </c:pt>
                <c:pt idx="3">
                  <c:v>238798</c:v>
                </c:pt>
                <c:pt idx="4">
                  <c:v>241027</c:v>
                </c:pt>
                <c:pt idx="5">
                  <c:v>182787</c:v>
                </c:pt>
                <c:pt idx="6">
                  <c:v>193688</c:v>
                </c:pt>
                <c:pt idx="7">
                  <c:v>192989</c:v>
                </c:pt>
                <c:pt idx="8">
                  <c:v>199971</c:v>
                </c:pt>
                <c:pt idx="9">
                  <c:v>231938</c:v>
                </c:pt>
                <c:pt idx="10">
                  <c:v>268264</c:v>
                </c:pt>
                <c:pt idx="11">
                  <c:v>214043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4C-40AC-A666-9DCA61644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4453552"/>
        <c:axId val="1880160912"/>
        <c:extLst/>
      </c:barChart>
      <c:catAx>
        <c:axId val="18844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60912"/>
        <c:crosses val="autoZero"/>
        <c:auto val="1"/>
        <c:lblAlgn val="ctr"/>
        <c:lblOffset val="100"/>
        <c:noMultiLvlLbl val="0"/>
      </c:catAx>
      <c:valAx>
        <c:axId val="188016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Electronics Units to Finished Goods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4"/>
          <c:tx>
            <c:strRef>
              <c:f>'Unit Numbers '!$J$3:$L$3</c:f>
              <c:strCache>
                <c:ptCount val="1"/>
                <c:pt idx="0">
                  <c:v>AM &amp; SEC Qty</c:v>
                </c:pt>
              </c:strCache>
            </c:strRef>
          </c:tx>
          <c:spPr>
            <a:noFill/>
            <a:ln w="9525" cap="flat" cmpd="sng" algn="ctr">
              <a:solidFill>
                <a:srgbClr val="FF9900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'!$J$5:$J$16</c:f>
              <c:numCache>
                <c:formatCode>_-* #,##0_-;\-* #,##0_-;_-* "-"??_-;_-@_-</c:formatCode>
                <c:ptCount val="12"/>
                <c:pt idx="0">
                  <c:v>305957</c:v>
                </c:pt>
                <c:pt idx="1">
                  <c:v>341892</c:v>
                </c:pt>
                <c:pt idx="2">
                  <c:v>305483</c:v>
                </c:pt>
                <c:pt idx="3">
                  <c:v>347652</c:v>
                </c:pt>
                <c:pt idx="4">
                  <c:v>329317</c:v>
                </c:pt>
                <c:pt idx="5">
                  <c:v>287066</c:v>
                </c:pt>
                <c:pt idx="6">
                  <c:v>385710</c:v>
                </c:pt>
                <c:pt idx="7">
                  <c:v>386435</c:v>
                </c:pt>
                <c:pt idx="8">
                  <c:v>407759</c:v>
                </c:pt>
                <c:pt idx="9">
                  <c:v>448790</c:v>
                </c:pt>
                <c:pt idx="10">
                  <c:v>587194</c:v>
                </c:pt>
                <c:pt idx="11">
                  <c:v>607315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C5-4D00-8B4A-5C8F8D5B26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884453552"/>
        <c:axId val="1880160912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'Unit Numbers '!$B$3:$B$3</c15:sqref>
                        </c15:formulaRef>
                      </c:ext>
                    </c:extLst>
                    <c:strCache>
                      <c:ptCount val="1"/>
                      <c:pt idx="0">
                        <c:v>PCB Qty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3"/>
                    </a:solidFill>
                    <a:miter lim="800000"/>
                  </a:ln>
                  <a:effectLst>
                    <a:glow rad="63500">
                      <a:schemeClr val="accent3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'Unit Numbers '!$A$5:$A$16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2011</c:v>
                      </c:pt>
                      <c:pt idx="1">
                        <c:v>2012</c:v>
                      </c:pt>
                      <c:pt idx="2">
                        <c:v>2013</c:v>
                      </c:pt>
                      <c:pt idx="3">
                        <c:v>2014</c:v>
                      </c:pt>
                      <c:pt idx="4">
                        <c:v>2015</c:v>
                      </c:pt>
                      <c:pt idx="5">
                        <c:v>2016</c:v>
                      </c:pt>
                      <c:pt idx="6">
                        <c:v>2017</c:v>
                      </c:pt>
                      <c:pt idx="7">
                        <c:v>2018</c:v>
                      </c:pt>
                      <c:pt idx="8">
                        <c:v>2019</c:v>
                      </c:pt>
                      <c:pt idx="9">
                        <c:v>2020</c:v>
                      </c:pt>
                      <c:pt idx="10">
                        <c:v>2021</c:v>
                      </c:pt>
                      <c:pt idx="11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'Unit Numbers '!$B$5:$B$16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>
                        <c:v>358763</c:v>
                      </c:pt>
                      <c:pt idx="1">
                        <c:v>384012</c:v>
                      </c:pt>
                      <c:pt idx="2">
                        <c:v>353449</c:v>
                      </c:pt>
                      <c:pt idx="3">
                        <c:v>419193</c:v>
                      </c:pt>
                      <c:pt idx="4">
                        <c:v>385171</c:v>
                      </c:pt>
                      <c:pt idx="5">
                        <c:v>359977</c:v>
                      </c:pt>
                      <c:pt idx="6">
                        <c:v>497741</c:v>
                      </c:pt>
                      <c:pt idx="7">
                        <c:v>504948</c:v>
                      </c:pt>
                      <c:pt idx="8">
                        <c:v>526558</c:v>
                      </c:pt>
                      <c:pt idx="9">
                        <c:v>569504</c:v>
                      </c:pt>
                      <c:pt idx="10">
                        <c:v>703003</c:v>
                      </c:pt>
                      <c:pt idx="11">
                        <c:v>750179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7C5-4D00-8B4A-5C8F8D5B26B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'!$F$3:$F$3</c15:sqref>
                        </c15:formulaRef>
                      </c:ext>
                    </c:extLst>
                    <c:strCache>
                      <c:ptCount val="1"/>
                      <c:pt idx="0">
                        <c:v>AM Qty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2"/>
                    </a:solidFill>
                    <a:miter lim="800000"/>
                  </a:ln>
                  <a:effectLst>
                    <a:glow rad="63500">
                      <a:schemeClr val="accent2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'!$A$5:$A$16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2011</c:v>
                      </c:pt>
                      <c:pt idx="1">
                        <c:v>2012</c:v>
                      </c:pt>
                      <c:pt idx="2">
                        <c:v>2013</c:v>
                      </c:pt>
                      <c:pt idx="3">
                        <c:v>2014</c:v>
                      </c:pt>
                      <c:pt idx="4">
                        <c:v>2015</c:v>
                      </c:pt>
                      <c:pt idx="5">
                        <c:v>2016</c:v>
                      </c:pt>
                      <c:pt idx="6">
                        <c:v>2017</c:v>
                      </c:pt>
                      <c:pt idx="7">
                        <c:v>2018</c:v>
                      </c:pt>
                      <c:pt idx="8">
                        <c:v>2019</c:v>
                      </c:pt>
                      <c:pt idx="9">
                        <c:v>2020</c:v>
                      </c:pt>
                      <c:pt idx="10">
                        <c:v>2021</c:v>
                      </c:pt>
                      <c:pt idx="11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'!$F$5:$F$14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0"/>
                      <c:pt idx="0">
                        <c:v>229218</c:v>
                      </c:pt>
                      <c:pt idx="1">
                        <c:v>266846</c:v>
                      </c:pt>
                      <c:pt idx="2">
                        <c:v>227725</c:v>
                      </c:pt>
                      <c:pt idx="3">
                        <c:v>242205</c:v>
                      </c:pt>
                      <c:pt idx="4">
                        <c:v>219271</c:v>
                      </c:pt>
                      <c:pt idx="5">
                        <c:v>185079</c:v>
                      </c:pt>
                      <c:pt idx="6">
                        <c:v>228526</c:v>
                      </c:pt>
                      <c:pt idx="7">
                        <c:v>227467</c:v>
                      </c:pt>
                      <c:pt idx="8">
                        <c:v>235190</c:v>
                      </c:pt>
                      <c:pt idx="9">
                        <c:v>253717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7C5-4D00-8B4A-5C8F8D5B26BC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'!$H$3:$H$3</c15:sqref>
                        </c15:formulaRef>
                      </c:ext>
                    </c:extLst>
                    <c:strCache>
                      <c:ptCount val="1"/>
                      <c:pt idx="0">
                        <c:v>SEC Qty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4"/>
                    </a:solidFill>
                    <a:miter lim="800000"/>
                  </a:ln>
                  <a:effectLst>
                    <a:glow rad="63500">
                      <a:schemeClr val="accent4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'!$A$5:$A$16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2011</c:v>
                      </c:pt>
                      <c:pt idx="1">
                        <c:v>2012</c:v>
                      </c:pt>
                      <c:pt idx="2">
                        <c:v>2013</c:v>
                      </c:pt>
                      <c:pt idx="3">
                        <c:v>2014</c:v>
                      </c:pt>
                      <c:pt idx="4">
                        <c:v>2015</c:v>
                      </c:pt>
                      <c:pt idx="5">
                        <c:v>2016</c:v>
                      </c:pt>
                      <c:pt idx="6">
                        <c:v>2017</c:v>
                      </c:pt>
                      <c:pt idx="7">
                        <c:v>2018</c:v>
                      </c:pt>
                      <c:pt idx="8">
                        <c:v>2019</c:v>
                      </c:pt>
                      <c:pt idx="9">
                        <c:v>2020</c:v>
                      </c:pt>
                      <c:pt idx="10">
                        <c:v>2021</c:v>
                      </c:pt>
                      <c:pt idx="11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'!$H$5:$H$14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0"/>
                      <c:pt idx="0">
                        <c:v>76739</c:v>
                      </c:pt>
                      <c:pt idx="1">
                        <c:v>75046</c:v>
                      </c:pt>
                      <c:pt idx="2">
                        <c:v>77758</c:v>
                      </c:pt>
                      <c:pt idx="3">
                        <c:v>105447</c:v>
                      </c:pt>
                      <c:pt idx="4">
                        <c:v>110046</c:v>
                      </c:pt>
                      <c:pt idx="5">
                        <c:v>101987</c:v>
                      </c:pt>
                      <c:pt idx="6">
                        <c:v>157184</c:v>
                      </c:pt>
                      <c:pt idx="7">
                        <c:v>158968</c:v>
                      </c:pt>
                      <c:pt idx="8">
                        <c:v>172569</c:v>
                      </c:pt>
                      <c:pt idx="9">
                        <c:v>195073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7C5-4D00-8B4A-5C8F8D5B26BC}"/>
                  </c:ext>
                </c:extLst>
              </c15:ser>
            </c15:filteredBarSeries>
            <c15:filteredBa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'!$D$3:$D$3</c15:sqref>
                        </c15:formulaRef>
                      </c:ext>
                    </c:extLst>
                    <c:strCache>
                      <c:ptCount val="1"/>
                      <c:pt idx="0">
                        <c:v>XFMR Qty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5"/>
                    </a:solidFill>
                    <a:miter lim="800000"/>
                  </a:ln>
                  <a:effectLst>
                    <a:glow rad="63500">
                      <a:schemeClr val="accent5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'!$A$5:$A$16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2011</c:v>
                      </c:pt>
                      <c:pt idx="1">
                        <c:v>2012</c:v>
                      </c:pt>
                      <c:pt idx="2">
                        <c:v>2013</c:v>
                      </c:pt>
                      <c:pt idx="3">
                        <c:v>2014</c:v>
                      </c:pt>
                      <c:pt idx="4">
                        <c:v>2015</c:v>
                      </c:pt>
                      <c:pt idx="5">
                        <c:v>2016</c:v>
                      </c:pt>
                      <c:pt idx="6">
                        <c:v>2017</c:v>
                      </c:pt>
                      <c:pt idx="7">
                        <c:v>2018</c:v>
                      </c:pt>
                      <c:pt idx="8">
                        <c:v>2019</c:v>
                      </c:pt>
                      <c:pt idx="9">
                        <c:v>2020</c:v>
                      </c:pt>
                      <c:pt idx="10">
                        <c:v>2021</c:v>
                      </c:pt>
                      <c:pt idx="11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 Numbers '!$D$5:$D$14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0"/>
                      <c:pt idx="0">
                        <c:v>248497</c:v>
                      </c:pt>
                      <c:pt idx="1">
                        <c:v>272622</c:v>
                      </c:pt>
                      <c:pt idx="2">
                        <c:v>212978</c:v>
                      </c:pt>
                      <c:pt idx="3">
                        <c:v>238798</c:v>
                      </c:pt>
                      <c:pt idx="4">
                        <c:v>241027</c:v>
                      </c:pt>
                      <c:pt idx="5">
                        <c:v>182787</c:v>
                      </c:pt>
                      <c:pt idx="6">
                        <c:v>193688</c:v>
                      </c:pt>
                      <c:pt idx="7">
                        <c:v>192989</c:v>
                      </c:pt>
                      <c:pt idx="8">
                        <c:v>199971</c:v>
                      </c:pt>
                      <c:pt idx="9">
                        <c:v>231938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C5-4D00-8B4A-5C8F8D5B26BC}"/>
                  </c:ext>
                </c:extLst>
              </c15:ser>
            </c15:filteredBarSeries>
          </c:ext>
        </c:extLst>
      </c:barChart>
      <c:catAx>
        <c:axId val="1884453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60912"/>
        <c:crosses val="autoZero"/>
        <c:auto val="1"/>
        <c:lblAlgn val="ctr"/>
        <c:lblOffset val="100"/>
        <c:noMultiLvlLbl val="0"/>
      </c:catAx>
      <c:valAx>
        <c:axId val="1880160912"/>
        <c:scaling>
          <c:orientation val="minMax"/>
          <c:min val="25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Electronics - Units Produced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'Unit Numbers '!$B$3:$B$3</c:f>
              <c:strCache>
                <c:ptCount val="1"/>
                <c:pt idx="0">
                  <c:v>PCB Qty</c:v>
                </c:pt>
              </c:strCache>
            </c:strRef>
          </c:tx>
          <c:spPr>
            <a:solidFill>
              <a:srgbClr val="CC3300"/>
            </a:solidFill>
            <a:ln>
              <a:noFill/>
            </a:ln>
            <a:effectLst/>
          </c:spPr>
          <c:invertIfNegative val="0"/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'!$B$5:$B$16</c:f>
              <c:numCache>
                <c:formatCode>_-* #,##0_-;\-* #,##0_-;_-* "-"??_-;_-@_-</c:formatCode>
                <c:ptCount val="12"/>
                <c:pt idx="0">
                  <c:v>358763</c:v>
                </c:pt>
                <c:pt idx="1">
                  <c:v>384012</c:v>
                </c:pt>
                <c:pt idx="2">
                  <c:v>353449</c:v>
                </c:pt>
                <c:pt idx="3">
                  <c:v>419193</c:v>
                </c:pt>
                <c:pt idx="4">
                  <c:v>385171</c:v>
                </c:pt>
                <c:pt idx="5">
                  <c:v>359977</c:v>
                </c:pt>
                <c:pt idx="6">
                  <c:v>497741</c:v>
                </c:pt>
                <c:pt idx="7">
                  <c:v>504948</c:v>
                </c:pt>
                <c:pt idx="8">
                  <c:v>526558</c:v>
                </c:pt>
                <c:pt idx="9">
                  <c:v>569504</c:v>
                </c:pt>
                <c:pt idx="10">
                  <c:v>703003</c:v>
                </c:pt>
                <c:pt idx="11">
                  <c:v>750179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5-4AF2-9106-865641EC4A28}"/>
            </c:ext>
          </c:extLst>
        </c:ser>
        <c:ser>
          <c:idx val="1"/>
          <c:order val="1"/>
          <c:tx>
            <c:strRef>
              <c:f>'Unit Numbers '!$F$3:$F$3</c:f>
              <c:strCache>
                <c:ptCount val="1"/>
                <c:pt idx="0">
                  <c:v>AM Qty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'!$F$5:$F$16</c:f>
              <c:numCache>
                <c:formatCode>_-* #,##0_-;\-* #,##0_-;_-* "-"??_-;_-@_-</c:formatCode>
                <c:ptCount val="12"/>
                <c:pt idx="0">
                  <c:v>229218</c:v>
                </c:pt>
                <c:pt idx="1">
                  <c:v>266846</c:v>
                </c:pt>
                <c:pt idx="2">
                  <c:v>227725</c:v>
                </c:pt>
                <c:pt idx="3">
                  <c:v>242205</c:v>
                </c:pt>
                <c:pt idx="4">
                  <c:v>219271</c:v>
                </c:pt>
                <c:pt idx="5">
                  <c:v>185079</c:v>
                </c:pt>
                <c:pt idx="6">
                  <c:v>228526</c:v>
                </c:pt>
                <c:pt idx="7">
                  <c:v>227467</c:v>
                </c:pt>
                <c:pt idx="8">
                  <c:v>235190</c:v>
                </c:pt>
                <c:pt idx="9">
                  <c:v>253717</c:v>
                </c:pt>
                <c:pt idx="10">
                  <c:v>317893</c:v>
                </c:pt>
                <c:pt idx="11">
                  <c:v>285210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35-4AF2-9106-865641EC4A28}"/>
            </c:ext>
          </c:extLst>
        </c:ser>
        <c:ser>
          <c:idx val="3"/>
          <c:order val="2"/>
          <c:tx>
            <c:strRef>
              <c:f>'Unit Numbers '!$H$3:$H$3</c:f>
              <c:strCache>
                <c:ptCount val="1"/>
                <c:pt idx="0">
                  <c:v>SEC Qty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'!$H$5:$H$16</c:f>
              <c:numCache>
                <c:formatCode>_-* #,##0_-;\-* #,##0_-;_-* "-"??_-;_-@_-</c:formatCode>
                <c:ptCount val="12"/>
                <c:pt idx="0">
                  <c:v>76739</c:v>
                </c:pt>
                <c:pt idx="1">
                  <c:v>75046</c:v>
                </c:pt>
                <c:pt idx="2">
                  <c:v>77758</c:v>
                </c:pt>
                <c:pt idx="3">
                  <c:v>105447</c:v>
                </c:pt>
                <c:pt idx="4">
                  <c:v>110046</c:v>
                </c:pt>
                <c:pt idx="5">
                  <c:v>101987</c:v>
                </c:pt>
                <c:pt idx="6">
                  <c:v>157184</c:v>
                </c:pt>
                <c:pt idx="7">
                  <c:v>158968</c:v>
                </c:pt>
                <c:pt idx="8">
                  <c:v>172569</c:v>
                </c:pt>
                <c:pt idx="9">
                  <c:v>195073</c:v>
                </c:pt>
                <c:pt idx="10">
                  <c:v>269301</c:v>
                </c:pt>
                <c:pt idx="11">
                  <c:v>322105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35-4AF2-9106-865641EC4A28}"/>
            </c:ext>
          </c:extLst>
        </c:ser>
        <c:ser>
          <c:idx val="4"/>
          <c:order val="3"/>
          <c:tx>
            <c:strRef>
              <c:f>'Unit Numbers '!$D$3:$D$3</c:f>
              <c:strCache>
                <c:ptCount val="1"/>
                <c:pt idx="0">
                  <c:v>XFMR Qty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'!$D$5:$D$16</c:f>
              <c:numCache>
                <c:formatCode>_-* #,##0_-;\-* #,##0_-;_-* "-"??_-;_-@_-</c:formatCode>
                <c:ptCount val="12"/>
                <c:pt idx="0">
                  <c:v>248497</c:v>
                </c:pt>
                <c:pt idx="1">
                  <c:v>272622</c:v>
                </c:pt>
                <c:pt idx="2">
                  <c:v>212978</c:v>
                </c:pt>
                <c:pt idx="3">
                  <c:v>238798</c:v>
                </c:pt>
                <c:pt idx="4">
                  <c:v>241027</c:v>
                </c:pt>
                <c:pt idx="5">
                  <c:v>182787</c:v>
                </c:pt>
                <c:pt idx="6">
                  <c:v>193688</c:v>
                </c:pt>
                <c:pt idx="7">
                  <c:v>192989</c:v>
                </c:pt>
                <c:pt idx="8">
                  <c:v>199971</c:v>
                </c:pt>
                <c:pt idx="9">
                  <c:v>231938</c:v>
                </c:pt>
                <c:pt idx="10">
                  <c:v>268264</c:v>
                </c:pt>
                <c:pt idx="11">
                  <c:v>214043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35-4AF2-9106-865641EC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4453552"/>
        <c:axId val="1880160912"/>
        <c:extLst/>
      </c:barChart>
      <c:catAx>
        <c:axId val="18844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60912"/>
        <c:crosses val="autoZero"/>
        <c:auto val="1"/>
        <c:lblAlgn val="ctr"/>
        <c:lblOffset val="100"/>
        <c:noMultiLvlLbl val="0"/>
      </c:catAx>
      <c:valAx>
        <c:axId val="188016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4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AM Growth on Previous Yr - FG Units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'Unit Numbers '!$G$4</c:f>
              <c:strCache>
                <c:ptCount val="1"/>
                <c:pt idx="0">
                  <c:v> Growth on Previous Yr 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 Numbers '!$A$4:$A$16</c15:sqref>
                  </c15:fullRef>
                </c:ext>
              </c:extLst>
              <c:f>'Unit Numbers '!$A$5:$A$16</c:f>
              <c:strCach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 Numbers '!$G$4:$G$16</c15:sqref>
                  </c15:fullRef>
                </c:ext>
              </c:extLst>
              <c:f>'Unit Numbers '!$G$5:$G$16</c:f>
              <c:numCache>
                <c:formatCode>0.00%</c:formatCode>
                <c:ptCount val="12"/>
                <c:pt idx="1" formatCode="0%">
                  <c:v>0.16415813766807141</c:v>
                </c:pt>
                <c:pt idx="2" formatCode="0%">
                  <c:v>-0.14660515803122398</c:v>
                </c:pt>
                <c:pt idx="3" formatCode="0%">
                  <c:v>6.3585464924799551E-2</c:v>
                </c:pt>
                <c:pt idx="4" formatCode="0%">
                  <c:v>-9.4688383807105536E-2</c:v>
                </c:pt>
                <c:pt idx="5" formatCode="0%">
                  <c:v>-0.15593489335114996</c:v>
                </c:pt>
                <c:pt idx="6" formatCode="0%">
                  <c:v>0.23474840473527525</c:v>
                </c:pt>
                <c:pt idx="7" formatCode="0%">
                  <c:v>-4.6340460166458541E-3</c:v>
                </c:pt>
                <c:pt idx="8" formatCode="0%">
                  <c:v>3.3952177678520323E-2</c:v>
                </c:pt>
                <c:pt idx="9" formatCode="0%">
                  <c:v>7.8774607763935522E-2</c:v>
                </c:pt>
                <c:pt idx="10" formatCode="0%">
                  <c:v>0.25294323990903256</c:v>
                </c:pt>
                <c:pt idx="11" formatCode="0%">
                  <c:v>-0.10281132330689891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E-4F76-AD59-E5B4693E2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7823344"/>
        <c:axId val="332834272"/>
      </c:lineChart>
      <c:catAx>
        <c:axId val="205782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34272"/>
        <c:crosses val="autoZero"/>
        <c:auto val="1"/>
        <c:lblAlgn val="ctr"/>
        <c:lblOffset val="100"/>
        <c:noMultiLvlLbl val="0"/>
      </c:catAx>
      <c:valAx>
        <c:axId val="3328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2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SEC Growth on Previous Yr</a:t>
            </a:r>
            <a:r>
              <a:rPr lang="en-US" baseline="0"/>
              <a:t> - FG Units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'Unit Numbers '!$I$4</c:f>
              <c:strCache>
                <c:ptCount val="1"/>
                <c:pt idx="0">
                  <c:v> Growth on Previous Yr 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'Unit Numbers '!$A$5:$A$16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'Unit Numbers '!$I$5:$I$16</c:f>
              <c:numCache>
                <c:formatCode>0%</c:formatCode>
                <c:ptCount val="12"/>
                <c:pt idx="1">
                  <c:v>-2.2061793872737434E-2</c:v>
                </c:pt>
                <c:pt idx="2">
                  <c:v>3.61378354609172E-2</c:v>
                </c:pt>
                <c:pt idx="3">
                  <c:v>0.35609197767432299</c:v>
                </c:pt>
                <c:pt idx="4">
                  <c:v>4.3614327576886991E-2</c:v>
                </c:pt>
                <c:pt idx="5">
                  <c:v>-7.3233011649673774E-2</c:v>
                </c:pt>
                <c:pt idx="6">
                  <c:v>0.54121603733809209</c:v>
                </c:pt>
                <c:pt idx="7">
                  <c:v>1.1349755700325703E-2</c:v>
                </c:pt>
                <c:pt idx="8">
                  <c:v>8.5558099743344496E-2</c:v>
                </c:pt>
                <c:pt idx="9">
                  <c:v>0.13040580869101626</c:v>
                </c:pt>
                <c:pt idx="10">
                  <c:v>0.38051396144007632</c:v>
                </c:pt>
                <c:pt idx="11">
                  <c:v>0.19607799451171748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0-4577-8BDC-2D8A9D6DA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183168"/>
        <c:axId val="332862560"/>
      </c:lineChart>
      <c:catAx>
        <c:axId val="198518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62560"/>
        <c:crosses val="autoZero"/>
        <c:auto val="1"/>
        <c:lblAlgn val="ctr"/>
        <c:lblOffset val="100"/>
        <c:noMultiLvlLbl val="0"/>
      </c:catAx>
      <c:valAx>
        <c:axId val="3328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18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Growth on Previous Yr Units Made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'Unit Numbers '!$N$4</c:f>
              <c:strCache>
                <c:ptCount val="1"/>
                <c:pt idx="0">
                  <c:v> Growth on Previous Yr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 Numbers '!$A$4:$A$16</c15:sqref>
                  </c15:fullRef>
                </c:ext>
              </c:extLst>
              <c:f>'Unit Numbers '!$A$5:$A$16</c:f>
              <c:strCach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 Numbers '!$N$4:$N$16</c15:sqref>
                  </c15:fullRef>
                </c:ext>
              </c:extLst>
              <c:f>'Unit Numbers '!$N$5:$N$16</c:f>
              <c:numCache>
                <c:formatCode>_-* #,##0_-;\-* #,##0_-;_-* "-"??_-;_-@_-</c:formatCode>
                <c:ptCount val="12"/>
                <c:pt idx="1" formatCode="0%">
                  <c:v>9.3415913194782929E-2</c:v>
                </c:pt>
                <c:pt idx="2" formatCode="0%">
                  <c:v>-0.12680290748563383</c:v>
                </c:pt>
                <c:pt idx="3" formatCode="0%">
                  <c:v>0.15337936254888684</c:v>
                </c:pt>
                <c:pt idx="4" formatCode="0%">
                  <c:v>-4.9846714987326513E-2</c:v>
                </c:pt>
                <c:pt idx="5" formatCode="0%">
                  <c:v>-0.13153639660287908</c:v>
                </c:pt>
                <c:pt idx="6" formatCode="0%">
                  <c:v>0.29802369159948428</c:v>
                </c:pt>
                <c:pt idx="7" formatCode="0%">
                  <c:v>6.7150107831950301E-3</c:v>
                </c:pt>
                <c:pt idx="8" formatCode="0%">
                  <c:v>4.6032173460768044E-2</c:v>
                </c:pt>
                <c:pt idx="9" formatCode="0%">
                  <c:v>0.10221742626211339</c:v>
                </c:pt>
                <c:pt idx="10" formatCode="0%">
                  <c:v>0.24653744265064415</c:v>
                </c:pt>
                <c:pt idx="11" formatCode="0%">
                  <c:v>8.3903286639832597E-3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C-4D14-9D44-C3013DC15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21568"/>
        <c:axId val="332872128"/>
      </c:lineChart>
      <c:catAx>
        <c:axId val="198522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72128"/>
        <c:crosses val="autoZero"/>
        <c:auto val="1"/>
        <c:lblAlgn val="ctr"/>
        <c:lblOffset val="100"/>
        <c:noMultiLvlLbl val="0"/>
      </c:catAx>
      <c:valAx>
        <c:axId val="3328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2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All areas Yearly Total - (Excludes FA Sub Assemblies)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'Units made'!$O$2</c:f>
              <c:strCache>
                <c:ptCount val="1"/>
                <c:pt idx="0">
                  <c:v>All areas - accumulative qty (Excludes FA Sub Assemblies)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'Units made'!$P$3:$Z$3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'Units made'!$P$15:$Z$15</c:f>
              <c:numCache>
                <c:formatCode>_-* #,##0_-;\-* #,##0_-;_-* "-"??_-;_-@_-</c:formatCode>
                <c:ptCount val="11"/>
                <c:pt idx="0">
                  <c:v>1011062</c:v>
                </c:pt>
                <c:pt idx="1">
                  <c:v>879269</c:v>
                </c:pt>
                <c:pt idx="2">
                  <c:v>1015548</c:v>
                </c:pt>
                <c:pt idx="3">
                  <c:v>960664</c:v>
                </c:pt>
                <c:pt idx="4">
                  <c:v>836773</c:v>
                </c:pt>
                <c:pt idx="5">
                  <c:v>1121134</c:v>
                </c:pt>
                <c:pt idx="6">
                  <c:v>1120501</c:v>
                </c:pt>
                <c:pt idx="7">
                  <c:v>1148683</c:v>
                </c:pt>
                <c:pt idx="8">
                  <c:v>1250232</c:v>
                </c:pt>
                <c:pt idx="9">
                  <c:v>1558461</c:v>
                </c:pt>
                <c:pt idx="10">
                  <c:v>1571537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C-40F2-9508-3C80B48BD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596960"/>
        <c:axId val="471600288"/>
      </c:barChart>
      <c:catAx>
        <c:axId val="4715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00288"/>
        <c:crosses val="autoZero"/>
        <c:auto val="1"/>
        <c:lblAlgn val="ctr"/>
        <c:lblOffset val="100"/>
        <c:noMultiLvlLbl val="0"/>
      </c:catAx>
      <c:valAx>
        <c:axId val="4716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9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PCB Area Yearly Total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'Units made'!$O$17</c:f>
              <c:strCache>
                <c:ptCount val="1"/>
                <c:pt idx="0">
                  <c:v>PCB Area - accumulative qty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'Units made'!$P$18:$Z$18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'Units made'!$P$30:$Z$30</c:f>
              <c:numCache>
                <c:formatCode>_-* #,##0_-;\-* #,##0_-;_-* "-"??_-;_-@_-</c:formatCode>
                <c:ptCount val="11"/>
                <c:pt idx="0">
                  <c:v>384012</c:v>
                </c:pt>
                <c:pt idx="1">
                  <c:v>353499</c:v>
                </c:pt>
                <c:pt idx="2">
                  <c:v>419296</c:v>
                </c:pt>
                <c:pt idx="3">
                  <c:v>385289</c:v>
                </c:pt>
                <c:pt idx="4">
                  <c:v>360105</c:v>
                </c:pt>
                <c:pt idx="5">
                  <c:v>499211</c:v>
                </c:pt>
                <c:pt idx="6">
                  <c:v>505358</c:v>
                </c:pt>
                <c:pt idx="7">
                  <c:v>526918</c:v>
                </c:pt>
                <c:pt idx="8">
                  <c:v>569504</c:v>
                </c:pt>
                <c:pt idx="9">
                  <c:v>703003</c:v>
                </c:pt>
                <c:pt idx="10">
                  <c:v>750179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A-4371-A918-904BE8F14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596960"/>
        <c:axId val="471600288"/>
      </c:barChart>
      <c:catAx>
        <c:axId val="4715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00288"/>
        <c:crosses val="autoZero"/>
        <c:auto val="1"/>
        <c:lblAlgn val="ctr"/>
        <c:lblOffset val="100"/>
        <c:noMultiLvlLbl val="0"/>
      </c:catAx>
      <c:valAx>
        <c:axId val="4716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9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XFMR Yearly Total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'Units made'!$O$32</c:f>
              <c:strCache>
                <c:ptCount val="1"/>
                <c:pt idx="0">
                  <c:v>XFMR - accumulative qty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'Units made'!$P$33:$Z$33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'Units made'!$P$45:$Z$45</c:f>
              <c:numCache>
                <c:formatCode>_-* #,##0_-;\-* #,##0_-;_-* "-"??_-;_-@_-</c:formatCode>
                <c:ptCount val="11"/>
                <c:pt idx="0">
                  <c:v>272622</c:v>
                </c:pt>
                <c:pt idx="1">
                  <c:v>212978</c:v>
                </c:pt>
                <c:pt idx="2">
                  <c:v>238798</c:v>
                </c:pt>
                <c:pt idx="3">
                  <c:v>242185</c:v>
                </c:pt>
                <c:pt idx="4">
                  <c:v>187858</c:v>
                </c:pt>
                <c:pt idx="5">
                  <c:v>199953</c:v>
                </c:pt>
                <c:pt idx="6">
                  <c:v>203217</c:v>
                </c:pt>
                <c:pt idx="7">
                  <c:v>204091</c:v>
                </c:pt>
                <c:pt idx="8">
                  <c:v>231938</c:v>
                </c:pt>
                <c:pt idx="9">
                  <c:v>268264</c:v>
                </c:pt>
                <c:pt idx="10">
                  <c:v>214043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D-4571-9438-64A03D293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596960"/>
        <c:axId val="471600288"/>
      </c:barChart>
      <c:catAx>
        <c:axId val="4715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00288"/>
        <c:crosses val="autoZero"/>
        <c:auto val="1"/>
        <c:lblAlgn val="ctr"/>
        <c:lblOffset val="100"/>
        <c:noMultiLvlLbl val="0"/>
      </c:catAx>
      <c:valAx>
        <c:axId val="4716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9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AM Final</a:t>
            </a:r>
            <a:r>
              <a:rPr lang="en-NZ" baseline="0"/>
              <a:t> Assy</a:t>
            </a:r>
            <a:r>
              <a:rPr lang="en-NZ"/>
              <a:t> Yearly Total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'Units made'!$O$47</c:f>
              <c:strCache>
                <c:ptCount val="1"/>
                <c:pt idx="0">
                  <c:v>AM Final Assembly - accumulative qty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'Units made'!$P$48:$Z$48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'Units made'!$P$60:$Z$60</c:f>
              <c:numCache>
                <c:formatCode>_-* #,##0_-;\-* #,##0_-;_-* "-"??_-;_-@_-</c:formatCode>
                <c:ptCount val="11"/>
                <c:pt idx="0">
                  <c:v>273169</c:v>
                </c:pt>
                <c:pt idx="1">
                  <c:v>232440</c:v>
                </c:pt>
                <c:pt idx="2">
                  <c:v>252000</c:v>
                </c:pt>
                <c:pt idx="3">
                  <c:v>223136</c:v>
                </c:pt>
                <c:pt idx="4">
                  <c:v>186810</c:v>
                </c:pt>
                <c:pt idx="5">
                  <c:v>264784</c:v>
                </c:pt>
                <c:pt idx="6">
                  <c:v>252950</c:v>
                </c:pt>
                <c:pt idx="7">
                  <c:v>245105</c:v>
                </c:pt>
                <c:pt idx="8">
                  <c:v>253717</c:v>
                </c:pt>
                <c:pt idx="9">
                  <c:v>317893</c:v>
                </c:pt>
                <c:pt idx="10">
                  <c:v>285210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6-48DC-8A46-402C26A50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596960"/>
        <c:axId val="471600288"/>
      </c:barChart>
      <c:catAx>
        <c:axId val="4715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00288"/>
        <c:crosses val="autoZero"/>
        <c:auto val="1"/>
        <c:lblAlgn val="ctr"/>
        <c:lblOffset val="100"/>
        <c:noMultiLvlLbl val="0"/>
      </c:catAx>
      <c:valAx>
        <c:axId val="4716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9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SEC Final</a:t>
            </a:r>
            <a:r>
              <a:rPr lang="en-NZ" baseline="0"/>
              <a:t> Assy</a:t>
            </a:r>
            <a:r>
              <a:rPr lang="en-NZ"/>
              <a:t> Yearly Total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'Units made'!$O$62</c:f>
              <c:strCache>
                <c:ptCount val="1"/>
                <c:pt idx="0">
                  <c:v>SEC Final Assembly - accumulative qty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'Units made'!$P$63:$Z$63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'Units made'!$P$75:$Z$75</c:f>
              <c:numCache>
                <c:formatCode>_-* #,##0_-;\-* #,##0_-;_-* "-"??_-;_-@_-</c:formatCode>
                <c:ptCount val="11"/>
                <c:pt idx="0">
                  <c:v>81259</c:v>
                </c:pt>
                <c:pt idx="1">
                  <c:v>80352</c:v>
                </c:pt>
                <c:pt idx="2">
                  <c:v>105454</c:v>
                </c:pt>
                <c:pt idx="3">
                  <c:v>110054</c:v>
                </c:pt>
                <c:pt idx="4">
                  <c:v>102000</c:v>
                </c:pt>
                <c:pt idx="5">
                  <c:v>157186</c:v>
                </c:pt>
                <c:pt idx="6">
                  <c:v>158976</c:v>
                </c:pt>
                <c:pt idx="7">
                  <c:v>172569</c:v>
                </c:pt>
                <c:pt idx="8">
                  <c:v>195073</c:v>
                </c:pt>
                <c:pt idx="9">
                  <c:v>269301</c:v>
                </c:pt>
                <c:pt idx="10">
                  <c:v>322105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F-4DDF-9D7C-FF2862A1A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596960"/>
        <c:axId val="471600288"/>
      </c:barChart>
      <c:catAx>
        <c:axId val="4715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00288"/>
        <c:crosses val="autoZero"/>
        <c:auto val="1"/>
        <c:lblAlgn val="ctr"/>
        <c:lblOffset val="100"/>
        <c:noMultiLvlLbl val="0"/>
      </c:catAx>
      <c:valAx>
        <c:axId val="4716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9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% of VOlume Based off last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'Units made'!$C$79</c:f>
              <c:strCache>
                <c:ptCount val="1"/>
                <c:pt idx="0">
                  <c:v>% Through Yr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'Units made'!$B$80:$B$91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made'!$C$80:$C$91</c:f>
              <c:numCache>
                <c:formatCode>0.0%</c:formatCode>
                <c:ptCount val="12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F-4885-B487-BA80BD64D3A0}"/>
            </c:ext>
          </c:extLst>
        </c:ser>
        <c:ser>
          <c:idx val="1"/>
          <c:order val="1"/>
          <c:tx>
            <c:strRef>
              <c:f>'Units made'!$D$79</c:f>
              <c:strCache>
                <c:ptCount val="1"/>
                <c:pt idx="0">
                  <c:v>PCB Area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'Units made'!$B$80:$B$91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made'!$D$80:$D$91</c:f>
              <c:numCache>
                <c:formatCode>0.0%</c:formatCode>
                <c:ptCount val="12"/>
                <c:pt idx="0">
                  <c:v>8.0597095602721464E-2</c:v>
                </c:pt>
                <c:pt idx="1">
                  <c:v>0.16347440907080055</c:v>
                </c:pt>
                <c:pt idx="2">
                  <c:v>0.27068305540659143</c:v>
                </c:pt>
                <c:pt idx="3">
                  <c:v>0.36175663546243758</c:v>
                </c:pt>
                <c:pt idx="4">
                  <c:v>0.46770639670100983</c:v>
                </c:pt>
                <c:pt idx="5">
                  <c:v>0.57186100201563861</c:v>
                </c:pt>
                <c:pt idx="6">
                  <c:v>0.66014796522916686</c:v>
                </c:pt>
                <c:pt idx="7">
                  <c:v>0.75479763244253584</c:v>
                </c:pt>
                <c:pt idx="8">
                  <c:v>0.83390255802606816</c:v>
                </c:pt>
                <c:pt idx="9">
                  <c:v>0.92314684290109716</c:v>
                </c:pt>
                <c:pt idx="10">
                  <c:v>1.0085006749615577</c:v>
                </c:pt>
                <c:pt idx="11">
                  <c:v>1.067106399261454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F-4885-B487-BA80BD64D3A0}"/>
            </c:ext>
          </c:extLst>
        </c:ser>
        <c:ser>
          <c:idx val="2"/>
          <c:order val="2"/>
          <c:tx>
            <c:strRef>
              <c:f>'Units made'!$E$79</c:f>
              <c:strCache>
                <c:ptCount val="1"/>
                <c:pt idx="0">
                  <c:v>AM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'Units made'!$B$80:$B$91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made'!$E$80:$E$91</c:f>
              <c:numCache>
                <c:formatCode>0.0%</c:formatCode>
                <c:ptCount val="12"/>
                <c:pt idx="0">
                  <c:v>7.3905370675038454E-2</c:v>
                </c:pt>
                <c:pt idx="1">
                  <c:v>0.16950042938976323</c:v>
                </c:pt>
                <c:pt idx="2">
                  <c:v>0.2840735719251446</c:v>
                </c:pt>
                <c:pt idx="3">
                  <c:v>0.38187062942562433</c:v>
                </c:pt>
                <c:pt idx="4">
                  <c:v>0.48013639809621478</c:v>
                </c:pt>
                <c:pt idx="5">
                  <c:v>0.55379640319226908</c:v>
                </c:pt>
                <c:pt idx="6">
                  <c:v>0.61451809256573753</c:v>
                </c:pt>
                <c:pt idx="7">
                  <c:v>0.68307889761649365</c:v>
                </c:pt>
                <c:pt idx="8">
                  <c:v>0.75907302142544819</c:v>
                </c:pt>
                <c:pt idx="9">
                  <c:v>0.82190862963324141</c:v>
                </c:pt>
                <c:pt idx="10">
                  <c:v>0.86874514380624923</c:v>
                </c:pt>
                <c:pt idx="11">
                  <c:v>0.89718867669310109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7F-4885-B487-BA80BD64D3A0}"/>
            </c:ext>
          </c:extLst>
        </c:ser>
        <c:ser>
          <c:idx val="3"/>
          <c:order val="3"/>
          <c:tx>
            <c:strRef>
              <c:f>'Units made'!$F$79</c:f>
              <c:strCache>
                <c:ptCount val="1"/>
                <c:pt idx="0">
                  <c:v>SEC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'Units made'!$B$80:$B$91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made'!$F$80:$F$91</c:f>
              <c:numCache>
                <c:formatCode>0.0%</c:formatCode>
                <c:ptCount val="12"/>
                <c:pt idx="0">
                  <c:v>7.154819328558007E-2</c:v>
                </c:pt>
                <c:pt idx="1">
                  <c:v>0.1524799388045347</c:v>
                </c:pt>
                <c:pt idx="2">
                  <c:v>0.26211933858396369</c:v>
                </c:pt>
                <c:pt idx="3">
                  <c:v>0.36458089646900682</c:v>
                </c:pt>
                <c:pt idx="4">
                  <c:v>0.45994630543518217</c:v>
                </c:pt>
                <c:pt idx="5">
                  <c:v>0.59160567543380826</c:v>
                </c:pt>
                <c:pt idx="6">
                  <c:v>0.69832640799699963</c:v>
                </c:pt>
                <c:pt idx="7">
                  <c:v>0.80593091002261408</c:v>
                </c:pt>
                <c:pt idx="8">
                  <c:v>0.95383604219813523</c:v>
                </c:pt>
                <c:pt idx="9">
                  <c:v>1.0770141960111548</c:v>
                </c:pt>
                <c:pt idx="10">
                  <c:v>1.1552797798745642</c:v>
                </c:pt>
                <c:pt idx="11">
                  <c:v>1.1960779945117175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7F-4885-B487-BA80BD64D3A0}"/>
            </c:ext>
          </c:extLst>
        </c:ser>
        <c:ser>
          <c:idx val="4"/>
          <c:order val="4"/>
          <c:tx>
            <c:strRef>
              <c:f>'Units made'!$G$79</c:f>
              <c:strCache>
                <c:ptCount val="1"/>
                <c:pt idx="0">
                  <c:v>XFMR %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'Units made'!$B$80:$B$91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made'!$G$80:$G$91</c:f>
              <c:numCache>
                <c:formatCode>0.0%</c:formatCode>
                <c:ptCount val="12"/>
                <c:pt idx="0">
                  <c:v>7.9645423910774463E-2</c:v>
                </c:pt>
                <c:pt idx="1">
                  <c:v>0.18505278382488891</c:v>
                </c:pt>
                <c:pt idx="2">
                  <c:v>0.3046066561297826</c:v>
                </c:pt>
                <c:pt idx="3">
                  <c:v>0.37988324933647449</c:v>
                </c:pt>
                <c:pt idx="4">
                  <c:v>0.45260638773745265</c:v>
                </c:pt>
                <c:pt idx="5">
                  <c:v>0.52547863298839947</c:v>
                </c:pt>
                <c:pt idx="6">
                  <c:v>0.57688321951510457</c:v>
                </c:pt>
                <c:pt idx="7">
                  <c:v>0.62484343780753293</c:v>
                </c:pt>
                <c:pt idx="8">
                  <c:v>0.6754092983031641</c:v>
                </c:pt>
                <c:pt idx="9">
                  <c:v>0.72194554617839146</c:v>
                </c:pt>
                <c:pt idx="10">
                  <c:v>0.75425327289535682</c:v>
                </c:pt>
                <c:pt idx="11">
                  <c:v>0.79788193719619482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7F-4885-B487-BA80BD64D3A0}"/>
            </c:ext>
          </c:extLst>
        </c:ser>
        <c:ser>
          <c:idx val="5"/>
          <c:order val="5"/>
          <c:tx>
            <c:strRef>
              <c:f>'Units made'!$H$79</c:f>
              <c:strCache>
                <c:ptCount val="1"/>
                <c:pt idx="0">
                  <c:v>Total Units %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'Units made'!$B$80:$B$91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made'!$H$80:$H$91</c:f>
              <c:numCache>
                <c:formatCode>0.0%</c:formatCode>
                <c:ptCount val="12"/>
                <c:pt idx="0">
                  <c:v>7.7504666462619207E-2</c:v>
                </c:pt>
                <c:pt idx="1">
                  <c:v>0.1665181226864195</c:v>
                </c:pt>
                <c:pt idx="2">
                  <c:v>0.27777403476891627</c:v>
                </c:pt>
                <c:pt idx="3">
                  <c:v>0.36946769922378553</c:v>
                </c:pt>
                <c:pt idx="4">
                  <c:v>0.46630169121973536</c:v>
                </c:pt>
                <c:pt idx="5">
                  <c:v>0.56360409403892686</c:v>
                </c:pt>
                <c:pt idx="6">
                  <c:v>0.64310496059894984</c:v>
                </c:pt>
                <c:pt idx="7">
                  <c:v>0.72663480189751295</c:v>
                </c:pt>
                <c:pt idx="8">
                  <c:v>0.81208127761939508</c:v>
                </c:pt>
                <c:pt idx="9">
                  <c:v>0.89445100005710765</c:v>
                </c:pt>
                <c:pt idx="10">
                  <c:v>0.96159223747017086</c:v>
                </c:pt>
                <c:pt idx="11">
                  <c:v>1.0083903286639833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7F-4885-B487-BA80BD64D3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386982879"/>
        <c:axId val="1386993279"/>
      </c:barChart>
      <c:catAx>
        <c:axId val="1386982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93279"/>
        <c:crosses val="autoZero"/>
        <c:auto val="1"/>
        <c:lblAlgn val="ctr"/>
        <c:lblOffset val="100"/>
        <c:noMultiLvlLbl val="0"/>
      </c:catAx>
      <c:valAx>
        <c:axId val="1386993279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38698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NZ"/>
              <a:t>All areas - accumulative qty (Excludes FA Sub Assemblies)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'Units made'!$T$3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'Units made'!$O$4:$O$15</c15:sqref>
                  </c15:fullRef>
                </c:ext>
              </c:extLst>
              <c:f>'Units made'!$O$4:$O$15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'Units made'!$T$3:$T$15</c15:sqref>
                  </c15:fullRef>
                </c:ext>
              </c:extLst>
              <c:f>'Units made'!$T$3:$T$14</c:f>
              <c:numCache>
                <c:formatCode>_-* #,##0_-;\-* #,##0_-;_-* "-"??_-;_-@_-</c:formatCode>
                <c:ptCount val="12"/>
                <c:pt idx="0" formatCode="General">
                  <c:v>2016</c:v>
                </c:pt>
                <c:pt idx="1">
                  <c:v>58260</c:v>
                </c:pt>
                <c:pt idx="2">
                  <c:v>140714</c:v>
                </c:pt>
                <c:pt idx="3">
                  <c:v>208349</c:v>
                </c:pt>
                <c:pt idx="4">
                  <c:v>269362</c:v>
                </c:pt>
                <c:pt idx="5">
                  <c:v>335970</c:v>
                </c:pt>
                <c:pt idx="6">
                  <c:v>395307</c:v>
                </c:pt>
                <c:pt idx="7">
                  <c:v>459618</c:v>
                </c:pt>
                <c:pt idx="8">
                  <c:v>531098</c:v>
                </c:pt>
                <c:pt idx="9">
                  <c:v>598859</c:v>
                </c:pt>
                <c:pt idx="10">
                  <c:v>689909</c:v>
                </c:pt>
                <c:pt idx="11">
                  <c:v>770503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D-41CF-A00D-8BC2B1B62392}"/>
            </c:ext>
          </c:extLst>
        </c:ser>
        <c:ser>
          <c:idx val="5"/>
          <c:order val="5"/>
          <c:tx>
            <c:strRef>
              <c:f>'Units made'!$U$3</c:f>
              <c:strCache>
                <c:ptCount val="1"/>
                <c:pt idx="0">
                  <c:v>2017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'Units made'!$O$4:$O$15</c15:sqref>
                  </c15:fullRef>
                </c:ext>
              </c:extLst>
              <c:f>'Units made'!$O$4:$O$15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'Units made'!$U$3:$U$15</c15:sqref>
                  </c15:fullRef>
                </c:ext>
              </c:extLst>
              <c:f>'Units made'!$U$3:$U$14</c:f>
              <c:numCache>
                <c:formatCode>_-* #,##0_-;\-* #,##0_-;_-* "-"??_-;_-@_-</c:formatCode>
                <c:ptCount val="12"/>
                <c:pt idx="0" formatCode="General">
                  <c:v>2017</c:v>
                </c:pt>
                <c:pt idx="1">
                  <c:v>75280</c:v>
                </c:pt>
                <c:pt idx="2">
                  <c:v>155275</c:v>
                </c:pt>
                <c:pt idx="3">
                  <c:v>237217</c:v>
                </c:pt>
                <c:pt idx="4">
                  <c:v>303022</c:v>
                </c:pt>
                <c:pt idx="5">
                  <c:v>405425</c:v>
                </c:pt>
                <c:pt idx="6">
                  <c:v>497224</c:v>
                </c:pt>
                <c:pt idx="7">
                  <c:v>619056</c:v>
                </c:pt>
                <c:pt idx="8">
                  <c:v>721950</c:v>
                </c:pt>
                <c:pt idx="9">
                  <c:v>825411</c:v>
                </c:pt>
                <c:pt idx="10">
                  <c:v>945295</c:v>
                </c:pt>
                <c:pt idx="11">
                  <c:v>1050374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D-41CF-A00D-8BC2B1B62392}"/>
            </c:ext>
          </c:extLst>
        </c:ser>
        <c:ser>
          <c:idx val="6"/>
          <c:order val="6"/>
          <c:tx>
            <c:strRef>
              <c:f>'Units made'!$V$3</c:f>
              <c:strCache>
                <c:ptCount val="1"/>
                <c:pt idx="0">
                  <c:v>2018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'Units made'!$O$4:$O$15</c15:sqref>
                  </c15:fullRef>
                </c:ext>
              </c:extLst>
              <c:f>'Units made'!$O$4:$O$15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'Units made'!$V$3:$V$15</c15:sqref>
                  </c15:fullRef>
                </c:ext>
              </c:extLst>
              <c:f>'Units made'!$V$3:$V$14</c:f>
              <c:numCache>
                <c:formatCode>_-* #,##0_-;\-* #,##0_-;_-* "-"??_-;_-@_-</c:formatCode>
                <c:ptCount val="12"/>
                <c:pt idx="0" formatCode="General">
                  <c:v>2018</c:v>
                </c:pt>
                <c:pt idx="1">
                  <c:v>82343</c:v>
                </c:pt>
                <c:pt idx="2">
                  <c:v>167594</c:v>
                </c:pt>
                <c:pt idx="3">
                  <c:v>270050</c:v>
                </c:pt>
                <c:pt idx="4">
                  <c:v>366945</c:v>
                </c:pt>
                <c:pt idx="5">
                  <c:v>454191</c:v>
                </c:pt>
                <c:pt idx="6">
                  <c:v>526015</c:v>
                </c:pt>
                <c:pt idx="7">
                  <c:v>625451</c:v>
                </c:pt>
                <c:pt idx="8">
                  <c:v>718972</c:v>
                </c:pt>
                <c:pt idx="9">
                  <c:v>818612</c:v>
                </c:pt>
                <c:pt idx="10">
                  <c:v>938931</c:v>
                </c:pt>
                <c:pt idx="11">
                  <c:v>1048285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D-41CF-A00D-8BC2B1B62392}"/>
            </c:ext>
          </c:extLst>
        </c:ser>
        <c:ser>
          <c:idx val="7"/>
          <c:order val="7"/>
          <c:tx>
            <c:strRef>
              <c:f>'Units made'!$W$3</c:f>
              <c:strCache>
                <c:ptCount val="1"/>
                <c:pt idx="0">
                  <c:v>2019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'Units made'!$O$4:$O$15</c15:sqref>
                  </c15:fullRef>
                </c:ext>
              </c:extLst>
              <c:f>'Units made'!$O$4:$O$15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'Units made'!$W$3:$W$15</c15:sqref>
                  </c15:fullRef>
                </c:ext>
              </c:extLst>
              <c:f>'Units made'!$W$3:$W$14</c:f>
              <c:numCache>
                <c:formatCode>_-* #,##0_-;\-* #,##0_-;_-* "-"??_-;_-@_-</c:formatCode>
                <c:ptCount val="12"/>
                <c:pt idx="0" formatCode="General">
                  <c:v>2019</c:v>
                </c:pt>
                <c:pt idx="1">
                  <c:v>81100</c:v>
                </c:pt>
                <c:pt idx="2">
                  <c:v>168572</c:v>
                </c:pt>
                <c:pt idx="3">
                  <c:v>261168</c:v>
                </c:pt>
                <c:pt idx="4">
                  <c:v>337956</c:v>
                </c:pt>
                <c:pt idx="5">
                  <c:v>436878</c:v>
                </c:pt>
                <c:pt idx="6">
                  <c:v>527931</c:v>
                </c:pt>
                <c:pt idx="7">
                  <c:v>649496</c:v>
                </c:pt>
                <c:pt idx="8">
                  <c:v>751969</c:v>
                </c:pt>
                <c:pt idx="9">
                  <c:v>862571</c:v>
                </c:pt>
                <c:pt idx="10">
                  <c:v>970402</c:v>
                </c:pt>
                <c:pt idx="11">
                  <c:v>1063433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BD-41CF-A00D-8BC2B1B62392}"/>
            </c:ext>
          </c:extLst>
        </c:ser>
        <c:ser>
          <c:idx val="8"/>
          <c:order val="8"/>
          <c:tx>
            <c:strRef>
              <c:f>'Units made'!$X$3</c:f>
              <c:strCache>
                <c:ptCount val="1"/>
                <c:pt idx="0">
                  <c:v>2020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'Units made'!$O$4:$O$15</c15:sqref>
                  </c15:fullRef>
                </c:ext>
              </c:extLst>
              <c:f>'Units made'!$O$4:$O$15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'Units made'!$X$3:$X$15</c15:sqref>
                  </c15:fullRef>
                </c:ext>
              </c:extLst>
              <c:f>'Units made'!$X$3:$X$14</c:f>
              <c:numCache>
                <c:formatCode>_-* #,##0_-;\-* #,##0_-;_-* "-"??_-;_-@_-</c:formatCode>
                <c:ptCount val="12"/>
                <c:pt idx="0" formatCode="General">
                  <c:v>2020</c:v>
                </c:pt>
                <c:pt idx="1">
                  <c:v>105560</c:v>
                </c:pt>
                <c:pt idx="2">
                  <c:v>198615</c:v>
                </c:pt>
                <c:pt idx="3">
                  <c:v>304574</c:v>
                </c:pt>
                <c:pt idx="4">
                  <c:v>324047</c:v>
                </c:pt>
                <c:pt idx="5">
                  <c:v>426237</c:v>
                </c:pt>
                <c:pt idx="6">
                  <c:v>556551</c:v>
                </c:pt>
                <c:pt idx="7">
                  <c:v>672703</c:v>
                </c:pt>
                <c:pt idx="8">
                  <c:v>796799</c:v>
                </c:pt>
                <c:pt idx="9">
                  <c:v>911547</c:v>
                </c:pt>
                <c:pt idx="10">
                  <c:v>1029036</c:v>
                </c:pt>
                <c:pt idx="11">
                  <c:v>1173174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BD-41CF-A00D-8BC2B1B62392}"/>
            </c:ext>
          </c:extLst>
        </c:ser>
        <c:ser>
          <c:idx val="9"/>
          <c:order val="9"/>
          <c:tx>
            <c:strRef>
              <c:f>'Units made'!$Y$3</c:f>
              <c:strCache>
                <c:ptCount val="1"/>
                <c:pt idx="0">
                  <c:v>2021</c:v>
                </c:pt>
              </c:strCache>
              <c:extLst xmlns:c15="http://schemas.microsoft.com/office/drawing/2012/chart"/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'Units made'!$O$4:$O$15</c15:sqref>
                  </c15:fullRef>
                </c:ext>
              </c:extLst>
              <c:f>'Units made'!$O$4:$O$15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'Units made'!$Y$3:$Y$15</c15:sqref>
                  </c15:fullRef>
                </c:ext>
              </c:extLst>
              <c:f>'Units made'!$Y$3:$Y$14</c:f>
              <c:numCache>
                <c:formatCode>_-* #,##0_-;\-* #,##0_-;_-* "-"??_-;_-@_-</c:formatCode>
                <c:ptCount val="12"/>
                <c:pt idx="0" formatCode="General">
                  <c:v>2021</c:v>
                </c:pt>
                <c:pt idx="1">
                  <c:v>89102</c:v>
                </c:pt>
                <c:pt idx="2">
                  <c:v>180127</c:v>
                </c:pt>
                <c:pt idx="3">
                  <c:v>312723</c:v>
                </c:pt>
                <c:pt idx="4">
                  <c:v>411442</c:v>
                </c:pt>
                <c:pt idx="5">
                  <c:v>535045</c:v>
                </c:pt>
                <c:pt idx="6">
                  <c:v>643772</c:v>
                </c:pt>
                <c:pt idx="7">
                  <c:v>757739</c:v>
                </c:pt>
                <c:pt idx="8">
                  <c:v>906270</c:v>
                </c:pt>
                <c:pt idx="9">
                  <c:v>1070518</c:v>
                </c:pt>
                <c:pt idx="10">
                  <c:v>1231830</c:v>
                </c:pt>
                <c:pt idx="11">
                  <c:v>1413604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A1BD-41CF-A00D-8BC2B1B62392}"/>
            </c:ext>
          </c:extLst>
        </c:ser>
        <c:ser>
          <c:idx val="10"/>
          <c:order val="10"/>
          <c:tx>
            <c:strRef>
              <c:f>'Units made'!$Z$3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'Units made'!$O$4:$O$15</c15:sqref>
                  </c15:fullRef>
                </c:ext>
              </c:extLst>
              <c:f>'Units made'!$O$4:$O$15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'Units made'!$Z$3:$Z$15</c15:sqref>
                  </c15:fullRef>
                </c:ext>
              </c:extLst>
              <c:f>'Units made'!$Z$3:$Z$14</c:f>
              <c:numCache>
                <c:formatCode>_-* #,##0_-;\-* #,##0_-;_-* "-"??_-;_-@_-</c:formatCode>
                <c:ptCount val="12"/>
                <c:pt idx="0" formatCode="General">
                  <c:v>2022</c:v>
                </c:pt>
                <c:pt idx="1">
                  <c:v>120788</c:v>
                </c:pt>
                <c:pt idx="2">
                  <c:v>259512</c:v>
                </c:pt>
                <c:pt idx="3">
                  <c:v>432900</c:v>
                </c:pt>
                <c:pt idx="4">
                  <c:v>575801</c:v>
                </c:pt>
                <c:pt idx="5">
                  <c:v>726713</c:v>
                </c:pt>
                <c:pt idx="6">
                  <c:v>878355</c:v>
                </c:pt>
                <c:pt idx="7">
                  <c:v>1002254</c:v>
                </c:pt>
                <c:pt idx="8">
                  <c:v>1132432</c:v>
                </c:pt>
                <c:pt idx="9">
                  <c:v>1265597</c:v>
                </c:pt>
                <c:pt idx="10">
                  <c:v>1393967</c:v>
                </c:pt>
                <c:pt idx="11">
                  <c:v>1498604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A1BD-41CF-A00D-8BC2B1B62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843856"/>
        <c:axId val="1570828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'Units made'!$P$3</c15:sqref>
                        </c15:formulaRef>
                      </c:ext>
                    </c:extLst>
                    <c:strCache>
                      <c:ptCount val="1"/>
                      <c:pt idx="0">
                        <c:v>2012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'Units made'!$O$4:$O$15</c15:sqref>
                        </c15:fullRef>
                        <c15:formulaRef>
                          <c15:sqref>'Units made'!$O$4:$O$15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'Units made'!$P$3:$P$15</c15:sqref>
                        </c15:fullRef>
                        <c15:formulaRef>
                          <c15:sqref>'Units made'!$P$3:$P$14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 formatCode="General">
                        <c:v>2012</c:v>
                      </c:pt>
                      <c:pt idx="1">
                        <c:v>68531</c:v>
                      </c:pt>
                      <c:pt idx="2">
                        <c:v>155422</c:v>
                      </c:pt>
                      <c:pt idx="3">
                        <c:v>258309</c:v>
                      </c:pt>
                      <c:pt idx="4">
                        <c:v>358873</c:v>
                      </c:pt>
                      <c:pt idx="5">
                        <c:v>453244</c:v>
                      </c:pt>
                      <c:pt idx="6">
                        <c:v>537338</c:v>
                      </c:pt>
                      <c:pt idx="7">
                        <c:v>632421</c:v>
                      </c:pt>
                      <c:pt idx="8">
                        <c:v>705381</c:v>
                      </c:pt>
                      <c:pt idx="9">
                        <c:v>780486</c:v>
                      </c:pt>
                      <c:pt idx="10">
                        <c:v>868375</c:v>
                      </c:pt>
                      <c:pt idx="11">
                        <c:v>948261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A1BD-41CF-A00D-8BC2B1B6239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made'!$Q$3</c15:sqref>
                        </c15:formulaRef>
                      </c:ext>
                    </c:extLst>
                    <c:strCache>
                      <c:ptCount val="1"/>
                      <c:pt idx="0">
                        <c:v>2013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'Units made'!$O$4:$O$15</c15:sqref>
                        </c15:fullRef>
                        <c15:formulaRef>
                          <c15:sqref>'Units made'!$O$4:$O$15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'Units made'!$Q$3:$Q$15</c15:sqref>
                        </c15:fullRef>
                        <c15:formulaRef>
                          <c15:sqref>'Units made'!$Q$3:$Q$14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 formatCode="General">
                        <c:v>2013</c:v>
                      </c:pt>
                      <c:pt idx="1">
                        <c:v>53575</c:v>
                      </c:pt>
                      <c:pt idx="2">
                        <c:v>129163</c:v>
                      </c:pt>
                      <c:pt idx="3">
                        <c:v>215308</c:v>
                      </c:pt>
                      <c:pt idx="4">
                        <c:v>305782</c:v>
                      </c:pt>
                      <c:pt idx="5">
                        <c:v>395012</c:v>
                      </c:pt>
                      <c:pt idx="6">
                        <c:v>462577</c:v>
                      </c:pt>
                      <c:pt idx="7">
                        <c:v>547640</c:v>
                      </c:pt>
                      <c:pt idx="8">
                        <c:v>607179</c:v>
                      </c:pt>
                      <c:pt idx="9">
                        <c:v>672998</c:v>
                      </c:pt>
                      <c:pt idx="10">
                        <c:v>744444</c:v>
                      </c:pt>
                      <c:pt idx="11">
                        <c:v>819059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1BD-41CF-A00D-8BC2B1B6239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made'!$R$3</c15:sqref>
                        </c15:formulaRef>
                      </c:ext>
                    </c:extLst>
                    <c:strCache>
                      <c:ptCount val="1"/>
                      <c:pt idx="0">
                        <c:v>2014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'Units made'!$O$4:$O$15</c15:sqref>
                        </c15:fullRef>
                        <c15:formulaRef>
                          <c15:sqref>'Units made'!$O$4:$O$15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'Units made'!$R$3:$R$15</c15:sqref>
                        </c15:fullRef>
                        <c15:formulaRef>
                          <c15:sqref>'Units made'!$R$3:$R$14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 formatCode="General">
                        <c:v>2014</c:v>
                      </c:pt>
                      <c:pt idx="1">
                        <c:v>67262</c:v>
                      </c:pt>
                      <c:pt idx="2">
                        <c:v>137931</c:v>
                      </c:pt>
                      <c:pt idx="3">
                        <c:v>235573</c:v>
                      </c:pt>
                      <c:pt idx="4">
                        <c:v>302659</c:v>
                      </c:pt>
                      <c:pt idx="5">
                        <c:v>384752</c:v>
                      </c:pt>
                      <c:pt idx="6">
                        <c:v>471403</c:v>
                      </c:pt>
                      <c:pt idx="7">
                        <c:v>556976</c:v>
                      </c:pt>
                      <c:pt idx="8">
                        <c:v>645748</c:v>
                      </c:pt>
                      <c:pt idx="9">
                        <c:v>754362</c:v>
                      </c:pt>
                      <c:pt idx="10">
                        <c:v>843831</c:v>
                      </c:pt>
                      <c:pt idx="11">
                        <c:v>934313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1BD-41CF-A00D-8BC2B1B6239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made'!$S$3</c15:sqref>
                        </c15:formulaRef>
                      </c:ext>
                    </c:extLst>
                    <c:strCache>
                      <c:ptCount val="1"/>
                      <c:pt idx="0">
                        <c:v>2015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'Units made'!$O$4:$O$15</c15:sqref>
                        </c15:fullRef>
                        <c15:formulaRef>
                          <c15:sqref>'Units made'!$O$4:$O$15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'Units made'!$S$3:$S$15</c15:sqref>
                        </c15:fullRef>
                        <c15:formulaRef>
                          <c15:sqref>'Units made'!$S$3:$S$14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 formatCode="General">
                        <c:v>2015</c:v>
                      </c:pt>
                      <c:pt idx="1">
                        <c:v>38245</c:v>
                      </c:pt>
                      <c:pt idx="2">
                        <c:v>108112</c:v>
                      </c:pt>
                      <c:pt idx="3">
                        <c:v>202041</c:v>
                      </c:pt>
                      <c:pt idx="4">
                        <c:v>275286</c:v>
                      </c:pt>
                      <c:pt idx="5">
                        <c:v>347528</c:v>
                      </c:pt>
                      <c:pt idx="6">
                        <c:v>437909</c:v>
                      </c:pt>
                      <c:pt idx="7">
                        <c:v>533346</c:v>
                      </c:pt>
                      <c:pt idx="8">
                        <c:v>633338</c:v>
                      </c:pt>
                      <c:pt idx="9">
                        <c:v>718158</c:v>
                      </c:pt>
                      <c:pt idx="10">
                        <c:v>801636</c:v>
                      </c:pt>
                      <c:pt idx="11">
                        <c:v>899624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1BD-41CF-A00D-8BC2B1B62392}"/>
                  </c:ext>
                </c:extLst>
              </c15:ser>
            </c15:filteredLineSeries>
          </c:ext>
        </c:extLst>
      </c:lineChart>
      <c:catAx>
        <c:axId val="157084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828880"/>
        <c:crosses val="autoZero"/>
        <c:auto val="1"/>
        <c:lblAlgn val="ctr"/>
        <c:lblOffset val="100"/>
        <c:noMultiLvlLbl val="0"/>
      </c:catAx>
      <c:valAx>
        <c:axId val="15708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84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kumimoji="0" lang="en-NZ" sz="1600" b="1" i="0" u="none" strike="noStrike" kern="1200" cap="none" spc="100" normalizeH="0" baseline="0" noProof="0">
                <a:ln>
                  <a:noFill/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Calibri" panose="020F0502020204030204"/>
              </a:rPr>
              <a:t>PCB Area - accumulative qty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'Units made'!$P$18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made'!$P$18:$P$30</c:f>
              <c:numCache>
                <c:formatCode>_-* #,##0_-;\-* #,##0_-;_-* "-"??_-;_-@_-</c:formatCode>
                <c:ptCount val="13"/>
                <c:pt idx="0" formatCode="General">
                  <c:v>2012</c:v>
                </c:pt>
                <c:pt idx="1">
                  <c:v>31484</c:v>
                </c:pt>
                <c:pt idx="2">
                  <c:v>64135</c:v>
                </c:pt>
                <c:pt idx="3">
                  <c:v>100579</c:v>
                </c:pt>
                <c:pt idx="4">
                  <c:v>137432</c:v>
                </c:pt>
                <c:pt idx="5">
                  <c:v>171415</c:v>
                </c:pt>
                <c:pt idx="6">
                  <c:v>200665</c:v>
                </c:pt>
                <c:pt idx="7">
                  <c:v>237359</c:v>
                </c:pt>
                <c:pt idx="8">
                  <c:v>266355</c:v>
                </c:pt>
                <c:pt idx="9">
                  <c:v>298658</c:v>
                </c:pt>
                <c:pt idx="10">
                  <c:v>328899</c:v>
                </c:pt>
                <c:pt idx="11">
                  <c:v>361426</c:v>
                </c:pt>
                <c:pt idx="12">
                  <c:v>384012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F-4D57-BF45-8E3711D05292}"/>
            </c:ext>
          </c:extLst>
        </c:ser>
        <c:ser>
          <c:idx val="1"/>
          <c:order val="1"/>
          <c:tx>
            <c:strRef>
              <c:f>'Units made'!$Q$18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made'!$Q$18:$Q$30</c:f>
              <c:numCache>
                <c:formatCode>_-* #,##0_-;\-* #,##0_-;_-* "-"??_-;_-@_-</c:formatCode>
                <c:ptCount val="13"/>
                <c:pt idx="0" formatCode="General">
                  <c:v>2013</c:v>
                </c:pt>
                <c:pt idx="1">
                  <c:v>17710</c:v>
                </c:pt>
                <c:pt idx="2">
                  <c:v>47478</c:v>
                </c:pt>
                <c:pt idx="3">
                  <c:v>83334</c:v>
                </c:pt>
                <c:pt idx="4">
                  <c:v>120643</c:v>
                </c:pt>
                <c:pt idx="5">
                  <c:v>154718</c:v>
                </c:pt>
                <c:pt idx="6">
                  <c:v>185302</c:v>
                </c:pt>
                <c:pt idx="7">
                  <c:v>218827</c:v>
                </c:pt>
                <c:pt idx="8">
                  <c:v>241076</c:v>
                </c:pt>
                <c:pt idx="9">
                  <c:v>266640</c:v>
                </c:pt>
                <c:pt idx="10">
                  <c:v>296937</c:v>
                </c:pt>
                <c:pt idx="11">
                  <c:v>328542</c:v>
                </c:pt>
                <c:pt idx="12">
                  <c:v>353499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F-4D57-BF45-8E3711D05292}"/>
            </c:ext>
          </c:extLst>
        </c:ser>
        <c:ser>
          <c:idx val="2"/>
          <c:order val="2"/>
          <c:tx>
            <c:strRef>
              <c:f>'Units made'!$R$18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made'!$R$18:$R$30</c:f>
              <c:numCache>
                <c:formatCode>_-* #,##0_-;\-* #,##0_-;_-* "-"??_-;_-@_-</c:formatCode>
                <c:ptCount val="13"/>
                <c:pt idx="0" formatCode="General">
                  <c:v>2014</c:v>
                </c:pt>
                <c:pt idx="1">
                  <c:v>28779</c:v>
                </c:pt>
                <c:pt idx="2">
                  <c:v>56012</c:v>
                </c:pt>
                <c:pt idx="3">
                  <c:v>95854</c:v>
                </c:pt>
                <c:pt idx="4">
                  <c:v>120099</c:v>
                </c:pt>
                <c:pt idx="5">
                  <c:v>154247</c:v>
                </c:pt>
                <c:pt idx="6">
                  <c:v>193854</c:v>
                </c:pt>
                <c:pt idx="7">
                  <c:v>224871</c:v>
                </c:pt>
                <c:pt idx="8">
                  <c:v>260088</c:v>
                </c:pt>
                <c:pt idx="9">
                  <c:v>307387</c:v>
                </c:pt>
                <c:pt idx="10">
                  <c:v>345636</c:v>
                </c:pt>
                <c:pt idx="11">
                  <c:v>382556</c:v>
                </c:pt>
                <c:pt idx="12">
                  <c:v>419296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F-4D57-BF45-8E3711D05292}"/>
            </c:ext>
          </c:extLst>
        </c:ser>
        <c:ser>
          <c:idx val="3"/>
          <c:order val="3"/>
          <c:tx>
            <c:strRef>
              <c:f>'Units made'!$S$18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made'!$S$18:$S$30</c:f>
              <c:numCache>
                <c:formatCode>_-* #,##0_-;\-* #,##0_-;_-* "-"??_-;_-@_-</c:formatCode>
                <c:ptCount val="13"/>
                <c:pt idx="0" formatCode="General">
                  <c:v>2015</c:v>
                </c:pt>
                <c:pt idx="1">
                  <c:v>12695</c:v>
                </c:pt>
                <c:pt idx="2">
                  <c:v>37229</c:v>
                </c:pt>
                <c:pt idx="3">
                  <c:v>73047</c:v>
                </c:pt>
                <c:pt idx="4">
                  <c:v>100253</c:v>
                </c:pt>
                <c:pt idx="5">
                  <c:v>126972</c:v>
                </c:pt>
                <c:pt idx="6">
                  <c:v>166924</c:v>
                </c:pt>
                <c:pt idx="7">
                  <c:v>201787</c:v>
                </c:pt>
                <c:pt idx="8">
                  <c:v>244413</c:v>
                </c:pt>
                <c:pt idx="9">
                  <c:v>278830</c:v>
                </c:pt>
                <c:pt idx="10">
                  <c:v>314117</c:v>
                </c:pt>
                <c:pt idx="11">
                  <c:v>357119</c:v>
                </c:pt>
                <c:pt idx="12">
                  <c:v>385289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8F-4D57-BF45-8E3711D05292}"/>
            </c:ext>
          </c:extLst>
        </c:ser>
        <c:ser>
          <c:idx val="4"/>
          <c:order val="4"/>
          <c:tx>
            <c:strRef>
              <c:f>'Units made'!$T$18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made'!$T$18:$T$30</c:f>
              <c:numCache>
                <c:formatCode>_-* #,##0_-;\-* #,##0_-;_-* "-"??_-;_-@_-</c:formatCode>
                <c:ptCount val="13"/>
                <c:pt idx="0" formatCode="General">
                  <c:v>2016</c:v>
                </c:pt>
                <c:pt idx="1">
                  <c:v>22716</c:v>
                </c:pt>
                <c:pt idx="2">
                  <c:v>61920</c:v>
                </c:pt>
                <c:pt idx="3">
                  <c:v>89274</c:v>
                </c:pt>
                <c:pt idx="4">
                  <c:v>113412</c:v>
                </c:pt>
                <c:pt idx="5">
                  <c:v>140535</c:v>
                </c:pt>
                <c:pt idx="6">
                  <c:v>166181</c:v>
                </c:pt>
                <c:pt idx="7">
                  <c:v>193228</c:v>
                </c:pt>
                <c:pt idx="8">
                  <c:v>222687</c:v>
                </c:pt>
                <c:pt idx="9">
                  <c:v>253896</c:v>
                </c:pt>
                <c:pt idx="10">
                  <c:v>296918</c:v>
                </c:pt>
                <c:pt idx="11">
                  <c:v>330177</c:v>
                </c:pt>
                <c:pt idx="12">
                  <c:v>360105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F-4D57-BF45-8E3711D05292}"/>
            </c:ext>
          </c:extLst>
        </c:ser>
        <c:ser>
          <c:idx val="5"/>
          <c:order val="5"/>
          <c:tx>
            <c:strRef>
              <c:f>'Units made'!$U$18</c:f>
              <c:strCache>
                <c:ptCount val="1"/>
                <c:pt idx="0">
                  <c:v>2017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made'!$U$18:$U$30</c:f>
              <c:numCache>
                <c:formatCode>_-* #,##0_-;\-* #,##0_-;_-* "-"??_-;_-@_-</c:formatCode>
                <c:ptCount val="13"/>
                <c:pt idx="0" formatCode="General">
                  <c:v>2017</c:v>
                </c:pt>
                <c:pt idx="1">
                  <c:v>38897</c:v>
                </c:pt>
                <c:pt idx="2">
                  <c:v>73396</c:v>
                </c:pt>
                <c:pt idx="3">
                  <c:v>104555</c:v>
                </c:pt>
                <c:pt idx="4">
                  <c:v>132784</c:v>
                </c:pt>
                <c:pt idx="5">
                  <c:v>178698</c:v>
                </c:pt>
                <c:pt idx="6">
                  <c:v>221374</c:v>
                </c:pt>
                <c:pt idx="7">
                  <c:v>277515</c:v>
                </c:pt>
                <c:pt idx="8">
                  <c:v>320876</c:v>
                </c:pt>
                <c:pt idx="9">
                  <c:v>365823</c:v>
                </c:pt>
                <c:pt idx="10">
                  <c:v>424236</c:v>
                </c:pt>
                <c:pt idx="11">
                  <c:v>470767</c:v>
                </c:pt>
                <c:pt idx="12">
                  <c:v>499211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8F-4D57-BF45-8E3711D05292}"/>
            </c:ext>
          </c:extLst>
        </c:ser>
        <c:ser>
          <c:idx val="6"/>
          <c:order val="6"/>
          <c:tx>
            <c:strRef>
              <c:f>'Units made'!$V$18</c:f>
              <c:strCache>
                <c:ptCount val="1"/>
                <c:pt idx="0">
                  <c:v>2018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made'!$V$18:$V$30</c:f>
              <c:numCache>
                <c:formatCode>_-* #,##0_-;\-* #,##0_-;_-* "-"??_-;_-@_-</c:formatCode>
                <c:ptCount val="13"/>
                <c:pt idx="0" formatCode="General">
                  <c:v>2018</c:v>
                </c:pt>
                <c:pt idx="1">
                  <c:v>39857</c:v>
                </c:pt>
                <c:pt idx="2">
                  <c:v>78312</c:v>
                </c:pt>
                <c:pt idx="3">
                  <c:v>120878</c:v>
                </c:pt>
                <c:pt idx="4">
                  <c:v>164207</c:v>
                </c:pt>
                <c:pt idx="5">
                  <c:v>200499</c:v>
                </c:pt>
                <c:pt idx="6">
                  <c:v>232054</c:v>
                </c:pt>
                <c:pt idx="7">
                  <c:v>280857</c:v>
                </c:pt>
                <c:pt idx="8">
                  <c:v>328386</c:v>
                </c:pt>
                <c:pt idx="9">
                  <c:v>375046</c:v>
                </c:pt>
                <c:pt idx="10">
                  <c:v>431655</c:v>
                </c:pt>
                <c:pt idx="11">
                  <c:v>475740</c:v>
                </c:pt>
                <c:pt idx="12">
                  <c:v>505358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8F-4D57-BF45-8E3711D05292}"/>
            </c:ext>
          </c:extLst>
        </c:ser>
        <c:ser>
          <c:idx val="7"/>
          <c:order val="7"/>
          <c:tx>
            <c:strRef>
              <c:f>'Units made'!$W$18</c:f>
              <c:strCache>
                <c:ptCount val="1"/>
                <c:pt idx="0">
                  <c:v>2019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made'!$W$18:$W$30</c:f>
              <c:numCache>
                <c:formatCode>_-* #,##0_-;\-* #,##0_-;_-* "-"??_-;_-@_-</c:formatCode>
                <c:ptCount val="13"/>
                <c:pt idx="0" formatCode="General">
                  <c:v>2019</c:v>
                </c:pt>
                <c:pt idx="1">
                  <c:v>32500</c:v>
                </c:pt>
                <c:pt idx="2">
                  <c:v>65554</c:v>
                </c:pt>
                <c:pt idx="3">
                  <c:v>105590</c:v>
                </c:pt>
                <c:pt idx="4">
                  <c:v>137232</c:v>
                </c:pt>
                <c:pt idx="5">
                  <c:v>179803</c:v>
                </c:pt>
                <c:pt idx="6">
                  <c:v>222464</c:v>
                </c:pt>
                <c:pt idx="7">
                  <c:v>285165</c:v>
                </c:pt>
                <c:pt idx="8">
                  <c:v>332313</c:v>
                </c:pt>
                <c:pt idx="9">
                  <c:v>384768</c:v>
                </c:pt>
                <c:pt idx="10">
                  <c:v>440172</c:v>
                </c:pt>
                <c:pt idx="11">
                  <c:v>484656</c:v>
                </c:pt>
                <c:pt idx="12">
                  <c:v>526918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8F-4D57-BF45-8E3711D05292}"/>
            </c:ext>
          </c:extLst>
        </c:ser>
        <c:ser>
          <c:idx val="8"/>
          <c:order val="8"/>
          <c:tx>
            <c:strRef>
              <c:f>'Units made'!$X$18</c:f>
              <c:strCache>
                <c:ptCount val="1"/>
                <c:pt idx="0">
                  <c:v>2020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made'!$X$18:$X$30</c:f>
              <c:numCache>
                <c:formatCode>_-* #,##0_-;\-* #,##0_-;_-* "-"??_-;_-@_-</c:formatCode>
                <c:ptCount val="13"/>
                <c:pt idx="0" formatCode="General">
                  <c:v>2020</c:v>
                </c:pt>
                <c:pt idx="1">
                  <c:v>50058</c:v>
                </c:pt>
                <c:pt idx="2">
                  <c:v>96081</c:v>
                </c:pt>
                <c:pt idx="3">
                  <c:v>150207</c:v>
                </c:pt>
                <c:pt idx="4">
                  <c:v>157941</c:v>
                </c:pt>
                <c:pt idx="5">
                  <c:v>204931</c:v>
                </c:pt>
                <c:pt idx="6">
                  <c:v>266288</c:v>
                </c:pt>
                <c:pt idx="7">
                  <c:v>319172</c:v>
                </c:pt>
                <c:pt idx="8">
                  <c:v>374716</c:v>
                </c:pt>
                <c:pt idx="9">
                  <c:v>419822</c:v>
                </c:pt>
                <c:pt idx="10">
                  <c:v>471562</c:v>
                </c:pt>
                <c:pt idx="11">
                  <c:v>537098</c:v>
                </c:pt>
                <c:pt idx="12">
                  <c:v>569504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8F-4D57-BF45-8E3711D05292}"/>
            </c:ext>
          </c:extLst>
        </c:ser>
        <c:ser>
          <c:idx val="9"/>
          <c:order val="9"/>
          <c:tx>
            <c:strRef>
              <c:f>'Units made'!$Y$18</c:f>
              <c:strCache>
                <c:ptCount val="1"/>
                <c:pt idx="0">
                  <c:v>2021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made'!$O$19:$O$30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made'!$Y$18:$Y$30</c:f>
              <c:numCache>
                <c:formatCode>_-* #,##0_-;\-* #,##0_-;_-* "-"??_-;_-@_-</c:formatCode>
                <c:ptCount val="13"/>
                <c:pt idx="0" formatCode="General">
                  <c:v>2021</c:v>
                </c:pt>
                <c:pt idx="1">
                  <c:v>34378</c:v>
                </c:pt>
                <c:pt idx="2">
                  <c:v>75178</c:v>
                </c:pt>
                <c:pt idx="3">
                  <c:v>132104</c:v>
                </c:pt>
                <c:pt idx="4">
                  <c:v>176664</c:v>
                </c:pt>
                <c:pt idx="5">
                  <c:v>226252</c:v>
                </c:pt>
                <c:pt idx="6">
                  <c:v>274689</c:v>
                </c:pt>
                <c:pt idx="7">
                  <c:v>321857</c:v>
                </c:pt>
                <c:pt idx="8">
                  <c:v>398816</c:v>
                </c:pt>
                <c:pt idx="9">
                  <c:v>478282</c:v>
                </c:pt>
                <c:pt idx="10">
                  <c:v>553441</c:v>
                </c:pt>
                <c:pt idx="11">
                  <c:v>638253</c:v>
                </c:pt>
                <c:pt idx="12">
                  <c:v>703003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8F-4D57-BF45-8E3711D05292}"/>
            </c:ext>
          </c:extLst>
        </c:ser>
        <c:ser>
          <c:idx val="10"/>
          <c:order val="10"/>
          <c:tx>
            <c:strRef>
              <c:f>'Units made'!$Z$18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'Units made'!$Z$18:$Z$30</c:f>
              <c:numCache>
                <c:formatCode>_-* #,##0_-;\-* #,##0_-;_-* "-"??_-;_-@_-</c:formatCode>
                <c:ptCount val="13"/>
                <c:pt idx="0" formatCode="General">
                  <c:v>2022</c:v>
                </c:pt>
                <c:pt idx="1">
                  <c:v>56660</c:v>
                </c:pt>
                <c:pt idx="2">
                  <c:v>114923</c:v>
                </c:pt>
                <c:pt idx="3">
                  <c:v>190291</c:v>
                </c:pt>
                <c:pt idx="4">
                  <c:v>254316</c:v>
                </c:pt>
                <c:pt idx="5">
                  <c:v>328799</c:v>
                </c:pt>
                <c:pt idx="6">
                  <c:v>402020</c:v>
                </c:pt>
                <c:pt idx="7">
                  <c:v>464086</c:v>
                </c:pt>
                <c:pt idx="8">
                  <c:v>530625</c:v>
                </c:pt>
                <c:pt idx="9">
                  <c:v>586236</c:v>
                </c:pt>
                <c:pt idx="10">
                  <c:v>648975</c:v>
                </c:pt>
                <c:pt idx="11">
                  <c:v>708979</c:v>
                </c:pt>
                <c:pt idx="12">
                  <c:v>750179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8F-4D57-BF45-8E3711D0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292848"/>
        <c:axId val="1729290768"/>
      </c:lineChart>
      <c:catAx>
        <c:axId val="172929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290768"/>
        <c:crosses val="autoZero"/>
        <c:auto val="1"/>
        <c:lblAlgn val="ctr"/>
        <c:lblOffset val="100"/>
        <c:noMultiLvlLbl val="0"/>
      </c:catAx>
      <c:valAx>
        <c:axId val="17292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29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NZ"/>
              <a:t>XFMR - accumulative qty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'Units made'!$T$33</c:f>
              <c:strCache>
                <c:ptCount val="1"/>
                <c:pt idx="0">
                  <c:v>2016</c:v>
                </c:pt>
              </c:strCache>
              <c:extLst xmlns:c15="http://schemas.microsoft.com/office/drawing/2012/chart"/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made'!$O$34:$O$45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  <c:extLst xmlns:c15="http://schemas.microsoft.com/office/drawing/2012/chart"/>
            </c:strRef>
          </c:cat>
          <c:val>
            <c:numRef>
              <c:f>'Units made'!$T$33:$T$45</c:f>
              <c:numCache>
                <c:formatCode>_-* #,##0_-;\-* #,##0_-;_-* "-"??_-;_-@_-</c:formatCode>
                <c:ptCount val="13"/>
                <c:pt idx="0" formatCode="General">
                  <c:v>2016</c:v>
                </c:pt>
                <c:pt idx="1">
                  <c:v>12351</c:v>
                </c:pt>
                <c:pt idx="2">
                  <c:v>31055</c:v>
                </c:pt>
                <c:pt idx="3">
                  <c:v>45196</c:v>
                </c:pt>
                <c:pt idx="4">
                  <c:v>60059</c:v>
                </c:pt>
                <c:pt idx="5">
                  <c:v>77676</c:v>
                </c:pt>
                <c:pt idx="6">
                  <c:v>90834</c:v>
                </c:pt>
                <c:pt idx="7">
                  <c:v>102972</c:v>
                </c:pt>
                <c:pt idx="8">
                  <c:v>120261</c:v>
                </c:pt>
                <c:pt idx="9">
                  <c:v>135132</c:v>
                </c:pt>
                <c:pt idx="10">
                  <c:v>153941</c:v>
                </c:pt>
                <c:pt idx="11">
                  <c:v>172792</c:v>
                </c:pt>
                <c:pt idx="12">
                  <c:v>187858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FCAB-4D1E-9485-44F2945A15EE}"/>
            </c:ext>
          </c:extLst>
        </c:ser>
        <c:ser>
          <c:idx val="5"/>
          <c:order val="5"/>
          <c:tx>
            <c:strRef>
              <c:f>'Units made'!$U$33</c:f>
              <c:strCache>
                <c:ptCount val="1"/>
                <c:pt idx="0">
                  <c:v>2017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made'!$O$34:$O$45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made'!$U$33:$U$45</c:f>
              <c:numCache>
                <c:formatCode>_-* #,##0_-;\-* #,##0_-;_-* "-"??_-;_-@_-</c:formatCode>
                <c:ptCount val="13"/>
                <c:pt idx="0" formatCode="General">
                  <c:v>2017</c:v>
                </c:pt>
                <c:pt idx="1">
                  <c:v>14369</c:v>
                </c:pt>
                <c:pt idx="2">
                  <c:v>31671</c:v>
                </c:pt>
                <c:pt idx="3">
                  <c:v>48757</c:v>
                </c:pt>
                <c:pt idx="4">
                  <c:v>60795</c:v>
                </c:pt>
                <c:pt idx="5">
                  <c:v>78467</c:v>
                </c:pt>
                <c:pt idx="6">
                  <c:v>92661</c:v>
                </c:pt>
                <c:pt idx="7">
                  <c:v>114761</c:v>
                </c:pt>
                <c:pt idx="8">
                  <c:v>134774</c:v>
                </c:pt>
                <c:pt idx="9">
                  <c:v>149655</c:v>
                </c:pt>
                <c:pt idx="10">
                  <c:v>168252</c:v>
                </c:pt>
                <c:pt idx="11">
                  <c:v>186449</c:v>
                </c:pt>
                <c:pt idx="12">
                  <c:v>199953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B-4D1E-9485-44F2945A15EE}"/>
            </c:ext>
          </c:extLst>
        </c:ser>
        <c:ser>
          <c:idx val="6"/>
          <c:order val="6"/>
          <c:tx>
            <c:strRef>
              <c:f>'Units made'!$V$33</c:f>
              <c:strCache>
                <c:ptCount val="1"/>
                <c:pt idx="0">
                  <c:v>2018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made'!$O$34:$O$45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made'!$V$33:$V$45</c:f>
              <c:numCache>
                <c:formatCode>_-* #,##0_-;\-* #,##0_-;_-* "-"??_-;_-@_-</c:formatCode>
                <c:ptCount val="13"/>
                <c:pt idx="0" formatCode="General">
                  <c:v>2018</c:v>
                </c:pt>
                <c:pt idx="1">
                  <c:v>15690</c:v>
                </c:pt>
                <c:pt idx="2">
                  <c:v>31279</c:v>
                </c:pt>
                <c:pt idx="3">
                  <c:v>51858</c:v>
                </c:pt>
                <c:pt idx="4">
                  <c:v>72278</c:v>
                </c:pt>
                <c:pt idx="5">
                  <c:v>88266</c:v>
                </c:pt>
                <c:pt idx="6">
                  <c:v>100094</c:v>
                </c:pt>
                <c:pt idx="7">
                  <c:v>115909</c:v>
                </c:pt>
                <c:pt idx="8">
                  <c:v>129123</c:v>
                </c:pt>
                <c:pt idx="9">
                  <c:v>147173</c:v>
                </c:pt>
                <c:pt idx="10">
                  <c:v>168157</c:v>
                </c:pt>
                <c:pt idx="11">
                  <c:v>188244</c:v>
                </c:pt>
                <c:pt idx="12">
                  <c:v>203217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B-4D1E-9485-44F2945A15EE}"/>
            </c:ext>
          </c:extLst>
        </c:ser>
        <c:ser>
          <c:idx val="7"/>
          <c:order val="7"/>
          <c:tx>
            <c:strRef>
              <c:f>'Units made'!$W$33</c:f>
              <c:strCache>
                <c:ptCount val="1"/>
                <c:pt idx="0">
                  <c:v>2019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made'!$O$34:$O$45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made'!$W$33:$W$45</c:f>
              <c:numCache>
                <c:formatCode>_-* #,##0_-;\-* #,##0_-;_-* "-"??_-;_-@_-</c:formatCode>
                <c:ptCount val="13"/>
                <c:pt idx="0" formatCode="General">
                  <c:v>2019</c:v>
                </c:pt>
                <c:pt idx="1">
                  <c:v>18112</c:v>
                </c:pt>
                <c:pt idx="2">
                  <c:v>34244</c:v>
                </c:pt>
                <c:pt idx="3">
                  <c:v>51847</c:v>
                </c:pt>
                <c:pt idx="4">
                  <c:v>67401</c:v>
                </c:pt>
                <c:pt idx="5">
                  <c:v>85972</c:v>
                </c:pt>
                <c:pt idx="6">
                  <c:v>101678</c:v>
                </c:pt>
                <c:pt idx="7">
                  <c:v>124465</c:v>
                </c:pt>
                <c:pt idx="8">
                  <c:v>140849</c:v>
                </c:pt>
                <c:pt idx="9">
                  <c:v>161043</c:v>
                </c:pt>
                <c:pt idx="10">
                  <c:v>177360</c:v>
                </c:pt>
                <c:pt idx="11">
                  <c:v>191577</c:v>
                </c:pt>
                <c:pt idx="12">
                  <c:v>204091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B-4D1E-9485-44F2945A15EE}"/>
            </c:ext>
          </c:extLst>
        </c:ser>
        <c:ser>
          <c:idx val="8"/>
          <c:order val="8"/>
          <c:tx>
            <c:strRef>
              <c:f>'Units made'!$X$33</c:f>
              <c:strCache>
                <c:ptCount val="1"/>
                <c:pt idx="0">
                  <c:v>2020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made'!$O$34:$O$45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made'!$X$33:$X$45</c:f>
              <c:numCache>
                <c:formatCode>_-* #,##0_-;\-* #,##0_-;_-* "-"??_-;_-@_-</c:formatCode>
                <c:ptCount val="13"/>
                <c:pt idx="0" formatCode="General">
                  <c:v>2020</c:v>
                </c:pt>
                <c:pt idx="1">
                  <c:v>16445</c:v>
                </c:pt>
                <c:pt idx="2">
                  <c:v>29961</c:v>
                </c:pt>
                <c:pt idx="3">
                  <c:v>51064</c:v>
                </c:pt>
                <c:pt idx="4">
                  <c:v>54413</c:v>
                </c:pt>
                <c:pt idx="5">
                  <c:v>72692</c:v>
                </c:pt>
                <c:pt idx="6">
                  <c:v>93816</c:v>
                </c:pt>
                <c:pt idx="7">
                  <c:v>109134</c:v>
                </c:pt>
                <c:pt idx="8">
                  <c:v>135265</c:v>
                </c:pt>
                <c:pt idx="9">
                  <c:v>162268</c:v>
                </c:pt>
                <c:pt idx="10">
                  <c:v>188927</c:v>
                </c:pt>
                <c:pt idx="11">
                  <c:v>220456</c:v>
                </c:pt>
                <c:pt idx="12">
                  <c:v>231938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AB-4D1E-9485-44F2945A15EE}"/>
            </c:ext>
          </c:extLst>
        </c:ser>
        <c:ser>
          <c:idx val="9"/>
          <c:order val="9"/>
          <c:tx>
            <c:strRef>
              <c:f>'Units made'!$Y$33</c:f>
              <c:strCache>
                <c:ptCount val="1"/>
                <c:pt idx="0">
                  <c:v>2021</c:v>
                </c:pt>
              </c:strCache>
              <c:extLst xmlns:c15="http://schemas.microsoft.com/office/drawing/2012/chart"/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made'!$O$34:$O$45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  <c:extLst xmlns:c15="http://schemas.microsoft.com/office/drawing/2012/chart"/>
            </c:strRef>
          </c:cat>
          <c:val>
            <c:numRef>
              <c:f>'Units made'!$Y$33:$Y$45</c:f>
              <c:numCache>
                <c:formatCode>_-* #,##0_-;\-* #,##0_-;_-* "-"??_-;_-@_-</c:formatCode>
                <c:ptCount val="13"/>
                <c:pt idx="0" formatCode="General">
                  <c:v>2021</c:v>
                </c:pt>
                <c:pt idx="1">
                  <c:v>21182</c:v>
                </c:pt>
                <c:pt idx="2">
                  <c:v>39926</c:v>
                </c:pt>
                <c:pt idx="3">
                  <c:v>65064</c:v>
                </c:pt>
                <c:pt idx="4">
                  <c:v>83336</c:v>
                </c:pt>
                <c:pt idx="5">
                  <c:v>107066</c:v>
                </c:pt>
                <c:pt idx="6">
                  <c:v>127768</c:v>
                </c:pt>
                <c:pt idx="7">
                  <c:v>149427</c:v>
                </c:pt>
                <c:pt idx="8">
                  <c:v>174989</c:v>
                </c:pt>
                <c:pt idx="9">
                  <c:v>197248</c:v>
                </c:pt>
                <c:pt idx="10">
                  <c:v>221637</c:v>
                </c:pt>
                <c:pt idx="11">
                  <c:v>250273</c:v>
                </c:pt>
                <c:pt idx="12">
                  <c:v>268264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CAB-4D1E-9485-44F2945A15EE}"/>
            </c:ext>
          </c:extLst>
        </c:ser>
        <c:ser>
          <c:idx val="10"/>
          <c:order val="10"/>
          <c:tx>
            <c:strRef>
              <c:f>'Units made'!$Z$33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'Units made'!$Z$33:$Z$45</c:f>
              <c:numCache>
                <c:formatCode>_-* #,##0_-;\-* #,##0_-;_-* "-"??_-;_-@_-</c:formatCode>
                <c:ptCount val="13"/>
                <c:pt idx="0" formatCode="General">
                  <c:v>2022</c:v>
                </c:pt>
                <c:pt idx="1">
                  <c:v>21366</c:v>
                </c:pt>
                <c:pt idx="2">
                  <c:v>49643</c:v>
                </c:pt>
                <c:pt idx="3">
                  <c:v>81715</c:v>
                </c:pt>
                <c:pt idx="4">
                  <c:v>101909</c:v>
                </c:pt>
                <c:pt idx="5">
                  <c:v>121418</c:v>
                </c:pt>
                <c:pt idx="6">
                  <c:v>140967</c:v>
                </c:pt>
                <c:pt idx="7">
                  <c:v>154757</c:v>
                </c:pt>
                <c:pt idx="8">
                  <c:v>167623</c:v>
                </c:pt>
                <c:pt idx="9">
                  <c:v>181188</c:v>
                </c:pt>
                <c:pt idx="10">
                  <c:v>193672</c:v>
                </c:pt>
                <c:pt idx="11">
                  <c:v>202339</c:v>
                </c:pt>
                <c:pt idx="12">
                  <c:v>214043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AB-4D1E-9485-44F2945A1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257728"/>
        <c:axId val="9642618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'Units made'!$P$33</c15:sqref>
                        </c15:formulaRef>
                      </c:ext>
                    </c:extLst>
                    <c:strCache>
                      <c:ptCount val="1"/>
                      <c:pt idx="0">
                        <c:v>2012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'Units made'!$O$34:$O$45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'Units made'!$P$33:$P$45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 formatCode="General">
                        <c:v>2012</c:v>
                      </c:pt>
                      <c:pt idx="1">
                        <c:v>15056</c:v>
                      </c:pt>
                      <c:pt idx="2">
                        <c:v>35519</c:v>
                      </c:pt>
                      <c:pt idx="3">
                        <c:v>60729</c:v>
                      </c:pt>
                      <c:pt idx="4">
                        <c:v>88101</c:v>
                      </c:pt>
                      <c:pt idx="5">
                        <c:v>114130</c:v>
                      </c:pt>
                      <c:pt idx="6">
                        <c:v>134365</c:v>
                      </c:pt>
                      <c:pt idx="7">
                        <c:v>161138</c:v>
                      </c:pt>
                      <c:pt idx="8">
                        <c:v>179154</c:v>
                      </c:pt>
                      <c:pt idx="9">
                        <c:v>196873</c:v>
                      </c:pt>
                      <c:pt idx="10">
                        <c:v>227530</c:v>
                      </c:pt>
                      <c:pt idx="11">
                        <c:v>251358</c:v>
                      </c:pt>
                      <c:pt idx="12">
                        <c:v>272622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CAB-4D1E-9485-44F2945A15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made'!$Q$33</c15:sqref>
                        </c15:formulaRef>
                      </c:ext>
                    </c:extLst>
                    <c:strCache>
                      <c:ptCount val="1"/>
                      <c:pt idx="0">
                        <c:v>2013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made'!$O$34:$O$45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made'!$Q$33:$Q$45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 formatCode="General">
                        <c:v>2013</c:v>
                      </c:pt>
                      <c:pt idx="1">
                        <c:v>15316</c:v>
                      </c:pt>
                      <c:pt idx="2">
                        <c:v>35445</c:v>
                      </c:pt>
                      <c:pt idx="3">
                        <c:v>56454</c:v>
                      </c:pt>
                      <c:pt idx="4">
                        <c:v>78423</c:v>
                      </c:pt>
                      <c:pt idx="5">
                        <c:v>97929</c:v>
                      </c:pt>
                      <c:pt idx="6">
                        <c:v>113565</c:v>
                      </c:pt>
                      <c:pt idx="7">
                        <c:v>133012</c:v>
                      </c:pt>
                      <c:pt idx="8">
                        <c:v>148007</c:v>
                      </c:pt>
                      <c:pt idx="9">
                        <c:v>164017</c:v>
                      </c:pt>
                      <c:pt idx="10">
                        <c:v>182092</c:v>
                      </c:pt>
                      <c:pt idx="11">
                        <c:v>198754</c:v>
                      </c:pt>
                      <c:pt idx="12">
                        <c:v>212978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AB-4D1E-9485-44F2945A15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made'!$R$33</c15:sqref>
                        </c15:formulaRef>
                      </c:ext>
                    </c:extLst>
                    <c:strCache>
                      <c:ptCount val="1"/>
                      <c:pt idx="0">
                        <c:v>2014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made'!$O$34:$O$45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made'!$R$33:$R$45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 formatCode="General">
                        <c:v>2014</c:v>
                      </c:pt>
                      <c:pt idx="1">
                        <c:v>15346</c:v>
                      </c:pt>
                      <c:pt idx="2">
                        <c:v>32607</c:v>
                      </c:pt>
                      <c:pt idx="3">
                        <c:v>54065</c:v>
                      </c:pt>
                      <c:pt idx="4">
                        <c:v>67782</c:v>
                      </c:pt>
                      <c:pt idx="5">
                        <c:v>84954</c:v>
                      </c:pt>
                      <c:pt idx="6">
                        <c:v>102742</c:v>
                      </c:pt>
                      <c:pt idx="7">
                        <c:v>124157</c:v>
                      </c:pt>
                      <c:pt idx="8">
                        <c:v>148780</c:v>
                      </c:pt>
                      <c:pt idx="9">
                        <c:v>176114</c:v>
                      </c:pt>
                      <c:pt idx="10">
                        <c:v>198274</c:v>
                      </c:pt>
                      <c:pt idx="11">
                        <c:v>222023</c:v>
                      </c:pt>
                      <c:pt idx="12">
                        <c:v>238798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CAB-4D1E-9485-44F2945A15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made'!$S$33</c15:sqref>
                        </c15:formulaRef>
                      </c:ext>
                    </c:extLst>
                    <c:strCache>
                      <c:ptCount val="1"/>
                      <c:pt idx="0">
                        <c:v>2015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made'!$O$34:$O$45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'Units made'!$S$33:$S$45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 formatCode="General">
                        <c:v>2015</c:v>
                      </c:pt>
                      <c:pt idx="1">
                        <c:v>7769</c:v>
                      </c:pt>
                      <c:pt idx="2">
                        <c:v>22467</c:v>
                      </c:pt>
                      <c:pt idx="3">
                        <c:v>44078</c:v>
                      </c:pt>
                      <c:pt idx="4">
                        <c:v>62713</c:v>
                      </c:pt>
                      <c:pt idx="5">
                        <c:v>79706</c:v>
                      </c:pt>
                      <c:pt idx="6">
                        <c:v>101126</c:v>
                      </c:pt>
                      <c:pt idx="7">
                        <c:v>134232</c:v>
                      </c:pt>
                      <c:pt idx="8">
                        <c:v>165055</c:v>
                      </c:pt>
                      <c:pt idx="9">
                        <c:v>186875</c:v>
                      </c:pt>
                      <c:pt idx="10">
                        <c:v>207391</c:v>
                      </c:pt>
                      <c:pt idx="11">
                        <c:v>231030</c:v>
                      </c:pt>
                      <c:pt idx="12">
                        <c:v>242185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CAB-4D1E-9485-44F2945A15EE}"/>
                  </c:ext>
                </c:extLst>
              </c15:ser>
            </c15:filteredLineSeries>
          </c:ext>
        </c:extLst>
      </c:lineChart>
      <c:catAx>
        <c:axId val="96425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261888"/>
        <c:crosses val="autoZero"/>
        <c:auto val="1"/>
        <c:lblAlgn val="ctr"/>
        <c:lblOffset val="100"/>
        <c:noMultiLvlLbl val="0"/>
      </c:catAx>
      <c:valAx>
        <c:axId val="96426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2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NZ"/>
              <a:t>AM Final Assembly - accumulative qty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'Units made'!$Q$48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made'!$Q$48:$Q$60</c:f>
              <c:numCache>
                <c:formatCode>_-* #,##0_-;\-* #,##0_-;_-* "-"??_-;_-@_-</c:formatCode>
                <c:ptCount val="13"/>
                <c:pt idx="0" formatCode="General">
                  <c:v>2013</c:v>
                </c:pt>
                <c:pt idx="1">
                  <c:v>16890</c:v>
                </c:pt>
                <c:pt idx="2">
                  <c:v>36874</c:v>
                </c:pt>
                <c:pt idx="3">
                  <c:v>60935</c:v>
                </c:pt>
                <c:pt idx="4">
                  <c:v>86185</c:v>
                </c:pt>
                <c:pt idx="5">
                  <c:v>116011</c:v>
                </c:pt>
                <c:pt idx="6">
                  <c:v>131646</c:v>
                </c:pt>
                <c:pt idx="7">
                  <c:v>155030</c:v>
                </c:pt>
                <c:pt idx="8">
                  <c:v>169851</c:v>
                </c:pt>
                <c:pt idx="9">
                  <c:v>184375</c:v>
                </c:pt>
                <c:pt idx="10">
                  <c:v>199687</c:v>
                </c:pt>
                <c:pt idx="11">
                  <c:v>218224</c:v>
                </c:pt>
                <c:pt idx="12">
                  <c:v>232440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1-415A-A7FB-E59DCF574280}"/>
            </c:ext>
          </c:extLst>
        </c:ser>
        <c:ser>
          <c:idx val="2"/>
          <c:order val="2"/>
          <c:tx>
            <c:strRef>
              <c:f>'Units made'!$R$48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made'!$R$48:$R$60</c:f>
              <c:numCache>
                <c:formatCode>_-* #,##0_-;\-* #,##0_-;_-* "-"??_-;_-@_-</c:formatCode>
                <c:ptCount val="13"/>
                <c:pt idx="0" formatCode="General">
                  <c:v>2014</c:v>
                </c:pt>
                <c:pt idx="1">
                  <c:v>15736</c:v>
                </c:pt>
                <c:pt idx="2">
                  <c:v>34162</c:v>
                </c:pt>
                <c:pt idx="3">
                  <c:v>59840</c:v>
                </c:pt>
                <c:pt idx="4">
                  <c:v>82944</c:v>
                </c:pt>
                <c:pt idx="5">
                  <c:v>106133</c:v>
                </c:pt>
                <c:pt idx="6">
                  <c:v>127047</c:v>
                </c:pt>
                <c:pt idx="7">
                  <c:v>152116</c:v>
                </c:pt>
                <c:pt idx="8">
                  <c:v>172879</c:v>
                </c:pt>
                <c:pt idx="9">
                  <c:v>195293</c:v>
                </c:pt>
                <c:pt idx="10">
                  <c:v>214627</c:v>
                </c:pt>
                <c:pt idx="11">
                  <c:v>234941</c:v>
                </c:pt>
                <c:pt idx="12">
                  <c:v>252000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81-415A-A7FB-E59DCF574280}"/>
            </c:ext>
          </c:extLst>
        </c:ser>
        <c:ser>
          <c:idx val="3"/>
          <c:order val="3"/>
          <c:tx>
            <c:strRef>
              <c:f>'Units made'!$S$48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made'!$S$48:$S$60</c:f>
              <c:numCache>
                <c:formatCode>_-* #,##0_-;\-* #,##0_-;_-* "-"??_-;_-@_-</c:formatCode>
                <c:ptCount val="13"/>
                <c:pt idx="0" formatCode="General">
                  <c:v>2015</c:v>
                </c:pt>
                <c:pt idx="1">
                  <c:v>13045</c:v>
                </c:pt>
                <c:pt idx="2">
                  <c:v>35392</c:v>
                </c:pt>
                <c:pt idx="3">
                  <c:v>61786</c:v>
                </c:pt>
                <c:pt idx="4">
                  <c:v>81622</c:v>
                </c:pt>
                <c:pt idx="5">
                  <c:v>101880</c:v>
                </c:pt>
                <c:pt idx="6">
                  <c:v>121132</c:v>
                </c:pt>
                <c:pt idx="7">
                  <c:v>140737</c:v>
                </c:pt>
                <c:pt idx="8">
                  <c:v>157873</c:v>
                </c:pt>
                <c:pt idx="9">
                  <c:v>175758</c:v>
                </c:pt>
                <c:pt idx="10">
                  <c:v>192774</c:v>
                </c:pt>
                <c:pt idx="11">
                  <c:v>210097</c:v>
                </c:pt>
                <c:pt idx="12">
                  <c:v>223136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81-415A-A7FB-E59DCF574280}"/>
            </c:ext>
          </c:extLst>
        </c:ser>
        <c:ser>
          <c:idx val="4"/>
          <c:order val="4"/>
          <c:tx>
            <c:strRef>
              <c:f>'Units made'!$T$48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made'!$T$48:$T$60</c:f>
              <c:numCache>
                <c:formatCode>_-* #,##0_-;\-* #,##0_-;_-* "-"??_-;_-@_-</c:formatCode>
                <c:ptCount val="13"/>
                <c:pt idx="0" formatCode="General">
                  <c:v>2016</c:v>
                </c:pt>
                <c:pt idx="1">
                  <c:v>16767</c:v>
                </c:pt>
                <c:pt idx="2">
                  <c:v>32831</c:v>
                </c:pt>
                <c:pt idx="3">
                  <c:v>49914</c:v>
                </c:pt>
                <c:pt idx="4">
                  <c:v>65411</c:v>
                </c:pt>
                <c:pt idx="5">
                  <c:v>80864</c:v>
                </c:pt>
                <c:pt idx="6">
                  <c:v>96106</c:v>
                </c:pt>
                <c:pt idx="7">
                  <c:v>112990</c:v>
                </c:pt>
                <c:pt idx="8">
                  <c:v>126216</c:v>
                </c:pt>
                <c:pt idx="9">
                  <c:v>139068</c:v>
                </c:pt>
                <c:pt idx="10">
                  <c:v>154871</c:v>
                </c:pt>
                <c:pt idx="11">
                  <c:v>173100</c:v>
                </c:pt>
                <c:pt idx="12">
                  <c:v>186810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81-415A-A7FB-E59DCF574280}"/>
            </c:ext>
          </c:extLst>
        </c:ser>
        <c:ser>
          <c:idx val="5"/>
          <c:order val="5"/>
          <c:tx>
            <c:strRef>
              <c:f>'Units made'!$U$48</c:f>
              <c:strCache>
                <c:ptCount val="1"/>
                <c:pt idx="0">
                  <c:v>2017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made'!$U$48:$U$60</c:f>
              <c:numCache>
                <c:formatCode>_-* #,##0_-;\-* #,##0_-;_-* "-"??_-;_-@_-</c:formatCode>
                <c:ptCount val="13"/>
                <c:pt idx="0" formatCode="General">
                  <c:v>2017</c:v>
                </c:pt>
                <c:pt idx="1">
                  <c:v>11029</c:v>
                </c:pt>
                <c:pt idx="2">
                  <c:v>26579</c:v>
                </c:pt>
                <c:pt idx="3">
                  <c:v>46367</c:v>
                </c:pt>
                <c:pt idx="4">
                  <c:v>60517</c:v>
                </c:pt>
                <c:pt idx="5">
                  <c:v>83164</c:v>
                </c:pt>
                <c:pt idx="6">
                  <c:v>105476</c:v>
                </c:pt>
                <c:pt idx="7">
                  <c:v>132904</c:v>
                </c:pt>
                <c:pt idx="8">
                  <c:v>160666</c:v>
                </c:pt>
                <c:pt idx="9">
                  <c:v>189556</c:v>
                </c:pt>
                <c:pt idx="10">
                  <c:v>218159</c:v>
                </c:pt>
                <c:pt idx="11">
                  <c:v>245346</c:v>
                </c:pt>
                <c:pt idx="12">
                  <c:v>264784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81-415A-A7FB-E59DCF574280}"/>
            </c:ext>
          </c:extLst>
        </c:ser>
        <c:ser>
          <c:idx val="6"/>
          <c:order val="6"/>
          <c:tx>
            <c:strRef>
              <c:f>'Units made'!$V$48</c:f>
              <c:strCache>
                <c:ptCount val="1"/>
                <c:pt idx="0">
                  <c:v>2018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made'!$V$48:$V$60</c:f>
              <c:numCache>
                <c:formatCode>_-* #,##0_-;\-* #,##0_-;_-* "-"??_-;_-@_-</c:formatCode>
                <c:ptCount val="13"/>
                <c:pt idx="0" formatCode="General">
                  <c:v>2018</c:v>
                </c:pt>
                <c:pt idx="1">
                  <c:v>18266</c:v>
                </c:pt>
                <c:pt idx="2">
                  <c:v>40744</c:v>
                </c:pt>
                <c:pt idx="3">
                  <c:v>68753</c:v>
                </c:pt>
                <c:pt idx="4">
                  <c:v>89654</c:v>
                </c:pt>
                <c:pt idx="5">
                  <c:v>112730</c:v>
                </c:pt>
                <c:pt idx="6">
                  <c:v>128875</c:v>
                </c:pt>
                <c:pt idx="7">
                  <c:v>149543</c:v>
                </c:pt>
                <c:pt idx="8">
                  <c:v>168618</c:v>
                </c:pt>
                <c:pt idx="9">
                  <c:v>188006</c:v>
                </c:pt>
                <c:pt idx="10">
                  <c:v>210745</c:v>
                </c:pt>
                <c:pt idx="11">
                  <c:v>238093</c:v>
                </c:pt>
                <c:pt idx="12">
                  <c:v>252950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81-415A-A7FB-E59DCF574280}"/>
            </c:ext>
          </c:extLst>
        </c:ser>
        <c:ser>
          <c:idx val="7"/>
          <c:order val="7"/>
          <c:tx>
            <c:strRef>
              <c:f>'Units made'!$W$48</c:f>
              <c:strCache>
                <c:ptCount val="1"/>
                <c:pt idx="0">
                  <c:v>2019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made'!$W$48:$W$60</c:f>
              <c:numCache>
                <c:formatCode>_-* #,##0_-;\-* #,##0_-;_-* "-"??_-;_-@_-</c:formatCode>
                <c:ptCount val="13"/>
                <c:pt idx="0" formatCode="General">
                  <c:v>2019</c:v>
                </c:pt>
                <c:pt idx="1">
                  <c:v>18623</c:v>
                </c:pt>
                <c:pt idx="2">
                  <c:v>41129</c:v>
                </c:pt>
                <c:pt idx="3">
                  <c:v>64706</c:v>
                </c:pt>
                <c:pt idx="4">
                  <c:v>82338</c:v>
                </c:pt>
                <c:pt idx="5">
                  <c:v>107493</c:v>
                </c:pt>
                <c:pt idx="6">
                  <c:v>127277</c:v>
                </c:pt>
                <c:pt idx="7">
                  <c:v>147877</c:v>
                </c:pt>
                <c:pt idx="8">
                  <c:v>170260</c:v>
                </c:pt>
                <c:pt idx="9">
                  <c:v>188972</c:v>
                </c:pt>
                <c:pt idx="10">
                  <c:v>209791</c:v>
                </c:pt>
                <c:pt idx="11">
                  <c:v>228869</c:v>
                </c:pt>
                <c:pt idx="12">
                  <c:v>245105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81-415A-A7FB-E59DCF574280}"/>
            </c:ext>
          </c:extLst>
        </c:ser>
        <c:ser>
          <c:idx val="8"/>
          <c:order val="8"/>
          <c:tx>
            <c:strRef>
              <c:f>'Units made'!$X$48</c:f>
              <c:strCache>
                <c:ptCount val="1"/>
                <c:pt idx="0">
                  <c:v>2020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made'!$X$48:$X$60</c:f>
              <c:numCache>
                <c:formatCode>_-* #,##0_-;\-* #,##0_-;_-* "-"??_-;_-@_-</c:formatCode>
                <c:ptCount val="13"/>
                <c:pt idx="0" formatCode="General">
                  <c:v>2020</c:v>
                </c:pt>
                <c:pt idx="1">
                  <c:v>20816</c:v>
                </c:pt>
                <c:pt idx="2">
                  <c:v>39270</c:v>
                </c:pt>
                <c:pt idx="3">
                  <c:v>53516</c:v>
                </c:pt>
                <c:pt idx="4">
                  <c:v>56182</c:v>
                </c:pt>
                <c:pt idx="5">
                  <c:v>76235</c:v>
                </c:pt>
                <c:pt idx="6">
                  <c:v>97411</c:v>
                </c:pt>
                <c:pt idx="7">
                  <c:v>121222</c:v>
                </c:pt>
                <c:pt idx="8">
                  <c:v>145731</c:v>
                </c:pt>
                <c:pt idx="9">
                  <c:v>174169</c:v>
                </c:pt>
                <c:pt idx="10">
                  <c:v>198342</c:v>
                </c:pt>
                <c:pt idx="11">
                  <c:v>228452</c:v>
                </c:pt>
                <c:pt idx="12">
                  <c:v>253717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81-415A-A7FB-E59DCF574280}"/>
            </c:ext>
          </c:extLst>
        </c:ser>
        <c:ser>
          <c:idx val="9"/>
          <c:order val="9"/>
          <c:tx>
            <c:strRef>
              <c:f>'Units made'!$Y$48</c:f>
              <c:strCache>
                <c:ptCount val="1"/>
                <c:pt idx="0">
                  <c:v>2021</c:v>
                </c:pt>
              </c:strCache>
              <c:extLst xmlns:c15="http://schemas.microsoft.com/office/drawing/2012/chart"/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made'!$O$49:$O$60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  <c:extLst xmlns:c15="http://schemas.microsoft.com/office/drawing/2012/chart"/>
            </c:strRef>
          </c:cat>
          <c:val>
            <c:numRef>
              <c:f>'Units made'!$Y$48:$Y$60</c:f>
              <c:numCache>
                <c:formatCode>_-* #,##0_-;\-* #,##0_-;_-* "-"??_-;_-@_-</c:formatCode>
                <c:ptCount val="13"/>
                <c:pt idx="0" formatCode="General">
                  <c:v>2021</c:v>
                </c:pt>
                <c:pt idx="1">
                  <c:v>21091</c:v>
                </c:pt>
                <c:pt idx="2">
                  <c:v>42144</c:v>
                </c:pt>
                <c:pt idx="3">
                  <c:v>72863</c:v>
                </c:pt>
                <c:pt idx="4">
                  <c:v>97906</c:v>
                </c:pt>
                <c:pt idx="5">
                  <c:v>129928</c:v>
                </c:pt>
                <c:pt idx="6">
                  <c:v>155888</c:v>
                </c:pt>
                <c:pt idx="7">
                  <c:v>181162</c:v>
                </c:pt>
                <c:pt idx="8">
                  <c:v>203230</c:v>
                </c:pt>
                <c:pt idx="9">
                  <c:v>231435</c:v>
                </c:pt>
                <c:pt idx="10">
                  <c:v>257061</c:v>
                </c:pt>
                <c:pt idx="11">
                  <c:v>286407</c:v>
                </c:pt>
                <c:pt idx="12">
                  <c:v>317893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9F81-415A-A7FB-E59DCF574280}"/>
            </c:ext>
          </c:extLst>
        </c:ser>
        <c:ser>
          <c:idx val="10"/>
          <c:order val="10"/>
          <c:tx>
            <c:strRef>
              <c:f>'Units made'!$Z$48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'Units made'!$Z$48:$Z$60</c:f>
              <c:numCache>
                <c:formatCode>_-* #,##0_-;\-* #,##0_-;_-* "-"??_-;_-@_-</c:formatCode>
                <c:ptCount val="13"/>
                <c:pt idx="0" formatCode="General">
                  <c:v>2022</c:v>
                </c:pt>
                <c:pt idx="1">
                  <c:v>23494</c:v>
                </c:pt>
                <c:pt idx="2">
                  <c:v>53883</c:v>
                </c:pt>
                <c:pt idx="3">
                  <c:v>90305</c:v>
                </c:pt>
                <c:pt idx="4">
                  <c:v>121394</c:v>
                </c:pt>
                <c:pt idx="5">
                  <c:v>152632</c:v>
                </c:pt>
                <c:pt idx="6">
                  <c:v>176048</c:v>
                </c:pt>
                <c:pt idx="7">
                  <c:v>195351</c:v>
                </c:pt>
                <c:pt idx="8">
                  <c:v>217146</c:v>
                </c:pt>
                <c:pt idx="9">
                  <c:v>241304</c:v>
                </c:pt>
                <c:pt idx="10">
                  <c:v>261279</c:v>
                </c:pt>
                <c:pt idx="11">
                  <c:v>276168</c:v>
                </c:pt>
                <c:pt idx="12">
                  <c:v>285210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81-415A-A7FB-E59DCF574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248992"/>
        <c:axId val="964261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'Units made'!$P$48</c15:sqref>
                        </c15:formulaRef>
                      </c:ext>
                    </c:extLst>
                    <c:strCache>
                      <c:ptCount val="1"/>
                      <c:pt idx="0">
                        <c:v>2012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'Units made'!$O$49:$O$60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'Units made'!$P$48:$P$60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 formatCode="General">
                        <c:v>2012</c:v>
                      </c:pt>
                      <c:pt idx="1">
                        <c:v>17062</c:v>
                      </c:pt>
                      <c:pt idx="2">
                        <c:v>45640</c:v>
                      </c:pt>
                      <c:pt idx="3">
                        <c:v>79695</c:v>
                      </c:pt>
                      <c:pt idx="4">
                        <c:v>109232</c:v>
                      </c:pt>
                      <c:pt idx="5">
                        <c:v>137294</c:v>
                      </c:pt>
                      <c:pt idx="6">
                        <c:v>164577</c:v>
                      </c:pt>
                      <c:pt idx="7">
                        <c:v>186858</c:v>
                      </c:pt>
                      <c:pt idx="8">
                        <c:v>205333</c:v>
                      </c:pt>
                      <c:pt idx="9">
                        <c:v>222357</c:v>
                      </c:pt>
                      <c:pt idx="10">
                        <c:v>242211</c:v>
                      </c:pt>
                      <c:pt idx="11">
                        <c:v>259288</c:v>
                      </c:pt>
                      <c:pt idx="12">
                        <c:v>273169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F81-415A-A7FB-E59DCF574280}"/>
                  </c:ext>
                </c:extLst>
              </c15:ser>
            </c15:filteredLineSeries>
          </c:ext>
        </c:extLst>
      </c:lineChart>
      <c:catAx>
        <c:axId val="9642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261472"/>
        <c:crosses val="autoZero"/>
        <c:auto val="1"/>
        <c:lblAlgn val="ctr"/>
        <c:lblOffset val="100"/>
        <c:noMultiLvlLbl val="0"/>
      </c:catAx>
      <c:valAx>
        <c:axId val="9642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2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NZ"/>
              <a:t>SEC Final Assembly - accumulative qty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'Units made'!$Q$63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made'!$Q$63:$Q$75</c:f>
              <c:numCache>
                <c:formatCode>_-* #,##0_-;\-* #,##0_-;_-* "-"??_-;_-@_-</c:formatCode>
                <c:ptCount val="13"/>
                <c:pt idx="0" formatCode="General">
                  <c:v>2013</c:v>
                </c:pt>
                <c:pt idx="1">
                  <c:v>3659</c:v>
                </c:pt>
                <c:pt idx="2">
                  <c:v>9366</c:v>
                </c:pt>
                <c:pt idx="3">
                  <c:v>14585</c:v>
                </c:pt>
                <c:pt idx="4">
                  <c:v>20531</c:v>
                </c:pt>
                <c:pt idx="5">
                  <c:v>26354</c:v>
                </c:pt>
                <c:pt idx="6">
                  <c:v>32064</c:v>
                </c:pt>
                <c:pt idx="7">
                  <c:v>40771</c:v>
                </c:pt>
                <c:pt idx="8">
                  <c:v>48245</c:v>
                </c:pt>
                <c:pt idx="9">
                  <c:v>57966</c:v>
                </c:pt>
                <c:pt idx="10">
                  <c:v>65728</c:v>
                </c:pt>
                <c:pt idx="11">
                  <c:v>73539</c:v>
                </c:pt>
                <c:pt idx="12">
                  <c:v>80352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5-44E0-9791-5FD1127074AD}"/>
            </c:ext>
          </c:extLst>
        </c:ser>
        <c:ser>
          <c:idx val="2"/>
          <c:order val="2"/>
          <c:tx>
            <c:strRef>
              <c:f>'Units made'!$R$63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made'!$R$63:$R$75</c:f>
              <c:numCache>
                <c:formatCode>_-* #,##0_-;\-* #,##0_-;_-* "-"??_-;_-@_-</c:formatCode>
                <c:ptCount val="13"/>
                <c:pt idx="0" formatCode="General">
                  <c:v>2014</c:v>
                </c:pt>
                <c:pt idx="1">
                  <c:v>7401</c:v>
                </c:pt>
                <c:pt idx="2">
                  <c:v>15150</c:v>
                </c:pt>
                <c:pt idx="3">
                  <c:v>25814</c:v>
                </c:pt>
                <c:pt idx="4">
                  <c:v>31834</c:v>
                </c:pt>
                <c:pt idx="5">
                  <c:v>39418</c:v>
                </c:pt>
                <c:pt idx="6">
                  <c:v>47760</c:v>
                </c:pt>
                <c:pt idx="7">
                  <c:v>55832</c:v>
                </c:pt>
                <c:pt idx="8">
                  <c:v>64001</c:v>
                </c:pt>
                <c:pt idx="9">
                  <c:v>75568</c:v>
                </c:pt>
                <c:pt idx="10">
                  <c:v>85294</c:v>
                </c:pt>
                <c:pt idx="11">
                  <c:v>94793</c:v>
                </c:pt>
                <c:pt idx="12">
                  <c:v>105454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5-44E0-9791-5FD1127074AD}"/>
            </c:ext>
          </c:extLst>
        </c:ser>
        <c:ser>
          <c:idx val="3"/>
          <c:order val="3"/>
          <c:tx>
            <c:strRef>
              <c:f>'Units made'!$S$63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made'!$S$63:$S$75</c:f>
              <c:numCache>
                <c:formatCode>_-* #,##0_-;\-* #,##0_-;_-* "-"??_-;_-@_-</c:formatCode>
                <c:ptCount val="13"/>
                <c:pt idx="0" formatCode="General">
                  <c:v>2015</c:v>
                </c:pt>
                <c:pt idx="1">
                  <c:v>4736</c:v>
                </c:pt>
                <c:pt idx="2">
                  <c:v>13024</c:v>
                </c:pt>
                <c:pt idx="3">
                  <c:v>23130</c:v>
                </c:pt>
                <c:pt idx="4">
                  <c:v>30698</c:v>
                </c:pt>
                <c:pt idx="5">
                  <c:v>38970</c:v>
                </c:pt>
                <c:pt idx="6">
                  <c:v>48727</c:v>
                </c:pt>
                <c:pt idx="7">
                  <c:v>56590</c:v>
                </c:pt>
                <c:pt idx="8">
                  <c:v>65997</c:v>
                </c:pt>
                <c:pt idx="9">
                  <c:v>76695</c:v>
                </c:pt>
                <c:pt idx="10">
                  <c:v>87354</c:v>
                </c:pt>
                <c:pt idx="11">
                  <c:v>101378</c:v>
                </c:pt>
                <c:pt idx="12">
                  <c:v>110054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F5-44E0-9791-5FD1127074AD}"/>
            </c:ext>
          </c:extLst>
        </c:ser>
        <c:ser>
          <c:idx val="4"/>
          <c:order val="4"/>
          <c:tx>
            <c:strRef>
              <c:f>'Units made'!$T$63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made'!$T$63:$T$75</c:f>
              <c:numCache>
                <c:formatCode>_-* #,##0_-;\-* #,##0_-;_-* "-"??_-;_-@_-</c:formatCode>
                <c:ptCount val="13"/>
                <c:pt idx="0" formatCode="General">
                  <c:v>2016</c:v>
                </c:pt>
                <c:pt idx="1">
                  <c:v>6426</c:v>
                </c:pt>
                <c:pt idx="2">
                  <c:v>14908</c:v>
                </c:pt>
                <c:pt idx="3">
                  <c:v>23965</c:v>
                </c:pt>
                <c:pt idx="4">
                  <c:v>30480</c:v>
                </c:pt>
                <c:pt idx="5">
                  <c:v>36895</c:v>
                </c:pt>
                <c:pt idx="6">
                  <c:v>42186</c:v>
                </c:pt>
                <c:pt idx="7">
                  <c:v>50428</c:v>
                </c:pt>
                <c:pt idx="8">
                  <c:v>61934</c:v>
                </c:pt>
                <c:pt idx="9">
                  <c:v>70763</c:v>
                </c:pt>
                <c:pt idx="10">
                  <c:v>84179</c:v>
                </c:pt>
                <c:pt idx="11">
                  <c:v>94434</c:v>
                </c:pt>
                <c:pt idx="12">
                  <c:v>102000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F5-44E0-9791-5FD1127074AD}"/>
            </c:ext>
          </c:extLst>
        </c:ser>
        <c:ser>
          <c:idx val="5"/>
          <c:order val="5"/>
          <c:tx>
            <c:strRef>
              <c:f>'Units made'!$U$63</c:f>
              <c:strCache>
                <c:ptCount val="1"/>
                <c:pt idx="0">
                  <c:v>2017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made'!$U$63:$U$75</c:f>
              <c:numCache>
                <c:formatCode>_-* #,##0_-;\-* #,##0_-;_-* "-"??_-;_-@_-</c:formatCode>
                <c:ptCount val="13"/>
                <c:pt idx="0" formatCode="General">
                  <c:v>2017</c:v>
                </c:pt>
                <c:pt idx="1">
                  <c:v>10985</c:v>
                </c:pt>
                <c:pt idx="2">
                  <c:v>23629</c:v>
                </c:pt>
                <c:pt idx="3">
                  <c:v>37538</c:v>
                </c:pt>
                <c:pt idx="4">
                  <c:v>48926</c:v>
                </c:pt>
                <c:pt idx="5">
                  <c:v>65096</c:v>
                </c:pt>
                <c:pt idx="6">
                  <c:v>77713</c:v>
                </c:pt>
                <c:pt idx="7">
                  <c:v>93876</c:v>
                </c:pt>
                <c:pt idx="8">
                  <c:v>105634</c:v>
                </c:pt>
                <c:pt idx="9">
                  <c:v>120377</c:v>
                </c:pt>
                <c:pt idx="10">
                  <c:v>134648</c:v>
                </c:pt>
                <c:pt idx="11">
                  <c:v>147812</c:v>
                </c:pt>
                <c:pt idx="12">
                  <c:v>157186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F5-44E0-9791-5FD1127074AD}"/>
            </c:ext>
          </c:extLst>
        </c:ser>
        <c:ser>
          <c:idx val="6"/>
          <c:order val="6"/>
          <c:tx>
            <c:strRef>
              <c:f>'Units made'!$V$63</c:f>
              <c:strCache>
                <c:ptCount val="1"/>
                <c:pt idx="0">
                  <c:v>2018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made'!$V$63:$V$75</c:f>
              <c:numCache>
                <c:formatCode>_-* #,##0_-;\-* #,##0_-;_-* "-"??_-;_-@_-</c:formatCode>
                <c:ptCount val="13"/>
                <c:pt idx="0" formatCode="General">
                  <c:v>2018</c:v>
                </c:pt>
                <c:pt idx="1">
                  <c:v>8530</c:v>
                </c:pt>
                <c:pt idx="2">
                  <c:v>17259</c:v>
                </c:pt>
                <c:pt idx="3">
                  <c:v>28561</c:v>
                </c:pt>
                <c:pt idx="4">
                  <c:v>40806</c:v>
                </c:pt>
                <c:pt idx="5">
                  <c:v>52696</c:v>
                </c:pt>
                <c:pt idx="6">
                  <c:v>64992</c:v>
                </c:pt>
                <c:pt idx="7">
                  <c:v>79142</c:v>
                </c:pt>
                <c:pt idx="8">
                  <c:v>92845</c:v>
                </c:pt>
                <c:pt idx="9">
                  <c:v>108387</c:v>
                </c:pt>
                <c:pt idx="10">
                  <c:v>128374</c:v>
                </c:pt>
                <c:pt idx="11">
                  <c:v>146208</c:v>
                </c:pt>
                <c:pt idx="12">
                  <c:v>158976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F5-44E0-9791-5FD1127074AD}"/>
            </c:ext>
          </c:extLst>
        </c:ser>
        <c:ser>
          <c:idx val="7"/>
          <c:order val="7"/>
          <c:tx>
            <c:strRef>
              <c:f>'Units made'!$W$63</c:f>
              <c:strCache>
                <c:ptCount val="1"/>
                <c:pt idx="0">
                  <c:v>2019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made'!$W$63:$W$75</c:f>
              <c:numCache>
                <c:formatCode>_-* #,##0_-;\-* #,##0_-;_-* "-"??_-;_-@_-</c:formatCode>
                <c:ptCount val="13"/>
                <c:pt idx="0" formatCode="General">
                  <c:v>2019</c:v>
                </c:pt>
                <c:pt idx="1">
                  <c:v>11865</c:v>
                </c:pt>
                <c:pt idx="2">
                  <c:v>27645</c:v>
                </c:pt>
                <c:pt idx="3">
                  <c:v>39025</c:v>
                </c:pt>
                <c:pt idx="4">
                  <c:v>50985</c:v>
                </c:pt>
                <c:pt idx="5">
                  <c:v>63610</c:v>
                </c:pt>
                <c:pt idx="6">
                  <c:v>76512</c:v>
                </c:pt>
                <c:pt idx="7">
                  <c:v>91989</c:v>
                </c:pt>
                <c:pt idx="8">
                  <c:v>108547</c:v>
                </c:pt>
                <c:pt idx="9">
                  <c:v>127788</c:v>
                </c:pt>
                <c:pt idx="10">
                  <c:v>143079</c:v>
                </c:pt>
                <c:pt idx="11">
                  <c:v>158331</c:v>
                </c:pt>
                <c:pt idx="12">
                  <c:v>172569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F5-44E0-9791-5FD1127074AD}"/>
            </c:ext>
          </c:extLst>
        </c:ser>
        <c:ser>
          <c:idx val="8"/>
          <c:order val="8"/>
          <c:tx>
            <c:strRef>
              <c:f>'Units made'!$X$63</c:f>
              <c:strCache>
                <c:ptCount val="1"/>
                <c:pt idx="0">
                  <c:v>2020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made'!$X$63:$X$75</c:f>
              <c:numCache>
                <c:formatCode>_-* #,##0_-;\-* #,##0_-;_-* "-"??_-;_-@_-</c:formatCode>
                <c:ptCount val="13"/>
                <c:pt idx="0" formatCode="General">
                  <c:v>2020</c:v>
                </c:pt>
                <c:pt idx="1">
                  <c:v>18241</c:v>
                </c:pt>
                <c:pt idx="2">
                  <c:v>33303</c:v>
                </c:pt>
                <c:pt idx="3">
                  <c:v>49787</c:v>
                </c:pt>
                <c:pt idx="4">
                  <c:v>55511</c:v>
                </c:pt>
                <c:pt idx="5">
                  <c:v>72379</c:v>
                </c:pt>
                <c:pt idx="6">
                  <c:v>99036</c:v>
                </c:pt>
                <c:pt idx="7">
                  <c:v>123175</c:v>
                </c:pt>
                <c:pt idx="8">
                  <c:v>141087</c:v>
                </c:pt>
                <c:pt idx="9">
                  <c:v>155288</c:v>
                </c:pt>
                <c:pt idx="10">
                  <c:v>170205</c:v>
                </c:pt>
                <c:pt idx="11">
                  <c:v>187168</c:v>
                </c:pt>
                <c:pt idx="12">
                  <c:v>195073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F5-44E0-9791-5FD1127074AD}"/>
            </c:ext>
          </c:extLst>
        </c:ser>
        <c:ser>
          <c:idx val="9"/>
          <c:order val="9"/>
          <c:tx>
            <c:strRef>
              <c:f>'Units made'!$Y$63</c:f>
              <c:strCache>
                <c:ptCount val="1"/>
                <c:pt idx="0">
                  <c:v>2021</c:v>
                </c:pt>
              </c:strCache>
              <c:extLst xmlns:c15="http://schemas.microsoft.com/office/drawing/2012/chart"/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'Units made'!$O$64:$O$75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  <c:extLst xmlns:c15="http://schemas.microsoft.com/office/drawing/2012/chart"/>
            </c:strRef>
          </c:cat>
          <c:val>
            <c:numRef>
              <c:f>'Units made'!$Y$63:$Y$75</c:f>
              <c:numCache>
                <c:formatCode>_-* #,##0_-;\-* #,##0_-;_-* "-"??_-;_-@_-</c:formatCode>
                <c:ptCount val="13"/>
                <c:pt idx="0" formatCode="General">
                  <c:v>2021</c:v>
                </c:pt>
                <c:pt idx="1">
                  <c:v>12451</c:v>
                </c:pt>
                <c:pt idx="2">
                  <c:v>22879</c:v>
                </c:pt>
                <c:pt idx="3">
                  <c:v>42692</c:v>
                </c:pt>
                <c:pt idx="4">
                  <c:v>53536</c:v>
                </c:pt>
                <c:pt idx="5">
                  <c:v>71799</c:v>
                </c:pt>
                <c:pt idx="6">
                  <c:v>85427</c:v>
                </c:pt>
                <c:pt idx="7">
                  <c:v>105293</c:v>
                </c:pt>
                <c:pt idx="8">
                  <c:v>129235</c:v>
                </c:pt>
                <c:pt idx="9">
                  <c:v>163553</c:v>
                </c:pt>
                <c:pt idx="10">
                  <c:v>199691</c:v>
                </c:pt>
                <c:pt idx="11">
                  <c:v>238671</c:v>
                </c:pt>
                <c:pt idx="12">
                  <c:v>269301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E3F5-44E0-9791-5FD1127074AD}"/>
            </c:ext>
          </c:extLst>
        </c:ser>
        <c:ser>
          <c:idx val="10"/>
          <c:order val="10"/>
          <c:tx>
            <c:strRef>
              <c:f>'Units made'!$Z$63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'Units made'!$Z$63:$Z$75</c:f>
              <c:numCache>
                <c:formatCode>_-* #,##0_-;\-* #,##0_-;_-* "-"??_-;_-@_-</c:formatCode>
                <c:ptCount val="13"/>
                <c:pt idx="0" formatCode="General">
                  <c:v>2022</c:v>
                </c:pt>
                <c:pt idx="1">
                  <c:v>19268</c:v>
                </c:pt>
                <c:pt idx="2">
                  <c:v>41063</c:v>
                </c:pt>
                <c:pt idx="3">
                  <c:v>70589</c:v>
                </c:pt>
                <c:pt idx="4">
                  <c:v>98182</c:v>
                </c:pt>
                <c:pt idx="5">
                  <c:v>123864</c:v>
                </c:pt>
                <c:pt idx="6">
                  <c:v>159320</c:v>
                </c:pt>
                <c:pt idx="7">
                  <c:v>188060</c:v>
                </c:pt>
                <c:pt idx="8">
                  <c:v>217038</c:v>
                </c:pt>
                <c:pt idx="9">
                  <c:v>256869</c:v>
                </c:pt>
                <c:pt idx="10">
                  <c:v>290041</c:v>
                </c:pt>
                <c:pt idx="11">
                  <c:v>311118</c:v>
                </c:pt>
                <c:pt idx="12">
                  <c:v>322105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3F5-44E0-9791-5FD112707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80960"/>
        <c:axId val="91205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'Units made'!$P$63</c15:sqref>
                        </c15:formulaRef>
                      </c:ext>
                    </c:extLst>
                    <c:strCache>
                      <c:ptCount val="1"/>
                      <c:pt idx="0">
                        <c:v>2012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'Units made'!$O$64:$O$75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'Units made'!$P$63:$P$75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3"/>
                      <c:pt idx="0" formatCode="General">
                        <c:v>2012</c:v>
                      </c:pt>
                      <c:pt idx="1">
                        <c:v>4929</c:v>
                      </c:pt>
                      <c:pt idx="2">
                        <c:v>10128</c:v>
                      </c:pt>
                      <c:pt idx="3">
                        <c:v>17306</c:v>
                      </c:pt>
                      <c:pt idx="4">
                        <c:v>24108</c:v>
                      </c:pt>
                      <c:pt idx="5">
                        <c:v>30405</c:v>
                      </c:pt>
                      <c:pt idx="6">
                        <c:v>37731</c:v>
                      </c:pt>
                      <c:pt idx="7">
                        <c:v>47066</c:v>
                      </c:pt>
                      <c:pt idx="8">
                        <c:v>54539</c:v>
                      </c:pt>
                      <c:pt idx="9">
                        <c:v>62598</c:v>
                      </c:pt>
                      <c:pt idx="10">
                        <c:v>69735</c:v>
                      </c:pt>
                      <c:pt idx="11">
                        <c:v>76189</c:v>
                      </c:pt>
                      <c:pt idx="12">
                        <c:v>81259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E3F5-44E0-9791-5FD1127074AD}"/>
                  </c:ext>
                </c:extLst>
              </c15:ser>
            </c15:filteredLineSeries>
          </c:ext>
        </c:extLst>
      </c:lineChart>
      <c:catAx>
        <c:axId val="911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5920"/>
        <c:crosses val="autoZero"/>
        <c:auto val="1"/>
        <c:lblAlgn val="ctr"/>
        <c:lblOffset val="100"/>
        <c:noMultiLvlLbl val="0"/>
      </c:catAx>
      <c:valAx>
        <c:axId val="912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'Growth Analysis Data'!$AJ$4</c:f>
              <c:strCache>
                <c:ptCount val="1"/>
                <c:pt idx="0">
                  <c:v>Revenue ($m) - excl FS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'Growth Analysis Data'!$AI$5:$AI$13</c:f>
              <c:strCache>
                <c:ptCount val="9"/>
                <c:pt idx="0">
                  <c:v>F2013</c:v>
                </c:pt>
                <c:pt idx="1">
                  <c:v>F2014</c:v>
                </c:pt>
                <c:pt idx="2">
                  <c:v>F2015</c:v>
                </c:pt>
                <c:pt idx="3">
                  <c:v>F2016</c:v>
                </c:pt>
                <c:pt idx="4">
                  <c:v>F2017</c:v>
                </c:pt>
                <c:pt idx="5">
                  <c:v>F2018</c:v>
                </c:pt>
                <c:pt idx="6">
                  <c:v>F2019</c:v>
                </c:pt>
                <c:pt idx="7">
                  <c:v>F2020</c:v>
                </c:pt>
                <c:pt idx="8">
                  <c:v>F2021</c:v>
                </c:pt>
              </c:strCache>
            </c:strRef>
          </c:cat>
          <c:val>
            <c:numRef>
              <c:f>'Growth Analysis Data'!$AJ$5:$AJ$13</c:f>
              <c:numCache>
                <c:formatCode>_-* #,##0_-;\-* #,##0_-;_-* "-"??_-;_-@_-</c:formatCode>
                <c:ptCount val="9"/>
                <c:pt idx="0">
                  <c:v>161.98725466000002</c:v>
                </c:pt>
                <c:pt idx="1">
                  <c:v>160.53466299999999</c:v>
                </c:pt>
                <c:pt idx="2">
                  <c:v>176.227149</c:v>
                </c:pt>
                <c:pt idx="3">
                  <c:v>191.91344081</c:v>
                </c:pt>
                <c:pt idx="4">
                  <c:v>198.39828446000001</c:v>
                </c:pt>
                <c:pt idx="5">
                  <c:v>224.80885925999999</c:v>
                </c:pt>
                <c:pt idx="6">
                  <c:v>244.16158966</c:v>
                </c:pt>
                <c:pt idx="7">
                  <c:v>276.59375619000002</c:v>
                </c:pt>
                <c:pt idx="8">
                  <c:v>279.14734470000002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B-4514-84CF-D8F01A994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624192"/>
        <c:axId val="1629614624"/>
      </c:lineChart>
      <c:lineChart>
        <c:grouping val="standard"/>
        <c:varyColors val="0"/>
        <c:ser>
          <c:idx val="1"/>
          <c:order val="1"/>
          <c:tx>
            <c:strRef>
              <c:f>'Growth Analysis Data'!$F$4</c:f>
              <c:strCache>
                <c:ptCount val="1"/>
                <c:pt idx="0">
                  <c:v>SEC &amp; AM Units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'Growth Analysis Data'!$AI$5:$AI$13</c:f>
              <c:strCache>
                <c:ptCount val="9"/>
                <c:pt idx="0">
                  <c:v>F2013</c:v>
                </c:pt>
                <c:pt idx="1">
                  <c:v>F2014</c:v>
                </c:pt>
                <c:pt idx="2">
                  <c:v>F2015</c:v>
                </c:pt>
                <c:pt idx="3">
                  <c:v>F2016</c:v>
                </c:pt>
                <c:pt idx="4">
                  <c:v>F2017</c:v>
                </c:pt>
                <c:pt idx="5">
                  <c:v>F2018</c:v>
                </c:pt>
                <c:pt idx="6">
                  <c:v>F2019</c:v>
                </c:pt>
                <c:pt idx="7">
                  <c:v>F2020</c:v>
                </c:pt>
                <c:pt idx="8">
                  <c:v>F2021</c:v>
                </c:pt>
              </c:strCache>
            </c:strRef>
          </c:cat>
          <c:val>
            <c:numRef>
              <c:f>'Growth Analysis Data'!$F$5:$F$13</c:f>
              <c:numCache>
                <c:formatCode>_-* #,##0_-;\-* #,##0_-;_-* "-"??_-;_-@_-</c:formatCode>
                <c:ptCount val="9"/>
                <c:pt idx="0">
                  <c:v>332947</c:v>
                </c:pt>
                <c:pt idx="1">
                  <c:v>322926</c:v>
                </c:pt>
                <c:pt idx="2">
                  <c:v>356716</c:v>
                </c:pt>
                <c:pt idx="3">
                  <c:v>322153</c:v>
                </c:pt>
                <c:pt idx="4">
                  <c:v>298836</c:v>
                </c:pt>
                <c:pt idx="5">
                  <c:v>435379</c:v>
                </c:pt>
                <c:pt idx="6">
                  <c:v>418343</c:v>
                </c:pt>
                <c:pt idx="7">
                  <c:v>417246</c:v>
                </c:pt>
                <c:pt idx="8">
                  <c:v>470642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B-4514-84CF-D8F01A994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624608"/>
        <c:axId val="1629617952"/>
      </c:lineChart>
      <c:catAx>
        <c:axId val="16296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14624"/>
        <c:crosses val="autoZero"/>
        <c:auto val="1"/>
        <c:lblAlgn val="ctr"/>
        <c:lblOffset val="100"/>
        <c:noMultiLvlLbl val="0"/>
      </c:catAx>
      <c:valAx>
        <c:axId val="162961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4192"/>
        <c:crosses val="autoZero"/>
        <c:crossBetween val="between"/>
      </c:valAx>
      <c:valAx>
        <c:axId val="16296179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4608"/>
        <c:crosses val="max"/>
        <c:crossBetween val="between"/>
      </c:valAx>
      <c:catAx>
        <c:axId val="162962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617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Team'!$G$65</c:f>
              <c:strCache>
                <c:ptCount val="1"/>
                <c:pt idx="0">
                  <c:v>OPEX / $ to FG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Team'!$G$66:$G$88</c:f>
              <c:numCache>
                <c:formatCode>0%</c:formatCode>
                <c:ptCount val="23"/>
                <c:pt idx="0">
                  <c:v>0.20684147758283225</c:v>
                </c:pt>
                <c:pt idx="1">
                  <c:v>0.18747162903953962</c:v>
                </c:pt>
                <c:pt idx="2">
                  <c:v>0.19972426659447282</c:v>
                </c:pt>
                <c:pt idx="3">
                  <c:v>0.19761201714761406</c:v>
                </c:pt>
                <c:pt idx="4">
                  <c:v>0.2305301758836342</c:v>
                </c:pt>
                <c:pt idx="5">
                  <c:v>0.21738820933477485</c:v>
                </c:pt>
                <c:pt idx="6">
                  <c:v>0.21616977016071631</c:v>
                </c:pt>
                <c:pt idx="7">
                  <c:v>0.22966430493764917</c:v>
                </c:pt>
                <c:pt idx="8">
                  <c:v>0.2156053631314889</c:v>
                </c:pt>
                <c:pt idx="9">
                  <c:v>0.19327119661391709</c:v>
                </c:pt>
                <c:pt idx="10">
                  <c:v>0.22776364999732457</c:v>
                </c:pt>
                <c:pt idx="11">
                  <c:v>0.23413015301077958</c:v>
                </c:pt>
                <c:pt idx="12">
                  <c:v>0.21755457374691017</c:v>
                </c:pt>
                <c:pt idx="13">
                  <c:v>0.13181670062579742</c:v>
                </c:pt>
                <c:pt idx="14">
                  <c:v>0.11252010222949005</c:v>
                </c:pt>
                <c:pt idx="15">
                  <c:v>0.1478206454558563</c:v>
                </c:pt>
                <c:pt idx="16">
                  <c:v>0.17699143883319424</c:v>
                </c:pt>
                <c:pt idx="17">
                  <c:v>0.1961766664956282</c:v>
                </c:pt>
                <c:pt idx="18">
                  <c:v>0.24006523805338023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C-401F-85D4-79383375B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737535"/>
        <c:axId val="511726303"/>
      </c:lineChart>
      <c:catAx>
        <c:axId val="511737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26303"/>
        <c:crosses val="autoZero"/>
        <c:auto val="1"/>
        <c:lblAlgn val="ctr"/>
        <c:lblOffset val="100"/>
        <c:noMultiLvlLbl val="0"/>
      </c:catAx>
      <c:valAx>
        <c:axId val="51172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37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OPEX / FG</a:t>
            </a:r>
            <a:r>
              <a:rPr lang="en-NZ" baseline="0"/>
              <a:t> Units &amp; Payrate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Team'!$H$65</c:f>
              <c:strCache>
                <c:ptCount val="1"/>
                <c:pt idx="0">
                  <c:v>OPEX / FG Units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Team'!$H$66:$H$88</c:f>
              <c:numCache>
                <c:formatCode>_-"$"* #,##0.0_-;\-"$"* #,##0.0_-;_-"$"* "-"??_-;_-@_-</c:formatCode>
                <c:ptCount val="23"/>
                <c:pt idx="0">
                  <c:v>29.152444771265522</c:v>
                </c:pt>
                <c:pt idx="1">
                  <c:v>30.637194467744767</c:v>
                </c:pt>
                <c:pt idx="2">
                  <c:v>26.952333965187435</c:v>
                </c:pt>
                <c:pt idx="3">
                  <c:v>28.027706278740204</c:v>
                </c:pt>
                <c:pt idx="4">
                  <c:v>31.758280197485458</c:v>
                </c:pt>
                <c:pt idx="5">
                  <c:v>30.762452310770019</c:v>
                </c:pt>
                <c:pt idx="6">
                  <c:v>31.728461858612285</c:v>
                </c:pt>
                <c:pt idx="7">
                  <c:v>31.282634579828272</c:v>
                </c:pt>
                <c:pt idx="8">
                  <c:v>34.446652495061407</c:v>
                </c:pt>
                <c:pt idx="9">
                  <c:v>27.605187579881211</c:v>
                </c:pt>
                <c:pt idx="10">
                  <c:v>31.246738119380222</c:v>
                </c:pt>
                <c:pt idx="11">
                  <c:v>30.408835619402016</c:v>
                </c:pt>
                <c:pt idx="12">
                  <c:v>27.287062659033079</c:v>
                </c:pt>
                <c:pt idx="13">
                  <c:v>28.802847604979405</c:v>
                </c:pt>
                <c:pt idx="14">
                  <c:v>25.592281198297659</c:v>
                </c:pt>
                <c:pt idx="15">
                  <c:v>28.296195010379506</c:v>
                </c:pt>
                <c:pt idx="16">
                  <c:v>28.140399142565656</c:v>
                </c:pt>
                <c:pt idx="17">
                  <c:v>34.967071035901846</c:v>
                </c:pt>
                <c:pt idx="18">
                  <c:v>46.768173572043757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1-46DD-B668-10AC2CD72A29}"/>
            </c:ext>
          </c:extLst>
        </c:ser>
        <c:ser>
          <c:idx val="1"/>
          <c:order val="1"/>
          <c:tx>
            <c:strRef>
              <c:f>'Financial Tracking of the Team'!$M$65</c:f>
              <c:strCache>
                <c:ptCount val="1"/>
                <c:pt idx="0">
                  <c:v>Pay rate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Team'!$M$66:$M$85</c:f>
              <c:numCache>
                <c:formatCode>_("$"* #,##0.00_);_("$"* \(#,##0.00\);_("$"* "-"??_);_(@_)</c:formatCode>
                <c:ptCount val="20"/>
                <c:pt idx="0">
                  <c:v>18.5</c:v>
                </c:pt>
                <c:pt idx="1">
                  <c:v>18.5</c:v>
                </c:pt>
                <c:pt idx="2">
                  <c:v>18.5</c:v>
                </c:pt>
                <c:pt idx="3">
                  <c:v>18.5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21.65</c:v>
                </c:pt>
                <c:pt idx="9">
                  <c:v>21.65</c:v>
                </c:pt>
                <c:pt idx="10">
                  <c:v>21.65</c:v>
                </c:pt>
                <c:pt idx="11">
                  <c:v>21.65</c:v>
                </c:pt>
                <c:pt idx="12">
                  <c:v>22.15</c:v>
                </c:pt>
                <c:pt idx="13">
                  <c:v>22.15</c:v>
                </c:pt>
                <c:pt idx="14">
                  <c:v>22.15</c:v>
                </c:pt>
                <c:pt idx="15">
                  <c:v>22.15</c:v>
                </c:pt>
                <c:pt idx="16">
                  <c:v>23.25</c:v>
                </c:pt>
                <c:pt idx="17">
                  <c:v>23.25</c:v>
                </c:pt>
                <c:pt idx="18">
                  <c:v>23.25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E-4511-927C-880D1CCD5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776575"/>
        <c:axId val="1062776991"/>
      </c:lineChart>
      <c:lineChart>
        <c:grouping val="standard"/>
        <c:varyColors val="0"/>
        <c:ser>
          <c:idx val="2"/>
          <c:order val="2"/>
          <c:tx>
            <c:strRef>
              <c:f>'Financial Tracking of the Team'!$R$65</c:f>
              <c:strCache>
                <c:ptCount val="1"/>
                <c:pt idx="0">
                  <c:v>Over / Under Recovery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Team'!$R$66:$R$84</c:f>
              <c:numCache>
                <c:formatCode>0.0%</c:formatCode>
                <c:ptCount val="19"/>
                <c:pt idx="0">
                  <c:v>-1.9894086734338606E-2</c:v>
                </c:pt>
                <c:pt idx="1">
                  <c:v>1.7894953661270589E-2</c:v>
                </c:pt>
                <c:pt idx="2">
                  <c:v>-4.5488232702310068E-2</c:v>
                </c:pt>
                <c:pt idx="3">
                  <c:v>-5.0704203358256109E-2</c:v>
                </c:pt>
                <c:pt idx="4">
                  <c:v>-0.16903926461841537</c:v>
                </c:pt>
                <c:pt idx="5">
                  <c:v>-8.3006044143396254E-2</c:v>
                </c:pt>
                <c:pt idx="6">
                  <c:v>-6.1303697929257057E-2</c:v>
                </c:pt>
                <c:pt idx="7">
                  <c:v>-0.1052809917099632</c:v>
                </c:pt>
                <c:pt idx="8">
                  <c:v>-3.7578319332497841E-2</c:v>
                </c:pt>
                <c:pt idx="9">
                  <c:v>0.10853932412904309</c:v>
                </c:pt>
                <c:pt idx="10">
                  <c:v>-7.5512897426951053E-2</c:v>
                </c:pt>
                <c:pt idx="11">
                  <c:v>-0.13496939149826134</c:v>
                </c:pt>
                <c:pt idx="12">
                  <c:v>-6.9194995601204207E-2</c:v>
                </c:pt>
                <c:pt idx="13">
                  <c:v>0.18593382163561684</c:v>
                </c:pt>
                <c:pt idx="14">
                  <c:v>1.4007956917985197E-2</c:v>
                </c:pt>
                <c:pt idx="15">
                  <c:v>-2.8126241025082325E-2</c:v>
                </c:pt>
                <c:pt idx="16">
                  <c:v>-0.12756794211050299</c:v>
                </c:pt>
                <c:pt idx="17">
                  <c:v>-0.2299404125973552</c:v>
                </c:pt>
                <c:pt idx="18">
                  <c:v>-0.28933118510954925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A-4DF5-B1B4-F22F8B3E5CB5}"/>
            </c:ext>
          </c:extLst>
        </c:ser>
        <c:ser>
          <c:idx val="3"/>
          <c:order val="3"/>
          <c:spPr>
            <a:ln w="19050" cap="flat" cmpd="dbl" algn="ctr">
              <a:solidFill>
                <a:srgbClr val="FF0000"/>
              </a:solidFill>
              <a:prstDash val="sysDot"/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Team'!$O$66:$O$84</c:f>
              <c:numCache>
                <c:formatCode>0%</c:formatCode>
                <c:ptCount val="19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A-4DF5-B1B4-F22F8B3E5CB5}"/>
            </c:ext>
          </c:extLst>
        </c:ser>
        <c:ser>
          <c:idx val="4"/>
          <c:order val="4"/>
          <c:spPr>
            <a:ln w="19050" cap="flat" cmpd="dbl" algn="ctr">
              <a:solidFill>
                <a:srgbClr val="FF0000"/>
              </a:solidFill>
              <a:prstDash val="sysDot"/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Team'!$P$66:$P$84</c:f>
              <c:numCache>
                <c:formatCode>0%</c:formatCode>
                <c:ptCount val="19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A-4DF5-B1B4-F22F8B3E5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4567135"/>
        <c:axId val="1214542591"/>
      </c:lineChart>
      <c:catAx>
        <c:axId val="106277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76991"/>
        <c:crosses val="autoZero"/>
        <c:auto val="1"/>
        <c:lblAlgn val="ctr"/>
        <c:lblOffset val="100"/>
        <c:noMultiLvlLbl val="0"/>
      </c:catAx>
      <c:valAx>
        <c:axId val="1062776991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76575"/>
        <c:crosses val="autoZero"/>
        <c:crossBetween val="between"/>
      </c:valAx>
      <c:valAx>
        <c:axId val="1214542591"/>
        <c:scaling>
          <c:orientation val="minMax"/>
          <c:max val="0.25"/>
          <c:min val="-0.35000000000000003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567135"/>
        <c:crosses val="max"/>
        <c:crossBetween val="between"/>
      </c:valAx>
      <c:catAx>
        <c:axId val="12145671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45425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1.3139886640383543E-2"/>
          <c:y val="0.91087853601633129"/>
          <c:w val="0.97094608319591102"/>
          <c:h val="8.91214639836687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Team'!$I$65</c:f>
              <c:strCache>
                <c:ptCount val="1"/>
                <c:pt idx="0">
                  <c:v>$ to FG / EVS Team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Team'!$I$66:$I$88</c:f>
              <c:numCache>
                <c:formatCode>_-"$"* #,##0_-;\-"$"* #,##0_-;_-"$"* "-"??_-;_-@_-</c:formatCode>
                <c:ptCount val="23"/>
                <c:pt idx="0">
                  <c:v>114035.83583798884</c:v>
                </c:pt>
                <c:pt idx="1">
                  <c:v>134040.93264000001</c:v>
                </c:pt>
                <c:pt idx="2">
                  <c:v>119623.38629156011</c:v>
                </c:pt>
                <c:pt idx="3">
                  <c:v>114940.42570312502</c:v>
                </c:pt>
                <c:pt idx="4">
                  <c:v>106304.74881748072</c:v>
                </c:pt>
                <c:pt idx="5">
                  <c:v>122033.94351145039</c:v>
                </c:pt>
                <c:pt idx="6">
                  <c:v>116934.62763157894</c:v>
                </c:pt>
                <c:pt idx="7">
                  <c:v>115335.47901639344</c:v>
                </c:pt>
                <c:pt idx="8">
                  <c:v>122986.36859504132</c:v>
                </c:pt>
                <c:pt idx="9">
                  <c:v>141776.11194029852</c:v>
                </c:pt>
                <c:pt idx="10">
                  <c:v>116659.46793349167</c:v>
                </c:pt>
                <c:pt idx="11">
                  <c:v>110898.68719211822</c:v>
                </c:pt>
                <c:pt idx="12">
                  <c:v>114301.52173913043</c:v>
                </c:pt>
                <c:pt idx="13">
                  <c:v>222374.82119205297</c:v>
                </c:pt>
                <c:pt idx="14">
                  <c:v>238888.21857923496</c:v>
                </c:pt>
                <c:pt idx="15">
                  <c:v>156074.64020270269</c:v>
                </c:pt>
                <c:pt idx="16">
                  <c:v>151309.87636363634</c:v>
                </c:pt>
                <c:pt idx="17">
                  <c:v>150877.71057192373</c:v>
                </c:pt>
                <c:pt idx="18">
                  <c:v>122432.45873320538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8-4012-93A9-C90643186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72159"/>
        <c:axId val="517370079"/>
      </c:lineChart>
      <c:catAx>
        <c:axId val="51737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0079"/>
        <c:crosses val="autoZero"/>
        <c:auto val="1"/>
        <c:lblAlgn val="ctr"/>
        <c:lblOffset val="100"/>
        <c:noMultiLvlLbl val="0"/>
      </c:catAx>
      <c:valAx>
        <c:axId val="51737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Team'!$J$65</c:f>
              <c:strCache>
                <c:ptCount val="1"/>
                <c:pt idx="0">
                  <c:v>$ to FG / Direct Team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Team'!$J$66:$J$88</c:f>
              <c:numCache>
                <c:formatCode>_-"$"* #,##0_-;\-"$"* #,##0_-;_-"$"* "-"??_-;_-@_-</c:formatCode>
                <c:ptCount val="23"/>
                <c:pt idx="0">
                  <c:v>179056.26855263158</c:v>
                </c:pt>
                <c:pt idx="1">
                  <c:v>205164.69281632651</c:v>
                </c:pt>
                <c:pt idx="2">
                  <c:v>178521.92381679392</c:v>
                </c:pt>
                <c:pt idx="3">
                  <c:v>177257.52397590363</c:v>
                </c:pt>
                <c:pt idx="4">
                  <c:v>167419.21979757087</c:v>
                </c:pt>
                <c:pt idx="5">
                  <c:v>204954.44358974361</c:v>
                </c:pt>
                <c:pt idx="6">
                  <c:v>195749.59691629955</c:v>
                </c:pt>
                <c:pt idx="7">
                  <c:v>214278.09807106596</c:v>
                </c:pt>
                <c:pt idx="8">
                  <c:v>217775.86243902441</c:v>
                </c:pt>
                <c:pt idx="9">
                  <c:v>227067.71713147408</c:v>
                </c:pt>
                <c:pt idx="10">
                  <c:v>184637.72932330827</c:v>
                </c:pt>
                <c:pt idx="11">
                  <c:v>180822.75903614459</c:v>
                </c:pt>
                <c:pt idx="12">
                  <c:v>180613.85496183208</c:v>
                </c:pt>
                <c:pt idx="13">
                  <c:v>342638.75510204083</c:v>
                </c:pt>
                <c:pt idx="14">
                  <c:v>354458.46486486489</c:v>
                </c:pt>
                <c:pt idx="15">
                  <c:v>229841.26119402985</c:v>
                </c:pt>
                <c:pt idx="16">
                  <c:v>239139.1724137931</c:v>
                </c:pt>
                <c:pt idx="17">
                  <c:v>242497.04456824512</c:v>
                </c:pt>
                <c:pt idx="18">
                  <c:v>202499.4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EA-43EE-B1FA-6363DC024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850559"/>
        <c:axId val="513840159"/>
      </c:lineChart>
      <c:catAx>
        <c:axId val="513850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40159"/>
        <c:crosses val="autoZero"/>
        <c:auto val="1"/>
        <c:lblAlgn val="ctr"/>
        <c:lblOffset val="100"/>
        <c:noMultiLvlLbl val="0"/>
      </c:catAx>
      <c:valAx>
        <c:axId val="51384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5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Team'!$K$65</c:f>
              <c:strCache>
                <c:ptCount val="1"/>
                <c:pt idx="0">
                  <c:v>FG Units / EVS Team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Team'!$K$66:$K$88</c:f>
              <c:numCache>
                <c:formatCode>_-* #,##0_-;\-* #,##0_-;_-* "-"??_-;_-@_-</c:formatCode>
                <c:ptCount val="23"/>
                <c:pt idx="0">
                  <c:v>809.10335195530729</c:v>
                </c:pt>
                <c:pt idx="1">
                  <c:v>820.20799999999997</c:v>
                </c:pt>
                <c:pt idx="2">
                  <c:v>886.44245524296673</c:v>
                </c:pt>
                <c:pt idx="3">
                  <c:v>810.3984375</c:v>
                </c:pt>
                <c:pt idx="4">
                  <c:v>771.65552699228795</c:v>
                </c:pt>
                <c:pt idx="5">
                  <c:v>862.37404580152668</c:v>
                </c:pt>
                <c:pt idx="6">
                  <c:v>796.6894736842105</c:v>
                </c:pt>
                <c:pt idx="7">
                  <c:v>846.74590163934431</c:v>
                </c:pt>
                <c:pt idx="8">
                  <c:v>769.78512396694214</c:v>
                </c:pt>
                <c:pt idx="9">
                  <c:v>992.61194029850742</c:v>
                </c:pt>
                <c:pt idx="10">
                  <c:v>850.35391923990494</c:v>
                </c:pt>
                <c:pt idx="11">
                  <c:v>853.85467980295562</c:v>
                </c:pt>
                <c:pt idx="12">
                  <c:v>911.304347826087</c:v>
                </c:pt>
                <c:pt idx="13">
                  <c:v>1017.7019867549669</c:v>
                </c:pt>
                <c:pt idx="14">
                  <c:v>1050.3060109289618</c:v>
                </c:pt>
                <c:pt idx="15">
                  <c:v>815.34121621621614</c:v>
                </c:pt>
                <c:pt idx="16">
                  <c:v>951.67636363636359</c:v>
                </c:pt>
                <c:pt idx="17">
                  <c:v>846.47313691507793</c:v>
                </c:pt>
                <c:pt idx="18">
                  <c:v>628.45681381957775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E-4603-91CE-8AD7FBA72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464127"/>
        <c:axId val="554451231"/>
      </c:lineChart>
      <c:catAx>
        <c:axId val="55446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51231"/>
        <c:crosses val="autoZero"/>
        <c:auto val="1"/>
        <c:lblAlgn val="ctr"/>
        <c:lblOffset val="100"/>
        <c:noMultiLvlLbl val="0"/>
      </c:catAx>
      <c:valAx>
        <c:axId val="5544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6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Team'!$L$65</c:f>
              <c:strCache>
                <c:ptCount val="1"/>
                <c:pt idx="0">
                  <c:v>FG Units / Direct Team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Team'!$L$66:$L$88</c:f>
              <c:numCache>
                <c:formatCode>_-* #,##0_-;\-* #,##0_-;_-* "-"??_-;_-@_-</c:formatCode>
                <c:ptCount val="23"/>
                <c:pt idx="0">
                  <c:v>1270.4342105263158</c:v>
                </c:pt>
                <c:pt idx="1">
                  <c:v>1255.4204081632652</c:v>
                </c:pt>
                <c:pt idx="2">
                  <c:v>1322.8969465648856</c:v>
                </c:pt>
                <c:pt idx="3">
                  <c:v>1249.7710843373493</c:v>
                </c:pt>
                <c:pt idx="4">
                  <c:v>1215.2793522267207</c:v>
                </c:pt>
                <c:pt idx="5">
                  <c:v>1448.3461538461538</c:v>
                </c:pt>
                <c:pt idx="6">
                  <c:v>1333.6651982378853</c:v>
                </c:pt>
                <c:pt idx="7">
                  <c:v>1573.1421319796953</c:v>
                </c:pt>
                <c:pt idx="8">
                  <c:v>1363.0829268292684</c:v>
                </c:pt>
                <c:pt idx="9">
                  <c:v>1589.7609561752988</c:v>
                </c:pt>
                <c:pt idx="10">
                  <c:v>1345.8609022556391</c:v>
                </c:pt>
                <c:pt idx="11">
                  <c:v>1392.2289156626507</c:v>
                </c:pt>
                <c:pt idx="12">
                  <c:v>1440</c:v>
                </c:pt>
                <c:pt idx="13">
                  <c:v>1568.091836734694</c:v>
                </c:pt>
                <c:pt idx="14">
                  <c:v>1558.4270270270272</c:v>
                </c:pt>
                <c:pt idx="15">
                  <c:v>1200.7014925373135</c:v>
                </c:pt>
                <c:pt idx="16">
                  <c:v>1504.0862068965516</c:v>
                </c:pt>
                <c:pt idx="17">
                  <c:v>1360.4874651810585</c:v>
                </c:pt>
                <c:pt idx="18">
                  <c:v>1039.4476190476191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7-4D61-930C-B2C49CD1E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868559"/>
        <c:axId val="1050873551"/>
      </c:lineChart>
      <c:catAx>
        <c:axId val="105086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73551"/>
        <c:crosses val="autoZero"/>
        <c:auto val="1"/>
        <c:lblAlgn val="ctr"/>
        <c:lblOffset val="100"/>
        <c:noMultiLvlLbl val="0"/>
      </c:catAx>
      <c:valAx>
        <c:axId val="105087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6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Team'!$B$65</c:f>
              <c:strCache>
                <c:ptCount val="1"/>
                <c:pt idx="0">
                  <c:v>Expenses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Team'!$B$66:$B$88</c:f>
              <c:numCache>
                <c:formatCode>_-"$"* #,##0_-;\-"$"* #,##0_-;_-"$"* "-"??_-;_-@_-</c:formatCode>
                <c:ptCount val="23"/>
                <c:pt idx="0">
                  <c:v>2814756</c:v>
                </c:pt>
                <c:pt idx="1">
                  <c:v>3141109</c:v>
                </c:pt>
                <c:pt idx="2">
                  <c:v>3113884</c:v>
                </c:pt>
                <c:pt idx="3">
                  <c:v>2907342</c:v>
                </c:pt>
                <c:pt idx="4">
                  <c:v>3177670</c:v>
                </c:pt>
                <c:pt idx="5">
                  <c:v>3475265</c:v>
                </c:pt>
                <c:pt idx="6">
                  <c:v>3201846</c:v>
                </c:pt>
                <c:pt idx="7">
                  <c:v>3231590</c:v>
                </c:pt>
                <c:pt idx="8">
                  <c:v>3208499</c:v>
                </c:pt>
                <c:pt idx="9">
                  <c:v>3671766</c:v>
                </c:pt>
                <c:pt idx="10">
                  <c:v>3728767</c:v>
                </c:pt>
                <c:pt idx="11">
                  <c:v>3513893</c:v>
                </c:pt>
                <c:pt idx="12">
                  <c:v>3431621</c:v>
                </c:pt>
                <c:pt idx="13">
                  <c:v>4426220</c:v>
                </c:pt>
                <c:pt idx="14">
                  <c:v>4918990</c:v>
                </c:pt>
                <c:pt idx="15">
                  <c:v>4552688</c:v>
                </c:pt>
                <c:pt idx="16">
                  <c:v>4909768</c:v>
                </c:pt>
                <c:pt idx="17">
                  <c:v>5692814</c:v>
                </c:pt>
                <c:pt idx="18">
                  <c:v>5104372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D-4BB6-B4BD-B8AF022E3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278143"/>
        <c:axId val="509278559"/>
      </c:lineChart>
      <c:catAx>
        <c:axId val="50927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78559"/>
        <c:crosses val="autoZero"/>
        <c:auto val="1"/>
        <c:lblAlgn val="ctr"/>
        <c:lblOffset val="100"/>
        <c:noMultiLvlLbl val="0"/>
      </c:catAx>
      <c:valAx>
        <c:axId val="50927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7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Team'!$C$65</c:f>
              <c:strCache>
                <c:ptCount val="1"/>
                <c:pt idx="0">
                  <c:v>$ to Finished Goods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Team'!$C$66:$C$88</c:f>
              <c:numCache>
                <c:formatCode>_-"$"* #,##0_-;\-"$"* #,##0_-;_-"$"* "-"??_-;_-@_-</c:formatCode>
                <c:ptCount val="23"/>
                <c:pt idx="0">
                  <c:v>13608276.41</c:v>
                </c:pt>
                <c:pt idx="1">
                  <c:v>16755116.58</c:v>
                </c:pt>
                <c:pt idx="2">
                  <c:v>15590914.680000002</c:v>
                </c:pt>
                <c:pt idx="3">
                  <c:v>14712374.490000002</c:v>
                </c:pt>
                <c:pt idx="4">
                  <c:v>13784182.43</c:v>
                </c:pt>
                <c:pt idx="5">
                  <c:v>15986446.600000001</c:v>
                </c:pt>
                <c:pt idx="6">
                  <c:v>14811719.5</c:v>
                </c:pt>
                <c:pt idx="7">
                  <c:v>14070928.439999999</c:v>
                </c:pt>
                <c:pt idx="8">
                  <c:v>14881350.6</c:v>
                </c:pt>
                <c:pt idx="9">
                  <c:v>18997999</c:v>
                </c:pt>
                <c:pt idx="10">
                  <c:v>16371212</c:v>
                </c:pt>
                <c:pt idx="11">
                  <c:v>15008289</c:v>
                </c:pt>
                <c:pt idx="12">
                  <c:v>15773610</c:v>
                </c:pt>
                <c:pt idx="13">
                  <c:v>33578598</c:v>
                </c:pt>
                <c:pt idx="14">
                  <c:v>43716544</c:v>
                </c:pt>
                <c:pt idx="15">
                  <c:v>30798729</c:v>
                </c:pt>
                <c:pt idx="16">
                  <c:v>27740144</c:v>
                </c:pt>
                <c:pt idx="17">
                  <c:v>29018813</c:v>
                </c:pt>
                <c:pt idx="18">
                  <c:v>21262437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F-4EC7-8E55-67E4A382A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278143"/>
        <c:axId val="509278559"/>
      </c:lineChart>
      <c:catAx>
        <c:axId val="50927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78559"/>
        <c:crosses val="autoZero"/>
        <c:auto val="1"/>
        <c:lblAlgn val="ctr"/>
        <c:lblOffset val="100"/>
        <c:noMultiLvlLbl val="0"/>
      </c:catAx>
      <c:valAx>
        <c:axId val="50927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7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Team'!$D$65</c:f>
              <c:strCache>
                <c:ptCount val="1"/>
                <c:pt idx="0">
                  <c:v>FG Units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Team'!$D$66:$D$88</c:f>
              <c:numCache>
                <c:formatCode>_-* #,##0_-;\-* #,##0_-;_-* "-"??_-;_-@_-</c:formatCode>
                <c:ptCount val="23"/>
                <c:pt idx="0">
                  <c:v>96553</c:v>
                </c:pt>
                <c:pt idx="1">
                  <c:v>102526</c:v>
                </c:pt>
                <c:pt idx="2">
                  <c:v>115533</c:v>
                </c:pt>
                <c:pt idx="3">
                  <c:v>103731</c:v>
                </c:pt>
                <c:pt idx="4">
                  <c:v>100058</c:v>
                </c:pt>
                <c:pt idx="5">
                  <c:v>112971</c:v>
                </c:pt>
                <c:pt idx="6">
                  <c:v>100914</c:v>
                </c:pt>
                <c:pt idx="7">
                  <c:v>103303</c:v>
                </c:pt>
                <c:pt idx="8">
                  <c:v>93144</c:v>
                </c:pt>
                <c:pt idx="9">
                  <c:v>133010</c:v>
                </c:pt>
                <c:pt idx="10">
                  <c:v>119333</c:v>
                </c:pt>
                <c:pt idx="11">
                  <c:v>115555</c:v>
                </c:pt>
                <c:pt idx="12">
                  <c:v>125760</c:v>
                </c:pt>
                <c:pt idx="13">
                  <c:v>153673</c:v>
                </c:pt>
                <c:pt idx="14">
                  <c:v>192206</c:v>
                </c:pt>
                <c:pt idx="15">
                  <c:v>160894</c:v>
                </c:pt>
                <c:pt idx="16">
                  <c:v>174474</c:v>
                </c:pt>
                <c:pt idx="17">
                  <c:v>162805</c:v>
                </c:pt>
                <c:pt idx="18">
                  <c:v>109142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7-4E7C-B2C2-06D667A02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996287"/>
        <c:axId val="535981311"/>
      </c:lineChart>
      <c:catAx>
        <c:axId val="53599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81311"/>
        <c:crosses val="autoZero"/>
        <c:auto val="1"/>
        <c:lblAlgn val="ctr"/>
        <c:lblOffset val="100"/>
        <c:noMultiLvlLbl val="0"/>
      </c:catAx>
      <c:valAx>
        <c:axId val="53598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96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OPEX / FG</a:t>
            </a:r>
            <a:r>
              <a:rPr lang="en-NZ" baseline="0"/>
              <a:t> Units &amp; Recovery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Tracking of the Team'!$H$65</c:f>
              <c:strCache>
                <c:ptCount val="1"/>
                <c:pt idx="0">
                  <c:v>OPEX / FG Units</c:v>
                </c:pt>
              </c:strCache>
            </c:strRef>
          </c:tx>
          <c:spPr>
            <a:ln w="38100" cap="flat" cmpd="dbl" algn="ctr">
              <a:solidFill>
                <a:srgbClr val="FFC000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Team'!$H$66:$H$88</c:f>
              <c:numCache>
                <c:formatCode>_-"$"* #,##0.0_-;\-"$"* #,##0.0_-;_-"$"* "-"??_-;_-@_-</c:formatCode>
                <c:ptCount val="23"/>
                <c:pt idx="0">
                  <c:v>29.152444771265522</c:v>
                </c:pt>
                <c:pt idx="1">
                  <c:v>30.637194467744767</c:v>
                </c:pt>
                <c:pt idx="2">
                  <c:v>26.952333965187435</c:v>
                </c:pt>
                <c:pt idx="3">
                  <c:v>28.027706278740204</c:v>
                </c:pt>
                <c:pt idx="4">
                  <c:v>31.758280197485458</c:v>
                </c:pt>
                <c:pt idx="5">
                  <c:v>30.762452310770019</c:v>
                </c:pt>
                <c:pt idx="6">
                  <c:v>31.728461858612285</c:v>
                </c:pt>
                <c:pt idx="7">
                  <c:v>31.282634579828272</c:v>
                </c:pt>
                <c:pt idx="8">
                  <c:v>34.446652495061407</c:v>
                </c:pt>
                <c:pt idx="9">
                  <c:v>27.605187579881211</c:v>
                </c:pt>
                <c:pt idx="10">
                  <c:v>31.246738119380222</c:v>
                </c:pt>
                <c:pt idx="11">
                  <c:v>30.408835619402016</c:v>
                </c:pt>
                <c:pt idx="12">
                  <c:v>27.287062659033079</c:v>
                </c:pt>
                <c:pt idx="13">
                  <c:v>28.802847604979405</c:v>
                </c:pt>
                <c:pt idx="14">
                  <c:v>25.592281198297659</c:v>
                </c:pt>
                <c:pt idx="15">
                  <c:v>28.296195010379506</c:v>
                </c:pt>
                <c:pt idx="16">
                  <c:v>28.140399142565656</c:v>
                </c:pt>
                <c:pt idx="17">
                  <c:v>34.967071035901846</c:v>
                </c:pt>
                <c:pt idx="18">
                  <c:v>46.768173572043757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1-43F4-BF53-BA38A9A65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776575"/>
        <c:axId val="1062776991"/>
      </c:lineChart>
      <c:lineChart>
        <c:grouping val="standard"/>
        <c:varyColors val="0"/>
        <c:ser>
          <c:idx val="2"/>
          <c:order val="1"/>
          <c:tx>
            <c:strRef>
              <c:f>'Financial Tracking of the Team'!$R$65</c:f>
              <c:strCache>
                <c:ptCount val="1"/>
                <c:pt idx="0">
                  <c:v>Over / Under Recovery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Team'!$R$66:$R$84</c:f>
              <c:numCache>
                <c:formatCode>0.0%</c:formatCode>
                <c:ptCount val="19"/>
                <c:pt idx="0">
                  <c:v>-1.9894086734338606E-2</c:v>
                </c:pt>
                <c:pt idx="1">
                  <c:v>1.7894953661270589E-2</c:v>
                </c:pt>
                <c:pt idx="2">
                  <c:v>-4.5488232702310068E-2</c:v>
                </c:pt>
                <c:pt idx="3">
                  <c:v>-5.0704203358256109E-2</c:v>
                </c:pt>
                <c:pt idx="4">
                  <c:v>-0.16903926461841537</c:v>
                </c:pt>
                <c:pt idx="5">
                  <c:v>-8.3006044143396254E-2</c:v>
                </c:pt>
                <c:pt idx="6">
                  <c:v>-6.1303697929257057E-2</c:v>
                </c:pt>
                <c:pt idx="7">
                  <c:v>-0.1052809917099632</c:v>
                </c:pt>
                <c:pt idx="8">
                  <c:v>-3.7578319332497841E-2</c:v>
                </c:pt>
                <c:pt idx="9">
                  <c:v>0.10853932412904309</c:v>
                </c:pt>
                <c:pt idx="10">
                  <c:v>-7.5512897426951053E-2</c:v>
                </c:pt>
                <c:pt idx="11">
                  <c:v>-0.13496939149826134</c:v>
                </c:pt>
                <c:pt idx="12">
                  <c:v>-6.9194995601204207E-2</c:v>
                </c:pt>
                <c:pt idx="13">
                  <c:v>0.18593382163561684</c:v>
                </c:pt>
                <c:pt idx="14">
                  <c:v>1.4007956917985197E-2</c:v>
                </c:pt>
                <c:pt idx="15">
                  <c:v>-2.8126241025082325E-2</c:v>
                </c:pt>
                <c:pt idx="16">
                  <c:v>-0.12756794211050299</c:v>
                </c:pt>
                <c:pt idx="17">
                  <c:v>-0.2299404125973552</c:v>
                </c:pt>
                <c:pt idx="18">
                  <c:v>-0.28933118510954925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41-43F4-BF53-BA38A9A65BE2}"/>
            </c:ext>
          </c:extLst>
        </c:ser>
        <c:ser>
          <c:idx val="3"/>
          <c:order val="2"/>
          <c:spPr>
            <a:ln w="19050" cap="flat" cmpd="dbl" algn="ctr">
              <a:solidFill>
                <a:srgbClr val="FF0000"/>
              </a:solidFill>
              <a:prstDash val="sysDot"/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Team'!$O$66:$O$84</c:f>
              <c:numCache>
                <c:formatCode>0%</c:formatCode>
                <c:ptCount val="19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41-43F4-BF53-BA38A9A65BE2}"/>
            </c:ext>
          </c:extLst>
        </c:ser>
        <c:ser>
          <c:idx val="4"/>
          <c:order val="3"/>
          <c:spPr>
            <a:ln w="19050" cap="flat" cmpd="dbl" algn="ctr">
              <a:solidFill>
                <a:srgbClr val="FF0000"/>
              </a:solidFill>
              <a:prstDash val="sysDot"/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Team'!$P$66:$P$84</c:f>
              <c:numCache>
                <c:formatCode>0%</c:formatCode>
                <c:ptCount val="19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41-43F4-BF53-BA38A9A65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4567135"/>
        <c:axId val="1214542591"/>
      </c:lineChart>
      <c:catAx>
        <c:axId val="106277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76991"/>
        <c:crosses val="autoZero"/>
        <c:auto val="1"/>
        <c:lblAlgn val="ctr"/>
        <c:lblOffset val="100"/>
        <c:noMultiLvlLbl val="0"/>
      </c:catAx>
      <c:valAx>
        <c:axId val="1062776991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76575"/>
        <c:crosses val="autoZero"/>
        <c:crossBetween val="between"/>
      </c:valAx>
      <c:valAx>
        <c:axId val="1214542591"/>
        <c:scaling>
          <c:orientation val="minMax"/>
          <c:max val="0.25"/>
          <c:min val="-0.35000000000000003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567135"/>
        <c:crosses val="max"/>
        <c:crossBetween val="between"/>
      </c:valAx>
      <c:catAx>
        <c:axId val="12145671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45425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1.3139886640383543E-2"/>
          <c:y val="0.91087853601633129"/>
          <c:w val="0.97094608319591102"/>
          <c:h val="8.91214639836687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baseline="0"/>
              <a:t>Recovery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776575"/>
        <c:axId val="10627769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'Financial Tracking of the Team'!$H$65</c15:sqref>
                        </c15:formulaRef>
                      </c:ext>
                    </c:extLst>
                    <c:strCache>
                      <c:ptCount val="1"/>
                      <c:pt idx="0">
                        <c:v>OPEX / FG Units</c:v>
                      </c:pt>
                    </c:strCache>
                  </c:strRef>
                </c:tx>
                <c:spPr>
                  <a:ln w="38100" cap="flat" cmpd="dbl" algn="ctr">
                    <a:solidFill>
                      <a:srgbClr val="FFC000"/>
                    </a:solidFill>
                    <a:miter lim="800000"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'Financial Tracking of the Team'!$A$66:$A$88</c15:sqref>
                        </c15:formulaRef>
                      </c:ext>
                    </c:extLst>
                    <c:strCache>
                      <c:ptCount val="23"/>
                      <c:pt idx="0">
                        <c:v>2018 Q2</c:v>
                      </c:pt>
                      <c:pt idx="1">
                        <c:v>2018 Q3</c:v>
                      </c:pt>
                      <c:pt idx="2">
                        <c:v>2018 Q4</c:v>
                      </c:pt>
                      <c:pt idx="3">
                        <c:v>2019 Q1</c:v>
                      </c:pt>
                      <c:pt idx="4">
                        <c:v>2019 Q2</c:v>
                      </c:pt>
                      <c:pt idx="5">
                        <c:v>2019 Q3</c:v>
                      </c:pt>
                      <c:pt idx="6">
                        <c:v>2019 Q4</c:v>
                      </c:pt>
                      <c:pt idx="7">
                        <c:v>2020 Q1</c:v>
                      </c:pt>
                      <c:pt idx="8">
                        <c:v>2020 Q2</c:v>
                      </c:pt>
                      <c:pt idx="9">
                        <c:v>2020 Q3</c:v>
                      </c:pt>
                      <c:pt idx="10">
                        <c:v>2020 Q4</c:v>
                      </c:pt>
                      <c:pt idx="11">
                        <c:v>2021 Q1</c:v>
                      </c:pt>
                      <c:pt idx="12">
                        <c:v>2021 Q2</c:v>
                      </c:pt>
                      <c:pt idx="13">
                        <c:v>2021 Q3</c:v>
                      </c:pt>
                      <c:pt idx="14">
                        <c:v>2021 Q4</c:v>
                      </c:pt>
                      <c:pt idx="15">
                        <c:v>2022 Q1</c:v>
                      </c:pt>
                      <c:pt idx="16">
                        <c:v>2022 Q2</c:v>
                      </c:pt>
                      <c:pt idx="17">
                        <c:v>2022 Q3</c:v>
                      </c:pt>
                      <c:pt idx="18">
                        <c:v>2022 Q4</c:v>
                      </c:pt>
                      <c:pt idx="19">
                        <c:v>2023 Q1</c:v>
                      </c:pt>
                      <c:pt idx="20">
                        <c:v>2023 Q2</c:v>
                      </c:pt>
                      <c:pt idx="21">
                        <c:v>2023 Q3</c:v>
                      </c:pt>
                      <c:pt idx="22">
                        <c:v>2023 Q4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'Financial Tracking of the Team'!$H$66:$H$88</c15:sqref>
                        </c15:formulaRef>
                      </c:ext>
                    </c:extLst>
                    <c:numCache>
                      <c:formatCode>_-"$"* #,##0.0_-;\-"$"* #,##0.0_-;_-"$"* "-"??_-;_-@_-</c:formatCode>
                      <c:ptCount val="23"/>
                      <c:pt idx="0">
                        <c:v>29.152444771265522</c:v>
                      </c:pt>
                      <c:pt idx="1">
                        <c:v>30.637194467744767</c:v>
                      </c:pt>
                      <c:pt idx="2">
                        <c:v>26.952333965187435</c:v>
                      </c:pt>
                      <c:pt idx="3">
                        <c:v>28.027706278740204</c:v>
                      </c:pt>
                      <c:pt idx="4">
                        <c:v>31.758280197485458</c:v>
                      </c:pt>
                      <c:pt idx="5">
                        <c:v>30.762452310770019</c:v>
                      </c:pt>
                      <c:pt idx="6">
                        <c:v>31.728461858612285</c:v>
                      </c:pt>
                      <c:pt idx="7">
                        <c:v>31.282634579828272</c:v>
                      </c:pt>
                      <c:pt idx="8">
                        <c:v>34.446652495061407</c:v>
                      </c:pt>
                      <c:pt idx="9">
                        <c:v>27.605187579881211</c:v>
                      </c:pt>
                      <c:pt idx="10">
                        <c:v>31.246738119380222</c:v>
                      </c:pt>
                      <c:pt idx="11">
                        <c:v>30.408835619402016</c:v>
                      </c:pt>
                      <c:pt idx="12">
                        <c:v>27.287062659033079</c:v>
                      </c:pt>
                      <c:pt idx="13">
                        <c:v>28.802847604979405</c:v>
                      </c:pt>
                      <c:pt idx="14">
                        <c:v>25.592281198297659</c:v>
                      </c:pt>
                      <c:pt idx="15">
                        <c:v>28.296195010379506</c:v>
                      </c:pt>
                      <c:pt idx="16">
                        <c:v>28.140399142565656</c:v>
                      </c:pt>
                      <c:pt idx="17">
                        <c:v>34.967071035901846</c:v>
                      </c:pt>
                      <c:pt idx="18">
                        <c:v>46.768173572043757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29F-4906-8274-6AD698C4927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1"/>
          <c:tx>
            <c:strRef>
              <c:f>'Financial Tracking of the Team'!$R$65</c:f>
              <c:strCache>
                <c:ptCount val="1"/>
                <c:pt idx="0">
                  <c:v>Over / Under Recovery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Team'!$R$66:$R$88</c:f>
              <c:numCache>
                <c:formatCode>0.0%</c:formatCode>
                <c:ptCount val="23"/>
                <c:pt idx="0">
                  <c:v>-1.9894086734338606E-2</c:v>
                </c:pt>
                <c:pt idx="1">
                  <c:v>1.7894953661270589E-2</c:v>
                </c:pt>
                <c:pt idx="2">
                  <c:v>-4.5488232702310068E-2</c:v>
                </c:pt>
                <c:pt idx="3">
                  <c:v>-5.0704203358256109E-2</c:v>
                </c:pt>
                <c:pt idx="4">
                  <c:v>-0.16903926461841537</c:v>
                </c:pt>
                <c:pt idx="5">
                  <c:v>-8.3006044143396254E-2</c:v>
                </c:pt>
                <c:pt idx="6">
                  <c:v>-6.1303697929257057E-2</c:v>
                </c:pt>
                <c:pt idx="7">
                  <c:v>-0.1052809917099632</c:v>
                </c:pt>
                <c:pt idx="8">
                  <c:v>-3.7578319332497841E-2</c:v>
                </c:pt>
                <c:pt idx="9">
                  <c:v>0.10853932412904309</c:v>
                </c:pt>
                <c:pt idx="10">
                  <c:v>-7.5512897426951053E-2</c:v>
                </c:pt>
                <c:pt idx="11">
                  <c:v>-0.13496939149826134</c:v>
                </c:pt>
                <c:pt idx="12">
                  <c:v>-6.9194995601204207E-2</c:v>
                </c:pt>
                <c:pt idx="13">
                  <c:v>0.18593382163561684</c:v>
                </c:pt>
                <c:pt idx="14">
                  <c:v>1.4007956917985197E-2</c:v>
                </c:pt>
                <c:pt idx="15">
                  <c:v>-2.8126241025082325E-2</c:v>
                </c:pt>
                <c:pt idx="16">
                  <c:v>-0.12756794211050299</c:v>
                </c:pt>
                <c:pt idx="17">
                  <c:v>-0.2299404125973552</c:v>
                </c:pt>
                <c:pt idx="18">
                  <c:v>-0.28933118510954925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F-4906-8274-6AD698C49270}"/>
            </c:ext>
          </c:extLst>
        </c:ser>
        <c:ser>
          <c:idx val="3"/>
          <c:order val="2"/>
          <c:spPr>
            <a:ln w="19050" cap="flat" cmpd="dbl" algn="ctr">
              <a:solidFill>
                <a:srgbClr val="FF0000"/>
              </a:solidFill>
              <a:prstDash val="sysDot"/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Team'!$O$66:$O$84</c:f>
              <c:numCache>
                <c:formatCode>0%</c:formatCode>
                <c:ptCount val="19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F-4906-8274-6AD698C49270}"/>
            </c:ext>
          </c:extLst>
        </c:ser>
        <c:ser>
          <c:idx val="4"/>
          <c:order val="3"/>
          <c:spPr>
            <a:ln w="19050" cap="flat" cmpd="dbl" algn="ctr">
              <a:solidFill>
                <a:srgbClr val="FF0000"/>
              </a:solidFill>
              <a:prstDash val="sysDot"/>
              <a:miter lim="800000"/>
            </a:ln>
            <a:effectLst/>
          </c:spPr>
          <c:marker>
            <c:symbol val="none"/>
          </c:marker>
          <c:cat>
            <c:strRef>
              <c:f>'Financial Tracking of the Team'!$A$66:$A$88</c:f>
              <c:strCache>
                <c:ptCount val="23"/>
                <c:pt idx="0">
                  <c:v>2018 Q2</c:v>
                </c:pt>
                <c:pt idx="1">
                  <c:v>2018 Q3</c:v>
                </c:pt>
                <c:pt idx="2">
                  <c:v>2018 Q4</c:v>
                </c:pt>
                <c:pt idx="3">
                  <c:v>2019 Q1</c:v>
                </c:pt>
                <c:pt idx="4">
                  <c:v>2019 Q2</c:v>
                </c:pt>
                <c:pt idx="5">
                  <c:v>2019 Q3</c:v>
                </c:pt>
                <c:pt idx="6">
                  <c:v>2019 Q4</c:v>
                </c:pt>
                <c:pt idx="7">
                  <c:v>2020 Q1</c:v>
                </c:pt>
                <c:pt idx="8">
                  <c:v>2020 Q2</c:v>
                </c:pt>
                <c:pt idx="9">
                  <c:v>2020 Q3</c:v>
                </c:pt>
                <c:pt idx="10">
                  <c:v>2020 Q4</c:v>
                </c:pt>
                <c:pt idx="11">
                  <c:v>2021 Q1</c:v>
                </c:pt>
                <c:pt idx="12">
                  <c:v>2021 Q2</c:v>
                </c:pt>
                <c:pt idx="13">
                  <c:v>2021 Q3</c:v>
                </c:pt>
                <c:pt idx="14">
                  <c:v>2021 Q4</c:v>
                </c:pt>
                <c:pt idx="15">
                  <c:v>2022 Q1</c:v>
                </c:pt>
                <c:pt idx="16">
                  <c:v>2022 Q2</c:v>
                </c:pt>
                <c:pt idx="17">
                  <c:v>2022 Q3</c:v>
                </c:pt>
                <c:pt idx="18">
                  <c:v>2022 Q4</c:v>
                </c:pt>
                <c:pt idx="19">
                  <c:v>2023 Q1</c:v>
                </c:pt>
                <c:pt idx="20">
                  <c:v>2023 Q2</c:v>
                </c:pt>
                <c:pt idx="21">
                  <c:v>2023 Q3</c:v>
                </c:pt>
                <c:pt idx="22">
                  <c:v>2023 Q4</c:v>
                </c:pt>
              </c:strCache>
            </c:strRef>
          </c:cat>
          <c:val>
            <c:numRef>
              <c:f>'Financial Tracking of the Team'!$P$66:$P$84</c:f>
              <c:numCache>
                <c:formatCode>0%</c:formatCode>
                <c:ptCount val="19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9F-4906-8274-6AD698C49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4567135"/>
        <c:axId val="1214542591"/>
      </c:lineChart>
      <c:catAx>
        <c:axId val="106277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76991"/>
        <c:crosses val="autoZero"/>
        <c:auto val="1"/>
        <c:lblAlgn val="ctr"/>
        <c:lblOffset val="100"/>
        <c:noMultiLvlLbl val="0"/>
      </c:catAx>
      <c:valAx>
        <c:axId val="1062776991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76575"/>
        <c:crosses val="autoZero"/>
        <c:crossBetween val="between"/>
      </c:valAx>
      <c:valAx>
        <c:axId val="1214542591"/>
        <c:scaling>
          <c:orientation val="minMax"/>
          <c:max val="0.25"/>
          <c:min val="-0.35000000000000003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567135"/>
        <c:crosses val="max"/>
        <c:crossBetween val="between"/>
      </c:valAx>
      <c:catAx>
        <c:axId val="12145671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45425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1.3139886640383543E-2"/>
          <c:y val="0.91087853601633129"/>
          <c:w val="0.97094608319591102"/>
          <c:h val="8.91214639836687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'Group Totals'!$AT$3</c:f>
              <c:strCache>
                <c:ptCount val="1"/>
                <c:pt idx="0">
                  <c:v>Expenses / FG unit produced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Totals'!$A$81:$A$139</c:f>
              <c:numCache>
                <c:formatCode>mmm\-yy</c:formatCode>
                <c:ptCount val="59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</c:numCache>
            </c:numRef>
          </c:cat>
          <c:val>
            <c:numRef>
              <c:f>'Group Totals'!$AT$80:$AT$139</c:f>
              <c:numCache>
                <c:formatCode>_-"$"* #,##0_-;\-"$"* #,##0_-;_-"$"* "-"??_-;_-@_-</c:formatCode>
                <c:ptCount val="60"/>
                <c:pt idx="0">
                  <c:v>25.886982505604841</c:v>
                </c:pt>
                <c:pt idx="1">
                  <c:v>25.587431364267182</c:v>
                </c:pt>
                <c:pt idx="2">
                  <c:v>26.424698278327519</c:v>
                </c:pt>
                <c:pt idx="3">
                  <c:v>36.66077142153933</c:v>
                </c:pt>
                <c:pt idx="4">
                  <c:v>28.225888908036072</c:v>
                </c:pt>
                <c:pt idx="5">
                  <c:v>34.969156141314294</c:v>
                </c:pt>
                <c:pt idx="6">
                  <c:v>28.975694245634127</c:v>
                </c:pt>
                <c:pt idx="7">
                  <c:v>25.099049758928988</c:v>
                </c:pt>
                <c:pt idx="8">
                  <c:v>24.821588243105662</c:v>
                </c:pt>
                <c:pt idx="9">
                  <c:v>33.303638009049777</c:v>
                </c:pt>
                <c:pt idx="10">
                  <c:v>26.958081868276043</c:v>
                </c:pt>
                <c:pt idx="11">
                  <c:v>27.092435877344197</c:v>
                </c:pt>
                <c:pt idx="12">
                  <c:v>29.984924335612323</c:v>
                </c:pt>
                <c:pt idx="13">
                  <c:v>33.395410921870777</c:v>
                </c:pt>
                <c:pt idx="14">
                  <c:v>30.385203811540496</c:v>
                </c:pt>
                <c:pt idx="15">
                  <c:v>31.863183014134492</c:v>
                </c:pt>
                <c:pt idx="16">
                  <c:v>35.70119466696233</c:v>
                </c:pt>
                <c:pt idx="17">
                  <c:v>28.378007755322155</c:v>
                </c:pt>
                <c:pt idx="18">
                  <c:v>28.514346691961109</c:v>
                </c:pt>
                <c:pt idx="19">
                  <c:v>31.034893381334811</c:v>
                </c:pt>
                <c:pt idx="20">
                  <c:v>32.25091756481212</c:v>
                </c:pt>
                <c:pt idx="21">
                  <c:v>31.961737874909758</c:v>
                </c:pt>
                <c:pt idx="22">
                  <c:v>27.425685536523542</c:v>
                </c:pt>
                <c:pt idx="23">
                  <c:v>31.585451724549468</c:v>
                </c:pt>
                <c:pt idx="24">
                  <c:v>35.854441913439636</c:v>
                </c:pt>
                <c:pt idx="25">
                  <c:v>122.1057210965435</c:v>
                </c:pt>
                <c:pt idx="26">
                  <c:v>26.450069066384984</c:v>
                </c:pt>
                <c:pt idx="27">
                  <c:v>25.243430267806744</c:v>
                </c:pt>
                <c:pt idx="28">
                  <c:v>25.906861313868614</c:v>
                </c:pt>
                <c:pt idx="29">
                  <c:v>27.248886164871173</c:v>
                </c:pt>
                <c:pt idx="30">
                  <c:v>29.869532587537233</c:v>
                </c:pt>
                <c:pt idx="31">
                  <c:v>31.896546431312355</c:v>
                </c:pt>
                <c:pt idx="32">
                  <c:v>26.648036029146219</c:v>
                </c:pt>
                <c:pt idx="33">
                  <c:v>37.007175158275551</c:v>
                </c:pt>
                <c:pt idx="34">
                  <c:v>32.821775684216803</c:v>
                </c:pt>
                <c:pt idx="35">
                  <c:v>37.418474635494427</c:v>
                </c:pt>
                <c:pt idx="36">
                  <c:v>24.440235890129028</c:v>
                </c:pt>
                <c:pt idx="37">
                  <c:v>27.994454816507371</c:v>
                </c:pt>
                <c:pt idx="38">
                  <c:v>19.978860495177489</c:v>
                </c:pt>
                <c:pt idx="39">
                  <c:v>35.928741032636154</c:v>
                </c:pt>
                <c:pt idx="40">
                  <c:v>33.575675675675676</c:v>
                </c:pt>
                <c:pt idx="41">
                  <c:v>30.4814605520539</c:v>
                </c:pt>
                <c:pt idx="42">
                  <c:v>24.12171520880316</c:v>
                </c:pt>
                <c:pt idx="43">
                  <c:v>25.232773136454892</c:v>
                </c:pt>
                <c:pt idx="44">
                  <c:v>25.652650528349383</c:v>
                </c:pt>
                <c:pt idx="45">
                  <c:v>25.883347285723485</c:v>
                </c:pt>
                <c:pt idx="46">
                  <c:v>30.846803236518404</c:v>
                </c:pt>
                <c:pt idx="47">
                  <c:v>34.56049747048904</c:v>
                </c:pt>
                <c:pt idx="48">
                  <c:v>21.685449141748045</c:v>
                </c:pt>
                <c:pt idx="49">
                  <c:v>26.925701237176646</c:v>
                </c:pt>
                <c:pt idx="50">
                  <c:v>28.746293042867183</c:v>
                </c:pt>
                <c:pt idx="51">
                  <c:v>28.765372333197444</c:v>
                </c:pt>
                <c:pt idx="52">
                  <c:v>36.826384697042236</c:v>
                </c:pt>
                <c:pt idx="53">
                  <c:v>41.104898272703998</c:v>
                </c:pt>
                <c:pt idx="54">
                  <c:v>28.700948600540716</c:v>
                </c:pt>
                <c:pt idx="55">
                  <c:v>34.433382881442036</c:v>
                </c:pt>
                <c:pt idx="56">
                  <c:v>54.126814213423792</c:v>
                </c:pt>
                <c:pt idx="57">
                  <c:v>66.284687203554839</c:v>
                </c:pt>
                <c:pt idx="58">
                  <c:v>65.72169458354918</c:v>
                </c:pt>
                <c:pt idx="59">
                  <c:v>43.687319468515312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4B5-4DA8-B161-F5AF73356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524255"/>
        <c:axId val="1185522175"/>
      </c:lineChart>
      <c:lineChart>
        <c:grouping val="standard"/>
        <c:varyColors val="0"/>
        <c:ser>
          <c:idx val="9"/>
          <c:order val="0"/>
          <c:tx>
            <c:strRef>
              <c:f>'Group Totals'!$CY$3</c:f>
              <c:strCache>
                <c:ptCount val="1"/>
                <c:pt idx="0">
                  <c:v>Over/Under Recovery 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Totals'!$A$81:$A$139</c:f>
              <c:numCache>
                <c:formatCode>mmm\-yy</c:formatCode>
                <c:ptCount val="59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</c:numCache>
            </c:numRef>
          </c:cat>
          <c:val>
            <c:numRef>
              <c:f>'Group Totals'!$CY$81:$CY$139</c:f>
              <c:numCache>
                <c:formatCode>0%</c:formatCode>
                <c:ptCount val="59"/>
                <c:pt idx="0">
                  <c:v>5.52033023589793E-2</c:v>
                </c:pt>
                <c:pt idx="1">
                  <c:v>5.0000974061816805E-3</c:v>
                </c:pt>
                <c:pt idx="2">
                  <c:v>-0.10303941135681605</c:v>
                </c:pt>
                <c:pt idx="3">
                  <c:v>1.6995855587630393E-2</c:v>
                </c:pt>
                <c:pt idx="4">
                  <c:v>1.2673843305685883E-2</c:v>
                </c:pt>
                <c:pt idx="5">
                  <c:v>2.4680843495985094E-2</c:v>
                </c:pt>
                <c:pt idx="6">
                  <c:v>2.1046856437352046E-2</c:v>
                </c:pt>
                <c:pt idx="7">
                  <c:v>5.5142520345718538E-2</c:v>
                </c:pt>
                <c:pt idx="8">
                  <c:v>-0.24571074539164128</c:v>
                </c:pt>
                <c:pt idx="9">
                  <c:v>1.6710419054432268E-2</c:v>
                </c:pt>
                <c:pt idx="10">
                  <c:v>-9.8125466975041764E-2</c:v>
                </c:pt>
                <c:pt idx="11">
                  <c:v>-5.6638010729042509E-2</c:v>
                </c:pt>
                <c:pt idx="12">
                  <c:v>-0.27328869491832419</c:v>
                </c:pt>
                <c:pt idx="13">
                  <c:v>-9.7548418794149216E-2</c:v>
                </c:pt>
                <c:pt idx="14">
                  <c:v>-0.14891884625724927</c:v>
                </c:pt>
                <c:pt idx="15">
                  <c:v>-0.2574643320765968</c:v>
                </c:pt>
                <c:pt idx="16">
                  <c:v>7.9639443002602617E-2</c:v>
                </c:pt>
                <c:pt idx="17">
                  <c:v>-4.1455177161443535E-2</c:v>
                </c:pt>
                <c:pt idx="18">
                  <c:v>1.3563314802755855E-4</c:v>
                </c:pt>
                <c:pt idx="19">
                  <c:v>-1.0585508691497436E-3</c:v>
                </c:pt>
                <c:pt idx="20">
                  <c:v>-0.20047700107391975</c:v>
                </c:pt>
                <c:pt idx="21">
                  <c:v>-1.6932031946525483E-2</c:v>
                </c:pt>
                <c:pt idx="22">
                  <c:v>-2.9436491727894309E-2</c:v>
                </c:pt>
                <c:pt idx="23">
                  <c:v>-0.26404442883372492</c:v>
                </c:pt>
                <c:pt idx="24">
                  <c:v>-0.53897197274289943</c:v>
                </c:pt>
                <c:pt idx="25">
                  <c:v>0.32855637577913566</c:v>
                </c:pt>
                <c:pt idx="26">
                  <c:v>9.1706702201050261E-2</c:v>
                </c:pt>
                <c:pt idx="27">
                  <c:v>0.21729319918791479</c:v>
                </c:pt>
                <c:pt idx="28">
                  <c:v>5.3827021649328399E-2</c:v>
                </c:pt>
                <c:pt idx="29">
                  <c:v>5.2121258755644329E-2</c:v>
                </c:pt>
                <c:pt idx="30">
                  <c:v>-7.405224103250152E-2</c:v>
                </c:pt>
                <c:pt idx="31">
                  <c:v>4.9836456067149149E-2</c:v>
                </c:pt>
                <c:pt idx="32">
                  <c:v>-0.20509023012102368</c:v>
                </c:pt>
                <c:pt idx="33">
                  <c:v>-3.8904249946407843E-2</c:v>
                </c:pt>
                <c:pt idx="34">
                  <c:v>-0.15297490345687625</c:v>
                </c:pt>
                <c:pt idx="35">
                  <c:v>-0.20342927286654244</c:v>
                </c:pt>
                <c:pt idx="36">
                  <c:v>-3.2595853029502186E-2</c:v>
                </c:pt>
                <c:pt idx="37">
                  <c:v>9.3839864548090457E-2</c:v>
                </c:pt>
                <c:pt idx="38">
                  <c:v>-0.21020116750694451</c:v>
                </c:pt>
                <c:pt idx="39">
                  <c:v>-0.11671832916998215</c:v>
                </c:pt>
                <c:pt idx="40">
                  <c:v>0.20718213528876572</c:v>
                </c:pt>
                <c:pt idx="41">
                  <c:v>0.47032082760340077</c:v>
                </c:pt>
                <c:pt idx="42">
                  <c:v>0.12143522169400001</c:v>
                </c:pt>
                <c:pt idx="43">
                  <c:v>4.3574557137013192E-2</c:v>
                </c:pt>
                <c:pt idx="44">
                  <c:v>-0.12235829751767979</c:v>
                </c:pt>
                <c:pt idx="45">
                  <c:v>2.6373864636551003E-2</c:v>
                </c:pt>
                <c:pt idx="46">
                  <c:v>-0.1872531542745931</c:v>
                </c:pt>
                <c:pt idx="47">
                  <c:v>0.12227923407397467</c:v>
                </c:pt>
                <c:pt idx="48">
                  <c:v>-8.9027969930141615E-2</c:v>
                </c:pt>
                <c:pt idx="49">
                  <c:v>-0.11396379135321921</c:v>
                </c:pt>
                <c:pt idx="50">
                  <c:v>-0.17667104622152674</c:v>
                </c:pt>
                <c:pt idx="51">
                  <c:v>-0.23933813762893885</c:v>
                </c:pt>
                <c:pt idx="52">
                  <c:v>-0.24543523561596703</c:v>
                </c:pt>
                <c:pt idx="53">
                  <c:v>-0.20327898309053138</c:v>
                </c:pt>
                <c:pt idx="54">
                  <c:v>-0.24187568407311133</c:v>
                </c:pt>
                <c:pt idx="55">
                  <c:v>-0.2767709871707611</c:v>
                </c:pt>
                <c:pt idx="56">
                  <c:v>-0.37316287239683765</c:v>
                </c:pt>
                <c:pt idx="57">
                  <c:v>-0.49172128153948691</c:v>
                </c:pt>
                <c:pt idx="58">
                  <c:v>-0.23408878280676115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4B5-4DA8-B161-F5AF73356139}"/>
            </c:ext>
          </c:extLst>
        </c:ser>
        <c:ser>
          <c:idx val="1"/>
          <c:order val="2"/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'Group Totals'!$A$81:$A$139</c:f>
              <c:numCache>
                <c:formatCode>mmm\-yy</c:formatCode>
                <c:ptCount val="59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</c:numCache>
            </c:numRef>
          </c:cat>
          <c:val>
            <c:numRef>
              <c:f>'Group Totals'!$DA$81:$DA$139</c:f>
              <c:numCache>
                <c:formatCode>0%</c:formatCode>
                <c:ptCount val="59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B5-4DA8-B161-F5AF73356139}"/>
            </c:ext>
          </c:extLst>
        </c:ser>
        <c:ser>
          <c:idx val="2"/>
          <c:order val="3"/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'Group Totals'!$A$81:$A$139</c:f>
              <c:numCache>
                <c:formatCode>mmm\-yy</c:formatCode>
                <c:ptCount val="59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</c:numCache>
            </c:numRef>
          </c:cat>
          <c:val>
            <c:numRef>
              <c:f>'Group Totals'!$DB$81:$DB$139</c:f>
              <c:numCache>
                <c:formatCode>0%</c:formatCode>
                <c:ptCount val="59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-0.05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-0.05</c:v>
                </c:pt>
                <c:pt idx="39">
                  <c:v>-0.05</c:v>
                </c:pt>
                <c:pt idx="40">
                  <c:v>-0.05</c:v>
                </c:pt>
                <c:pt idx="41">
                  <c:v>-0.05</c:v>
                </c:pt>
                <c:pt idx="42">
                  <c:v>-0.05</c:v>
                </c:pt>
                <c:pt idx="43">
                  <c:v>-0.05</c:v>
                </c:pt>
                <c:pt idx="44">
                  <c:v>-0.05</c:v>
                </c:pt>
                <c:pt idx="45">
                  <c:v>-0.05</c:v>
                </c:pt>
                <c:pt idx="46">
                  <c:v>-0.05</c:v>
                </c:pt>
                <c:pt idx="47">
                  <c:v>-0.05</c:v>
                </c:pt>
                <c:pt idx="48">
                  <c:v>-0.05</c:v>
                </c:pt>
                <c:pt idx="49">
                  <c:v>-0.05</c:v>
                </c:pt>
                <c:pt idx="50">
                  <c:v>-0.05</c:v>
                </c:pt>
                <c:pt idx="51">
                  <c:v>-0.05</c:v>
                </c:pt>
                <c:pt idx="52">
                  <c:v>-0.05</c:v>
                </c:pt>
                <c:pt idx="53">
                  <c:v>-0.05</c:v>
                </c:pt>
                <c:pt idx="54">
                  <c:v>-0.05</c:v>
                </c:pt>
                <c:pt idx="55">
                  <c:v>-0.05</c:v>
                </c:pt>
                <c:pt idx="56">
                  <c:v>-0.05</c:v>
                </c:pt>
                <c:pt idx="57">
                  <c:v>-0.05</c:v>
                </c:pt>
                <c:pt idx="58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B5-4DA8-B161-F5AF73356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096895"/>
        <c:axId val="1688092735"/>
      </c:lineChart>
      <c:dateAx>
        <c:axId val="11855242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522175"/>
        <c:crosses val="autoZero"/>
        <c:auto val="1"/>
        <c:lblOffset val="100"/>
        <c:baseTimeUnit val="months"/>
      </c:dateAx>
      <c:valAx>
        <c:axId val="118552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524255"/>
        <c:crosses val="autoZero"/>
        <c:crossBetween val="between"/>
      </c:valAx>
      <c:valAx>
        <c:axId val="1688092735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96895"/>
        <c:crosses val="max"/>
        <c:crossBetween val="between"/>
      </c:valAx>
      <c:dateAx>
        <c:axId val="1688096895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688092735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3'!$C$109</c:f>
              <c:strCache>
                <c:ptCount val="1"/>
                <c:pt idx="0">
                  <c:v>Expenses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3'!$C$110:$C$182</c:f>
              <c:numCache>
                <c:formatCode>_-"$"* #,##0_-;\-"$"* #,##0_-;_-"$"* "-"??_-;_-@_-</c:formatCode>
                <c:ptCount val="73"/>
                <c:pt idx="0">
                  <c:v>848121</c:v>
                </c:pt>
                <c:pt idx="1">
                  <c:v>923966</c:v>
                </c:pt>
                <c:pt idx="2">
                  <c:v>1042669</c:v>
                </c:pt>
                <c:pt idx="3">
                  <c:v>982769</c:v>
                </c:pt>
                <c:pt idx="4">
                  <c:v>1146219</c:v>
                </c:pt>
                <c:pt idx="5">
                  <c:v>1012121</c:v>
                </c:pt>
                <c:pt idx="6">
                  <c:v>1072382</c:v>
                </c:pt>
                <c:pt idx="7">
                  <c:v>1121489</c:v>
                </c:pt>
                <c:pt idx="8">
                  <c:v>920013</c:v>
                </c:pt>
                <c:pt idx="9">
                  <c:v>821898</c:v>
                </c:pt>
                <c:pt idx="10">
                  <c:v>1037261</c:v>
                </c:pt>
                <c:pt idx="11">
                  <c:v>1048183</c:v>
                </c:pt>
                <c:pt idx="12">
                  <c:v>988237</c:v>
                </c:pt>
                <c:pt idx="13">
                  <c:v>1147953</c:v>
                </c:pt>
                <c:pt idx="14">
                  <c:v>1041480</c:v>
                </c:pt>
                <c:pt idx="15">
                  <c:v>1287992</c:v>
                </c:pt>
                <c:pt idx="16">
                  <c:v>1105068</c:v>
                </c:pt>
                <c:pt idx="17">
                  <c:v>1082205</c:v>
                </c:pt>
                <c:pt idx="18">
                  <c:v>1120670</c:v>
                </c:pt>
                <c:pt idx="19">
                  <c:v>1107174</c:v>
                </c:pt>
                <c:pt idx="20">
                  <c:v>974002</c:v>
                </c:pt>
                <c:pt idx="21">
                  <c:v>1071165</c:v>
                </c:pt>
                <c:pt idx="22">
                  <c:v>1058618</c:v>
                </c:pt>
                <c:pt idx="23">
                  <c:v>1101807</c:v>
                </c:pt>
                <c:pt idx="24">
                  <c:v>1024467</c:v>
                </c:pt>
                <c:pt idx="25">
                  <c:v>976563</c:v>
                </c:pt>
                <c:pt idx="26">
                  <c:v>1207469</c:v>
                </c:pt>
                <c:pt idx="27">
                  <c:v>1242234</c:v>
                </c:pt>
                <c:pt idx="28">
                  <c:v>1155925</c:v>
                </c:pt>
                <c:pt idx="29">
                  <c:v>1273607</c:v>
                </c:pt>
                <c:pt idx="30">
                  <c:v>1246836</c:v>
                </c:pt>
                <c:pt idx="31">
                  <c:v>1254403</c:v>
                </c:pt>
                <c:pt idx="32">
                  <c:v>1227528</c:v>
                </c:pt>
                <c:pt idx="33">
                  <c:v>1100908</c:v>
                </c:pt>
                <c:pt idx="34">
                  <c:v>1177971</c:v>
                </c:pt>
                <c:pt idx="35">
                  <c:v>1235014</c:v>
                </c:pt>
                <c:pt idx="36">
                  <c:v>1004637</c:v>
                </c:pt>
                <c:pt idx="37">
                  <c:v>1004637</c:v>
                </c:pt>
                <c:pt idx="38">
                  <c:v>1422347</c:v>
                </c:pt>
                <c:pt idx="39">
                  <c:v>1515606</c:v>
                </c:pt>
                <c:pt idx="40">
                  <c:v>1402452</c:v>
                </c:pt>
                <c:pt idx="41">
                  <c:v>1508162</c:v>
                </c:pt>
                <c:pt idx="42">
                  <c:v>1558477</c:v>
                </c:pt>
                <c:pt idx="43">
                  <c:v>1752743</c:v>
                </c:pt>
                <c:pt idx="44">
                  <c:v>1607770</c:v>
                </c:pt>
                <c:pt idx="45">
                  <c:v>1319071</c:v>
                </c:pt>
                <c:pt idx="46">
                  <c:v>1803505</c:v>
                </c:pt>
                <c:pt idx="47">
                  <c:v>1430112</c:v>
                </c:pt>
                <c:pt idx="48">
                  <c:v>1580054</c:v>
                </c:pt>
                <c:pt idx="49">
                  <c:v>1636239</c:v>
                </c:pt>
                <c:pt idx="50">
                  <c:v>1693475</c:v>
                </c:pt>
                <c:pt idx="51">
                  <c:v>1769250</c:v>
                </c:pt>
                <c:pt idx="52">
                  <c:v>2087019</c:v>
                </c:pt>
                <c:pt idx="53">
                  <c:v>1836545</c:v>
                </c:pt>
                <c:pt idx="54">
                  <c:v>1830031</c:v>
                </c:pt>
                <c:pt idx="55">
                  <c:v>1946725</c:v>
                </c:pt>
                <c:pt idx="56">
                  <c:v>1327616</c:v>
                </c:pt>
                <c:pt idx="57">
                  <c:v>1141783</c:v>
                </c:pt>
                <c:pt idx="58">
                  <c:v>1209964</c:v>
                </c:pt>
                <c:pt idx="59">
                  <c:v>988498</c:v>
                </c:pt>
                <c:pt idx="60">
                  <c:v>1283037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7-40EC-9B2A-522372AE6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468271"/>
        <c:axId val="2024469103"/>
      </c:lineChart>
      <c:dateAx>
        <c:axId val="2024468271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469103"/>
        <c:crosses val="autoZero"/>
        <c:auto val="1"/>
        <c:lblOffset val="100"/>
        <c:baseTimeUnit val="months"/>
      </c:dateAx>
      <c:valAx>
        <c:axId val="2024469103"/>
        <c:scaling>
          <c:orientation val="minMax"/>
          <c:min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46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Over / Under Recovery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3'!$E$109</c:f>
              <c:strCache>
                <c:ptCount val="1"/>
                <c:pt idx="0">
                  <c:v>Over/Under Recovery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3'!$E$110:$E$182</c:f>
              <c:numCache>
                <c:formatCode>0%</c:formatCode>
                <c:ptCount val="73"/>
                <c:pt idx="0">
                  <c:v>5.52033023589793E-2</c:v>
                </c:pt>
                <c:pt idx="1">
                  <c:v>5.0000974061816805E-3</c:v>
                </c:pt>
                <c:pt idx="2">
                  <c:v>-0.10303941135681605</c:v>
                </c:pt>
                <c:pt idx="3">
                  <c:v>1.6995855587630393E-2</c:v>
                </c:pt>
                <c:pt idx="4">
                  <c:v>1.2673843305685883E-2</c:v>
                </c:pt>
                <c:pt idx="5">
                  <c:v>2.4680843495985094E-2</c:v>
                </c:pt>
                <c:pt idx="6">
                  <c:v>2.1046856437352046E-2</c:v>
                </c:pt>
                <c:pt idx="7">
                  <c:v>5.5142520345718538E-2</c:v>
                </c:pt>
                <c:pt idx="8">
                  <c:v>-0.24571074539164128</c:v>
                </c:pt>
                <c:pt idx="9">
                  <c:v>1.6710419054432268E-2</c:v>
                </c:pt>
                <c:pt idx="10">
                  <c:v>-9.8125466975041764E-2</c:v>
                </c:pt>
                <c:pt idx="11">
                  <c:v>-5.6638010729042509E-2</c:v>
                </c:pt>
                <c:pt idx="12">
                  <c:v>-0.27328869491832419</c:v>
                </c:pt>
                <c:pt idx="13">
                  <c:v>-9.7548418794149216E-2</c:v>
                </c:pt>
                <c:pt idx="14">
                  <c:v>-0.14891884625724927</c:v>
                </c:pt>
                <c:pt idx="15">
                  <c:v>-0.2574643320765968</c:v>
                </c:pt>
                <c:pt idx="16">
                  <c:v>7.9639443002602617E-2</c:v>
                </c:pt>
                <c:pt idx="17">
                  <c:v>-4.1455177161443535E-2</c:v>
                </c:pt>
                <c:pt idx="18">
                  <c:v>1.3563314802755855E-4</c:v>
                </c:pt>
                <c:pt idx="19">
                  <c:v>-1.0585508691497436E-3</c:v>
                </c:pt>
                <c:pt idx="20">
                  <c:v>-0.20047700107391975</c:v>
                </c:pt>
                <c:pt idx="21">
                  <c:v>-1.6932031946525483E-2</c:v>
                </c:pt>
                <c:pt idx="22">
                  <c:v>-2.9436491727894309E-2</c:v>
                </c:pt>
                <c:pt idx="23">
                  <c:v>-0.26404442883372492</c:v>
                </c:pt>
                <c:pt idx="24">
                  <c:v>-0.53897197274289943</c:v>
                </c:pt>
                <c:pt idx="25">
                  <c:v>0.32855637577913566</c:v>
                </c:pt>
                <c:pt idx="26">
                  <c:v>9.1706702201050261E-2</c:v>
                </c:pt>
                <c:pt idx="27">
                  <c:v>0.21729319918791479</c:v>
                </c:pt>
                <c:pt idx="28">
                  <c:v>5.3827021649328399E-2</c:v>
                </c:pt>
                <c:pt idx="29">
                  <c:v>5.2121258755644329E-2</c:v>
                </c:pt>
                <c:pt idx="30">
                  <c:v>-7.405224103250152E-2</c:v>
                </c:pt>
                <c:pt idx="31">
                  <c:v>4.9836456067149149E-2</c:v>
                </c:pt>
                <c:pt idx="32">
                  <c:v>-0.20509023012102368</c:v>
                </c:pt>
                <c:pt idx="33">
                  <c:v>-3.8904249946407843E-2</c:v>
                </c:pt>
                <c:pt idx="34">
                  <c:v>-0.15297490345687625</c:v>
                </c:pt>
                <c:pt idx="35">
                  <c:v>-0.20342927286654244</c:v>
                </c:pt>
                <c:pt idx="36">
                  <c:v>-3.2595853029502186E-2</c:v>
                </c:pt>
                <c:pt idx="37">
                  <c:v>9.3839864548090457E-2</c:v>
                </c:pt>
                <c:pt idx="38">
                  <c:v>-0.21020116750694451</c:v>
                </c:pt>
                <c:pt idx="39">
                  <c:v>-0.11671832916998215</c:v>
                </c:pt>
                <c:pt idx="40">
                  <c:v>0.20718213528876572</c:v>
                </c:pt>
                <c:pt idx="41">
                  <c:v>0.47032082760340077</c:v>
                </c:pt>
                <c:pt idx="42">
                  <c:v>0.12143522169400001</c:v>
                </c:pt>
                <c:pt idx="43">
                  <c:v>4.3574557137013192E-2</c:v>
                </c:pt>
                <c:pt idx="44">
                  <c:v>-0.12235829751767979</c:v>
                </c:pt>
                <c:pt idx="45">
                  <c:v>2.6373864636551003E-2</c:v>
                </c:pt>
                <c:pt idx="46">
                  <c:v>-0.1872531542745931</c:v>
                </c:pt>
                <c:pt idx="47">
                  <c:v>0.12227923407397467</c:v>
                </c:pt>
                <c:pt idx="48">
                  <c:v>-8.9027969930141615E-2</c:v>
                </c:pt>
                <c:pt idx="49">
                  <c:v>-0.11396379135321921</c:v>
                </c:pt>
                <c:pt idx="50">
                  <c:v>-0.17667104622152674</c:v>
                </c:pt>
                <c:pt idx="51">
                  <c:v>-0.23933813762893885</c:v>
                </c:pt>
                <c:pt idx="52">
                  <c:v>-0.24543523561596703</c:v>
                </c:pt>
                <c:pt idx="53">
                  <c:v>-0.20327898309053138</c:v>
                </c:pt>
                <c:pt idx="54">
                  <c:v>-0.24187568407311133</c:v>
                </c:pt>
                <c:pt idx="55">
                  <c:v>-0.2767709871707611</c:v>
                </c:pt>
                <c:pt idx="56">
                  <c:v>-0.37316287239683765</c:v>
                </c:pt>
                <c:pt idx="57">
                  <c:v>-0.49172128153948691</c:v>
                </c:pt>
                <c:pt idx="58">
                  <c:v>-0.23408878280676115</c:v>
                </c:pt>
                <c:pt idx="59">
                  <c:v>2.5390036196330179E-2</c:v>
                </c:pt>
                <c:pt idx="60">
                  <c:v>-0.37765473637938729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A-4B9F-8FF1-649E4266A997}"/>
            </c:ext>
          </c:extLst>
        </c:ser>
        <c:ser>
          <c:idx val="1"/>
          <c:order val="1"/>
          <c:tx>
            <c:strRef>
              <c:f>'Dashboard 3'!$F$109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3'!$F$110:$F$182</c:f>
              <c:numCache>
                <c:formatCode>0%</c:formatCode>
                <c:ptCount val="7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A-4B9F-8FF1-649E4266A997}"/>
            </c:ext>
          </c:extLst>
        </c:ser>
        <c:ser>
          <c:idx val="2"/>
          <c:order val="2"/>
          <c:tx>
            <c:strRef>
              <c:f>'Dashboard 3'!$G$109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3'!$G$110:$G$182</c:f>
              <c:numCache>
                <c:formatCode>0%</c:formatCode>
                <c:ptCount val="73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-0.05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-0.05</c:v>
                </c:pt>
                <c:pt idx="39">
                  <c:v>-0.05</c:v>
                </c:pt>
                <c:pt idx="40">
                  <c:v>-0.05</c:v>
                </c:pt>
                <c:pt idx="41">
                  <c:v>-0.05</c:v>
                </c:pt>
                <c:pt idx="42">
                  <c:v>-0.05</c:v>
                </c:pt>
                <c:pt idx="43">
                  <c:v>-0.05</c:v>
                </c:pt>
                <c:pt idx="44">
                  <c:v>-0.05</c:v>
                </c:pt>
                <c:pt idx="45">
                  <c:v>-0.05</c:v>
                </c:pt>
                <c:pt idx="46">
                  <c:v>-0.05</c:v>
                </c:pt>
                <c:pt idx="47">
                  <c:v>-0.05</c:v>
                </c:pt>
                <c:pt idx="48">
                  <c:v>-0.05</c:v>
                </c:pt>
                <c:pt idx="49">
                  <c:v>-0.05</c:v>
                </c:pt>
                <c:pt idx="50">
                  <c:v>-0.05</c:v>
                </c:pt>
                <c:pt idx="51">
                  <c:v>-0.05</c:v>
                </c:pt>
                <c:pt idx="52">
                  <c:v>-0.05</c:v>
                </c:pt>
                <c:pt idx="53">
                  <c:v>-0.05</c:v>
                </c:pt>
                <c:pt idx="54">
                  <c:v>-0.05</c:v>
                </c:pt>
                <c:pt idx="55">
                  <c:v>-0.05</c:v>
                </c:pt>
                <c:pt idx="56">
                  <c:v>-0.05</c:v>
                </c:pt>
                <c:pt idx="57">
                  <c:v>-0.05</c:v>
                </c:pt>
                <c:pt idx="58">
                  <c:v>-0.05</c:v>
                </c:pt>
                <c:pt idx="59">
                  <c:v>-0.05</c:v>
                </c:pt>
                <c:pt idx="60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AA-4B9F-8FF1-649E4266A997}"/>
            </c:ext>
          </c:extLst>
        </c:ser>
        <c:ser>
          <c:idx val="3"/>
          <c:order val="3"/>
          <c:tx>
            <c:strRef>
              <c:f>'Dashboard 3'!$D$109</c:f>
              <c:strCache>
                <c:ptCount val="1"/>
                <c:pt idx="0">
                  <c:v>Rolling 3 Month Over / Under Recovery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3'!$D$110:$D$182</c:f>
              <c:numCache>
                <c:formatCode>0%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-1.9894086734338567E-2</c:v>
                </c:pt>
                <c:pt idx="3">
                  <c:v>-2.9196773314201785E-2</c:v>
                </c:pt>
                <c:pt idx="4">
                  <c:v>-2.4027188311977032E-2</c:v>
                </c:pt>
                <c:pt idx="5">
                  <c:v>1.7894953661270696E-2</c:v>
                </c:pt>
                <c:pt idx="6">
                  <c:v>1.9214673995472387E-2</c:v>
                </c:pt>
                <c:pt idx="7">
                  <c:v>3.4121108224848928E-2</c:v>
                </c:pt>
                <c:pt idx="8">
                  <c:v>-4.5488232702310061E-2</c:v>
                </c:pt>
                <c:pt idx="9">
                  <c:v>-5.2553289795348457E-2</c:v>
                </c:pt>
                <c:pt idx="10">
                  <c:v>-0.11302090694638511</c:v>
                </c:pt>
                <c:pt idx="11">
                  <c:v>-5.0704203358256095E-2</c:v>
                </c:pt>
                <c:pt idx="12">
                  <c:v>-0.14029520955492736</c:v>
                </c:pt>
                <c:pt idx="13">
                  <c:v>-0.13862132356982049</c:v>
                </c:pt>
                <c:pt idx="14">
                  <c:v>-0.16903926461841534</c:v>
                </c:pt>
                <c:pt idx="15">
                  <c:v>-0.17216446077197922</c:v>
                </c:pt>
                <c:pt idx="16">
                  <c:v>-0.11608570580048561</c:v>
                </c:pt>
                <c:pt idx="17">
                  <c:v>-8.3006044143396296E-2</c:v>
                </c:pt>
                <c:pt idx="18">
                  <c:v>1.3088496385820436E-2</c:v>
                </c:pt>
                <c:pt idx="19">
                  <c:v>-1.3861728330909928E-2</c:v>
                </c:pt>
                <c:pt idx="20">
                  <c:v>-6.1303697929257051E-2</c:v>
                </c:pt>
                <c:pt idx="21">
                  <c:v>-6.8068143643089329E-2</c:v>
                </c:pt>
                <c:pt idx="22">
                  <c:v>-7.8795406253976963E-2</c:v>
                </c:pt>
                <c:pt idx="23">
                  <c:v>-0.10528099170996319</c:v>
                </c:pt>
                <c:pt idx="24">
                  <c:v>-0.27449816194709276</c:v>
                </c:pt>
                <c:pt idx="25">
                  <c:v>-0.16830693974578748</c:v>
                </c:pt>
                <c:pt idx="26">
                  <c:v>-3.7578319332497889E-2</c:v>
                </c:pt>
                <c:pt idx="27">
                  <c:v>0.20474709202379504</c:v>
                </c:pt>
                <c:pt idx="28">
                  <c:v>0.12283075236824215</c:v>
                </c:pt>
                <c:pt idx="29">
                  <c:v>0.1085393241290431</c:v>
                </c:pt>
                <c:pt idx="30">
                  <c:v>9.8659873005095822E-3</c:v>
                </c:pt>
                <c:pt idx="31">
                  <c:v>9.6867527840871492E-3</c:v>
                </c:pt>
                <c:pt idx="32">
                  <c:v>-7.5512897426951109E-2</c:v>
                </c:pt>
                <c:pt idx="33">
                  <c:v>-6.47723774358826E-2</c:v>
                </c:pt>
                <c:pt idx="34">
                  <c:v>-0.13540470344714695</c:v>
                </c:pt>
                <c:pt idx="35">
                  <c:v>-0.13496939149826137</c:v>
                </c:pt>
                <c:pt idx="36">
                  <c:v>-0.13582104750027946</c:v>
                </c:pt>
                <c:pt idx="37">
                  <c:v>-5.8475079894263371E-2</c:v>
                </c:pt>
                <c:pt idx="38">
                  <c:v>-6.9194995601204234E-2</c:v>
                </c:pt>
                <c:pt idx="39">
                  <c:v>-9.6789927433489131E-2</c:v>
                </c:pt>
                <c:pt idx="40">
                  <c:v>-4.2695324514647859E-2</c:v>
                </c:pt>
                <c:pt idx="41">
                  <c:v>0.18593382163561678</c:v>
                </c:pt>
                <c:pt idx="42">
                  <c:v>0.26608028344018941</c:v>
                </c:pt>
                <c:pt idx="43">
                  <c:v>0.2022975144945971</c:v>
                </c:pt>
                <c:pt idx="44">
                  <c:v>1.4007956917985176E-2</c:v>
                </c:pt>
                <c:pt idx="45">
                  <c:v>-1.8283676497739987E-2</c:v>
                </c:pt>
                <c:pt idx="46">
                  <c:v>-0.10562588867706502</c:v>
                </c:pt>
                <c:pt idx="47">
                  <c:v>-2.8126241025082321E-2</c:v>
                </c:pt>
                <c:pt idx="48">
                  <c:v>-6.3051255476329837E-2</c:v>
                </c:pt>
                <c:pt idx="49">
                  <c:v>-3.2771142420860877E-2</c:v>
                </c:pt>
                <c:pt idx="50">
                  <c:v>-0.12756794211050293</c:v>
                </c:pt>
                <c:pt idx="51">
                  <c:v>-0.17829288459381165</c:v>
                </c:pt>
                <c:pt idx="52">
                  <c:v>-0.22250846165156446</c:v>
                </c:pt>
                <c:pt idx="53">
                  <c:v>-0.2299404125973552</c:v>
                </c:pt>
                <c:pt idx="54">
                  <c:v>-0.23084680100007038</c:v>
                </c:pt>
                <c:pt idx="55">
                  <c:v>-0.24134960872399325</c:v>
                </c:pt>
                <c:pt idx="56">
                  <c:v>-0.28933118510954925</c:v>
                </c:pt>
                <c:pt idx="57">
                  <c:v>-0.36132431969754475</c:v>
                </c:pt>
                <c:pt idx="58">
                  <c:v>-0.36421929556828181</c:v>
                </c:pt>
                <c:pt idx="59">
                  <c:v>-0.24536523518484421</c:v>
                </c:pt>
                <c:pt idx="60">
                  <c:v>-0.21332362870131516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6-4649-8DAD-95859D25E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Expenses as a % of $ to FG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3'!$H$109</c:f>
              <c:strCache>
                <c:ptCount val="1"/>
                <c:pt idx="0">
                  <c:v>Expense / Transfer to FG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3'!$H$110:$H$182</c:f>
              <c:numCache>
                <c:formatCode>0%</c:formatCode>
                <c:ptCount val="73"/>
                <c:pt idx="0">
                  <c:v>0.19827026950399068</c:v>
                </c:pt>
                <c:pt idx="1">
                  <c:v>0.19932896369038625</c:v>
                </c:pt>
                <c:pt idx="2">
                  <c:v>0.22206684771634014</c:v>
                </c:pt>
                <c:pt idx="3">
                  <c:v>0.18996509435921666</c:v>
                </c:pt>
                <c:pt idx="4">
                  <c:v>0.19001175866834499</c:v>
                </c:pt>
                <c:pt idx="5">
                  <c:v>0.18238585036069913</c:v>
                </c:pt>
                <c:pt idx="6">
                  <c:v>0.18910627839079719</c:v>
                </c:pt>
                <c:pt idx="7">
                  <c:v>0.17349877106977404</c:v>
                </c:pt>
                <c:pt idx="8">
                  <c:v>0.26619473245045677</c:v>
                </c:pt>
                <c:pt idx="9">
                  <c:v>0.18633086210339814</c:v>
                </c:pt>
                <c:pt idx="10">
                  <c:v>0.21793759619303141</c:v>
                </c:pt>
                <c:pt idx="11">
                  <c:v>0.18913531600521877</c:v>
                </c:pt>
                <c:pt idx="12">
                  <c:v>0.26619807216402641</c:v>
                </c:pt>
                <c:pt idx="13">
                  <c:v>0.2061889785743691</c:v>
                </c:pt>
                <c:pt idx="14">
                  <c:v>0.23121956092265003</c:v>
                </c:pt>
                <c:pt idx="15">
                  <c:v>0.25692656119357554</c:v>
                </c:pt>
                <c:pt idx="16">
                  <c:v>0.20055165079304868</c:v>
                </c:pt>
                <c:pt idx="17">
                  <c:v>0.19808884356706724</c:v>
                </c:pt>
                <c:pt idx="18">
                  <c:v>0.20395006360029141</c:v>
                </c:pt>
                <c:pt idx="19">
                  <c:v>0.20187975507435685</c:v>
                </c:pt>
                <c:pt idx="20">
                  <c:v>0.25413808621441009</c:v>
                </c:pt>
                <c:pt idx="21">
                  <c:v>0.20523853215702573</c:v>
                </c:pt>
                <c:pt idx="22">
                  <c:v>0.21179179526374056</c:v>
                </c:pt>
                <c:pt idx="23">
                  <c:v>0.28592993110710258</c:v>
                </c:pt>
                <c:pt idx="24">
                  <c:v>0.44317548887983893</c:v>
                </c:pt>
                <c:pt idx="25">
                  <c:v>0.1590816897899181</c:v>
                </c:pt>
                <c:pt idx="26">
                  <c:v>0.18775909865854926</c:v>
                </c:pt>
                <c:pt idx="27">
                  <c:v>0.1667142871521988</c:v>
                </c:pt>
                <c:pt idx="28">
                  <c:v>0.20561639559176806</c:v>
                </c:pt>
                <c:pt idx="29">
                  <c:v>0.2149558925962313</c:v>
                </c:pt>
                <c:pt idx="30">
                  <c:v>0.22073484452433881</c:v>
                </c:pt>
                <c:pt idx="31">
                  <c:v>0.20382429620747003</c:v>
                </c:pt>
                <c:pt idx="32">
                  <c:v>0.26870517486999562</c:v>
                </c:pt>
                <c:pt idx="33">
                  <c:v>0.22745403329742522</c:v>
                </c:pt>
                <c:pt idx="34">
                  <c:v>0.25607269165328123</c:v>
                </c:pt>
                <c:pt idx="35">
                  <c:v>0.22180519725891396</c:v>
                </c:pt>
                <c:pt idx="36">
                  <c:v>0.20739098904270267</c:v>
                </c:pt>
                <c:pt idx="37">
                  <c:v>0.18384052613857618</c:v>
                </c:pt>
                <c:pt idx="38">
                  <c:v>0.26027806360105116</c:v>
                </c:pt>
                <c:pt idx="39">
                  <c:v>0.21692510030742385</c:v>
                </c:pt>
                <c:pt idx="40">
                  <c:v>0.1382627881435971</c:v>
                </c:pt>
                <c:pt idx="41">
                  <c:v>9.1690236774328901E-2</c:v>
                </c:pt>
                <c:pt idx="42">
                  <c:v>9.0994404564349027E-2</c:v>
                </c:pt>
                <c:pt idx="43">
                  <c:v>0.11408829242129162</c:v>
                </c:pt>
                <c:pt idx="44">
                  <c:v>0.14321421159007441</c:v>
                </c:pt>
                <c:pt idx="45">
                  <c:v>0.13552400531093997</c:v>
                </c:pt>
                <c:pt idx="46">
                  <c:v>0.17330096341039208</c:v>
                </c:pt>
                <c:pt idx="47">
                  <c:v>0.1341715490027425</c:v>
                </c:pt>
                <c:pt idx="48">
                  <c:v>0.17614302324674008</c:v>
                </c:pt>
                <c:pt idx="49">
                  <c:v>0.17343416908760664</c:v>
                </c:pt>
                <c:pt idx="50">
                  <c:v>0.18140160004250441</c:v>
                </c:pt>
                <c:pt idx="51">
                  <c:v>0.20551811939740242</c:v>
                </c:pt>
                <c:pt idx="52">
                  <c:v>0.20176780633019217</c:v>
                </c:pt>
                <c:pt idx="53">
                  <c:v>0.18244278797935631</c:v>
                </c:pt>
                <c:pt idx="54">
                  <c:v>0.18808620492251288</c:v>
                </c:pt>
                <c:pt idx="55">
                  <c:v>0.26207827136916134</c:v>
                </c:pt>
                <c:pt idx="56">
                  <c:v>0.32344100439938783</c:v>
                </c:pt>
                <c:pt idx="57">
                  <c:v>0.39042150284083915</c:v>
                </c:pt>
                <c:pt idx="58">
                  <c:v>0.27238239483925808</c:v>
                </c:pt>
                <c:pt idx="59">
                  <c:v>0.19295130004739369</c:v>
                </c:pt>
                <c:pt idx="60">
                  <c:v>0.30528118846370184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9-4DE8-81E5-CBBAFDDF96C2}"/>
            </c:ext>
          </c:extLst>
        </c:ser>
        <c:ser>
          <c:idx val="1"/>
          <c:order val="1"/>
          <c:tx>
            <c:strRef>
              <c:f>'Dashboard 3'!$I$109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3'!$I$110:$I$182</c:f>
              <c:numCache>
                <c:formatCode>0%</c:formatCode>
                <c:ptCount val="73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9-4DE8-81E5-CBBAFDDF96C2}"/>
            </c:ext>
          </c:extLst>
        </c:ser>
        <c:ser>
          <c:idx val="2"/>
          <c:order val="2"/>
          <c:tx>
            <c:strRef>
              <c:f>'Dashboard 3'!$CN$109</c:f>
              <c:strCache>
                <c:ptCount val="1"/>
                <c:pt idx="0">
                  <c:v>Rolling 3 Month OPEX / FG $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3'!$CN$110:$CN$182</c:f>
              <c:numCache>
                <c:formatCode>0%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0.20500246212134604</c:v>
                </c:pt>
                <c:pt idx="3">
                  <c:v>0.19406629939300493</c:v>
                </c:pt>
                <c:pt idx="4">
                  <c:v>0.18548461902044219</c:v>
                </c:pt>
                <c:pt idx="5">
                  <c:v>0.18929483330398886</c:v>
                </c:pt>
                <c:pt idx="6">
                  <c:v>0.18206701792085955</c:v>
                </c:pt>
                <c:pt idx="7">
                  <c:v>0.18269089391054488</c:v>
                </c:pt>
                <c:pt idx="8">
                  <c:v>0.2056320662258925</c:v>
                </c:pt>
                <c:pt idx="9">
                  <c:v>0.21728180764544011</c:v>
                </c:pt>
                <c:pt idx="10">
                  <c:v>0.22677583444458693</c:v>
                </c:pt>
                <c:pt idx="11">
                  <c:v>0.1889003030672583</c:v>
                </c:pt>
                <c:pt idx="12">
                  <c:v>0.20746239155894683</c:v>
                </c:pt>
                <c:pt idx="13">
                  <c:v>0.20737476336498736</c:v>
                </c:pt>
                <c:pt idx="14">
                  <c:v>0.23101645789811273</c:v>
                </c:pt>
                <c:pt idx="15">
                  <c:v>0.21065314716383238</c:v>
                </c:pt>
                <c:pt idx="16">
                  <c:v>0.23140399471533077</c:v>
                </c:pt>
                <c:pt idx="17">
                  <c:v>0.21484073890441668</c:v>
                </c:pt>
                <c:pt idx="18">
                  <c:v>0.21102886310292446</c:v>
                </c:pt>
                <c:pt idx="19">
                  <c:v>0.20118395317754231</c:v>
                </c:pt>
                <c:pt idx="20">
                  <c:v>0.22347499896956596</c:v>
                </c:pt>
                <c:pt idx="21">
                  <c:v>0.22026984029912705</c:v>
                </c:pt>
                <c:pt idx="22">
                  <c:v>0.22436459290439231</c:v>
                </c:pt>
                <c:pt idx="23">
                  <c:v>0.22058139327727261</c:v>
                </c:pt>
                <c:pt idx="24">
                  <c:v>0.28947932526635789</c:v>
                </c:pt>
                <c:pt idx="25">
                  <c:v>0.25885394426366182</c:v>
                </c:pt>
                <c:pt idx="26">
                  <c:v>0.20850506673769248</c:v>
                </c:pt>
                <c:pt idx="27">
                  <c:v>0.1602568826776313</c:v>
                </c:pt>
                <c:pt idx="28">
                  <c:v>0.17567011201509763</c:v>
                </c:pt>
                <c:pt idx="29">
                  <c:v>0.1897898826081631</c:v>
                </c:pt>
                <c:pt idx="30">
                  <c:v>0.21353320353424626</c:v>
                </c:pt>
                <c:pt idx="31">
                  <c:v>0.20737783940577642</c:v>
                </c:pt>
                <c:pt idx="32">
                  <c:v>0.23057828583491558</c:v>
                </c:pt>
                <c:pt idx="33">
                  <c:v>0.23959522134128119</c:v>
                </c:pt>
                <c:pt idx="34">
                  <c:v>0.25576023559838484</c:v>
                </c:pt>
                <c:pt idx="35">
                  <c:v>0.2336313619760387</c:v>
                </c:pt>
                <c:pt idx="36">
                  <c:v>0.23406722370233948</c:v>
                </c:pt>
                <c:pt idx="37">
                  <c:v>0.2152574989287897</c:v>
                </c:pt>
                <c:pt idx="38">
                  <c:v>0.20567821823919827</c:v>
                </c:pt>
                <c:pt idx="39">
                  <c:v>0.19153719547413259</c:v>
                </c:pt>
                <c:pt idx="40">
                  <c:v>0.17449047730830253</c:v>
                </c:pt>
                <c:pt idx="41">
                  <c:v>0.12926105491360895</c:v>
                </c:pt>
                <c:pt idx="42">
                  <c:v>0.10124247807034749</c:v>
                </c:pt>
                <c:pt idx="43">
                  <c:v>9.1320254961614097E-2</c:v>
                </c:pt>
                <c:pt idx="44">
                  <c:v>0.11024160555784099</c:v>
                </c:pt>
                <c:pt idx="45">
                  <c:v>0.13542547348148271</c:v>
                </c:pt>
                <c:pt idx="46">
                  <c:v>0.14919180429319726</c:v>
                </c:pt>
                <c:pt idx="47">
                  <c:v>0.15358900037725584</c:v>
                </c:pt>
                <c:pt idx="48">
                  <c:v>0.15157487196489056</c:v>
                </c:pt>
                <c:pt idx="49">
                  <c:v>0.16562613953170224</c:v>
                </c:pt>
                <c:pt idx="50">
                  <c:v>0.16749750830421067</c:v>
                </c:pt>
                <c:pt idx="51">
                  <c:v>0.17932877755840113</c:v>
                </c:pt>
                <c:pt idx="52">
                  <c:v>0.18025248181209924</c:v>
                </c:pt>
                <c:pt idx="53">
                  <c:v>0.19124641659188471</c:v>
                </c:pt>
                <c:pt idx="54">
                  <c:v>0.18888010280350295</c:v>
                </c:pt>
                <c:pt idx="55">
                  <c:v>0.21134126630245872</c:v>
                </c:pt>
                <c:pt idx="56">
                  <c:v>0.2640008292558374</c:v>
                </c:pt>
                <c:pt idx="57">
                  <c:v>0.35306832681534894</c:v>
                </c:pt>
                <c:pt idx="58">
                  <c:v>0.38497147054449443</c:v>
                </c:pt>
                <c:pt idx="59">
                  <c:v>0.29459216101864549</c:v>
                </c:pt>
                <c:pt idx="60">
                  <c:v>0.24260931144683323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B-4ACA-BE21-A7ECAB383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7007"/>
        <c:axId val="2085010783"/>
      </c:lineChart>
      <c:dateAx>
        <c:axId val="2085027007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10783"/>
        <c:crosses val="autoZero"/>
        <c:auto val="1"/>
        <c:lblOffset val="100"/>
        <c:baseTimeUnit val="months"/>
      </c:dateAx>
      <c:valAx>
        <c:axId val="2085010783"/>
        <c:scaling>
          <c:orientation val="minMax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Expenses / Labour</a:t>
            </a:r>
            <a:r>
              <a:rPr lang="en-NZ" baseline="0"/>
              <a:t> Hour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3'!$N$109</c:f>
              <c:strCache>
                <c:ptCount val="1"/>
                <c:pt idx="0">
                  <c:v>Expenses / Labour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3'!$N$110:$N$182</c:f>
              <c:numCache>
                <c:formatCode>_("$"* #,##0.00_);_("$"* \(#,##0.00\);_("$"* "-"??_);_(@_)</c:formatCode>
                <c:ptCount val="73"/>
                <c:pt idx="0">
                  <c:v>102.56019261151982</c:v>
                </c:pt>
                <c:pt idx="1">
                  <c:v>107.74038183476962</c:v>
                </c:pt>
                <c:pt idx="2">
                  <c:v>127.78495409066177</c:v>
                </c:pt>
                <c:pt idx="3">
                  <c:v>117.61562580296319</c:v>
                </c:pt>
                <c:pt idx="4">
                  <c:v>119.28090478821331</c:v>
                </c:pt>
                <c:pt idx="5">
                  <c:v>117.43492452169265</c:v>
                </c:pt>
                <c:pt idx="6">
                  <c:v>113.34906336946845</c:v>
                </c:pt>
                <c:pt idx="7">
                  <c:v>115.0397098611591</c:v>
                </c:pt>
                <c:pt idx="8">
                  <c:v>151.03258038636542</c:v>
                </c:pt>
                <c:pt idx="9">
                  <c:v>109.36540896362085</c:v>
                </c:pt>
                <c:pt idx="10">
                  <c:v>127.4788207354009</c:v>
                </c:pt>
                <c:pt idx="11">
                  <c:v>122.67851259546741</c:v>
                </c:pt>
                <c:pt idx="12">
                  <c:v>156.48157340907252</c:v>
                </c:pt>
                <c:pt idx="13">
                  <c:v>126.31861455817813</c:v>
                </c:pt>
                <c:pt idx="14">
                  <c:v>132.63765257284416</c:v>
                </c:pt>
                <c:pt idx="15">
                  <c:v>157.47469660562894</c:v>
                </c:pt>
                <c:pt idx="16">
                  <c:v>129.3405570758801</c:v>
                </c:pt>
                <c:pt idx="17">
                  <c:v>140.0691049260557</c:v>
                </c:pt>
                <c:pt idx="18">
                  <c:v>140.60317327286327</c:v>
                </c:pt>
                <c:pt idx="19">
                  <c:v>145.19962466484418</c:v>
                </c:pt>
                <c:pt idx="20">
                  <c:v>178.05360389625821</c:v>
                </c:pt>
                <c:pt idx="21">
                  <c:v>138.44420950322856</c:v>
                </c:pt>
                <c:pt idx="22">
                  <c:v>148.59298062400691</c:v>
                </c:pt>
                <c:pt idx="23">
                  <c:v>193.28001004811094</c:v>
                </c:pt>
                <c:pt idx="24">
                  <c:v>341.91205918790183</c:v>
                </c:pt>
                <c:pt idx="25">
                  <c:v>119.75025864509823</c:v>
                </c:pt>
                <c:pt idx="26">
                  <c:v>134.64194915254237</c:v>
                </c:pt>
                <c:pt idx="27">
                  <c:v>119.01073002490898</c:v>
                </c:pt>
                <c:pt idx="28">
                  <c:v>126.2616056799563</c:v>
                </c:pt>
                <c:pt idx="29">
                  <c:v>132.62595022388837</c:v>
                </c:pt>
                <c:pt idx="30">
                  <c:v>130.27228084839621</c:v>
                </c:pt>
                <c:pt idx="31">
                  <c:v>126.26099647710116</c:v>
                </c:pt>
                <c:pt idx="32">
                  <c:v>169.8530510585305</c:v>
                </c:pt>
                <c:pt idx="33">
                  <c:v>143.64665970772444</c:v>
                </c:pt>
                <c:pt idx="34">
                  <c:v>160.44279487877964</c:v>
                </c:pt>
                <c:pt idx="35">
                  <c:v>127.94095099968922</c:v>
                </c:pt>
                <c:pt idx="36">
                  <c:v>126.43304807450289</c:v>
                </c:pt>
                <c:pt idx="37">
                  <c:v>110.48465852853843</c:v>
                </c:pt>
                <c:pt idx="38">
                  <c:v>164.12958689129934</c:v>
                </c:pt>
                <c:pt idx="39">
                  <c:v>153.69698813507759</c:v>
                </c:pt>
                <c:pt idx="40">
                  <c:v>149.69068203650338</c:v>
                </c:pt>
                <c:pt idx="41">
                  <c:v>133.124018006885</c:v>
                </c:pt>
                <c:pt idx="42">
                  <c:v>133.66323811327331</c:v>
                </c:pt>
                <c:pt idx="43">
                  <c:v>153.97939606452482</c:v>
                </c:pt>
                <c:pt idx="44">
                  <c:v>116.21604820475456</c:v>
                </c:pt>
                <c:pt idx="45">
                  <c:v>121.81325195894995</c:v>
                </c:pt>
                <c:pt idx="46">
                  <c:v>144.87147562053178</c:v>
                </c:pt>
                <c:pt idx="47">
                  <c:v>100.81861120902362</c:v>
                </c:pt>
                <c:pt idx="48">
                  <c:v>161.92395982783358</c:v>
                </c:pt>
                <c:pt idx="49">
                  <c:v>143.74409206711763</c:v>
                </c:pt>
                <c:pt idx="50">
                  <c:v>161.73001623531658</c:v>
                </c:pt>
                <c:pt idx="51">
                  <c:v>167.06798866855524</c:v>
                </c:pt>
                <c:pt idx="52">
                  <c:v>135.47672833495619</c:v>
                </c:pt>
                <c:pt idx="53">
                  <c:v>149.88533420386844</c:v>
                </c:pt>
                <c:pt idx="54">
                  <c:v>135.27727675931402</c:v>
                </c:pt>
                <c:pt idx="55">
                  <c:v>168.41638550047583</c:v>
                </c:pt>
                <c:pt idx="56">
                  <c:v>225.09596473380807</c:v>
                </c:pt>
                <c:pt idx="57">
                  <c:v>259.49613636363637</c:v>
                </c:pt>
                <c:pt idx="58">
                  <c:v>161.63024312049157</c:v>
                </c:pt>
                <c:pt idx="59">
                  <c:v>119.54262909662596</c:v>
                </c:pt>
                <c:pt idx="60">
                  <c:v>207.51043182920912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4-41FA-9C5F-5EBB268ED3E6}"/>
            </c:ext>
          </c:extLst>
        </c:ser>
        <c:ser>
          <c:idx val="1"/>
          <c:order val="1"/>
          <c:tx>
            <c:strRef>
              <c:f>'Dashboard 3'!$O$109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3'!$O$110:$O$182</c:f>
              <c:numCache>
                <c:formatCode>_-"$"* #,##0_-;\-"$"* #,##0_-;_-"$"* "-"??_-;_-@_-</c:formatCode>
                <c:ptCount val="73"/>
                <c:pt idx="0">
                  <c:v>135</c:v>
                </c:pt>
                <c:pt idx="1">
                  <c:v>135</c:v>
                </c:pt>
                <c:pt idx="2">
                  <c:v>135</c:v>
                </c:pt>
                <c:pt idx="3">
                  <c:v>135</c:v>
                </c:pt>
                <c:pt idx="4">
                  <c:v>135</c:v>
                </c:pt>
                <c:pt idx="5">
                  <c:v>135</c:v>
                </c:pt>
                <c:pt idx="6">
                  <c:v>135</c:v>
                </c:pt>
                <c:pt idx="7">
                  <c:v>135</c:v>
                </c:pt>
                <c:pt idx="8">
                  <c:v>135</c:v>
                </c:pt>
                <c:pt idx="9">
                  <c:v>135</c:v>
                </c:pt>
                <c:pt idx="10">
                  <c:v>135</c:v>
                </c:pt>
                <c:pt idx="11">
                  <c:v>135</c:v>
                </c:pt>
                <c:pt idx="12">
                  <c:v>135</c:v>
                </c:pt>
                <c:pt idx="13">
                  <c:v>135</c:v>
                </c:pt>
                <c:pt idx="14">
                  <c:v>135</c:v>
                </c:pt>
                <c:pt idx="15">
                  <c:v>135</c:v>
                </c:pt>
                <c:pt idx="16">
                  <c:v>135</c:v>
                </c:pt>
                <c:pt idx="17">
                  <c:v>135</c:v>
                </c:pt>
                <c:pt idx="18">
                  <c:v>135</c:v>
                </c:pt>
                <c:pt idx="19">
                  <c:v>135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  <c:pt idx="31">
                  <c:v>135</c:v>
                </c:pt>
                <c:pt idx="32">
                  <c:v>135</c:v>
                </c:pt>
                <c:pt idx="33">
                  <c:v>135</c:v>
                </c:pt>
                <c:pt idx="34">
                  <c:v>135</c:v>
                </c:pt>
                <c:pt idx="35">
                  <c:v>135</c:v>
                </c:pt>
                <c:pt idx="36">
                  <c:v>135</c:v>
                </c:pt>
                <c:pt idx="37">
                  <c:v>135</c:v>
                </c:pt>
                <c:pt idx="38">
                  <c:v>135</c:v>
                </c:pt>
                <c:pt idx="39">
                  <c:v>135</c:v>
                </c:pt>
                <c:pt idx="40">
                  <c:v>135</c:v>
                </c:pt>
                <c:pt idx="41">
                  <c:v>135</c:v>
                </c:pt>
                <c:pt idx="42">
                  <c:v>135</c:v>
                </c:pt>
                <c:pt idx="43">
                  <c:v>135</c:v>
                </c:pt>
                <c:pt idx="44">
                  <c:v>135</c:v>
                </c:pt>
                <c:pt idx="45">
                  <c:v>135</c:v>
                </c:pt>
                <c:pt idx="46">
                  <c:v>135</c:v>
                </c:pt>
                <c:pt idx="47">
                  <c:v>135</c:v>
                </c:pt>
                <c:pt idx="48">
                  <c:v>135</c:v>
                </c:pt>
                <c:pt idx="49">
                  <c:v>135</c:v>
                </c:pt>
                <c:pt idx="50">
                  <c:v>135</c:v>
                </c:pt>
                <c:pt idx="51">
                  <c:v>135</c:v>
                </c:pt>
                <c:pt idx="52">
                  <c:v>135</c:v>
                </c:pt>
                <c:pt idx="53">
                  <c:v>135</c:v>
                </c:pt>
                <c:pt idx="54">
                  <c:v>135</c:v>
                </c:pt>
                <c:pt idx="55">
                  <c:v>135</c:v>
                </c:pt>
                <c:pt idx="56">
                  <c:v>135</c:v>
                </c:pt>
                <c:pt idx="57">
                  <c:v>135</c:v>
                </c:pt>
                <c:pt idx="58">
                  <c:v>135</c:v>
                </c:pt>
                <c:pt idx="59">
                  <c:v>135</c:v>
                </c:pt>
                <c:pt idx="6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4-41FA-9C5F-5EBB268ED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4415"/>
        <c:axId val="353601087"/>
      </c:lineChart>
      <c:dateAx>
        <c:axId val="35360441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1087"/>
        <c:crosses val="autoZero"/>
        <c:auto val="1"/>
        <c:lblOffset val="100"/>
        <c:baseTimeUnit val="months"/>
      </c:dateAx>
      <c:valAx>
        <c:axId val="353601087"/>
        <c:scaling>
          <c:orientation val="minMax"/>
          <c:max val="35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Total Labour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3'!$AE$109</c:f>
              <c:strCache>
                <c:ptCount val="1"/>
                <c:pt idx="0">
                  <c:v>Total Labour Hours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3'!$AE$110:$AE$182</c:f>
              <c:numCache>
                <c:formatCode>#,##0</c:formatCode>
                <c:ptCount val="73"/>
                <c:pt idx="0">
                  <c:v>8269.494999999999</c:v>
                </c:pt>
                <c:pt idx="1">
                  <c:v>8575.8559999999998</c:v>
                </c:pt>
                <c:pt idx="2">
                  <c:v>8159.5599999999986</c:v>
                </c:pt>
                <c:pt idx="3">
                  <c:v>8355.7690000000002</c:v>
                </c:pt>
                <c:pt idx="4">
                  <c:v>9609.4089999999997</c:v>
                </c:pt>
                <c:pt idx="5">
                  <c:v>8618.5689999999995</c:v>
                </c:pt>
                <c:pt idx="6">
                  <c:v>9460.8809999999994</c:v>
                </c:pt>
                <c:pt idx="7">
                  <c:v>9748.7119999999995</c:v>
                </c:pt>
                <c:pt idx="8">
                  <c:v>6091.4870000000001</c:v>
                </c:pt>
                <c:pt idx="9">
                  <c:v>7515.1549999999997</c:v>
                </c:pt>
                <c:pt idx="10">
                  <c:v>8136.732</c:v>
                </c:pt>
                <c:pt idx="11">
                  <c:v>8544.1450000000004</c:v>
                </c:pt>
                <c:pt idx="12">
                  <c:v>6315.357</c:v>
                </c:pt>
                <c:pt idx="13">
                  <c:v>9087.7580000000016</c:v>
                </c:pt>
                <c:pt idx="14">
                  <c:v>7852.0690000000004</c:v>
                </c:pt>
                <c:pt idx="15">
                  <c:v>8179.0410000000002</c:v>
                </c:pt>
                <c:pt idx="16">
                  <c:v>8543.8629999999994</c:v>
                </c:pt>
                <c:pt idx="17">
                  <c:v>7726.2220000000007</c:v>
                </c:pt>
                <c:pt idx="18">
                  <c:v>7970.4460000000008</c:v>
                </c:pt>
                <c:pt idx="19">
                  <c:v>7625.1850000000004</c:v>
                </c:pt>
                <c:pt idx="20">
                  <c:v>5470.2740000000003</c:v>
                </c:pt>
                <c:pt idx="21">
                  <c:v>7737.16</c:v>
                </c:pt>
                <c:pt idx="22">
                  <c:v>7124.28</c:v>
                </c:pt>
                <c:pt idx="23">
                  <c:v>5700.5740000000005</c:v>
                </c:pt>
                <c:pt idx="24">
                  <c:v>2996.288</c:v>
                </c:pt>
                <c:pt idx="25">
                  <c:v>8154.9969999999994</c:v>
                </c:pt>
                <c:pt idx="26">
                  <c:v>8968</c:v>
                </c:pt>
                <c:pt idx="27">
                  <c:v>10438</c:v>
                </c:pt>
                <c:pt idx="28">
                  <c:v>9155</c:v>
                </c:pt>
                <c:pt idx="29">
                  <c:v>9603</c:v>
                </c:pt>
                <c:pt idx="30">
                  <c:v>9571</c:v>
                </c:pt>
                <c:pt idx="31">
                  <c:v>9935</c:v>
                </c:pt>
                <c:pt idx="32">
                  <c:v>7227</c:v>
                </c:pt>
                <c:pt idx="33">
                  <c:v>7664</c:v>
                </c:pt>
                <c:pt idx="34">
                  <c:v>7342</c:v>
                </c:pt>
                <c:pt idx="35">
                  <c:v>9653</c:v>
                </c:pt>
                <c:pt idx="36">
                  <c:v>7946</c:v>
                </c:pt>
                <c:pt idx="37">
                  <c:v>9093</c:v>
                </c:pt>
                <c:pt idx="38">
                  <c:v>8666</c:v>
                </c:pt>
                <c:pt idx="39">
                  <c:v>9861</c:v>
                </c:pt>
                <c:pt idx="40">
                  <c:v>9369</c:v>
                </c:pt>
                <c:pt idx="41">
                  <c:v>11329</c:v>
                </c:pt>
                <c:pt idx="42">
                  <c:v>11659.727999999999</c:v>
                </c:pt>
                <c:pt idx="43">
                  <c:v>11382.971</c:v>
                </c:pt>
                <c:pt idx="44">
                  <c:v>13834.32</c:v>
                </c:pt>
                <c:pt idx="45">
                  <c:v>10828.633</c:v>
                </c:pt>
                <c:pt idx="46">
                  <c:v>12449</c:v>
                </c:pt>
                <c:pt idx="47">
                  <c:v>14185</c:v>
                </c:pt>
                <c:pt idx="48">
                  <c:v>9758</c:v>
                </c:pt>
                <c:pt idx="49">
                  <c:v>11383</c:v>
                </c:pt>
                <c:pt idx="50">
                  <c:v>10471</c:v>
                </c:pt>
                <c:pt idx="51">
                  <c:v>10590</c:v>
                </c:pt>
                <c:pt idx="52">
                  <c:v>15405</c:v>
                </c:pt>
                <c:pt idx="53">
                  <c:v>12253</c:v>
                </c:pt>
                <c:pt idx="54">
                  <c:v>13528</c:v>
                </c:pt>
                <c:pt idx="55">
                  <c:v>11559</c:v>
                </c:pt>
                <c:pt idx="56">
                  <c:v>5898</c:v>
                </c:pt>
                <c:pt idx="57">
                  <c:v>4400</c:v>
                </c:pt>
                <c:pt idx="58">
                  <c:v>7486</c:v>
                </c:pt>
                <c:pt idx="59">
                  <c:v>8269</c:v>
                </c:pt>
                <c:pt idx="60">
                  <c:v>6183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B-4302-8698-696E5FC7A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4415"/>
        <c:axId val="353601087"/>
      </c:lineChart>
      <c:dateAx>
        <c:axId val="35360441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1087"/>
        <c:crosses val="autoZero"/>
        <c:auto val="1"/>
        <c:lblOffset val="100"/>
        <c:baseTimeUnit val="months"/>
      </c:dateAx>
      <c:valAx>
        <c:axId val="353601087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Units to FG / Labour</a:t>
            </a:r>
            <a:r>
              <a:rPr lang="en-NZ" baseline="0"/>
              <a:t> Hour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3'!$Q$109</c:f>
              <c:strCache>
                <c:ptCount val="1"/>
                <c:pt idx="0">
                  <c:v>Units to FG / Labour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3'!$Q$110:$Q$182</c:f>
              <c:numCache>
                <c:formatCode>_(* #,##0.00_);_(* \(#,##0.00\);_(* "-"??_);_(@_)</c:formatCode>
                <c:ptCount val="73"/>
                <c:pt idx="0">
                  <c:v>4.008225411588012</c:v>
                </c:pt>
                <c:pt idx="1">
                  <c:v>4.0772606256448336</c:v>
                </c:pt>
                <c:pt idx="2">
                  <c:v>3.4856046159351735</c:v>
                </c:pt>
                <c:pt idx="3">
                  <c:v>4.1669414269350913</c:v>
                </c:pt>
                <c:pt idx="4">
                  <c:v>3.4110318334873666</c:v>
                </c:pt>
                <c:pt idx="5">
                  <c:v>4.0528769915284082</c:v>
                </c:pt>
                <c:pt idx="6">
                  <c:v>4.516069909345652</c:v>
                </c:pt>
                <c:pt idx="7">
                  <c:v>4.6346635329877426</c:v>
                </c:pt>
                <c:pt idx="8">
                  <c:v>4.5350174760284307</c:v>
                </c:pt>
                <c:pt idx="9">
                  <c:v>4.0568690865324806</c:v>
                </c:pt>
                <c:pt idx="10">
                  <c:v>4.7053288715911989</c:v>
                </c:pt>
                <c:pt idx="11">
                  <c:v>4.0913397420104642</c:v>
                </c:pt>
                <c:pt idx="12">
                  <c:v>4.6857208547355285</c:v>
                </c:pt>
                <c:pt idx="13">
                  <c:v>4.1572409828694816</c:v>
                </c:pt>
                <c:pt idx="14">
                  <c:v>4.1627244997465001</c:v>
                </c:pt>
                <c:pt idx="15">
                  <c:v>4.4109083204253405</c:v>
                </c:pt>
                <c:pt idx="16">
                  <c:v>4.5577743931521377</c:v>
                </c:pt>
                <c:pt idx="17">
                  <c:v>4.9122326539413441</c:v>
                </c:pt>
                <c:pt idx="18">
                  <c:v>4.5304867506786941</c:v>
                </c:pt>
                <c:pt idx="19">
                  <c:v>4.5021858486056399</c:v>
                </c:pt>
                <c:pt idx="20">
                  <c:v>5.5708361226512597</c:v>
                </c:pt>
                <c:pt idx="21">
                  <c:v>5.0479762600230575</c:v>
                </c:pt>
                <c:pt idx="22">
                  <c:v>4.70447539961933</c:v>
                </c:pt>
                <c:pt idx="23">
                  <c:v>5.3906852187165706</c:v>
                </c:pt>
                <c:pt idx="24">
                  <c:v>2.8001313625392488</c:v>
                </c:pt>
                <c:pt idx="25">
                  <c:v>4.5274081645891471</c:v>
                </c:pt>
                <c:pt idx="26">
                  <c:v>5.3337421944692238</c:v>
                </c:pt>
                <c:pt idx="27">
                  <c:v>4.5937919141598007</c:v>
                </c:pt>
                <c:pt idx="28">
                  <c:v>4.6336428181321683</c:v>
                </c:pt>
                <c:pt idx="29">
                  <c:v>4.4401749453295842</c:v>
                </c:pt>
                <c:pt idx="30">
                  <c:v>4.0842127259429528</c:v>
                </c:pt>
                <c:pt idx="31">
                  <c:v>4.7380976346250625</c:v>
                </c:pt>
                <c:pt idx="32">
                  <c:v>4.5897329458973291</c:v>
                </c:pt>
                <c:pt idx="33">
                  <c:v>4.3765657620041756</c:v>
                </c:pt>
                <c:pt idx="34">
                  <c:v>4.2877962408063199</c:v>
                </c:pt>
                <c:pt idx="35">
                  <c:v>5.2348492696571016</c:v>
                </c:pt>
                <c:pt idx="36">
                  <c:v>4.5163604329222249</c:v>
                </c:pt>
                <c:pt idx="37">
                  <c:v>5.5300780820411308</c:v>
                </c:pt>
                <c:pt idx="38">
                  <c:v>4.5681975536579733</c:v>
                </c:pt>
                <c:pt idx="39">
                  <c:v>4.5776290437075344</c:v>
                </c:pt>
                <c:pt idx="40">
                  <c:v>4.9108762941615964</c:v>
                </c:pt>
                <c:pt idx="41">
                  <c:v>5.518845440903875</c:v>
                </c:pt>
                <c:pt idx="42">
                  <c:v>5.2972076192514956</c:v>
                </c:pt>
                <c:pt idx="43">
                  <c:v>6.0024751007447881</c:v>
                </c:pt>
                <c:pt idx="44">
                  <c:v>4.4899930029087081</c:v>
                </c:pt>
                <c:pt idx="45">
                  <c:v>3.9489749075437315</c:v>
                </c:pt>
                <c:pt idx="46">
                  <c:v>4.191822636356334</c:v>
                </c:pt>
                <c:pt idx="47">
                  <c:v>4.6491364117025027</c:v>
                </c:pt>
                <c:pt idx="48">
                  <c:v>6.0137323221971712</c:v>
                </c:pt>
                <c:pt idx="49">
                  <c:v>5.0004392515154175</c:v>
                </c:pt>
                <c:pt idx="50">
                  <c:v>5.6223856365199119</c:v>
                </c:pt>
                <c:pt idx="51">
                  <c:v>4.536638338054769</c:v>
                </c:pt>
                <c:pt idx="52">
                  <c:v>3.2958779617007465</c:v>
                </c:pt>
                <c:pt idx="53">
                  <c:v>5.2223129029625399</c:v>
                </c:pt>
                <c:pt idx="54">
                  <c:v>3.9286664695446483</c:v>
                </c:pt>
                <c:pt idx="55">
                  <c:v>3.1115148369236092</c:v>
                </c:pt>
                <c:pt idx="56">
                  <c:v>3.3958969142082061</c:v>
                </c:pt>
                <c:pt idx="57">
                  <c:v>3.9484090909090908</c:v>
                </c:pt>
                <c:pt idx="58">
                  <c:v>3.699706118087096</c:v>
                </c:pt>
                <c:pt idx="59">
                  <c:v>3.7070988027572862</c:v>
                </c:pt>
                <c:pt idx="60">
                  <c:v>3.8874332848131976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6-47CC-BDEA-ED72B8932604}"/>
            </c:ext>
          </c:extLst>
        </c:ser>
        <c:ser>
          <c:idx val="1"/>
          <c:order val="1"/>
          <c:tx>
            <c:strRef>
              <c:f>'Dashboard 3'!$R$109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3'!$R$110:$R$182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06-47CC-BDEA-ED72B8932604}"/>
            </c:ext>
          </c:extLst>
        </c:ser>
        <c:ser>
          <c:idx val="2"/>
          <c:order val="2"/>
          <c:tx>
            <c:strRef>
              <c:f>'Dashboard 3'!$S$109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3'!$S$110:$S$182</c:f>
              <c:numCache>
                <c:formatCode>General</c:formatCode>
                <c:ptCount val="73"/>
                <c:pt idx="0">
                  <c:v>4.5999999999999996</c:v>
                </c:pt>
                <c:pt idx="1">
                  <c:v>4.5999999999999996</c:v>
                </c:pt>
                <c:pt idx="2">
                  <c:v>4.5999999999999996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4.5999999999999996</c:v>
                </c:pt>
                <c:pt idx="8">
                  <c:v>4.5999999999999996</c:v>
                </c:pt>
                <c:pt idx="9">
                  <c:v>4.5999999999999996</c:v>
                </c:pt>
                <c:pt idx="10">
                  <c:v>4.5999999999999996</c:v>
                </c:pt>
                <c:pt idx="11">
                  <c:v>4.5999999999999996</c:v>
                </c:pt>
                <c:pt idx="12">
                  <c:v>4.5999999999999996</c:v>
                </c:pt>
                <c:pt idx="13">
                  <c:v>4.5999999999999996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4.5999999999999996</c:v>
                </c:pt>
                <c:pt idx="19">
                  <c:v>4.5999999999999996</c:v>
                </c:pt>
                <c:pt idx="20">
                  <c:v>4.5999999999999996</c:v>
                </c:pt>
                <c:pt idx="21">
                  <c:v>4.5999999999999996</c:v>
                </c:pt>
                <c:pt idx="22">
                  <c:v>4.5999999999999996</c:v>
                </c:pt>
                <c:pt idx="23">
                  <c:v>4.5999999999999996</c:v>
                </c:pt>
                <c:pt idx="24">
                  <c:v>4.5999999999999996</c:v>
                </c:pt>
                <c:pt idx="25">
                  <c:v>4.5999999999999996</c:v>
                </c:pt>
                <c:pt idx="26">
                  <c:v>4.5999999999999996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4.5999999999999996</c:v>
                </c:pt>
                <c:pt idx="30">
                  <c:v>4.5999999999999996</c:v>
                </c:pt>
                <c:pt idx="31">
                  <c:v>4.5999999999999996</c:v>
                </c:pt>
                <c:pt idx="32">
                  <c:v>4.5999999999999996</c:v>
                </c:pt>
                <c:pt idx="33">
                  <c:v>4.5999999999999996</c:v>
                </c:pt>
                <c:pt idx="34">
                  <c:v>4.5999999999999996</c:v>
                </c:pt>
                <c:pt idx="35">
                  <c:v>4.5999999999999996</c:v>
                </c:pt>
                <c:pt idx="36">
                  <c:v>4.5999999999999996</c:v>
                </c:pt>
                <c:pt idx="37">
                  <c:v>4.5999999999999996</c:v>
                </c:pt>
                <c:pt idx="38">
                  <c:v>4.5999999999999996</c:v>
                </c:pt>
                <c:pt idx="39">
                  <c:v>4.5999999999999996</c:v>
                </c:pt>
                <c:pt idx="40">
                  <c:v>4.5999999999999996</c:v>
                </c:pt>
                <c:pt idx="41">
                  <c:v>4.5999999999999996</c:v>
                </c:pt>
                <c:pt idx="42">
                  <c:v>4.5999999999999996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4.5999999999999996</c:v>
                </c:pt>
                <c:pt idx="46">
                  <c:v>4.5999999999999996</c:v>
                </c:pt>
                <c:pt idx="47">
                  <c:v>4.5999999999999996</c:v>
                </c:pt>
                <c:pt idx="48">
                  <c:v>4.5999999999999996</c:v>
                </c:pt>
                <c:pt idx="49">
                  <c:v>4.5999999999999996</c:v>
                </c:pt>
                <c:pt idx="50">
                  <c:v>4.5999999999999996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4.5999999999999996</c:v>
                </c:pt>
                <c:pt idx="54">
                  <c:v>4.5999999999999996</c:v>
                </c:pt>
                <c:pt idx="55">
                  <c:v>4.5999999999999996</c:v>
                </c:pt>
                <c:pt idx="56">
                  <c:v>4.5999999999999996</c:v>
                </c:pt>
                <c:pt idx="57">
                  <c:v>4.5999999999999996</c:v>
                </c:pt>
                <c:pt idx="58">
                  <c:v>4.5999999999999996</c:v>
                </c:pt>
                <c:pt idx="59">
                  <c:v>4.5999999999999996</c:v>
                </c:pt>
                <c:pt idx="60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06-47CC-BDEA-ED72B893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4415"/>
        <c:axId val="353601087"/>
      </c:lineChart>
      <c:dateAx>
        <c:axId val="35360441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1087"/>
        <c:crosses val="autoZero"/>
        <c:auto val="1"/>
        <c:lblOffset val="100"/>
        <c:baseTimeUnit val="months"/>
      </c:dateAx>
      <c:valAx>
        <c:axId val="353601087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 per Direct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3'!$T$109</c:f>
              <c:strCache>
                <c:ptCount val="1"/>
                <c:pt idx="0">
                  <c:v>Expense / direct team member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3'!$T$110:$T$182</c:f>
              <c:numCache>
                <c:formatCode>_-"$"* #,##0_-;\-"$"* #,##0_-;_-"$"* "-"??_-;_-@_-</c:formatCode>
                <c:ptCount val="73"/>
                <c:pt idx="0">
                  <c:v>11159.486842105263</c:v>
                </c:pt>
                <c:pt idx="1">
                  <c:v>12157.447368421053</c:v>
                </c:pt>
                <c:pt idx="2">
                  <c:v>13719.328947368422</c:v>
                </c:pt>
                <c:pt idx="3">
                  <c:v>12763.233766233767</c:v>
                </c:pt>
                <c:pt idx="4">
                  <c:v>13809.867469879518</c:v>
                </c:pt>
                <c:pt idx="5">
                  <c:v>11907.305882352941</c:v>
                </c:pt>
                <c:pt idx="6">
                  <c:v>12920.265060240963</c:v>
                </c:pt>
                <c:pt idx="7">
                  <c:v>12744.193181818182</c:v>
                </c:pt>
                <c:pt idx="8">
                  <c:v>10110.032967032967</c:v>
                </c:pt>
                <c:pt idx="9">
                  <c:v>10146.888888888889</c:v>
                </c:pt>
                <c:pt idx="10">
                  <c:v>11787.056818181818</c:v>
                </c:pt>
                <c:pt idx="11">
                  <c:v>13102.2875</c:v>
                </c:pt>
                <c:pt idx="12">
                  <c:v>12200.456790123457</c:v>
                </c:pt>
                <c:pt idx="13">
                  <c:v>13999.426829268292</c:v>
                </c:pt>
                <c:pt idx="14">
                  <c:v>12398.571428571429</c:v>
                </c:pt>
                <c:pt idx="15">
                  <c:v>16303.696202531646</c:v>
                </c:pt>
                <c:pt idx="16">
                  <c:v>13813.35</c:v>
                </c:pt>
                <c:pt idx="17">
                  <c:v>14429.4</c:v>
                </c:pt>
                <c:pt idx="18">
                  <c:v>14554.155844155845</c:v>
                </c:pt>
                <c:pt idx="19">
                  <c:v>14378.883116883117</c:v>
                </c:pt>
                <c:pt idx="20">
                  <c:v>13342.493150684932</c:v>
                </c:pt>
                <c:pt idx="21">
                  <c:v>15752.426470588236</c:v>
                </c:pt>
                <c:pt idx="22">
                  <c:v>16286.430769230768</c:v>
                </c:pt>
                <c:pt idx="23">
                  <c:v>17215.734375</c:v>
                </c:pt>
                <c:pt idx="24">
                  <c:v>16523.66129032258</c:v>
                </c:pt>
                <c:pt idx="25">
                  <c:v>14796.40909090909</c:v>
                </c:pt>
                <c:pt idx="26">
                  <c:v>15681.415584415585</c:v>
                </c:pt>
                <c:pt idx="27">
                  <c:v>14614.517647058823</c:v>
                </c:pt>
                <c:pt idx="28">
                  <c:v>13926.807228915663</c:v>
                </c:pt>
                <c:pt idx="29">
                  <c:v>15344.662650602409</c:v>
                </c:pt>
                <c:pt idx="30">
                  <c:v>14009.393258426966</c:v>
                </c:pt>
                <c:pt idx="31">
                  <c:v>13937.81111111111</c:v>
                </c:pt>
                <c:pt idx="32">
                  <c:v>14109.51724137931</c:v>
                </c:pt>
                <c:pt idx="33">
                  <c:v>13425.707317073171</c:v>
                </c:pt>
                <c:pt idx="34">
                  <c:v>15102.192307692309</c:v>
                </c:pt>
                <c:pt idx="35">
                  <c:v>13876.561797752809</c:v>
                </c:pt>
                <c:pt idx="36">
                  <c:v>11547.551724137931</c:v>
                </c:pt>
                <c:pt idx="37">
                  <c:v>11288.056179775282</c:v>
                </c:pt>
                <c:pt idx="38">
                  <c:v>16538.918604651164</c:v>
                </c:pt>
                <c:pt idx="39">
                  <c:v>15953.747368421053</c:v>
                </c:pt>
                <c:pt idx="40">
                  <c:v>14310.734693877552</c:v>
                </c:pt>
                <c:pt idx="41">
                  <c:v>14932.29702970297</c:v>
                </c:pt>
                <c:pt idx="42">
                  <c:v>14040.333333333334</c:v>
                </c:pt>
                <c:pt idx="43">
                  <c:v>13693.3046875</c:v>
                </c:pt>
                <c:pt idx="44">
                  <c:v>12273.053435114503</c:v>
                </c:pt>
                <c:pt idx="45">
                  <c:v>9489.7194244604325</c:v>
                </c:pt>
                <c:pt idx="46">
                  <c:v>13359.296296296296</c:v>
                </c:pt>
                <c:pt idx="47">
                  <c:v>11172.75</c:v>
                </c:pt>
                <c:pt idx="48">
                  <c:v>13167.116666666667</c:v>
                </c:pt>
                <c:pt idx="49">
                  <c:v>13866.43220338983</c:v>
                </c:pt>
                <c:pt idx="50">
                  <c:v>15395.227272727272</c:v>
                </c:pt>
                <c:pt idx="51">
                  <c:v>15252.155172413793</c:v>
                </c:pt>
                <c:pt idx="52">
                  <c:v>17837.76923076923</c:v>
                </c:pt>
                <c:pt idx="53">
                  <c:v>14575.753968253968</c:v>
                </c:pt>
                <c:pt idx="54">
                  <c:v>14878.300813008131</c:v>
                </c:pt>
                <c:pt idx="55">
                  <c:v>19274.504950495051</c:v>
                </c:pt>
                <c:pt idx="56">
                  <c:v>14589.186813186812</c:v>
                </c:pt>
                <c:pt idx="57">
                  <c:v>13123.942528735632</c:v>
                </c:pt>
                <c:pt idx="58">
                  <c:v>13749.59090909091</c:v>
                </c:pt>
                <c:pt idx="59">
                  <c:v>13358.081081081082</c:v>
                </c:pt>
                <c:pt idx="60">
                  <c:v>16449.192307692309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1-4B84-9DF2-CCBDDB64F5EB}"/>
            </c:ext>
          </c:extLst>
        </c:ser>
        <c:ser>
          <c:idx val="1"/>
          <c:order val="1"/>
          <c:tx>
            <c:strRef>
              <c:f>'Dashboard 3'!$U$109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3'!$U$110:$U$182</c:f>
              <c:numCache>
                <c:formatCode>_-"$"* #,##0_-;\-"$"* #,##0_-;_-"$"* "-"??_-;_-@_-</c:formatCode>
                <c:ptCount val="73"/>
                <c:pt idx="0">
                  <c:v>14600</c:v>
                </c:pt>
                <c:pt idx="1">
                  <c:v>14600</c:v>
                </c:pt>
                <c:pt idx="2">
                  <c:v>14600</c:v>
                </c:pt>
                <c:pt idx="3">
                  <c:v>14600</c:v>
                </c:pt>
                <c:pt idx="4">
                  <c:v>14600</c:v>
                </c:pt>
                <c:pt idx="5">
                  <c:v>14600</c:v>
                </c:pt>
                <c:pt idx="6">
                  <c:v>14600</c:v>
                </c:pt>
                <c:pt idx="7">
                  <c:v>14600</c:v>
                </c:pt>
                <c:pt idx="8">
                  <c:v>14600</c:v>
                </c:pt>
                <c:pt idx="9">
                  <c:v>14600</c:v>
                </c:pt>
                <c:pt idx="10">
                  <c:v>14600</c:v>
                </c:pt>
                <c:pt idx="11">
                  <c:v>14600</c:v>
                </c:pt>
                <c:pt idx="12">
                  <c:v>14600</c:v>
                </c:pt>
                <c:pt idx="13">
                  <c:v>14600</c:v>
                </c:pt>
                <c:pt idx="14">
                  <c:v>14600</c:v>
                </c:pt>
                <c:pt idx="15">
                  <c:v>14600</c:v>
                </c:pt>
                <c:pt idx="16">
                  <c:v>14600</c:v>
                </c:pt>
                <c:pt idx="17">
                  <c:v>14600</c:v>
                </c:pt>
                <c:pt idx="18">
                  <c:v>14600</c:v>
                </c:pt>
                <c:pt idx="19">
                  <c:v>14600</c:v>
                </c:pt>
                <c:pt idx="20">
                  <c:v>14600</c:v>
                </c:pt>
                <c:pt idx="21">
                  <c:v>14600</c:v>
                </c:pt>
                <c:pt idx="22">
                  <c:v>14600</c:v>
                </c:pt>
                <c:pt idx="23">
                  <c:v>14600</c:v>
                </c:pt>
                <c:pt idx="24">
                  <c:v>14600</c:v>
                </c:pt>
                <c:pt idx="25">
                  <c:v>14600</c:v>
                </c:pt>
                <c:pt idx="26">
                  <c:v>14600</c:v>
                </c:pt>
                <c:pt idx="27">
                  <c:v>14600</c:v>
                </c:pt>
                <c:pt idx="28">
                  <c:v>14600</c:v>
                </c:pt>
                <c:pt idx="29">
                  <c:v>14600</c:v>
                </c:pt>
                <c:pt idx="30">
                  <c:v>14600</c:v>
                </c:pt>
                <c:pt idx="31">
                  <c:v>14600</c:v>
                </c:pt>
                <c:pt idx="32">
                  <c:v>14600</c:v>
                </c:pt>
                <c:pt idx="33">
                  <c:v>14600</c:v>
                </c:pt>
                <c:pt idx="34">
                  <c:v>14600</c:v>
                </c:pt>
                <c:pt idx="35">
                  <c:v>14600</c:v>
                </c:pt>
                <c:pt idx="36">
                  <c:v>14600</c:v>
                </c:pt>
                <c:pt idx="37">
                  <c:v>14600</c:v>
                </c:pt>
                <c:pt idx="38">
                  <c:v>14600</c:v>
                </c:pt>
                <c:pt idx="39">
                  <c:v>14600</c:v>
                </c:pt>
                <c:pt idx="40">
                  <c:v>14600</c:v>
                </c:pt>
                <c:pt idx="41">
                  <c:v>14600</c:v>
                </c:pt>
                <c:pt idx="42">
                  <c:v>14600</c:v>
                </c:pt>
                <c:pt idx="43">
                  <c:v>14600</c:v>
                </c:pt>
                <c:pt idx="44">
                  <c:v>14600</c:v>
                </c:pt>
                <c:pt idx="45">
                  <c:v>14600</c:v>
                </c:pt>
                <c:pt idx="46">
                  <c:v>14600</c:v>
                </c:pt>
                <c:pt idx="47">
                  <c:v>14600</c:v>
                </c:pt>
                <c:pt idx="48">
                  <c:v>14600</c:v>
                </c:pt>
                <c:pt idx="49">
                  <c:v>14600</c:v>
                </c:pt>
                <c:pt idx="50">
                  <c:v>14600</c:v>
                </c:pt>
                <c:pt idx="51">
                  <c:v>14600</c:v>
                </c:pt>
                <c:pt idx="52">
                  <c:v>14600</c:v>
                </c:pt>
                <c:pt idx="53">
                  <c:v>14600</c:v>
                </c:pt>
                <c:pt idx="54">
                  <c:v>14600</c:v>
                </c:pt>
                <c:pt idx="55">
                  <c:v>14600</c:v>
                </c:pt>
                <c:pt idx="56">
                  <c:v>14600</c:v>
                </c:pt>
                <c:pt idx="57">
                  <c:v>14600</c:v>
                </c:pt>
                <c:pt idx="58">
                  <c:v>14600</c:v>
                </c:pt>
                <c:pt idx="59">
                  <c:v>14600</c:v>
                </c:pt>
                <c:pt idx="60">
                  <c:v>14600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91-4B84-9DF2-CCBDDB64F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50639"/>
        <c:axId val="1223952719"/>
      </c:lineChart>
      <c:dateAx>
        <c:axId val="122395063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2719"/>
        <c:crosses val="autoZero"/>
        <c:auto val="1"/>
        <c:lblOffset val="100"/>
        <c:baseTimeUnit val="months"/>
      </c:dateAx>
      <c:valAx>
        <c:axId val="1223952719"/>
        <c:scaling>
          <c:orientation val="minMax"/>
          <c:min val="9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 / Total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3'!$W$109</c:f>
              <c:strCache>
                <c:ptCount val="1"/>
                <c:pt idx="0">
                  <c:v>Expense / total team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3'!$W$110:$W$182</c:f>
              <c:numCache>
                <c:formatCode>_-"$"* #,##0_-;\-"$"* #,##0_-;_-"$"* "-"??_-;_-@_-</c:formatCode>
                <c:ptCount val="73"/>
                <c:pt idx="0">
                  <c:v>7374.9652173913046</c:v>
                </c:pt>
                <c:pt idx="1">
                  <c:v>7573.4918032786882</c:v>
                </c:pt>
                <c:pt idx="2">
                  <c:v>8617.0991735537191</c:v>
                </c:pt>
                <c:pt idx="3">
                  <c:v>8122.0578512396696</c:v>
                </c:pt>
                <c:pt idx="4">
                  <c:v>9096.9761904761908</c:v>
                </c:pt>
                <c:pt idx="5">
                  <c:v>7907.1953125</c:v>
                </c:pt>
                <c:pt idx="6">
                  <c:v>8443.9527559055114</c:v>
                </c:pt>
                <c:pt idx="7">
                  <c:v>8693.7131782945744</c:v>
                </c:pt>
                <c:pt idx="8">
                  <c:v>6814.9111111111115</c:v>
                </c:pt>
                <c:pt idx="9">
                  <c:v>6322.292307692308</c:v>
                </c:pt>
                <c:pt idx="10">
                  <c:v>8103.6015625</c:v>
                </c:pt>
                <c:pt idx="11">
                  <c:v>8318.9126984126979</c:v>
                </c:pt>
                <c:pt idx="12">
                  <c:v>7781.3937007874019</c:v>
                </c:pt>
                <c:pt idx="13">
                  <c:v>8763</c:v>
                </c:pt>
                <c:pt idx="14">
                  <c:v>7950.2290076335876</c:v>
                </c:pt>
                <c:pt idx="15">
                  <c:v>9684.1503759398493</c:v>
                </c:pt>
                <c:pt idx="16">
                  <c:v>8371.7272727272721</c:v>
                </c:pt>
                <c:pt idx="17">
                  <c:v>8454.7265625</c:v>
                </c:pt>
                <c:pt idx="18">
                  <c:v>8755.234375</c:v>
                </c:pt>
                <c:pt idx="19">
                  <c:v>8649.796875</c:v>
                </c:pt>
                <c:pt idx="20">
                  <c:v>7854.8548387096771</c:v>
                </c:pt>
                <c:pt idx="21">
                  <c:v>8501.3095238095229</c:v>
                </c:pt>
                <c:pt idx="22">
                  <c:v>8748.9090909090901</c:v>
                </c:pt>
                <c:pt idx="23">
                  <c:v>9258.8823529411766</c:v>
                </c:pt>
                <c:pt idx="24">
                  <c:v>8756.1282051282051</c:v>
                </c:pt>
                <c:pt idx="25">
                  <c:v>8275.9576271186434</c:v>
                </c:pt>
                <c:pt idx="26">
                  <c:v>9433.3515625</c:v>
                </c:pt>
                <c:pt idx="27">
                  <c:v>9201.7333333333336</c:v>
                </c:pt>
                <c:pt idx="28">
                  <c:v>8757.007575757576</c:v>
                </c:pt>
                <c:pt idx="29">
                  <c:v>9434.1259259259259</c:v>
                </c:pt>
                <c:pt idx="30">
                  <c:v>8842.8085106382987</c:v>
                </c:pt>
                <c:pt idx="31">
                  <c:v>8896.4751773049647</c:v>
                </c:pt>
                <c:pt idx="32">
                  <c:v>8831.1366906474814</c:v>
                </c:pt>
                <c:pt idx="33">
                  <c:v>8094.911764705882</c:v>
                </c:pt>
                <c:pt idx="34">
                  <c:v>8924.0227272727279</c:v>
                </c:pt>
                <c:pt idx="35">
                  <c:v>8949.3768115942021</c:v>
                </c:pt>
                <c:pt idx="36">
                  <c:v>7387.036764705882</c:v>
                </c:pt>
                <c:pt idx="37">
                  <c:v>7175.9785714285717</c:v>
                </c:pt>
                <c:pt idx="38">
                  <c:v>10306.86231884058</c:v>
                </c:pt>
                <c:pt idx="39">
                  <c:v>10310.244897959185</c:v>
                </c:pt>
                <c:pt idx="40">
                  <c:v>9226.6578947368416</c:v>
                </c:pt>
                <c:pt idx="41">
                  <c:v>9793.2597402597403</c:v>
                </c:pt>
                <c:pt idx="42">
                  <c:v>9008.5375722543358</c:v>
                </c:pt>
                <c:pt idx="43">
                  <c:v>9474.286486486486</c:v>
                </c:pt>
                <c:pt idx="44">
                  <c:v>8417.6439790575914</c:v>
                </c:pt>
                <c:pt idx="45">
                  <c:v>6595.3549999999996</c:v>
                </c:pt>
                <c:pt idx="46">
                  <c:v>9062.8391959798992</c:v>
                </c:pt>
                <c:pt idx="47">
                  <c:v>7409.9067357512949</c:v>
                </c:pt>
                <c:pt idx="48">
                  <c:v>8634.1748633879779</c:v>
                </c:pt>
                <c:pt idx="49">
                  <c:v>8749.9411764705874</c:v>
                </c:pt>
                <c:pt idx="50">
                  <c:v>9408.1944444444453</c:v>
                </c:pt>
                <c:pt idx="51">
                  <c:v>9461.2299465240649</c:v>
                </c:pt>
                <c:pt idx="52">
                  <c:v>10926.80104712042</c:v>
                </c:pt>
                <c:pt idx="53">
                  <c:v>9228.8693467336689</c:v>
                </c:pt>
                <c:pt idx="54">
                  <c:v>9196.13567839196</c:v>
                </c:pt>
                <c:pt idx="55">
                  <c:v>11519.082840236686</c:v>
                </c:pt>
                <c:pt idx="56">
                  <c:v>8677.2287581699347</c:v>
                </c:pt>
                <c:pt idx="57">
                  <c:v>7767.2312925170072</c:v>
                </c:pt>
                <c:pt idx="58">
                  <c:v>8520.8732394366198</c:v>
                </c:pt>
                <c:pt idx="59">
                  <c:v>7215.3138686131388</c:v>
                </c:pt>
                <c:pt idx="60">
                  <c:v>9434.0955882352937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4-412F-9386-A3C3D57E3EC0}"/>
            </c:ext>
          </c:extLst>
        </c:ser>
        <c:ser>
          <c:idx val="1"/>
          <c:order val="1"/>
          <c:tx>
            <c:strRef>
              <c:f>'Dashboard 3'!$X$109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3'!$X$110:$X$182</c:f>
              <c:numCache>
                <c:formatCode>_-"$"* #,##0_-;\-"$"* #,##0_-;_-"$"* "-"??_-;_-@_-</c:formatCode>
                <c:ptCount val="73"/>
                <c:pt idx="0">
                  <c:v>8500</c:v>
                </c:pt>
                <c:pt idx="1">
                  <c:v>8500</c:v>
                </c:pt>
                <c:pt idx="2">
                  <c:v>8500</c:v>
                </c:pt>
                <c:pt idx="3">
                  <c:v>8500</c:v>
                </c:pt>
                <c:pt idx="4">
                  <c:v>8500</c:v>
                </c:pt>
                <c:pt idx="5">
                  <c:v>8500</c:v>
                </c:pt>
                <c:pt idx="6">
                  <c:v>8500</c:v>
                </c:pt>
                <c:pt idx="7">
                  <c:v>8500</c:v>
                </c:pt>
                <c:pt idx="8">
                  <c:v>8500</c:v>
                </c:pt>
                <c:pt idx="9">
                  <c:v>8500</c:v>
                </c:pt>
                <c:pt idx="10">
                  <c:v>8500</c:v>
                </c:pt>
                <c:pt idx="11">
                  <c:v>8500</c:v>
                </c:pt>
                <c:pt idx="12">
                  <c:v>8500</c:v>
                </c:pt>
                <c:pt idx="13">
                  <c:v>8500</c:v>
                </c:pt>
                <c:pt idx="14">
                  <c:v>8500</c:v>
                </c:pt>
                <c:pt idx="15">
                  <c:v>8500</c:v>
                </c:pt>
                <c:pt idx="16">
                  <c:v>8500</c:v>
                </c:pt>
                <c:pt idx="17">
                  <c:v>8500</c:v>
                </c:pt>
                <c:pt idx="18">
                  <c:v>8500</c:v>
                </c:pt>
                <c:pt idx="19">
                  <c:v>8500</c:v>
                </c:pt>
                <c:pt idx="20">
                  <c:v>8500</c:v>
                </c:pt>
                <c:pt idx="21">
                  <c:v>8500</c:v>
                </c:pt>
                <c:pt idx="22">
                  <c:v>8500</c:v>
                </c:pt>
                <c:pt idx="23">
                  <c:v>8500</c:v>
                </c:pt>
                <c:pt idx="24">
                  <c:v>8500</c:v>
                </c:pt>
                <c:pt idx="25">
                  <c:v>8500</c:v>
                </c:pt>
                <c:pt idx="26">
                  <c:v>8500</c:v>
                </c:pt>
                <c:pt idx="27">
                  <c:v>8500</c:v>
                </c:pt>
                <c:pt idx="28">
                  <c:v>8500</c:v>
                </c:pt>
                <c:pt idx="29">
                  <c:v>8500</c:v>
                </c:pt>
                <c:pt idx="30">
                  <c:v>8500</c:v>
                </c:pt>
                <c:pt idx="31">
                  <c:v>8500</c:v>
                </c:pt>
                <c:pt idx="32">
                  <c:v>8500</c:v>
                </c:pt>
                <c:pt idx="33">
                  <c:v>8500</c:v>
                </c:pt>
                <c:pt idx="34">
                  <c:v>8500</c:v>
                </c:pt>
                <c:pt idx="35">
                  <c:v>8500</c:v>
                </c:pt>
                <c:pt idx="36">
                  <c:v>8500</c:v>
                </c:pt>
                <c:pt idx="37">
                  <c:v>8500</c:v>
                </c:pt>
                <c:pt idx="38">
                  <c:v>8500</c:v>
                </c:pt>
                <c:pt idx="39">
                  <c:v>8500</c:v>
                </c:pt>
                <c:pt idx="40">
                  <c:v>8500</c:v>
                </c:pt>
                <c:pt idx="41">
                  <c:v>8500</c:v>
                </c:pt>
                <c:pt idx="42">
                  <c:v>8500</c:v>
                </c:pt>
                <c:pt idx="43">
                  <c:v>8500</c:v>
                </c:pt>
                <c:pt idx="44">
                  <c:v>8500</c:v>
                </c:pt>
                <c:pt idx="45">
                  <c:v>8500</c:v>
                </c:pt>
                <c:pt idx="46">
                  <c:v>8500</c:v>
                </c:pt>
                <c:pt idx="47">
                  <c:v>8500</c:v>
                </c:pt>
                <c:pt idx="48">
                  <c:v>8500</c:v>
                </c:pt>
                <c:pt idx="49">
                  <c:v>8500</c:v>
                </c:pt>
                <c:pt idx="50">
                  <c:v>8500</c:v>
                </c:pt>
                <c:pt idx="51">
                  <c:v>8500</c:v>
                </c:pt>
                <c:pt idx="52">
                  <c:v>8500</c:v>
                </c:pt>
                <c:pt idx="53">
                  <c:v>8500</c:v>
                </c:pt>
                <c:pt idx="54">
                  <c:v>8500</c:v>
                </c:pt>
                <c:pt idx="55">
                  <c:v>8500</c:v>
                </c:pt>
                <c:pt idx="56">
                  <c:v>8500</c:v>
                </c:pt>
                <c:pt idx="57">
                  <c:v>8500</c:v>
                </c:pt>
                <c:pt idx="58">
                  <c:v>8500</c:v>
                </c:pt>
                <c:pt idx="59">
                  <c:v>8500</c:v>
                </c:pt>
                <c:pt idx="60">
                  <c:v>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4-412F-9386-A3C3D57E3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50639"/>
        <c:axId val="1223952719"/>
      </c:lineChart>
      <c:dateAx>
        <c:axId val="122395063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2719"/>
        <c:crosses val="autoZero"/>
        <c:auto val="1"/>
        <c:lblOffset val="100"/>
        <c:baseTimeUnit val="months"/>
      </c:dateAx>
      <c:valAx>
        <c:axId val="1223952719"/>
        <c:scaling>
          <c:orientation val="minMax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Team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3'!$Z$109</c:f>
              <c:strCache>
                <c:ptCount val="1"/>
                <c:pt idx="0">
                  <c:v>Directs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  <a:extLst>
                <a:ext uri="{C807C97D-BFC1-408E-A445-0C87EB9F89A2}">
                  <ask:lineSketchStyleProps xmlns:ask="http://schemas.microsoft.com/office/drawing/2018/sketchyshapes">
                    <ask:type>
                      <ask:lineSketchFreehand/>
                    </ask:type>
                  </ask:lineSketchStyleProps>
                </a:ext>
              </a:extLst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3'!$Z$110:$Z$182</c:f>
              <c:numCache>
                <c:formatCode>General</c:formatCode>
                <c:ptCount val="73"/>
                <c:pt idx="0">
                  <c:v>76</c:v>
                </c:pt>
                <c:pt idx="1">
                  <c:v>76</c:v>
                </c:pt>
                <c:pt idx="2">
                  <c:v>76</c:v>
                </c:pt>
                <c:pt idx="3">
                  <c:v>77</c:v>
                </c:pt>
                <c:pt idx="4">
                  <c:v>83</c:v>
                </c:pt>
                <c:pt idx="5">
                  <c:v>85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81</c:v>
                </c:pt>
                <c:pt idx="10">
                  <c:v>88</c:v>
                </c:pt>
                <c:pt idx="11">
                  <c:v>80</c:v>
                </c:pt>
                <c:pt idx="12">
                  <c:v>81</c:v>
                </c:pt>
                <c:pt idx="13">
                  <c:v>82</c:v>
                </c:pt>
                <c:pt idx="14">
                  <c:v>84</c:v>
                </c:pt>
                <c:pt idx="15">
                  <c:v>79</c:v>
                </c:pt>
                <c:pt idx="16">
                  <c:v>80</c:v>
                </c:pt>
                <c:pt idx="17">
                  <c:v>75</c:v>
                </c:pt>
                <c:pt idx="18">
                  <c:v>77</c:v>
                </c:pt>
                <c:pt idx="19">
                  <c:v>77</c:v>
                </c:pt>
                <c:pt idx="20">
                  <c:v>73</c:v>
                </c:pt>
                <c:pt idx="21">
                  <c:v>68</c:v>
                </c:pt>
                <c:pt idx="22">
                  <c:v>65</c:v>
                </c:pt>
                <c:pt idx="23">
                  <c:v>64</c:v>
                </c:pt>
                <c:pt idx="24">
                  <c:v>62</c:v>
                </c:pt>
                <c:pt idx="25">
                  <c:v>66</c:v>
                </c:pt>
                <c:pt idx="26">
                  <c:v>77</c:v>
                </c:pt>
                <c:pt idx="27">
                  <c:v>85</c:v>
                </c:pt>
                <c:pt idx="28">
                  <c:v>83</c:v>
                </c:pt>
                <c:pt idx="29">
                  <c:v>83</c:v>
                </c:pt>
                <c:pt idx="30">
                  <c:v>89</c:v>
                </c:pt>
                <c:pt idx="31">
                  <c:v>90</c:v>
                </c:pt>
                <c:pt idx="32">
                  <c:v>87</c:v>
                </c:pt>
                <c:pt idx="33">
                  <c:v>82</c:v>
                </c:pt>
                <c:pt idx="34">
                  <c:v>78</c:v>
                </c:pt>
                <c:pt idx="35">
                  <c:v>89</c:v>
                </c:pt>
                <c:pt idx="36">
                  <c:v>87</c:v>
                </c:pt>
                <c:pt idx="37">
                  <c:v>89</c:v>
                </c:pt>
                <c:pt idx="38">
                  <c:v>86</c:v>
                </c:pt>
                <c:pt idx="39">
                  <c:v>95</c:v>
                </c:pt>
                <c:pt idx="40">
                  <c:v>98</c:v>
                </c:pt>
                <c:pt idx="41">
                  <c:v>101</c:v>
                </c:pt>
                <c:pt idx="42">
                  <c:v>111</c:v>
                </c:pt>
                <c:pt idx="43">
                  <c:v>128</c:v>
                </c:pt>
                <c:pt idx="44">
                  <c:v>131</c:v>
                </c:pt>
                <c:pt idx="45">
                  <c:v>139</c:v>
                </c:pt>
                <c:pt idx="46">
                  <c:v>135</c:v>
                </c:pt>
                <c:pt idx="47">
                  <c:v>128</c:v>
                </c:pt>
                <c:pt idx="48">
                  <c:v>120</c:v>
                </c:pt>
                <c:pt idx="49">
                  <c:v>118</c:v>
                </c:pt>
                <c:pt idx="50">
                  <c:v>110</c:v>
                </c:pt>
                <c:pt idx="51">
                  <c:v>116</c:v>
                </c:pt>
                <c:pt idx="52">
                  <c:v>117</c:v>
                </c:pt>
                <c:pt idx="53">
                  <c:v>126</c:v>
                </c:pt>
                <c:pt idx="54">
                  <c:v>123</c:v>
                </c:pt>
                <c:pt idx="55">
                  <c:v>101</c:v>
                </c:pt>
                <c:pt idx="56">
                  <c:v>91</c:v>
                </c:pt>
                <c:pt idx="57">
                  <c:v>87</c:v>
                </c:pt>
                <c:pt idx="58">
                  <c:v>88</c:v>
                </c:pt>
                <c:pt idx="59">
                  <c:v>74</c:v>
                </c:pt>
                <c:pt idx="60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D-4345-B40B-11E97CA391B1}"/>
            </c:ext>
          </c:extLst>
        </c:ser>
        <c:ser>
          <c:idx val="1"/>
          <c:order val="1"/>
          <c:tx>
            <c:strRef>
              <c:f>'Dashboard 3'!$AA$109</c:f>
              <c:strCache>
                <c:ptCount val="1"/>
                <c:pt idx="0">
                  <c:v>Total Team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3'!$AA$110:$AA$182</c:f>
              <c:numCache>
                <c:formatCode>General</c:formatCode>
                <c:ptCount val="73"/>
                <c:pt idx="0">
                  <c:v>115</c:v>
                </c:pt>
                <c:pt idx="1">
                  <c:v>122</c:v>
                </c:pt>
                <c:pt idx="2">
                  <c:v>121</c:v>
                </c:pt>
                <c:pt idx="3">
                  <c:v>121</c:v>
                </c:pt>
                <c:pt idx="4">
                  <c:v>126</c:v>
                </c:pt>
                <c:pt idx="5">
                  <c:v>128</c:v>
                </c:pt>
                <c:pt idx="6">
                  <c:v>127</c:v>
                </c:pt>
                <c:pt idx="7">
                  <c:v>129</c:v>
                </c:pt>
                <c:pt idx="8">
                  <c:v>135</c:v>
                </c:pt>
                <c:pt idx="9">
                  <c:v>130</c:v>
                </c:pt>
                <c:pt idx="10">
                  <c:v>128</c:v>
                </c:pt>
                <c:pt idx="11">
                  <c:v>126</c:v>
                </c:pt>
                <c:pt idx="12">
                  <c:v>127</c:v>
                </c:pt>
                <c:pt idx="13">
                  <c:v>131</c:v>
                </c:pt>
                <c:pt idx="14">
                  <c:v>131</c:v>
                </c:pt>
                <c:pt idx="15">
                  <c:v>133</c:v>
                </c:pt>
                <c:pt idx="16">
                  <c:v>132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124</c:v>
                </c:pt>
                <c:pt idx="21">
                  <c:v>126</c:v>
                </c:pt>
                <c:pt idx="22">
                  <c:v>121</c:v>
                </c:pt>
                <c:pt idx="23">
                  <c:v>119</c:v>
                </c:pt>
                <c:pt idx="24">
                  <c:v>117</c:v>
                </c:pt>
                <c:pt idx="25">
                  <c:v>118</c:v>
                </c:pt>
                <c:pt idx="26">
                  <c:v>128</c:v>
                </c:pt>
                <c:pt idx="27">
                  <c:v>135</c:v>
                </c:pt>
                <c:pt idx="28">
                  <c:v>132</c:v>
                </c:pt>
                <c:pt idx="29">
                  <c:v>135</c:v>
                </c:pt>
                <c:pt idx="30">
                  <c:v>141</c:v>
                </c:pt>
                <c:pt idx="31">
                  <c:v>141</c:v>
                </c:pt>
                <c:pt idx="32">
                  <c:v>139</c:v>
                </c:pt>
                <c:pt idx="33">
                  <c:v>136</c:v>
                </c:pt>
                <c:pt idx="34">
                  <c:v>132</c:v>
                </c:pt>
                <c:pt idx="35">
                  <c:v>138</c:v>
                </c:pt>
                <c:pt idx="36">
                  <c:v>136</c:v>
                </c:pt>
                <c:pt idx="37">
                  <c:v>140</c:v>
                </c:pt>
                <c:pt idx="38">
                  <c:v>138</c:v>
                </c:pt>
                <c:pt idx="39">
                  <c:v>147</c:v>
                </c:pt>
                <c:pt idx="40">
                  <c:v>152</c:v>
                </c:pt>
                <c:pt idx="41">
                  <c:v>154</c:v>
                </c:pt>
                <c:pt idx="42">
                  <c:v>173</c:v>
                </c:pt>
                <c:pt idx="43">
                  <c:v>185</c:v>
                </c:pt>
                <c:pt idx="44">
                  <c:v>191</c:v>
                </c:pt>
                <c:pt idx="45">
                  <c:v>200</c:v>
                </c:pt>
                <c:pt idx="46">
                  <c:v>199</c:v>
                </c:pt>
                <c:pt idx="47">
                  <c:v>193</c:v>
                </c:pt>
                <c:pt idx="48">
                  <c:v>183</c:v>
                </c:pt>
                <c:pt idx="49">
                  <c:v>187</c:v>
                </c:pt>
                <c:pt idx="50">
                  <c:v>180</c:v>
                </c:pt>
                <c:pt idx="51">
                  <c:v>187</c:v>
                </c:pt>
                <c:pt idx="52">
                  <c:v>191</c:v>
                </c:pt>
                <c:pt idx="53">
                  <c:v>199</c:v>
                </c:pt>
                <c:pt idx="54">
                  <c:v>199</c:v>
                </c:pt>
                <c:pt idx="55">
                  <c:v>169</c:v>
                </c:pt>
                <c:pt idx="56">
                  <c:v>153</c:v>
                </c:pt>
                <c:pt idx="57">
                  <c:v>147</c:v>
                </c:pt>
                <c:pt idx="58">
                  <c:v>142</c:v>
                </c:pt>
                <c:pt idx="59">
                  <c:v>137</c:v>
                </c:pt>
                <c:pt idx="6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ED-4345-B40B-11E97CA39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50639"/>
        <c:axId val="1223952719"/>
      </c:lineChart>
      <c:dateAx>
        <c:axId val="122395063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2719"/>
        <c:crosses val="autoZero"/>
        <c:auto val="1"/>
        <c:lblOffset val="100"/>
        <c:baseTimeUnit val="months"/>
      </c:dateAx>
      <c:valAx>
        <c:axId val="1223952719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Directs / Total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3'!$AB$109</c:f>
              <c:strCache>
                <c:ptCount val="1"/>
                <c:pt idx="0">
                  <c:v>Directs / Total Team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3'!$AB$110:$AB$182</c:f>
              <c:numCache>
                <c:formatCode>0%</c:formatCode>
                <c:ptCount val="73"/>
                <c:pt idx="0">
                  <c:v>0.66086956521739126</c:v>
                </c:pt>
                <c:pt idx="1">
                  <c:v>0.62295081967213117</c:v>
                </c:pt>
                <c:pt idx="2">
                  <c:v>0.62809917355371903</c:v>
                </c:pt>
                <c:pt idx="3">
                  <c:v>0.63636363636363635</c:v>
                </c:pt>
                <c:pt idx="4">
                  <c:v>0.65873015873015872</c:v>
                </c:pt>
                <c:pt idx="5">
                  <c:v>0.6640625</c:v>
                </c:pt>
                <c:pt idx="6">
                  <c:v>0.65354330708661412</c:v>
                </c:pt>
                <c:pt idx="7">
                  <c:v>0.68217054263565891</c:v>
                </c:pt>
                <c:pt idx="8">
                  <c:v>0.67407407407407405</c:v>
                </c:pt>
                <c:pt idx="9">
                  <c:v>0.62307692307692308</c:v>
                </c:pt>
                <c:pt idx="10">
                  <c:v>0.6875</c:v>
                </c:pt>
                <c:pt idx="11">
                  <c:v>0.63492063492063489</c:v>
                </c:pt>
                <c:pt idx="12">
                  <c:v>0.63779527559055116</c:v>
                </c:pt>
                <c:pt idx="13">
                  <c:v>0.62595419847328249</c:v>
                </c:pt>
                <c:pt idx="14">
                  <c:v>0.64122137404580148</c:v>
                </c:pt>
                <c:pt idx="15">
                  <c:v>0.59398496240601506</c:v>
                </c:pt>
                <c:pt idx="16">
                  <c:v>0.60606060606060608</c:v>
                </c:pt>
                <c:pt idx="17">
                  <c:v>0.5859375</c:v>
                </c:pt>
                <c:pt idx="18">
                  <c:v>0.6015625</c:v>
                </c:pt>
                <c:pt idx="19">
                  <c:v>0.6015625</c:v>
                </c:pt>
                <c:pt idx="20">
                  <c:v>0.58870967741935487</c:v>
                </c:pt>
                <c:pt idx="21">
                  <c:v>0.53968253968253965</c:v>
                </c:pt>
                <c:pt idx="22">
                  <c:v>0.53719008264462809</c:v>
                </c:pt>
                <c:pt idx="23">
                  <c:v>0.53781512605042014</c:v>
                </c:pt>
                <c:pt idx="24">
                  <c:v>0.52991452991452992</c:v>
                </c:pt>
                <c:pt idx="25">
                  <c:v>0.55932203389830504</c:v>
                </c:pt>
                <c:pt idx="26">
                  <c:v>0.6015625</c:v>
                </c:pt>
                <c:pt idx="27">
                  <c:v>0.62962962962962965</c:v>
                </c:pt>
                <c:pt idx="28">
                  <c:v>0.62878787878787878</c:v>
                </c:pt>
                <c:pt idx="29">
                  <c:v>0.61481481481481481</c:v>
                </c:pt>
                <c:pt idx="30">
                  <c:v>0.63120567375886527</c:v>
                </c:pt>
                <c:pt idx="31">
                  <c:v>0.63829787234042556</c:v>
                </c:pt>
                <c:pt idx="32">
                  <c:v>0.62589928057553956</c:v>
                </c:pt>
                <c:pt idx="33">
                  <c:v>0.6029411764705882</c:v>
                </c:pt>
                <c:pt idx="34">
                  <c:v>0.59090909090909094</c:v>
                </c:pt>
                <c:pt idx="35">
                  <c:v>0.64492753623188404</c:v>
                </c:pt>
                <c:pt idx="36">
                  <c:v>0.63970588235294112</c:v>
                </c:pt>
                <c:pt idx="37">
                  <c:v>0.63571428571428568</c:v>
                </c:pt>
                <c:pt idx="38">
                  <c:v>0.62318840579710144</c:v>
                </c:pt>
                <c:pt idx="39">
                  <c:v>0.6462585034013606</c:v>
                </c:pt>
                <c:pt idx="40">
                  <c:v>0.64473684210526316</c:v>
                </c:pt>
                <c:pt idx="41">
                  <c:v>0.6558441558441559</c:v>
                </c:pt>
                <c:pt idx="42">
                  <c:v>0.64161849710982655</c:v>
                </c:pt>
                <c:pt idx="43">
                  <c:v>0.69189189189189193</c:v>
                </c:pt>
                <c:pt idx="44">
                  <c:v>0.68586387434554974</c:v>
                </c:pt>
                <c:pt idx="45">
                  <c:v>0.69499999999999995</c:v>
                </c:pt>
                <c:pt idx="46">
                  <c:v>0.67839195979899503</c:v>
                </c:pt>
                <c:pt idx="47">
                  <c:v>0.66321243523316065</c:v>
                </c:pt>
                <c:pt idx="48">
                  <c:v>0.65573770491803274</c:v>
                </c:pt>
                <c:pt idx="49">
                  <c:v>0.63101604278074863</c:v>
                </c:pt>
                <c:pt idx="50">
                  <c:v>0.61111111111111116</c:v>
                </c:pt>
                <c:pt idx="51">
                  <c:v>0.6203208556149733</c:v>
                </c:pt>
                <c:pt idx="52">
                  <c:v>0.61256544502617805</c:v>
                </c:pt>
                <c:pt idx="53">
                  <c:v>0.63316582914572861</c:v>
                </c:pt>
                <c:pt idx="54">
                  <c:v>0.61809045226130654</c:v>
                </c:pt>
                <c:pt idx="55">
                  <c:v>0.59763313609467461</c:v>
                </c:pt>
                <c:pt idx="56">
                  <c:v>0.59477124183006536</c:v>
                </c:pt>
                <c:pt idx="57">
                  <c:v>0.59183673469387754</c:v>
                </c:pt>
                <c:pt idx="58">
                  <c:v>0.61971830985915488</c:v>
                </c:pt>
                <c:pt idx="59">
                  <c:v>0.54014598540145986</c:v>
                </c:pt>
                <c:pt idx="60">
                  <c:v>0.57352941176470584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8-498A-9B74-22212E2876AB}"/>
            </c:ext>
          </c:extLst>
        </c:ser>
        <c:ser>
          <c:idx val="1"/>
          <c:order val="1"/>
          <c:tx>
            <c:strRef>
              <c:f>'Dashboard 3'!$AC$109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3'!$AC$110:$AC$182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8-498A-9B74-22212E2876AB}"/>
            </c:ext>
          </c:extLst>
        </c:ser>
        <c:ser>
          <c:idx val="2"/>
          <c:order val="2"/>
          <c:tx>
            <c:strRef>
              <c:f>'Dashboard 3'!$AD$109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3'!$AD$110:$AD$182</c:f>
              <c:numCache>
                <c:formatCode>0%</c:formatCode>
                <c:ptCount val="73"/>
                <c:pt idx="0">
                  <c:v>0.65</c:v>
                </c:pt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0">
                  <c:v>0.65</c:v>
                </c:pt>
                <c:pt idx="31">
                  <c:v>0.65</c:v>
                </c:pt>
                <c:pt idx="32">
                  <c:v>0.65</c:v>
                </c:pt>
                <c:pt idx="33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7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1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5">
                  <c:v>0.65</c:v>
                </c:pt>
                <c:pt idx="46">
                  <c:v>0.65</c:v>
                </c:pt>
                <c:pt idx="47">
                  <c:v>0.65</c:v>
                </c:pt>
                <c:pt idx="48">
                  <c:v>0.65</c:v>
                </c:pt>
                <c:pt idx="49">
                  <c:v>0.65</c:v>
                </c:pt>
                <c:pt idx="50">
                  <c:v>0.65</c:v>
                </c:pt>
                <c:pt idx="51">
                  <c:v>0.65</c:v>
                </c:pt>
                <c:pt idx="52">
                  <c:v>0.65</c:v>
                </c:pt>
                <c:pt idx="53">
                  <c:v>0.65</c:v>
                </c:pt>
                <c:pt idx="54">
                  <c:v>0.65</c:v>
                </c:pt>
                <c:pt idx="55">
                  <c:v>0.65</c:v>
                </c:pt>
                <c:pt idx="56">
                  <c:v>0.65</c:v>
                </c:pt>
                <c:pt idx="57">
                  <c:v>0.65</c:v>
                </c:pt>
                <c:pt idx="58">
                  <c:v>0.65</c:v>
                </c:pt>
                <c:pt idx="59">
                  <c:v>0.65</c:v>
                </c:pt>
                <c:pt idx="60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48-498A-9B74-22212E287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50639"/>
        <c:axId val="1223952719"/>
      </c:lineChart>
      <c:dateAx>
        <c:axId val="122395063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2719"/>
        <c:crosses val="autoZero"/>
        <c:auto val="1"/>
        <c:lblOffset val="100"/>
        <c:baseTimeUnit val="months"/>
      </c:dateAx>
      <c:valAx>
        <c:axId val="1223952719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Labour Hours per Direct Team member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3'!$AF$109</c:f>
              <c:strCache>
                <c:ptCount val="1"/>
                <c:pt idx="0">
                  <c:v>Labour Hours / direct team member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3'!$AF$110:$AF$182</c:f>
              <c:numCache>
                <c:formatCode>0</c:formatCode>
                <c:ptCount val="73"/>
                <c:pt idx="0">
                  <c:v>108.80914473684209</c:v>
                </c:pt>
                <c:pt idx="1">
                  <c:v>112.84021052631579</c:v>
                </c:pt>
                <c:pt idx="2">
                  <c:v>107.36263157894734</c:v>
                </c:pt>
                <c:pt idx="3">
                  <c:v>108.51648051948052</c:v>
                </c:pt>
                <c:pt idx="4">
                  <c:v>115.77601204819277</c:v>
                </c:pt>
                <c:pt idx="5">
                  <c:v>101.39492941176471</c:v>
                </c:pt>
                <c:pt idx="6">
                  <c:v>113.98651807228914</c:v>
                </c:pt>
                <c:pt idx="7">
                  <c:v>110.78081818181818</c:v>
                </c:pt>
                <c:pt idx="8">
                  <c:v>66.93941758241759</c:v>
                </c:pt>
                <c:pt idx="9">
                  <c:v>92.779691358024692</c:v>
                </c:pt>
                <c:pt idx="10">
                  <c:v>92.462863636363636</c:v>
                </c:pt>
                <c:pt idx="11">
                  <c:v>106.80181250000001</c:v>
                </c:pt>
                <c:pt idx="12">
                  <c:v>77.967370370370375</c:v>
                </c:pt>
                <c:pt idx="13">
                  <c:v>110.82631707317076</c:v>
                </c:pt>
                <c:pt idx="14">
                  <c:v>93.477011904761909</c:v>
                </c:pt>
                <c:pt idx="15">
                  <c:v>103.53216455696203</c:v>
                </c:pt>
                <c:pt idx="16">
                  <c:v>106.79828749999999</c:v>
                </c:pt>
                <c:pt idx="17">
                  <c:v>103.01629333333334</c:v>
                </c:pt>
                <c:pt idx="18">
                  <c:v>103.51228571428572</c:v>
                </c:pt>
                <c:pt idx="19">
                  <c:v>99.02837662337663</c:v>
                </c:pt>
                <c:pt idx="20">
                  <c:v>74.935260273972602</c:v>
                </c:pt>
                <c:pt idx="21">
                  <c:v>113.78176470588235</c:v>
                </c:pt>
                <c:pt idx="22">
                  <c:v>109.60430769230769</c:v>
                </c:pt>
                <c:pt idx="23">
                  <c:v>89.071468750000008</c:v>
                </c:pt>
                <c:pt idx="24">
                  <c:v>48.327225806451615</c:v>
                </c:pt>
                <c:pt idx="25">
                  <c:v>123.56056060606059</c:v>
                </c:pt>
                <c:pt idx="26">
                  <c:v>116.46753246753246</c:v>
                </c:pt>
                <c:pt idx="27">
                  <c:v>122.8</c:v>
                </c:pt>
                <c:pt idx="28">
                  <c:v>110.3012048192771</c:v>
                </c:pt>
                <c:pt idx="29">
                  <c:v>115.6987951807229</c:v>
                </c:pt>
                <c:pt idx="30">
                  <c:v>107.53932584269663</c:v>
                </c:pt>
                <c:pt idx="31">
                  <c:v>110.38888888888889</c:v>
                </c:pt>
                <c:pt idx="32">
                  <c:v>83.068965517241381</c:v>
                </c:pt>
                <c:pt idx="33">
                  <c:v>93.463414634146346</c:v>
                </c:pt>
                <c:pt idx="34">
                  <c:v>94.128205128205124</c:v>
                </c:pt>
                <c:pt idx="35">
                  <c:v>108.46067415730337</c:v>
                </c:pt>
                <c:pt idx="36">
                  <c:v>91.333333333333329</c:v>
                </c:pt>
                <c:pt idx="37">
                  <c:v>102.1685393258427</c:v>
                </c:pt>
                <c:pt idx="38">
                  <c:v>100.76744186046511</c:v>
                </c:pt>
                <c:pt idx="39">
                  <c:v>103.8</c:v>
                </c:pt>
                <c:pt idx="40">
                  <c:v>95.602040816326536</c:v>
                </c:pt>
                <c:pt idx="41">
                  <c:v>112.16831683168317</c:v>
                </c:pt>
                <c:pt idx="42">
                  <c:v>105.04259459459459</c:v>
                </c:pt>
                <c:pt idx="43">
                  <c:v>88.929460937499996</c:v>
                </c:pt>
                <c:pt idx="44">
                  <c:v>105.6054961832061</c:v>
                </c:pt>
                <c:pt idx="45">
                  <c:v>77.903834532374105</c:v>
                </c:pt>
                <c:pt idx="46">
                  <c:v>92.214814814814815</c:v>
                </c:pt>
                <c:pt idx="47">
                  <c:v>110.8203125</c:v>
                </c:pt>
                <c:pt idx="48">
                  <c:v>81.316666666666663</c:v>
                </c:pt>
                <c:pt idx="49">
                  <c:v>96.466101694915253</c:v>
                </c:pt>
                <c:pt idx="50">
                  <c:v>95.190909090909088</c:v>
                </c:pt>
                <c:pt idx="51">
                  <c:v>91.293103448275858</c:v>
                </c:pt>
                <c:pt idx="52">
                  <c:v>131.66666666666666</c:v>
                </c:pt>
                <c:pt idx="53">
                  <c:v>97.246031746031747</c:v>
                </c:pt>
                <c:pt idx="54">
                  <c:v>109.98373983739837</c:v>
                </c:pt>
                <c:pt idx="55">
                  <c:v>114.44554455445545</c:v>
                </c:pt>
                <c:pt idx="56">
                  <c:v>64.813186813186817</c:v>
                </c:pt>
                <c:pt idx="57">
                  <c:v>50.574712643678161</c:v>
                </c:pt>
                <c:pt idx="58">
                  <c:v>85.068181818181813</c:v>
                </c:pt>
                <c:pt idx="59">
                  <c:v>111.74324324324324</c:v>
                </c:pt>
                <c:pt idx="60">
                  <c:v>79.269230769230774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A-48A9-8318-9FF02449F2F2}"/>
            </c:ext>
          </c:extLst>
        </c:ser>
        <c:ser>
          <c:idx val="1"/>
          <c:order val="1"/>
          <c:tx>
            <c:strRef>
              <c:f>'Dashboard 3'!$AG$109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3'!$AG$110:$AG$182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A-48A9-8318-9FF02449F2F2}"/>
            </c:ext>
          </c:extLst>
        </c:ser>
        <c:ser>
          <c:idx val="2"/>
          <c:order val="2"/>
          <c:tx>
            <c:strRef>
              <c:f>'Dashboard 3'!$AH$109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3'!$AH$110:$AH$182</c:f>
              <c:numCache>
                <c:formatCode>General</c:formatCode>
                <c:ptCount val="73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  <c:pt idx="24">
                  <c:v>130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130</c:v>
                </c:pt>
                <c:pt idx="37">
                  <c:v>130</c:v>
                </c:pt>
                <c:pt idx="38">
                  <c:v>130</c:v>
                </c:pt>
                <c:pt idx="39">
                  <c:v>130</c:v>
                </c:pt>
                <c:pt idx="40">
                  <c:v>130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130</c:v>
                </c:pt>
                <c:pt idx="45">
                  <c:v>130</c:v>
                </c:pt>
                <c:pt idx="46">
                  <c:v>130</c:v>
                </c:pt>
                <c:pt idx="47">
                  <c:v>130</c:v>
                </c:pt>
                <c:pt idx="48">
                  <c:v>130</c:v>
                </c:pt>
                <c:pt idx="49">
                  <c:v>130</c:v>
                </c:pt>
                <c:pt idx="50">
                  <c:v>130</c:v>
                </c:pt>
                <c:pt idx="51">
                  <c:v>130</c:v>
                </c:pt>
                <c:pt idx="52">
                  <c:v>130</c:v>
                </c:pt>
                <c:pt idx="53">
                  <c:v>130</c:v>
                </c:pt>
                <c:pt idx="54">
                  <c:v>130</c:v>
                </c:pt>
                <c:pt idx="55">
                  <c:v>130</c:v>
                </c:pt>
                <c:pt idx="56">
                  <c:v>130</c:v>
                </c:pt>
                <c:pt idx="57">
                  <c:v>130</c:v>
                </c:pt>
                <c:pt idx="58">
                  <c:v>130</c:v>
                </c:pt>
                <c:pt idx="59">
                  <c:v>130</c:v>
                </c:pt>
                <c:pt idx="60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A-48A9-8318-9FF02449F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4415"/>
        <c:axId val="353601087"/>
      </c:lineChart>
      <c:dateAx>
        <c:axId val="35360441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1087"/>
        <c:crosses val="autoZero"/>
        <c:auto val="1"/>
        <c:lblOffset val="100"/>
        <c:baseTimeUnit val="months"/>
      </c:dateAx>
      <c:valAx>
        <c:axId val="353601087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Recovery / Labour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3'!$AI$109</c:f>
              <c:strCache>
                <c:ptCount val="1"/>
                <c:pt idx="0">
                  <c:v>Recovery / labour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3'!$AI$110:$AI$182</c:f>
              <c:numCache>
                <c:formatCode>_-"$"* #,##0_-;\-"$"* #,##0_-;_-"$"* "-"??_-;_-@_-</c:formatCode>
                <c:ptCount val="73"/>
                <c:pt idx="0">
                  <c:v>108.22185393424871</c:v>
                </c:pt>
                <c:pt idx="1">
                  <c:v>108.27909423852267</c:v>
                </c:pt>
                <c:pt idx="2">
                  <c:v>114.61806764090223</c:v>
                </c:pt>
                <c:pt idx="3">
                  <c:v>119.61460399395914</c:v>
                </c:pt>
                <c:pt idx="4">
                  <c:v>120.79265228485956</c:v>
                </c:pt>
                <c:pt idx="5">
                  <c:v>120.33331751477537</c:v>
                </c:pt>
                <c:pt idx="6">
                  <c:v>115.73470483351397</c:v>
                </c:pt>
                <c:pt idx="7">
                  <c:v>121.38328940274363</c:v>
                </c:pt>
                <c:pt idx="8">
                  <c:v>113.9222524812086</c:v>
                </c:pt>
                <c:pt idx="9">
                  <c:v>111.19295077746231</c:v>
                </c:pt>
                <c:pt idx="10">
                  <c:v>114.96990192131204</c:v>
                </c:pt>
                <c:pt idx="11">
                  <c:v>115.73024568286235</c:v>
                </c:pt>
                <c:pt idx="12">
                  <c:v>113.71692843334114</c:v>
                </c:pt>
                <c:pt idx="13">
                  <c:v>113.99643344376025</c:v>
                </c:pt>
                <c:pt idx="14">
                  <c:v>112.88540638142634</c:v>
                </c:pt>
                <c:pt idx="15">
                  <c:v>116.93057902509597</c:v>
                </c:pt>
                <c:pt idx="16">
                  <c:v>139.64116699904952</c:v>
                </c:pt>
                <c:pt idx="17">
                  <c:v>134.26251536650125</c:v>
                </c:pt>
                <c:pt idx="18">
                  <c:v>140.62224372387692</c:v>
                </c:pt>
                <c:pt idx="19">
                  <c:v>145.04592347595499</c:v>
                </c:pt>
                <c:pt idx="20">
                  <c:v>142.35795135673277</c:v>
                </c:pt>
                <c:pt idx="21">
                  <c:v>136.10006772510843</c:v>
                </c:pt>
                <c:pt idx="22">
                  <c:v>144.21892457904519</c:v>
                </c:pt>
                <c:pt idx="23">
                  <c:v>142.24550018998085</c:v>
                </c:pt>
                <c:pt idx="24">
                  <c:v>157.63104214281137</c:v>
                </c:pt>
                <c:pt idx="25">
                  <c:v>159.09496962414579</c:v>
                </c:pt>
                <c:pt idx="26">
                  <c:v>146.98951828724353</c:v>
                </c:pt>
                <c:pt idx="27">
                  <c:v>144.87095228971069</c:v>
                </c:pt>
                <c:pt idx="28">
                  <c:v>133.0578918623703</c:v>
                </c:pt>
                <c:pt idx="29">
                  <c:v>139.53858169322086</c:v>
                </c:pt>
                <c:pt idx="30">
                  <c:v>120.62532650715704</c:v>
                </c:pt>
                <c:pt idx="31">
                  <c:v>132.55339708102667</c:v>
                </c:pt>
                <c:pt idx="32">
                  <c:v>135.01784973017851</c:v>
                </c:pt>
                <c:pt idx="33">
                  <c:v>138.05819415448852</c:v>
                </c:pt>
                <c:pt idx="34">
                  <c:v>135.89907382184691</c:v>
                </c:pt>
                <c:pt idx="35">
                  <c:v>101.9140163679685</c:v>
                </c:pt>
                <c:pt idx="36">
                  <c:v>122.31185502139441</c:v>
                </c:pt>
                <c:pt idx="37">
                  <c:v>120.85252391949851</c:v>
                </c:pt>
                <c:pt idx="38">
                  <c:v>129.62935610431572</c:v>
                </c:pt>
                <c:pt idx="39">
                  <c:v>135.75773248149275</c:v>
                </c:pt>
                <c:pt idx="40">
                  <c:v>180.7039171736578</c:v>
                </c:pt>
                <c:pt idx="41">
                  <c:v>195.73501632977315</c:v>
                </c:pt>
                <c:pt idx="42">
                  <c:v>149.89466306589657</c:v>
                </c:pt>
                <c:pt idx="43">
                  <c:v>160.68898005626124</c:v>
                </c:pt>
                <c:pt idx="44">
                  <c:v>101.99605040218819</c:v>
                </c:pt>
                <c:pt idx="45">
                  <c:v>125.02593817705338</c:v>
                </c:pt>
                <c:pt idx="46">
                  <c:v>117.74383484617238</c:v>
                </c:pt>
                <c:pt idx="47">
                  <c:v>113.14663376806486</c:v>
                </c:pt>
                <c:pt idx="48">
                  <c:v>147.50819840131174</c:v>
                </c:pt>
                <c:pt idx="49">
                  <c:v>127.36247035052271</c:v>
                </c:pt>
                <c:pt idx="50">
                  <c:v>133.15700506159871</c:v>
                </c:pt>
                <c:pt idx="51">
                  <c:v>127.08224740321057</c:v>
                </c:pt>
                <c:pt idx="52">
                  <c:v>102.22596559558585</c:v>
                </c:pt>
                <c:pt idx="53">
                  <c:v>119.41679588672162</c:v>
                </c:pt>
                <c:pt idx="54">
                  <c:v>102.55699290360734</c:v>
                </c:pt>
                <c:pt idx="55">
                  <c:v>121.80361622977766</c:v>
                </c:pt>
                <c:pt idx="56">
                  <c:v>141.09850796880298</c:v>
                </c:pt>
                <c:pt idx="57">
                  <c:v>131.89636363636365</c:v>
                </c:pt>
                <c:pt idx="58">
                  <c:v>123.79441624365482</c:v>
                </c:pt>
                <c:pt idx="59">
                  <c:v>122.57782077639376</c:v>
                </c:pt>
                <c:pt idx="60">
                  <c:v>129.14313440077632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92-4027-BFDE-D74B4818FA64}"/>
            </c:ext>
          </c:extLst>
        </c:ser>
        <c:ser>
          <c:idx val="1"/>
          <c:order val="1"/>
          <c:tx>
            <c:strRef>
              <c:f>'Dashboard 3'!$AJ$109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3'!$AJ$110:$AJ$182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92-4027-BFDE-D74B4818FA64}"/>
            </c:ext>
          </c:extLst>
        </c:ser>
        <c:ser>
          <c:idx val="2"/>
          <c:order val="2"/>
          <c:tx>
            <c:strRef>
              <c:f>'Dashboard 3'!$AK$109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3'!$AK$110:$AK$182</c:f>
              <c:numCache>
                <c:formatCode>_("$"* #,##0.00_);_("$"* \(#,##0.00\);_("$"* "-"??_);_(@_)</c:formatCode>
                <c:ptCount val="73"/>
                <c:pt idx="0">
                  <c:v>102.56019261151982</c:v>
                </c:pt>
                <c:pt idx="1">
                  <c:v>107.74038183476962</c:v>
                </c:pt>
                <c:pt idx="2">
                  <c:v>127.78495409066177</c:v>
                </c:pt>
                <c:pt idx="3">
                  <c:v>117.61562580296319</c:v>
                </c:pt>
                <c:pt idx="4">
                  <c:v>119.28090478821331</c:v>
                </c:pt>
                <c:pt idx="5">
                  <c:v>117.43492452169265</c:v>
                </c:pt>
                <c:pt idx="6">
                  <c:v>113.34906336946845</c:v>
                </c:pt>
                <c:pt idx="7">
                  <c:v>115.0397098611591</c:v>
                </c:pt>
                <c:pt idx="8">
                  <c:v>151.03258038636542</c:v>
                </c:pt>
                <c:pt idx="9">
                  <c:v>109.36540896362085</c:v>
                </c:pt>
                <c:pt idx="10">
                  <c:v>127.4788207354009</c:v>
                </c:pt>
                <c:pt idx="11">
                  <c:v>122.67851259546741</c:v>
                </c:pt>
                <c:pt idx="12">
                  <c:v>156.48157340907252</c:v>
                </c:pt>
                <c:pt idx="13">
                  <c:v>126.31861455817813</c:v>
                </c:pt>
                <c:pt idx="14">
                  <c:v>132.63765257284416</c:v>
                </c:pt>
                <c:pt idx="15">
                  <c:v>157.47469660562894</c:v>
                </c:pt>
                <c:pt idx="16">
                  <c:v>129.3405570758801</c:v>
                </c:pt>
                <c:pt idx="17">
                  <c:v>140.0691049260557</c:v>
                </c:pt>
                <c:pt idx="18">
                  <c:v>140.60317327286327</c:v>
                </c:pt>
                <c:pt idx="19">
                  <c:v>145.19962466484418</c:v>
                </c:pt>
                <c:pt idx="20">
                  <c:v>178.05360389625821</c:v>
                </c:pt>
                <c:pt idx="21">
                  <c:v>138.44420950322856</c:v>
                </c:pt>
                <c:pt idx="22">
                  <c:v>148.59298062400691</c:v>
                </c:pt>
                <c:pt idx="23">
                  <c:v>193.28001004811094</c:v>
                </c:pt>
                <c:pt idx="24">
                  <c:v>341.91205918790183</c:v>
                </c:pt>
                <c:pt idx="25">
                  <c:v>119.75025864509823</c:v>
                </c:pt>
                <c:pt idx="26">
                  <c:v>134.64194915254237</c:v>
                </c:pt>
                <c:pt idx="27">
                  <c:v>119.01073002490898</c:v>
                </c:pt>
                <c:pt idx="28">
                  <c:v>126.2616056799563</c:v>
                </c:pt>
                <c:pt idx="29">
                  <c:v>132.62595022388837</c:v>
                </c:pt>
                <c:pt idx="30">
                  <c:v>130.27228084839621</c:v>
                </c:pt>
                <c:pt idx="31">
                  <c:v>126.26099647710116</c:v>
                </c:pt>
                <c:pt idx="32">
                  <c:v>169.8530510585305</c:v>
                </c:pt>
                <c:pt idx="33">
                  <c:v>143.64665970772444</c:v>
                </c:pt>
                <c:pt idx="34">
                  <c:v>160.44279487877964</c:v>
                </c:pt>
                <c:pt idx="35">
                  <c:v>127.94095099968922</c:v>
                </c:pt>
                <c:pt idx="36">
                  <c:v>126.43304807450289</c:v>
                </c:pt>
                <c:pt idx="37">
                  <c:v>110.48465852853843</c:v>
                </c:pt>
                <c:pt idx="38">
                  <c:v>164.12958689129934</c:v>
                </c:pt>
                <c:pt idx="39">
                  <c:v>153.69698813507759</c:v>
                </c:pt>
                <c:pt idx="40">
                  <c:v>149.69068203650338</c:v>
                </c:pt>
                <c:pt idx="41">
                  <c:v>133.124018006885</c:v>
                </c:pt>
                <c:pt idx="42">
                  <c:v>133.66323811327331</c:v>
                </c:pt>
                <c:pt idx="43">
                  <c:v>153.97939606452482</c:v>
                </c:pt>
                <c:pt idx="44">
                  <c:v>116.21604820475456</c:v>
                </c:pt>
                <c:pt idx="45">
                  <c:v>121.81325195894995</c:v>
                </c:pt>
                <c:pt idx="46">
                  <c:v>144.87147562053178</c:v>
                </c:pt>
                <c:pt idx="47">
                  <c:v>100.81861120902362</c:v>
                </c:pt>
                <c:pt idx="48">
                  <c:v>161.92395982783358</c:v>
                </c:pt>
                <c:pt idx="49">
                  <c:v>143.74409206711763</c:v>
                </c:pt>
                <c:pt idx="50">
                  <c:v>161.73001623531658</c:v>
                </c:pt>
                <c:pt idx="51">
                  <c:v>167.06798866855524</c:v>
                </c:pt>
                <c:pt idx="52">
                  <c:v>135.47672833495619</c:v>
                </c:pt>
                <c:pt idx="53">
                  <c:v>149.88533420386844</c:v>
                </c:pt>
                <c:pt idx="54">
                  <c:v>135.27727675931402</c:v>
                </c:pt>
                <c:pt idx="55">
                  <c:v>168.41638550047583</c:v>
                </c:pt>
                <c:pt idx="56">
                  <c:v>225.09596473380807</c:v>
                </c:pt>
                <c:pt idx="57">
                  <c:v>259.49613636363637</c:v>
                </c:pt>
                <c:pt idx="58">
                  <c:v>161.63024312049157</c:v>
                </c:pt>
                <c:pt idx="59">
                  <c:v>119.54262909662596</c:v>
                </c:pt>
                <c:pt idx="60">
                  <c:v>207.51043182920912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92-4027-BFDE-D74B4818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4415"/>
        <c:axId val="353601087"/>
      </c:lineChart>
      <c:dateAx>
        <c:axId val="35360441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1087"/>
        <c:crosses val="autoZero"/>
        <c:auto val="1"/>
        <c:lblOffset val="100"/>
        <c:baseTimeUnit val="months"/>
      </c:dateAx>
      <c:valAx>
        <c:axId val="353601087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Recovery / Direct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3'!$AL$109</c:f>
              <c:strCache>
                <c:ptCount val="1"/>
                <c:pt idx="0">
                  <c:v>Recovery / direct team member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3'!$AL$110:$AL$182</c:f>
              <c:numCache>
                <c:formatCode>_-"$"* #,##0_-;\-"$"* #,##0_-;_-"$"* "-"??_-;_-@_-</c:formatCode>
                <c:ptCount val="73"/>
                <c:pt idx="0">
                  <c:v>11775.527368421052</c:v>
                </c:pt>
                <c:pt idx="1">
                  <c:v>12218.235789473685</c:v>
                </c:pt>
                <c:pt idx="2">
                  <c:v>12305.697368421053</c:v>
                </c:pt>
                <c:pt idx="3">
                  <c:v>12980.155844155845</c:v>
                </c:pt>
                <c:pt idx="4">
                  <c:v>13984.89156626506</c:v>
                </c:pt>
                <c:pt idx="5">
                  <c:v>12201.188235294117</c:v>
                </c:pt>
                <c:pt idx="6">
                  <c:v>13192.196024096391</c:v>
                </c:pt>
                <c:pt idx="7">
                  <c:v>13446.940113636358</c:v>
                </c:pt>
                <c:pt idx="8">
                  <c:v>7625.8892307692304</c:v>
                </c:pt>
                <c:pt idx="9">
                  <c:v>10316.447654320986</c:v>
                </c:pt>
                <c:pt idx="10">
                  <c:v>10630.446363636378</c:v>
                </c:pt>
                <c:pt idx="11">
                  <c:v>12360.2</c:v>
                </c:pt>
                <c:pt idx="12">
                  <c:v>8866.2098765432092</c:v>
                </c:pt>
                <c:pt idx="13">
                  <c:v>12633.804878048781</c:v>
                </c:pt>
                <c:pt idx="14">
                  <c:v>10552.190476190477</c:v>
                </c:pt>
                <c:pt idx="15">
                  <c:v>12106.075949367088</c:v>
                </c:pt>
                <c:pt idx="16">
                  <c:v>14913.4375</c:v>
                </c:pt>
                <c:pt idx="17">
                  <c:v>13831.226666666667</c:v>
                </c:pt>
                <c:pt idx="18">
                  <c:v>14556.129870129869</c:v>
                </c:pt>
                <c:pt idx="19">
                  <c:v>14363.662337662337</c:v>
                </c:pt>
                <c:pt idx="20">
                  <c:v>10667.630136986301</c:v>
                </c:pt>
                <c:pt idx="21">
                  <c:v>15485.705882352941</c:v>
                </c:pt>
                <c:pt idx="22">
                  <c:v>15807.015384615384</c:v>
                </c:pt>
                <c:pt idx="23">
                  <c:v>12670.015625</c:v>
                </c:pt>
                <c:pt idx="24">
                  <c:v>7617.8709677419356</c:v>
                </c:pt>
                <c:pt idx="25">
                  <c:v>19657.863636363636</c:v>
                </c:pt>
                <c:pt idx="26">
                  <c:v>17119.506493506495</c:v>
                </c:pt>
                <c:pt idx="27">
                  <c:v>17790.152941176471</c:v>
                </c:pt>
                <c:pt idx="28">
                  <c:v>14676.445783132531</c:v>
                </c:pt>
                <c:pt idx="29">
                  <c:v>16144.445783132531</c:v>
                </c:pt>
                <c:pt idx="30">
                  <c:v>12971.966292134832</c:v>
                </c:pt>
                <c:pt idx="31">
                  <c:v>14632.422222222222</c:v>
                </c:pt>
                <c:pt idx="32">
                  <c:v>11215.793103448275</c:v>
                </c:pt>
                <c:pt idx="33">
                  <c:v>12903.390243902439</c:v>
                </c:pt>
                <c:pt idx="34">
                  <c:v>12791.935897435897</c:v>
                </c:pt>
                <c:pt idx="35">
                  <c:v>11053.662921348314</c:v>
                </c:pt>
                <c:pt idx="36">
                  <c:v>11171.149425287356</c:v>
                </c:pt>
                <c:pt idx="37">
                  <c:v>12347.325842696629</c:v>
                </c:pt>
                <c:pt idx="38">
                  <c:v>13062.418604651162</c:v>
                </c:pt>
                <c:pt idx="39">
                  <c:v>14091.652631578947</c:v>
                </c:pt>
                <c:pt idx="40">
                  <c:v>17275.663265306124</c:v>
                </c:pt>
                <c:pt idx="41">
                  <c:v>21955.267326732672</c:v>
                </c:pt>
                <c:pt idx="42">
                  <c:v>15745.324324324325</c:v>
                </c:pt>
                <c:pt idx="43">
                  <c:v>14289.984375</c:v>
                </c:pt>
                <c:pt idx="44">
                  <c:v>10771.343511450381</c:v>
                </c:pt>
                <c:pt idx="45">
                  <c:v>9740</c:v>
                </c:pt>
                <c:pt idx="46">
                  <c:v>10857.725925925926</c:v>
                </c:pt>
                <c:pt idx="47">
                  <c:v>12538.9453125</c:v>
                </c:pt>
                <c:pt idx="48">
                  <c:v>11994.875</c:v>
                </c:pt>
                <c:pt idx="49">
                  <c:v>12286.161016949152</c:v>
                </c:pt>
                <c:pt idx="50">
                  <c:v>12675.336363636363</c:v>
                </c:pt>
                <c:pt idx="51">
                  <c:v>11601.73275862069</c:v>
                </c:pt>
                <c:pt idx="52">
                  <c:v>13459.752136752137</c:v>
                </c:pt>
                <c:pt idx="53">
                  <c:v>11612.809523809523</c:v>
                </c:pt>
                <c:pt idx="54">
                  <c:v>11279.60162601626</c:v>
                </c:pt>
                <c:pt idx="55">
                  <c:v>13939.881188118812</c:v>
                </c:pt>
                <c:pt idx="56">
                  <c:v>9145.0439560439554</c:v>
                </c:pt>
                <c:pt idx="57">
                  <c:v>6670.6206896551721</c:v>
                </c:pt>
                <c:pt idx="58">
                  <c:v>10530.96590909091</c:v>
                </c:pt>
                <c:pt idx="59">
                  <c:v>13697.243243243243</c:v>
                </c:pt>
                <c:pt idx="60">
                  <c:v>10237.076923076924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C-4D31-8B59-F173A51AE3D0}"/>
            </c:ext>
          </c:extLst>
        </c:ser>
        <c:ser>
          <c:idx val="1"/>
          <c:order val="1"/>
          <c:tx>
            <c:strRef>
              <c:f>'Dashboard 3'!$AM$109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3'!$AM$110:$AM$182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C-4D31-8B59-F173A51AE3D0}"/>
            </c:ext>
          </c:extLst>
        </c:ser>
        <c:ser>
          <c:idx val="2"/>
          <c:order val="2"/>
          <c:tx>
            <c:strRef>
              <c:f>'Dashboard 3'!$AN$109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3'!$AN$110:$AN$182</c:f>
              <c:numCache>
                <c:formatCode>_-"$"* #,##0_-;\-"$"* #,##0_-;_-"$"* "-"??_-;_-@_-</c:formatCode>
                <c:ptCount val="73"/>
                <c:pt idx="0">
                  <c:v>11159.486842105263</c:v>
                </c:pt>
                <c:pt idx="1">
                  <c:v>12157.447368421053</c:v>
                </c:pt>
                <c:pt idx="2">
                  <c:v>13719.328947368422</c:v>
                </c:pt>
                <c:pt idx="3">
                  <c:v>12763.233766233767</c:v>
                </c:pt>
                <c:pt idx="4">
                  <c:v>13809.867469879518</c:v>
                </c:pt>
                <c:pt idx="5">
                  <c:v>11907.305882352941</c:v>
                </c:pt>
                <c:pt idx="6">
                  <c:v>12920.265060240963</c:v>
                </c:pt>
                <c:pt idx="7">
                  <c:v>12744.193181818182</c:v>
                </c:pt>
                <c:pt idx="8">
                  <c:v>10110.032967032967</c:v>
                </c:pt>
                <c:pt idx="9">
                  <c:v>10146.888888888889</c:v>
                </c:pt>
                <c:pt idx="10">
                  <c:v>11787.056818181818</c:v>
                </c:pt>
                <c:pt idx="11">
                  <c:v>13102.2875</c:v>
                </c:pt>
                <c:pt idx="12">
                  <c:v>12200.456790123457</c:v>
                </c:pt>
                <c:pt idx="13">
                  <c:v>13999.426829268292</c:v>
                </c:pt>
                <c:pt idx="14">
                  <c:v>12398.571428571429</c:v>
                </c:pt>
                <c:pt idx="15">
                  <c:v>16303.696202531646</c:v>
                </c:pt>
                <c:pt idx="16">
                  <c:v>13813.35</c:v>
                </c:pt>
                <c:pt idx="17">
                  <c:v>14429.4</c:v>
                </c:pt>
                <c:pt idx="18">
                  <c:v>14554.155844155845</c:v>
                </c:pt>
                <c:pt idx="19">
                  <c:v>14378.883116883117</c:v>
                </c:pt>
                <c:pt idx="20">
                  <c:v>13342.493150684932</c:v>
                </c:pt>
                <c:pt idx="21">
                  <c:v>15752.426470588236</c:v>
                </c:pt>
                <c:pt idx="22">
                  <c:v>16286.430769230768</c:v>
                </c:pt>
                <c:pt idx="23">
                  <c:v>17215.734375</c:v>
                </c:pt>
                <c:pt idx="24">
                  <c:v>16523.66129032258</c:v>
                </c:pt>
                <c:pt idx="25">
                  <c:v>14796.40909090909</c:v>
                </c:pt>
                <c:pt idx="26">
                  <c:v>15681.415584415585</c:v>
                </c:pt>
                <c:pt idx="27">
                  <c:v>14614.517647058823</c:v>
                </c:pt>
                <c:pt idx="28">
                  <c:v>13926.807228915663</c:v>
                </c:pt>
                <c:pt idx="29">
                  <c:v>15344.662650602409</c:v>
                </c:pt>
                <c:pt idx="30">
                  <c:v>14009.393258426966</c:v>
                </c:pt>
                <c:pt idx="31">
                  <c:v>13937.81111111111</c:v>
                </c:pt>
                <c:pt idx="32">
                  <c:v>14109.51724137931</c:v>
                </c:pt>
                <c:pt idx="33">
                  <c:v>13425.707317073171</c:v>
                </c:pt>
                <c:pt idx="34">
                  <c:v>15102.192307692309</c:v>
                </c:pt>
                <c:pt idx="35">
                  <c:v>13876.561797752809</c:v>
                </c:pt>
                <c:pt idx="36">
                  <c:v>11547.551724137931</c:v>
                </c:pt>
                <c:pt idx="37">
                  <c:v>11288.056179775282</c:v>
                </c:pt>
                <c:pt idx="38">
                  <c:v>16538.918604651164</c:v>
                </c:pt>
                <c:pt idx="39">
                  <c:v>15953.747368421053</c:v>
                </c:pt>
                <c:pt idx="40">
                  <c:v>14310.734693877552</c:v>
                </c:pt>
                <c:pt idx="41">
                  <c:v>14932.29702970297</c:v>
                </c:pt>
                <c:pt idx="42">
                  <c:v>14040.333333333334</c:v>
                </c:pt>
                <c:pt idx="43">
                  <c:v>13693.3046875</c:v>
                </c:pt>
                <c:pt idx="44">
                  <c:v>12273.053435114503</c:v>
                </c:pt>
                <c:pt idx="45">
                  <c:v>9489.7194244604325</c:v>
                </c:pt>
                <c:pt idx="46">
                  <c:v>13359.296296296296</c:v>
                </c:pt>
                <c:pt idx="47">
                  <c:v>11172.75</c:v>
                </c:pt>
                <c:pt idx="48">
                  <c:v>13167.116666666667</c:v>
                </c:pt>
                <c:pt idx="49">
                  <c:v>13866.43220338983</c:v>
                </c:pt>
                <c:pt idx="50">
                  <c:v>15395.227272727272</c:v>
                </c:pt>
                <c:pt idx="51">
                  <c:v>15252.155172413793</c:v>
                </c:pt>
                <c:pt idx="52">
                  <c:v>17837.76923076923</c:v>
                </c:pt>
                <c:pt idx="53">
                  <c:v>14575.753968253968</c:v>
                </c:pt>
                <c:pt idx="54">
                  <c:v>14878.300813008131</c:v>
                </c:pt>
                <c:pt idx="55">
                  <c:v>19274.504950495051</c:v>
                </c:pt>
                <c:pt idx="56">
                  <c:v>14589.186813186812</c:v>
                </c:pt>
                <c:pt idx="57">
                  <c:v>13123.942528735632</c:v>
                </c:pt>
                <c:pt idx="58">
                  <c:v>13749.59090909091</c:v>
                </c:pt>
                <c:pt idx="59">
                  <c:v>13358.081081081082</c:v>
                </c:pt>
                <c:pt idx="60">
                  <c:v>16449.192307692309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C-4D31-8B59-F173A51AE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4415"/>
        <c:axId val="353601087"/>
      </c:lineChart>
      <c:dateAx>
        <c:axId val="35360441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1087"/>
        <c:crosses val="autoZero"/>
        <c:auto val="1"/>
        <c:lblOffset val="100"/>
        <c:baseTimeUnit val="months"/>
      </c:dateAx>
      <c:valAx>
        <c:axId val="353601087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Units to FG per Direct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3'!$AO$109</c:f>
              <c:strCache>
                <c:ptCount val="1"/>
                <c:pt idx="0">
                  <c:v>Units to FG per direct team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3'!$AO$110:$AO$182</c:f>
              <c:numCache>
                <c:formatCode>0</c:formatCode>
                <c:ptCount val="73"/>
                <c:pt idx="0">
                  <c:v>436.13157894736844</c:v>
                </c:pt>
                <c:pt idx="1">
                  <c:v>460.07894736842104</c:v>
                </c:pt>
                <c:pt idx="2">
                  <c:v>374.2236842105263</c:v>
                </c:pt>
                <c:pt idx="3">
                  <c:v>452.18181818181819</c:v>
                </c:pt>
                <c:pt idx="4">
                  <c:v>394.91566265060243</c:v>
                </c:pt>
                <c:pt idx="5">
                  <c:v>410.94117647058823</c:v>
                </c:pt>
                <c:pt idx="6">
                  <c:v>514.77108433734941</c:v>
                </c:pt>
                <c:pt idx="7">
                  <c:v>513.43181818181813</c:v>
                </c:pt>
                <c:pt idx="8">
                  <c:v>303.57142857142856</c:v>
                </c:pt>
                <c:pt idx="9">
                  <c:v>376.39506172839504</c:v>
                </c:pt>
                <c:pt idx="10">
                  <c:v>435.06818181818181</c:v>
                </c:pt>
                <c:pt idx="11">
                  <c:v>436.96249999999998</c:v>
                </c:pt>
                <c:pt idx="12">
                  <c:v>365.33333333333331</c:v>
                </c:pt>
                <c:pt idx="13">
                  <c:v>460.73170731707319</c:v>
                </c:pt>
                <c:pt idx="14">
                  <c:v>389.11904761904759</c:v>
                </c:pt>
                <c:pt idx="15">
                  <c:v>456.67088607594934</c:v>
                </c:pt>
                <c:pt idx="16">
                  <c:v>486.76249999999999</c:v>
                </c:pt>
                <c:pt idx="17">
                  <c:v>506.04</c:v>
                </c:pt>
                <c:pt idx="18">
                  <c:v>468.96103896103898</c:v>
                </c:pt>
                <c:pt idx="19">
                  <c:v>445.84415584415586</c:v>
                </c:pt>
                <c:pt idx="20">
                  <c:v>417.45205479452056</c:v>
                </c:pt>
                <c:pt idx="21">
                  <c:v>574.36764705882354</c:v>
                </c:pt>
                <c:pt idx="22">
                  <c:v>515.63076923076926</c:v>
                </c:pt>
                <c:pt idx="23">
                  <c:v>480.15625</c:v>
                </c:pt>
                <c:pt idx="24">
                  <c:v>135.32258064516128</c:v>
                </c:pt>
                <c:pt idx="25">
                  <c:v>559.40909090909088</c:v>
                </c:pt>
                <c:pt idx="26">
                  <c:v>621.20779220779218</c:v>
                </c:pt>
                <c:pt idx="27">
                  <c:v>564.11764705882354</c:v>
                </c:pt>
                <c:pt idx="28">
                  <c:v>511.09638554216866</c:v>
                </c:pt>
                <c:pt idx="29">
                  <c:v>513.72289156626505</c:v>
                </c:pt>
                <c:pt idx="30">
                  <c:v>439.2134831460674</c:v>
                </c:pt>
                <c:pt idx="31">
                  <c:v>523.0333333333333</c:v>
                </c:pt>
                <c:pt idx="32">
                  <c:v>381.26436781609198</c:v>
                </c:pt>
                <c:pt idx="33">
                  <c:v>409.04878048780489</c:v>
                </c:pt>
                <c:pt idx="34">
                  <c:v>403.60256410256409</c:v>
                </c:pt>
                <c:pt idx="35">
                  <c:v>567.77528089887642</c:v>
                </c:pt>
                <c:pt idx="36">
                  <c:v>412.4942528735632</c:v>
                </c:pt>
                <c:pt idx="37">
                  <c:v>565</c:v>
                </c:pt>
                <c:pt idx="38">
                  <c:v>460.32558139534882</c:v>
                </c:pt>
                <c:pt idx="39">
                  <c:v>475.15789473684208</c:v>
                </c:pt>
                <c:pt idx="40">
                  <c:v>469.48979591836735</c:v>
                </c:pt>
                <c:pt idx="41">
                  <c:v>619.03960396039599</c:v>
                </c:pt>
                <c:pt idx="42">
                  <c:v>556.43243243243239</c:v>
                </c:pt>
                <c:pt idx="43">
                  <c:v>533.796875</c:v>
                </c:pt>
                <c:pt idx="44">
                  <c:v>474.16793893129773</c:v>
                </c:pt>
                <c:pt idx="45">
                  <c:v>307.64028776978415</c:v>
                </c:pt>
                <c:pt idx="46">
                  <c:v>386.54814814814813</c:v>
                </c:pt>
                <c:pt idx="47">
                  <c:v>515.21875</c:v>
                </c:pt>
                <c:pt idx="48">
                  <c:v>489.01666666666665</c:v>
                </c:pt>
                <c:pt idx="49">
                  <c:v>482.37288135593218</c:v>
                </c:pt>
                <c:pt idx="50">
                  <c:v>535.20000000000005</c:v>
                </c:pt>
                <c:pt idx="51">
                  <c:v>414.16379310344826</c:v>
                </c:pt>
                <c:pt idx="52">
                  <c:v>433.95726495726495</c:v>
                </c:pt>
                <c:pt idx="53">
                  <c:v>507.84920634920633</c:v>
                </c:pt>
                <c:pt idx="54">
                  <c:v>432.08943089430892</c:v>
                </c:pt>
                <c:pt idx="55">
                  <c:v>356.0990099009901</c:v>
                </c:pt>
                <c:pt idx="56">
                  <c:v>220.09890109890111</c:v>
                </c:pt>
                <c:pt idx="57">
                  <c:v>199.68965517241378</c:v>
                </c:pt>
                <c:pt idx="58">
                  <c:v>314.72727272727275</c:v>
                </c:pt>
                <c:pt idx="59">
                  <c:v>414.24324324324323</c:v>
                </c:pt>
                <c:pt idx="60">
                  <c:v>308.15384615384613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D-46EC-8BFB-BA6C547BF1FD}"/>
            </c:ext>
          </c:extLst>
        </c:ser>
        <c:ser>
          <c:idx val="1"/>
          <c:order val="1"/>
          <c:tx>
            <c:strRef>
              <c:f>'Dashboard 3'!$AP$109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3'!$AP$110:$AP$182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CD-46EC-8BFB-BA6C547BF1FD}"/>
            </c:ext>
          </c:extLst>
        </c:ser>
        <c:ser>
          <c:idx val="2"/>
          <c:order val="2"/>
          <c:tx>
            <c:strRef>
              <c:f>'Dashboard 3'!$AQ$109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3'!$AQ$110:$AQ$182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CD-46EC-8BFB-BA6C547B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4415"/>
        <c:axId val="353601087"/>
      </c:lineChart>
      <c:dateAx>
        <c:axId val="35360441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1087"/>
        <c:crosses val="autoZero"/>
        <c:auto val="1"/>
        <c:lblOffset val="100"/>
        <c:baseTimeUnit val="months"/>
      </c:dateAx>
      <c:valAx>
        <c:axId val="353601087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Units to FG per Total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3'!$AR$109</c:f>
              <c:strCache>
                <c:ptCount val="1"/>
                <c:pt idx="0">
                  <c:v>Units to FG per total team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3'!$AR$110:$AR$182</c:f>
              <c:numCache>
                <c:formatCode>0</c:formatCode>
                <c:ptCount val="73"/>
                <c:pt idx="0">
                  <c:v>288.22608695652173</c:v>
                </c:pt>
                <c:pt idx="1">
                  <c:v>286.60655737704917</c:v>
                </c:pt>
                <c:pt idx="2">
                  <c:v>235.04958677685951</c:v>
                </c:pt>
                <c:pt idx="3">
                  <c:v>287.75206611570246</c:v>
                </c:pt>
                <c:pt idx="4">
                  <c:v>260.14285714285717</c:v>
                </c:pt>
                <c:pt idx="5">
                  <c:v>272.890625</c:v>
                </c:pt>
                <c:pt idx="6">
                  <c:v>336.42519685039372</c:v>
                </c:pt>
                <c:pt idx="7">
                  <c:v>350.24806201550388</c:v>
                </c:pt>
                <c:pt idx="8">
                  <c:v>204.62962962962962</c:v>
                </c:pt>
                <c:pt idx="9">
                  <c:v>234.52307692307693</c:v>
                </c:pt>
                <c:pt idx="10">
                  <c:v>299.109375</c:v>
                </c:pt>
                <c:pt idx="11">
                  <c:v>277.43650793650795</c:v>
                </c:pt>
                <c:pt idx="12">
                  <c:v>233.00787401574803</c:v>
                </c:pt>
                <c:pt idx="13">
                  <c:v>288.39694656488547</c:v>
                </c:pt>
                <c:pt idx="14">
                  <c:v>249.5114503816794</c:v>
                </c:pt>
                <c:pt idx="15">
                  <c:v>271.25563909774434</c:v>
                </c:pt>
                <c:pt idx="16">
                  <c:v>295.00757575757575</c:v>
                </c:pt>
                <c:pt idx="17">
                  <c:v>296.5078125</c:v>
                </c:pt>
                <c:pt idx="18">
                  <c:v>282.109375</c:v>
                </c:pt>
                <c:pt idx="19">
                  <c:v>268.203125</c:v>
                </c:pt>
                <c:pt idx="20">
                  <c:v>245.75806451612902</c:v>
                </c:pt>
                <c:pt idx="21">
                  <c:v>309.97619047619048</c:v>
                </c:pt>
                <c:pt idx="22">
                  <c:v>276.9917355371901</c:v>
                </c:pt>
                <c:pt idx="23">
                  <c:v>258.23529411764707</c:v>
                </c:pt>
                <c:pt idx="24">
                  <c:v>71.709401709401703</c:v>
                </c:pt>
                <c:pt idx="25">
                  <c:v>312.88983050847457</c:v>
                </c:pt>
                <c:pt idx="26">
                  <c:v>373.6953125</c:v>
                </c:pt>
                <c:pt idx="27">
                  <c:v>355.18518518518516</c:v>
                </c:pt>
                <c:pt idx="28">
                  <c:v>321.37121212121212</c:v>
                </c:pt>
                <c:pt idx="29">
                  <c:v>315.84444444444443</c:v>
                </c:pt>
                <c:pt idx="30">
                  <c:v>277.2340425531915</c:v>
                </c:pt>
                <c:pt idx="31">
                  <c:v>333.85106382978722</c:v>
                </c:pt>
                <c:pt idx="32">
                  <c:v>238.63309352517985</c:v>
                </c:pt>
                <c:pt idx="33">
                  <c:v>246.63235294117646</c:v>
                </c:pt>
                <c:pt idx="34">
                  <c:v>238.49242424242425</c:v>
                </c:pt>
                <c:pt idx="35">
                  <c:v>366.17391304347825</c:v>
                </c:pt>
                <c:pt idx="36">
                  <c:v>263.875</c:v>
                </c:pt>
                <c:pt idx="37">
                  <c:v>359.17857142857144</c:v>
                </c:pt>
                <c:pt idx="38">
                  <c:v>286.86956521739131</c:v>
                </c:pt>
                <c:pt idx="39">
                  <c:v>307.07482993197277</c:v>
                </c:pt>
                <c:pt idx="40">
                  <c:v>302.69736842105266</c:v>
                </c:pt>
                <c:pt idx="41">
                  <c:v>405.99350649350652</c:v>
                </c:pt>
                <c:pt idx="42">
                  <c:v>357.01734104046244</c:v>
                </c:pt>
                <c:pt idx="43">
                  <c:v>369.32972972972971</c:v>
                </c:pt>
                <c:pt idx="44">
                  <c:v>325.21465968586386</c:v>
                </c:pt>
                <c:pt idx="45">
                  <c:v>213.81</c:v>
                </c:pt>
                <c:pt idx="46">
                  <c:v>262.23115577889445</c:v>
                </c:pt>
                <c:pt idx="47">
                  <c:v>341.69948186528495</c:v>
                </c:pt>
                <c:pt idx="48">
                  <c:v>320.66666666666669</c:v>
                </c:pt>
                <c:pt idx="49">
                  <c:v>304.38502673796791</c:v>
                </c:pt>
                <c:pt idx="50">
                  <c:v>327.06666666666666</c:v>
                </c:pt>
                <c:pt idx="51">
                  <c:v>256.91443850267382</c:v>
                </c:pt>
                <c:pt idx="52">
                  <c:v>265.82722513089004</c:v>
                </c:pt>
                <c:pt idx="53">
                  <c:v>321.5527638190955</c:v>
                </c:pt>
                <c:pt idx="54">
                  <c:v>267.07035175879395</c:v>
                </c:pt>
                <c:pt idx="55">
                  <c:v>212.81656804733728</c:v>
                </c:pt>
                <c:pt idx="56">
                  <c:v>130.90849673202615</c:v>
                </c:pt>
                <c:pt idx="57">
                  <c:v>118.18367346938776</c:v>
                </c:pt>
                <c:pt idx="58">
                  <c:v>195.04225352112675</c:v>
                </c:pt>
                <c:pt idx="59">
                  <c:v>223.75182481751824</c:v>
                </c:pt>
                <c:pt idx="60">
                  <c:v>176.73529411764707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B8-4E4B-B9FA-66161B700DC6}"/>
            </c:ext>
          </c:extLst>
        </c:ser>
        <c:ser>
          <c:idx val="1"/>
          <c:order val="1"/>
          <c:tx>
            <c:strRef>
              <c:f>'Dashboard 3'!$AS$109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3'!$AS$110:$AS$182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B8-4E4B-B9FA-66161B700DC6}"/>
            </c:ext>
          </c:extLst>
        </c:ser>
        <c:ser>
          <c:idx val="2"/>
          <c:order val="2"/>
          <c:tx>
            <c:strRef>
              <c:f>'Dashboard 3'!$AT$109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3'!$AT$110:$AT$182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B8-4E4B-B9FA-66161B700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04415"/>
        <c:axId val="353601087"/>
      </c:lineChart>
      <c:dateAx>
        <c:axId val="35360441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1087"/>
        <c:crosses val="autoZero"/>
        <c:auto val="1"/>
        <c:lblOffset val="100"/>
        <c:baseTimeUnit val="months"/>
      </c:dateAx>
      <c:valAx>
        <c:axId val="353601087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Scrap value for</a:t>
            </a:r>
            <a:r>
              <a:rPr lang="en-NZ" baseline="0"/>
              <a:t> every $100 to FG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3'!$AU$109</c:f>
              <c:strCache>
                <c:ptCount val="1"/>
                <c:pt idx="0">
                  <c:v>Scrap per $100 to FG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3'!$AU$110:$AU$182</c:f>
              <c:numCache>
                <c:formatCode>_("$"* #,##0.00_);_("$"* \(#,##0.00\);_("$"* "-"??_);_(@_)</c:formatCode>
                <c:ptCount val="73"/>
                <c:pt idx="0">
                  <c:v>0.39321110231407108</c:v>
                </c:pt>
                <c:pt idx="1">
                  <c:v>0.88040198537658998</c:v>
                </c:pt>
                <c:pt idx="2">
                  <c:v>0.44704341776402479</c:v>
                </c:pt>
                <c:pt idx="3">
                  <c:v>0.46118438680061646</c:v>
                </c:pt>
                <c:pt idx="4">
                  <c:v>0.4972184800198165</c:v>
                </c:pt>
                <c:pt idx="5">
                  <c:v>0.47706578585457166</c:v>
                </c:pt>
                <c:pt idx="6">
                  <c:v>0.62858966296696117</c:v>
                </c:pt>
                <c:pt idx="7">
                  <c:v>0.45996576528584071</c:v>
                </c:pt>
                <c:pt idx="8">
                  <c:v>0.39595906944624709</c:v>
                </c:pt>
                <c:pt idx="9">
                  <c:v>-0.35083064942974512</c:v>
                </c:pt>
                <c:pt idx="10">
                  <c:v>0.39088628990920865</c:v>
                </c:pt>
                <c:pt idx="11">
                  <c:v>0.45785130156818232</c:v>
                </c:pt>
                <c:pt idx="12">
                  <c:v>0.33320652360405517</c:v>
                </c:pt>
                <c:pt idx="13">
                  <c:v>0.46529130460646312</c:v>
                </c:pt>
                <c:pt idx="14">
                  <c:v>0.36012333388315726</c:v>
                </c:pt>
                <c:pt idx="15">
                  <c:v>2.6131867622562552</c:v>
                </c:pt>
                <c:pt idx="16">
                  <c:v>-2.2213585097993208E-2</c:v>
                </c:pt>
                <c:pt idx="17">
                  <c:v>0.45198532756747484</c:v>
                </c:pt>
                <c:pt idx="18">
                  <c:v>0.27680588106761422</c:v>
                </c:pt>
                <c:pt idx="19">
                  <c:v>1.079440223524209E-2</c:v>
                </c:pt>
                <c:pt idx="20">
                  <c:v>0.23279418370855165</c:v>
                </c:pt>
                <c:pt idx="21">
                  <c:v>0.21045684252311925</c:v>
                </c:pt>
                <c:pt idx="22">
                  <c:v>9.5750831001575859E-2</c:v>
                </c:pt>
                <c:pt idx="23">
                  <c:v>0.75522599285345793</c:v>
                </c:pt>
                <c:pt idx="24">
                  <c:v>0.18233722371033143</c:v>
                </c:pt>
                <c:pt idx="25">
                  <c:v>0.20108322543110368</c:v>
                </c:pt>
                <c:pt idx="26">
                  <c:v>0.25116048209377528</c:v>
                </c:pt>
                <c:pt idx="27">
                  <c:v>0.40672233946539355</c:v>
                </c:pt>
                <c:pt idx="28">
                  <c:v>0.38559133224411241</c:v>
                </c:pt>
                <c:pt idx="29">
                  <c:v>0.37341967527593817</c:v>
                </c:pt>
                <c:pt idx="30">
                  <c:v>0.34047561426619732</c:v>
                </c:pt>
                <c:pt idx="31">
                  <c:v>0.18263549189311273</c:v>
                </c:pt>
                <c:pt idx="32">
                  <c:v>0.34369398910931576</c:v>
                </c:pt>
                <c:pt idx="33">
                  <c:v>0.23313404133026069</c:v>
                </c:pt>
                <c:pt idx="34">
                  <c:v>0.70734757593405251</c:v>
                </c:pt>
                <c:pt idx="35">
                  <c:v>-0.27710069590367264</c:v>
                </c:pt>
                <c:pt idx="36">
                  <c:v>0.43784599587669215</c:v>
                </c:pt>
                <c:pt idx="37">
                  <c:v>0.27845891463789546</c:v>
                </c:pt>
                <c:pt idx="38">
                  <c:v>0.41065225470797134</c:v>
                </c:pt>
                <c:pt idx="39">
                  <c:v>0.17966811850567307</c:v>
                </c:pt>
                <c:pt idx="40">
                  <c:v>0.45312312069546834</c:v>
                </c:pt>
                <c:pt idx="41">
                  <c:v>0.38778736983497591</c:v>
                </c:pt>
                <c:pt idx="42">
                  <c:v>0.60970362069072226</c:v>
                </c:pt>
                <c:pt idx="43">
                  <c:v>0.27476332809131526</c:v>
                </c:pt>
                <c:pt idx="44">
                  <c:v>0.30037420955913463</c:v>
                </c:pt>
                <c:pt idx="45">
                  <c:v>0.49196983864470145</c:v>
                </c:pt>
                <c:pt idx="46">
                  <c:v>0.7607444377607675</c:v>
                </c:pt>
                <c:pt idx="47">
                  <c:v>-9.013182682680429E-2</c:v>
                </c:pt>
                <c:pt idx="48">
                  <c:v>7.0432505526577177E-2</c:v>
                </c:pt>
                <c:pt idx="49">
                  <c:v>0.48438938890556554</c:v>
                </c:pt>
                <c:pt idx="50">
                  <c:v>0.45911832057879698</c:v>
                </c:pt>
                <c:pt idx="51">
                  <c:v>0.32544870149255462</c:v>
                </c:pt>
                <c:pt idx="52">
                  <c:v>0.79520154699489076</c:v>
                </c:pt>
                <c:pt idx="53">
                  <c:v>0.31005076682704152</c:v>
                </c:pt>
                <c:pt idx="54">
                  <c:v>0.54169964971336348</c:v>
                </c:pt>
                <c:pt idx="55">
                  <c:v>0.31750010669048279</c:v>
                </c:pt>
                <c:pt idx="56">
                  <c:v>0.99491748650680623</c:v>
                </c:pt>
                <c:pt idx="57">
                  <c:v>-0.28678524240824377</c:v>
                </c:pt>
                <c:pt idx="58">
                  <c:v>0.51796966875514383</c:v>
                </c:pt>
                <c:pt idx="59">
                  <c:v>0.16648305187306608</c:v>
                </c:pt>
                <c:pt idx="60">
                  <c:v>0.55217897384698411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3-48B4-B23C-124FA24A77CC}"/>
            </c:ext>
          </c:extLst>
        </c:ser>
        <c:ser>
          <c:idx val="1"/>
          <c:order val="1"/>
          <c:tx>
            <c:strRef>
              <c:f>'Dashboard 3'!$AV$109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3'!$AV$110:$AV$182</c:f>
              <c:numCache>
                <c:formatCode>_("$"* #,##0.00_);_("$"* \(#,##0.00\);_("$"* "-"??_);_(@_)</c:formatCode>
                <c:ptCount val="73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3-48B4-B23C-124FA24A77CC}"/>
            </c:ext>
          </c:extLst>
        </c:ser>
        <c:ser>
          <c:idx val="2"/>
          <c:order val="2"/>
          <c:tx>
            <c:strRef>
              <c:f>'Dashboard 3'!$AW$109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3'!$AW$110:$AW$182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3-48B4-B23C-124FA24A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$ Transferred to FG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3'!$AX$109</c:f>
              <c:strCache>
                <c:ptCount val="1"/>
                <c:pt idx="0">
                  <c:v>$ Transfer to FG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3'!$AX$110:$AX$182</c:f>
              <c:numCache>
                <c:formatCode>_-"$"* #,##0_-;\-"$"* #,##0_-;_-"$"* "-"??_-;_-@_-</c:formatCode>
                <c:ptCount val="73"/>
                <c:pt idx="0">
                  <c:v>4277600.4800000004</c:v>
                </c:pt>
                <c:pt idx="1">
                  <c:v>4635382.55</c:v>
                </c:pt>
                <c:pt idx="2">
                  <c:v>4695293.38</c:v>
                </c:pt>
                <c:pt idx="3">
                  <c:v>5173418.8499999996</c:v>
                </c:pt>
                <c:pt idx="4">
                  <c:v>6032358.25</c:v>
                </c:pt>
                <c:pt idx="5">
                  <c:v>5549339.4800000004</c:v>
                </c:pt>
                <c:pt idx="6">
                  <c:v>5670790.04</c:v>
                </c:pt>
                <c:pt idx="7">
                  <c:v>6463959.3300000001</c:v>
                </c:pt>
                <c:pt idx="8">
                  <c:v>3456165.31</c:v>
                </c:pt>
                <c:pt idx="9">
                  <c:v>4410960.1100000003</c:v>
                </c:pt>
                <c:pt idx="10">
                  <c:v>4759440.4000000004</c:v>
                </c:pt>
                <c:pt idx="11">
                  <c:v>5541973.9800000004</c:v>
                </c:pt>
                <c:pt idx="12">
                  <c:v>3712412.31</c:v>
                </c:pt>
                <c:pt idx="13">
                  <c:v>5567479.9299999997</c:v>
                </c:pt>
                <c:pt idx="14">
                  <c:v>4504290.1900000004</c:v>
                </c:pt>
                <c:pt idx="15">
                  <c:v>5013074.53</c:v>
                </c:pt>
                <c:pt idx="16">
                  <c:v>5510141.6299999999</c:v>
                </c:pt>
                <c:pt idx="17">
                  <c:v>5463230.4400000004</c:v>
                </c:pt>
                <c:pt idx="18">
                  <c:v>5494825.4500000002</c:v>
                </c:pt>
                <c:pt idx="19">
                  <c:v>5484324.0700000003</c:v>
                </c:pt>
                <c:pt idx="20">
                  <c:v>3832569.98</c:v>
                </c:pt>
                <c:pt idx="21">
                  <c:v>5219122.3</c:v>
                </c:pt>
                <c:pt idx="22">
                  <c:v>4998390.04</c:v>
                </c:pt>
                <c:pt idx="23">
                  <c:v>3853416.1</c:v>
                </c:pt>
                <c:pt idx="24">
                  <c:v>2311650.86</c:v>
                </c:pt>
                <c:pt idx="25">
                  <c:v>6138751.7400000002</c:v>
                </c:pt>
                <c:pt idx="26">
                  <c:v>6430948</c:v>
                </c:pt>
                <c:pt idx="27">
                  <c:v>7451275</c:v>
                </c:pt>
                <c:pt idx="28">
                  <c:v>5621755</c:v>
                </c:pt>
                <c:pt idx="29">
                  <c:v>5924969</c:v>
                </c:pt>
                <c:pt idx="30">
                  <c:v>5648569</c:v>
                </c:pt>
                <c:pt idx="31">
                  <c:v>6154335</c:v>
                </c:pt>
                <c:pt idx="32">
                  <c:v>4568308</c:v>
                </c:pt>
                <c:pt idx="33">
                  <c:v>4840134</c:v>
                </c:pt>
                <c:pt idx="34">
                  <c:v>4600143</c:v>
                </c:pt>
                <c:pt idx="35">
                  <c:v>5568012</c:v>
                </c:pt>
                <c:pt idx="36">
                  <c:v>4844169</c:v>
                </c:pt>
                <c:pt idx="37">
                  <c:v>5464720</c:v>
                </c:pt>
                <c:pt idx="38">
                  <c:v>5464721</c:v>
                </c:pt>
                <c:pt idx="39">
                  <c:v>6986771</c:v>
                </c:pt>
                <c:pt idx="40">
                  <c:v>10143380</c:v>
                </c:pt>
                <c:pt idx="41">
                  <c:v>16448447</c:v>
                </c:pt>
                <c:pt idx="42">
                  <c:v>17127174</c:v>
                </c:pt>
                <c:pt idx="43">
                  <c:v>15363040</c:v>
                </c:pt>
                <c:pt idx="44">
                  <c:v>11226330</c:v>
                </c:pt>
                <c:pt idx="45">
                  <c:v>9733117</c:v>
                </c:pt>
                <c:pt idx="46">
                  <c:v>10406780</c:v>
                </c:pt>
                <c:pt idx="47">
                  <c:v>10658832</c:v>
                </c:pt>
                <c:pt idx="48">
                  <c:v>8970290</c:v>
                </c:pt>
                <c:pt idx="49">
                  <c:v>9434352</c:v>
                </c:pt>
                <c:pt idx="50">
                  <c:v>9335502</c:v>
                </c:pt>
                <c:pt idx="51">
                  <c:v>8608730</c:v>
                </c:pt>
                <c:pt idx="52">
                  <c:v>10343667</c:v>
                </c:pt>
                <c:pt idx="53">
                  <c:v>10066416</c:v>
                </c:pt>
                <c:pt idx="54">
                  <c:v>9729746</c:v>
                </c:pt>
                <c:pt idx="55">
                  <c:v>7428029</c:v>
                </c:pt>
                <c:pt idx="56">
                  <c:v>4104662</c:v>
                </c:pt>
                <c:pt idx="57">
                  <c:v>2924488</c:v>
                </c:pt>
                <c:pt idx="58">
                  <c:v>4442152</c:v>
                </c:pt>
                <c:pt idx="59">
                  <c:v>5123044</c:v>
                </c:pt>
                <c:pt idx="60">
                  <c:v>4202804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4-455C-95B8-36BF97F7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  <c:min val="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Units to FG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3'!$AY$109</c:f>
              <c:strCache>
                <c:ptCount val="1"/>
                <c:pt idx="0">
                  <c:v>Total Finished Goods Units (SEC&amp;AM)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3'!$AY$110:$AY$182</c:f>
              <c:numCache>
                <c:formatCode>_-* #,##0_-;\-* #,##0_-;_-* "-"??_-;_-@_-</c:formatCode>
                <c:ptCount val="73"/>
                <c:pt idx="0">
                  <c:v>33146</c:v>
                </c:pt>
                <c:pt idx="1">
                  <c:v>34966</c:v>
                </c:pt>
                <c:pt idx="2">
                  <c:v>28441</c:v>
                </c:pt>
                <c:pt idx="3">
                  <c:v>34818</c:v>
                </c:pt>
                <c:pt idx="4">
                  <c:v>32778</c:v>
                </c:pt>
                <c:pt idx="5">
                  <c:v>34930</c:v>
                </c:pt>
                <c:pt idx="6">
                  <c:v>42726</c:v>
                </c:pt>
                <c:pt idx="7">
                  <c:v>45182</c:v>
                </c:pt>
                <c:pt idx="8">
                  <c:v>27625</c:v>
                </c:pt>
                <c:pt idx="9">
                  <c:v>30488</c:v>
                </c:pt>
                <c:pt idx="10">
                  <c:v>38286</c:v>
                </c:pt>
                <c:pt idx="11">
                  <c:v>34957</c:v>
                </c:pt>
                <c:pt idx="12">
                  <c:v>29592</c:v>
                </c:pt>
                <c:pt idx="13">
                  <c:v>37780</c:v>
                </c:pt>
                <c:pt idx="14">
                  <c:v>32686</c:v>
                </c:pt>
                <c:pt idx="15">
                  <c:v>36077</c:v>
                </c:pt>
                <c:pt idx="16">
                  <c:v>38941</c:v>
                </c:pt>
                <c:pt idx="17">
                  <c:v>37953</c:v>
                </c:pt>
                <c:pt idx="18">
                  <c:v>36110</c:v>
                </c:pt>
                <c:pt idx="19">
                  <c:v>34330</c:v>
                </c:pt>
                <c:pt idx="20">
                  <c:v>30474</c:v>
                </c:pt>
                <c:pt idx="21">
                  <c:v>39057</c:v>
                </c:pt>
                <c:pt idx="22">
                  <c:v>33516</c:v>
                </c:pt>
                <c:pt idx="23">
                  <c:v>30730</c:v>
                </c:pt>
                <c:pt idx="24">
                  <c:v>8390</c:v>
                </c:pt>
                <c:pt idx="25">
                  <c:v>36921</c:v>
                </c:pt>
                <c:pt idx="26">
                  <c:v>47833</c:v>
                </c:pt>
                <c:pt idx="27">
                  <c:v>47950</c:v>
                </c:pt>
                <c:pt idx="28">
                  <c:v>42421</c:v>
                </c:pt>
                <c:pt idx="29">
                  <c:v>42639</c:v>
                </c:pt>
                <c:pt idx="30">
                  <c:v>39090</c:v>
                </c:pt>
                <c:pt idx="31">
                  <c:v>47073</c:v>
                </c:pt>
                <c:pt idx="32">
                  <c:v>33170</c:v>
                </c:pt>
                <c:pt idx="33">
                  <c:v>33542</c:v>
                </c:pt>
                <c:pt idx="34">
                  <c:v>31481</c:v>
                </c:pt>
                <c:pt idx="35">
                  <c:v>50532</c:v>
                </c:pt>
                <c:pt idx="36">
                  <c:v>35887</c:v>
                </c:pt>
                <c:pt idx="37">
                  <c:v>50285</c:v>
                </c:pt>
                <c:pt idx="38">
                  <c:v>39588</c:v>
                </c:pt>
                <c:pt idx="39">
                  <c:v>45140</c:v>
                </c:pt>
                <c:pt idx="40">
                  <c:v>46010</c:v>
                </c:pt>
                <c:pt idx="41">
                  <c:v>62523</c:v>
                </c:pt>
                <c:pt idx="42">
                  <c:v>61764</c:v>
                </c:pt>
                <c:pt idx="43">
                  <c:v>68326</c:v>
                </c:pt>
                <c:pt idx="44">
                  <c:v>62116</c:v>
                </c:pt>
                <c:pt idx="45">
                  <c:v>42762</c:v>
                </c:pt>
                <c:pt idx="46">
                  <c:v>52184</c:v>
                </c:pt>
                <c:pt idx="47">
                  <c:v>65948</c:v>
                </c:pt>
                <c:pt idx="48">
                  <c:v>58682</c:v>
                </c:pt>
                <c:pt idx="49">
                  <c:v>56920</c:v>
                </c:pt>
                <c:pt idx="50">
                  <c:v>58872</c:v>
                </c:pt>
                <c:pt idx="51">
                  <c:v>48043</c:v>
                </c:pt>
                <c:pt idx="52">
                  <c:v>50773</c:v>
                </c:pt>
                <c:pt idx="53">
                  <c:v>63989</c:v>
                </c:pt>
                <c:pt idx="54">
                  <c:v>53147</c:v>
                </c:pt>
                <c:pt idx="55">
                  <c:v>35966</c:v>
                </c:pt>
                <c:pt idx="56">
                  <c:v>20029</c:v>
                </c:pt>
                <c:pt idx="57">
                  <c:v>17373</c:v>
                </c:pt>
                <c:pt idx="58">
                  <c:v>27696</c:v>
                </c:pt>
                <c:pt idx="59">
                  <c:v>30654</c:v>
                </c:pt>
                <c:pt idx="60">
                  <c:v>24036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C-4C99-9416-A5D6911D2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Final Assy FG Units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3'!$AZ$109</c:f>
              <c:strCache>
                <c:ptCount val="1"/>
                <c:pt idx="0">
                  <c:v>AM Completed Units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3'!$AZ$110:$AZ$182</c:f>
              <c:numCache>
                <c:formatCode>_-* #,##0_-;\-* #,##0_-;_-* "-"??_-;_-@_-</c:formatCode>
                <c:ptCount val="73"/>
                <c:pt idx="0">
                  <c:v>20901</c:v>
                </c:pt>
                <c:pt idx="1">
                  <c:v>23076</c:v>
                </c:pt>
                <c:pt idx="2">
                  <c:v>16145</c:v>
                </c:pt>
                <c:pt idx="3">
                  <c:v>20668</c:v>
                </c:pt>
                <c:pt idx="4">
                  <c:v>19075</c:v>
                </c:pt>
                <c:pt idx="5">
                  <c:v>19388</c:v>
                </c:pt>
                <c:pt idx="6">
                  <c:v>22739</c:v>
                </c:pt>
                <c:pt idx="7">
                  <c:v>27348</c:v>
                </c:pt>
                <c:pt idx="8">
                  <c:v>14857</c:v>
                </c:pt>
                <c:pt idx="9">
                  <c:v>18623</c:v>
                </c:pt>
                <c:pt idx="10">
                  <c:v>22506</c:v>
                </c:pt>
                <c:pt idx="11">
                  <c:v>23577</c:v>
                </c:pt>
                <c:pt idx="12">
                  <c:v>17632</c:v>
                </c:pt>
                <c:pt idx="13">
                  <c:v>25155</c:v>
                </c:pt>
                <c:pt idx="14">
                  <c:v>19784</c:v>
                </c:pt>
                <c:pt idx="15">
                  <c:v>20600</c:v>
                </c:pt>
                <c:pt idx="16">
                  <c:v>22383</c:v>
                </c:pt>
                <c:pt idx="17">
                  <c:v>18712</c:v>
                </c:pt>
                <c:pt idx="18">
                  <c:v>20819</c:v>
                </c:pt>
                <c:pt idx="19">
                  <c:v>19078</c:v>
                </c:pt>
                <c:pt idx="20">
                  <c:v>16236</c:v>
                </c:pt>
                <c:pt idx="21">
                  <c:v>20816</c:v>
                </c:pt>
                <c:pt idx="22">
                  <c:v>18454</c:v>
                </c:pt>
                <c:pt idx="23">
                  <c:v>14246</c:v>
                </c:pt>
                <c:pt idx="24">
                  <c:v>2666</c:v>
                </c:pt>
                <c:pt idx="25">
                  <c:v>20053</c:v>
                </c:pt>
                <c:pt idx="26">
                  <c:v>21176</c:v>
                </c:pt>
                <c:pt idx="27">
                  <c:v>23811</c:v>
                </c:pt>
                <c:pt idx="28">
                  <c:v>24509</c:v>
                </c:pt>
                <c:pt idx="29">
                  <c:v>28438</c:v>
                </c:pt>
                <c:pt idx="30">
                  <c:v>24173</c:v>
                </c:pt>
                <c:pt idx="31">
                  <c:v>30110</c:v>
                </c:pt>
                <c:pt idx="32">
                  <c:v>25265</c:v>
                </c:pt>
                <c:pt idx="33">
                  <c:v>21091</c:v>
                </c:pt>
                <c:pt idx="34">
                  <c:v>21053</c:v>
                </c:pt>
                <c:pt idx="35">
                  <c:v>30719</c:v>
                </c:pt>
                <c:pt idx="36">
                  <c:v>25043</c:v>
                </c:pt>
                <c:pt idx="37">
                  <c:v>32022</c:v>
                </c:pt>
                <c:pt idx="38">
                  <c:v>25960</c:v>
                </c:pt>
                <c:pt idx="39">
                  <c:v>25274</c:v>
                </c:pt>
                <c:pt idx="40">
                  <c:v>22068</c:v>
                </c:pt>
                <c:pt idx="41">
                  <c:v>28205</c:v>
                </c:pt>
                <c:pt idx="42">
                  <c:v>25626</c:v>
                </c:pt>
                <c:pt idx="43">
                  <c:v>29346</c:v>
                </c:pt>
                <c:pt idx="44">
                  <c:v>31486</c:v>
                </c:pt>
                <c:pt idx="45">
                  <c:v>23494</c:v>
                </c:pt>
                <c:pt idx="46">
                  <c:v>30389</c:v>
                </c:pt>
                <c:pt idx="47">
                  <c:v>36422</c:v>
                </c:pt>
                <c:pt idx="48">
                  <c:v>31089</c:v>
                </c:pt>
                <c:pt idx="49">
                  <c:v>31238</c:v>
                </c:pt>
                <c:pt idx="50">
                  <c:v>23416</c:v>
                </c:pt>
                <c:pt idx="51">
                  <c:v>19303</c:v>
                </c:pt>
                <c:pt idx="52">
                  <c:v>21795</c:v>
                </c:pt>
                <c:pt idx="53">
                  <c:v>24158</c:v>
                </c:pt>
                <c:pt idx="54">
                  <c:v>19975</c:v>
                </c:pt>
                <c:pt idx="55">
                  <c:v>14889</c:v>
                </c:pt>
                <c:pt idx="56">
                  <c:v>9042</c:v>
                </c:pt>
                <c:pt idx="57">
                  <c:v>8989</c:v>
                </c:pt>
                <c:pt idx="58">
                  <c:v>16350</c:v>
                </c:pt>
                <c:pt idx="59">
                  <c:v>20663</c:v>
                </c:pt>
                <c:pt idx="60">
                  <c:v>14493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B-4413-91A5-7DC0880B0E3A}"/>
            </c:ext>
          </c:extLst>
        </c:ser>
        <c:ser>
          <c:idx val="1"/>
          <c:order val="1"/>
          <c:tx>
            <c:strRef>
              <c:f>'Dashboard 3'!$BA$109</c:f>
              <c:strCache>
                <c:ptCount val="1"/>
                <c:pt idx="0">
                  <c:v>SEC Completed Units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3'!$BA$110:$BA$182</c:f>
              <c:numCache>
                <c:formatCode>_-* #,##0_-;\-* #,##0_-;_-* "-"??_-;_-@_-</c:formatCode>
                <c:ptCount val="73"/>
                <c:pt idx="0">
                  <c:v>12245</c:v>
                </c:pt>
                <c:pt idx="1">
                  <c:v>11890</c:v>
                </c:pt>
                <c:pt idx="2">
                  <c:v>12296</c:v>
                </c:pt>
                <c:pt idx="3">
                  <c:v>14150</c:v>
                </c:pt>
                <c:pt idx="4">
                  <c:v>13703</c:v>
                </c:pt>
                <c:pt idx="5">
                  <c:v>15542</c:v>
                </c:pt>
                <c:pt idx="6">
                  <c:v>19987</c:v>
                </c:pt>
                <c:pt idx="7">
                  <c:v>17834</c:v>
                </c:pt>
                <c:pt idx="8">
                  <c:v>12768</c:v>
                </c:pt>
                <c:pt idx="9">
                  <c:v>11865</c:v>
                </c:pt>
                <c:pt idx="10">
                  <c:v>15780</c:v>
                </c:pt>
                <c:pt idx="11">
                  <c:v>11380</c:v>
                </c:pt>
                <c:pt idx="12">
                  <c:v>11960</c:v>
                </c:pt>
                <c:pt idx="13">
                  <c:v>12625</c:v>
                </c:pt>
                <c:pt idx="14">
                  <c:v>12902</c:v>
                </c:pt>
                <c:pt idx="15">
                  <c:v>15477</c:v>
                </c:pt>
                <c:pt idx="16">
                  <c:v>16558</c:v>
                </c:pt>
                <c:pt idx="17">
                  <c:v>19241</c:v>
                </c:pt>
                <c:pt idx="18">
                  <c:v>15291</c:v>
                </c:pt>
                <c:pt idx="19">
                  <c:v>15252</c:v>
                </c:pt>
                <c:pt idx="20">
                  <c:v>14238</c:v>
                </c:pt>
                <c:pt idx="21">
                  <c:v>18241</c:v>
                </c:pt>
                <c:pt idx="22">
                  <c:v>15062</c:v>
                </c:pt>
                <c:pt idx="23">
                  <c:v>16484</c:v>
                </c:pt>
                <c:pt idx="24">
                  <c:v>5724</c:v>
                </c:pt>
                <c:pt idx="25">
                  <c:v>16868</c:v>
                </c:pt>
                <c:pt idx="26">
                  <c:v>26657</c:v>
                </c:pt>
                <c:pt idx="27">
                  <c:v>24139</c:v>
                </c:pt>
                <c:pt idx="28">
                  <c:v>17912</c:v>
                </c:pt>
                <c:pt idx="29">
                  <c:v>14201</c:v>
                </c:pt>
                <c:pt idx="30">
                  <c:v>14917</c:v>
                </c:pt>
                <c:pt idx="31">
                  <c:v>16963</c:v>
                </c:pt>
                <c:pt idx="32">
                  <c:v>7905</c:v>
                </c:pt>
                <c:pt idx="33">
                  <c:v>12451</c:v>
                </c:pt>
                <c:pt idx="34">
                  <c:v>10428</c:v>
                </c:pt>
                <c:pt idx="35">
                  <c:v>19813</c:v>
                </c:pt>
                <c:pt idx="36">
                  <c:v>10844</c:v>
                </c:pt>
                <c:pt idx="37">
                  <c:v>18263</c:v>
                </c:pt>
                <c:pt idx="38">
                  <c:v>13628</c:v>
                </c:pt>
                <c:pt idx="39">
                  <c:v>19866</c:v>
                </c:pt>
                <c:pt idx="40">
                  <c:v>23942</c:v>
                </c:pt>
                <c:pt idx="41">
                  <c:v>34318</c:v>
                </c:pt>
                <c:pt idx="42">
                  <c:v>36138</c:v>
                </c:pt>
                <c:pt idx="43">
                  <c:v>38980</c:v>
                </c:pt>
                <c:pt idx="44">
                  <c:v>30630</c:v>
                </c:pt>
                <c:pt idx="45">
                  <c:v>19268</c:v>
                </c:pt>
                <c:pt idx="46">
                  <c:v>21795</c:v>
                </c:pt>
                <c:pt idx="47">
                  <c:v>29526</c:v>
                </c:pt>
                <c:pt idx="48">
                  <c:v>27593</c:v>
                </c:pt>
                <c:pt idx="49">
                  <c:v>25682</c:v>
                </c:pt>
                <c:pt idx="50">
                  <c:v>35456</c:v>
                </c:pt>
                <c:pt idx="51">
                  <c:v>28740</c:v>
                </c:pt>
                <c:pt idx="52">
                  <c:v>28978</c:v>
                </c:pt>
                <c:pt idx="53">
                  <c:v>39831</c:v>
                </c:pt>
                <c:pt idx="54">
                  <c:v>33172</c:v>
                </c:pt>
                <c:pt idx="55">
                  <c:v>21077</c:v>
                </c:pt>
                <c:pt idx="56">
                  <c:v>10987</c:v>
                </c:pt>
                <c:pt idx="57">
                  <c:v>8384</c:v>
                </c:pt>
                <c:pt idx="58">
                  <c:v>11346</c:v>
                </c:pt>
                <c:pt idx="59">
                  <c:v>9991</c:v>
                </c:pt>
                <c:pt idx="60">
                  <c:v>9543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B-4413-91A5-7DC0880B0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50639"/>
        <c:axId val="1223952719"/>
      </c:lineChart>
      <c:dateAx>
        <c:axId val="122395063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2719"/>
        <c:crosses val="autoZero"/>
        <c:auto val="1"/>
        <c:lblOffset val="100"/>
        <c:baseTimeUnit val="months"/>
      </c:dateAx>
      <c:valAx>
        <c:axId val="122395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Sub Assembly Units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3'!$BB$109</c:f>
              <c:strCache>
                <c:ptCount val="1"/>
                <c:pt idx="0">
                  <c:v>Modules PCB's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3'!$BB$110:$BB$182</c:f>
              <c:numCache>
                <c:formatCode>_-* #,##0_-;\-* #,##0_-;_-* "-"??_-;_-@_-</c:formatCode>
                <c:ptCount val="73"/>
                <c:pt idx="0">
                  <c:v>43329</c:v>
                </c:pt>
                <c:pt idx="1">
                  <c:v>36292</c:v>
                </c:pt>
                <c:pt idx="2">
                  <c:v>31555</c:v>
                </c:pt>
                <c:pt idx="3">
                  <c:v>48803</c:v>
                </c:pt>
                <c:pt idx="4">
                  <c:v>47529</c:v>
                </c:pt>
                <c:pt idx="5">
                  <c:v>46660</c:v>
                </c:pt>
                <c:pt idx="6">
                  <c:v>56609</c:v>
                </c:pt>
                <c:pt idx="7">
                  <c:v>44085</c:v>
                </c:pt>
                <c:pt idx="8">
                  <c:v>29618</c:v>
                </c:pt>
                <c:pt idx="9">
                  <c:v>32500</c:v>
                </c:pt>
                <c:pt idx="10">
                  <c:v>33054</c:v>
                </c:pt>
                <c:pt idx="11">
                  <c:v>40036</c:v>
                </c:pt>
                <c:pt idx="12">
                  <c:v>31642</c:v>
                </c:pt>
                <c:pt idx="13">
                  <c:v>42571</c:v>
                </c:pt>
                <c:pt idx="14">
                  <c:v>42661</c:v>
                </c:pt>
                <c:pt idx="15">
                  <c:v>62701</c:v>
                </c:pt>
                <c:pt idx="16">
                  <c:v>47148</c:v>
                </c:pt>
                <c:pt idx="17">
                  <c:v>52455</c:v>
                </c:pt>
                <c:pt idx="18">
                  <c:v>55404</c:v>
                </c:pt>
                <c:pt idx="19">
                  <c:v>44484</c:v>
                </c:pt>
                <c:pt idx="20">
                  <c:v>42262</c:v>
                </c:pt>
                <c:pt idx="21">
                  <c:v>50058</c:v>
                </c:pt>
                <c:pt idx="22">
                  <c:v>46023</c:v>
                </c:pt>
                <c:pt idx="23">
                  <c:v>54126</c:v>
                </c:pt>
                <c:pt idx="24">
                  <c:v>7734</c:v>
                </c:pt>
                <c:pt idx="25">
                  <c:v>46990</c:v>
                </c:pt>
                <c:pt idx="26">
                  <c:v>61357</c:v>
                </c:pt>
                <c:pt idx="27">
                  <c:v>52884</c:v>
                </c:pt>
                <c:pt idx="28">
                  <c:v>55544</c:v>
                </c:pt>
                <c:pt idx="29">
                  <c:v>45106</c:v>
                </c:pt>
                <c:pt idx="30">
                  <c:v>51740</c:v>
                </c:pt>
                <c:pt idx="31">
                  <c:v>65536</c:v>
                </c:pt>
                <c:pt idx="32">
                  <c:v>32406</c:v>
                </c:pt>
                <c:pt idx="33">
                  <c:v>34378</c:v>
                </c:pt>
                <c:pt idx="34">
                  <c:v>40800</c:v>
                </c:pt>
                <c:pt idx="35">
                  <c:v>56926</c:v>
                </c:pt>
                <c:pt idx="36">
                  <c:v>44560</c:v>
                </c:pt>
                <c:pt idx="37">
                  <c:v>49588</c:v>
                </c:pt>
                <c:pt idx="38">
                  <c:v>48437</c:v>
                </c:pt>
                <c:pt idx="39">
                  <c:v>47168</c:v>
                </c:pt>
                <c:pt idx="40">
                  <c:v>76959</c:v>
                </c:pt>
                <c:pt idx="41">
                  <c:v>79466</c:v>
                </c:pt>
                <c:pt idx="42">
                  <c:v>75159</c:v>
                </c:pt>
                <c:pt idx="43">
                  <c:v>84812</c:v>
                </c:pt>
                <c:pt idx="44">
                  <c:v>64750</c:v>
                </c:pt>
                <c:pt idx="45">
                  <c:v>56660</c:v>
                </c:pt>
                <c:pt idx="46">
                  <c:v>58263</c:v>
                </c:pt>
                <c:pt idx="47">
                  <c:v>75368</c:v>
                </c:pt>
                <c:pt idx="48">
                  <c:v>64025</c:v>
                </c:pt>
                <c:pt idx="49">
                  <c:v>74483</c:v>
                </c:pt>
                <c:pt idx="50">
                  <c:v>73221</c:v>
                </c:pt>
                <c:pt idx="51">
                  <c:v>62066</c:v>
                </c:pt>
                <c:pt idx="52">
                  <c:v>66539</c:v>
                </c:pt>
                <c:pt idx="53">
                  <c:v>55611</c:v>
                </c:pt>
                <c:pt idx="54">
                  <c:v>62739</c:v>
                </c:pt>
                <c:pt idx="55">
                  <c:v>60004</c:v>
                </c:pt>
                <c:pt idx="56">
                  <c:v>41200</c:v>
                </c:pt>
                <c:pt idx="57">
                  <c:v>18898</c:v>
                </c:pt>
                <c:pt idx="58">
                  <c:v>26205</c:v>
                </c:pt>
                <c:pt idx="59">
                  <c:v>35024</c:v>
                </c:pt>
                <c:pt idx="60">
                  <c:v>25705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C-4A8A-8F58-570530E33B67}"/>
            </c:ext>
          </c:extLst>
        </c:ser>
        <c:ser>
          <c:idx val="1"/>
          <c:order val="1"/>
          <c:tx>
            <c:strRef>
              <c:f>'Dashboard 3'!$BC$109</c:f>
              <c:strCache>
                <c:ptCount val="1"/>
                <c:pt idx="0">
                  <c:v>XFMR's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3'!$BC$110:$BC$182</c:f>
              <c:numCache>
                <c:formatCode>_-* #,##0_-;\-* #,##0_-;_-* "-"??_-;_-@_-</c:formatCode>
                <c:ptCount val="73"/>
                <c:pt idx="0">
                  <c:v>20420</c:v>
                </c:pt>
                <c:pt idx="1">
                  <c:v>15988</c:v>
                </c:pt>
                <c:pt idx="2">
                  <c:v>11828</c:v>
                </c:pt>
                <c:pt idx="3">
                  <c:v>15815</c:v>
                </c:pt>
                <c:pt idx="4">
                  <c:v>13214</c:v>
                </c:pt>
                <c:pt idx="5">
                  <c:v>18050</c:v>
                </c:pt>
                <c:pt idx="6">
                  <c:v>20984</c:v>
                </c:pt>
                <c:pt idx="7">
                  <c:v>20087</c:v>
                </c:pt>
                <c:pt idx="8">
                  <c:v>14973</c:v>
                </c:pt>
                <c:pt idx="9">
                  <c:v>18112</c:v>
                </c:pt>
                <c:pt idx="10">
                  <c:v>16132</c:v>
                </c:pt>
                <c:pt idx="11">
                  <c:v>17603</c:v>
                </c:pt>
                <c:pt idx="12">
                  <c:v>15554</c:v>
                </c:pt>
                <c:pt idx="13">
                  <c:v>18571</c:v>
                </c:pt>
                <c:pt idx="14">
                  <c:v>15706</c:v>
                </c:pt>
                <c:pt idx="15">
                  <c:v>22787</c:v>
                </c:pt>
                <c:pt idx="16">
                  <c:v>16384</c:v>
                </c:pt>
                <c:pt idx="17">
                  <c:v>20194</c:v>
                </c:pt>
                <c:pt idx="18">
                  <c:v>16317</c:v>
                </c:pt>
                <c:pt idx="19">
                  <c:v>14217</c:v>
                </c:pt>
                <c:pt idx="20">
                  <c:v>12514</c:v>
                </c:pt>
                <c:pt idx="21">
                  <c:v>16445</c:v>
                </c:pt>
                <c:pt idx="22">
                  <c:v>13516</c:v>
                </c:pt>
                <c:pt idx="23">
                  <c:v>21103</c:v>
                </c:pt>
                <c:pt idx="24">
                  <c:v>3349</c:v>
                </c:pt>
                <c:pt idx="25">
                  <c:v>18279</c:v>
                </c:pt>
                <c:pt idx="26">
                  <c:v>21124</c:v>
                </c:pt>
                <c:pt idx="27">
                  <c:v>15318</c:v>
                </c:pt>
                <c:pt idx="28">
                  <c:v>26131</c:v>
                </c:pt>
                <c:pt idx="29">
                  <c:v>27003</c:v>
                </c:pt>
                <c:pt idx="30">
                  <c:v>26659</c:v>
                </c:pt>
                <c:pt idx="31">
                  <c:v>31529</c:v>
                </c:pt>
                <c:pt idx="32">
                  <c:v>11482</c:v>
                </c:pt>
                <c:pt idx="33">
                  <c:v>21182</c:v>
                </c:pt>
                <c:pt idx="34">
                  <c:v>18744</c:v>
                </c:pt>
                <c:pt idx="35">
                  <c:v>25138</c:v>
                </c:pt>
                <c:pt idx="36">
                  <c:v>18272</c:v>
                </c:pt>
                <c:pt idx="37">
                  <c:v>23730</c:v>
                </c:pt>
                <c:pt idx="38">
                  <c:v>20702</c:v>
                </c:pt>
                <c:pt idx="39">
                  <c:v>21659</c:v>
                </c:pt>
                <c:pt idx="40">
                  <c:v>25562</c:v>
                </c:pt>
                <c:pt idx="41">
                  <c:v>22259</c:v>
                </c:pt>
                <c:pt idx="42">
                  <c:v>24389</c:v>
                </c:pt>
                <c:pt idx="43">
                  <c:v>28636</c:v>
                </c:pt>
                <c:pt idx="44">
                  <c:v>17991</c:v>
                </c:pt>
                <c:pt idx="45">
                  <c:v>21366</c:v>
                </c:pt>
                <c:pt idx="46">
                  <c:v>28277</c:v>
                </c:pt>
                <c:pt idx="47">
                  <c:v>32072</c:v>
                </c:pt>
                <c:pt idx="48">
                  <c:v>20194</c:v>
                </c:pt>
                <c:pt idx="49">
                  <c:v>19509</c:v>
                </c:pt>
                <c:pt idx="50">
                  <c:v>19549</c:v>
                </c:pt>
                <c:pt idx="51">
                  <c:v>13790</c:v>
                </c:pt>
                <c:pt idx="52">
                  <c:v>12866</c:v>
                </c:pt>
                <c:pt idx="53">
                  <c:v>13565</c:v>
                </c:pt>
                <c:pt idx="54">
                  <c:v>12484</c:v>
                </c:pt>
                <c:pt idx="55">
                  <c:v>8667</c:v>
                </c:pt>
                <c:pt idx="56">
                  <c:v>11704</c:v>
                </c:pt>
                <c:pt idx="57">
                  <c:v>6174</c:v>
                </c:pt>
                <c:pt idx="58">
                  <c:v>9476</c:v>
                </c:pt>
                <c:pt idx="59">
                  <c:v>14175</c:v>
                </c:pt>
                <c:pt idx="60">
                  <c:v>12422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C-4A8A-8F58-570530E3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50639"/>
        <c:axId val="1223952719"/>
      </c:lineChart>
      <c:dateAx>
        <c:axId val="122395063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2719"/>
        <c:crosses val="autoZero"/>
        <c:auto val="1"/>
        <c:lblOffset val="100"/>
        <c:baseTimeUnit val="months"/>
      </c:dateAx>
      <c:valAx>
        <c:axId val="122395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Average FG</a:t>
            </a:r>
            <a:r>
              <a:rPr lang="en-NZ" baseline="0"/>
              <a:t> Units made per SKU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3'!$BD$109</c:f>
              <c:strCache>
                <c:ptCount val="1"/>
                <c:pt idx="0">
                  <c:v>FG Units / SKU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3'!$BD$110:$BD$182</c:f>
              <c:numCache>
                <c:formatCode>0</c:formatCode>
                <c:ptCount val="73"/>
                <c:pt idx="0">
                  <c:v>162.48039215686273</c:v>
                </c:pt>
                <c:pt idx="1">
                  <c:v>168.10576923076923</c:v>
                </c:pt>
                <c:pt idx="2">
                  <c:v>157.13259668508286</c:v>
                </c:pt>
                <c:pt idx="3">
                  <c:v>166.59330143540669</c:v>
                </c:pt>
                <c:pt idx="4">
                  <c:v>151.05069124423963</c:v>
                </c:pt>
                <c:pt idx="5">
                  <c:v>195.13966480446928</c:v>
                </c:pt>
                <c:pt idx="6">
                  <c:v>214.7035175879397</c:v>
                </c:pt>
                <c:pt idx="7">
                  <c:v>218.27053140096618</c:v>
                </c:pt>
                <c:pt idx="8">
                  <c:v>194.54225352112675</c:v>
                </c:pt>
                <c:pt idx="9">
                  <c:v>206</c:v>
                </c:pt>
                <c:pt idx="10">
                  <c:v>221.30635838150289</c:v>
                </c:pt>
                <c:pt idx="11">
                  <c:v>189.98369565217391</c:v>
                </c:pt>
                <c:pt idx="12">
                  <c:v>171.05202312138729</c:v>
                </c:pt>
                <c:pt idx="13">
                  <c:v>192.75510204081633</c:v>
                </c:pt>
                <c:pt idx="14">
                  <c:v>187.85057471264369</c:v>
                </c:pt>
                <c:pt idx="15">
                  <c:v>191.89893617021278</c:v>
                </c:pt>
                <c:pt idx="16">
                  <c:v>184.55450236966826</c:v>
                </c:pt>
                <c:pt idx="17">
                  <c:v>224.57396449704143</c:v>
                </c:pt>
                <c:pt idx="18">
                  <c:v>190.05263157894737</c:v>
                </c:pt>
                <c:pt idx="19">
                  <c:v>189.66850828729281</c:v>
                </c:pt>
                <c:pt idx="20">
                  <c:v>236.23255813953489</c:v>
                </c:pt>
                <c:pt idx="21">
                  <c:v>258.65562913907286</c:v>
                </c:pt>
                <c:pt idx="22">
                  <c:v>193.73410404624278</c:v>
                </c:pt>
                <c:pt idx="23">
                  <c:v>199.54545454545453</c:v>
                </c:pt>
                <c:pt idx="24">
                  <c:v>204.63414634146341</c:v>
                </c:pt>
                <c:pt idx="25">
                  <c:v>226.50920245398774</c:v>
                </c:pt>
                <c:pt idx="26">
                  <c:v>254.43085106382978</c:v>
                </c:pt>
                <c:pt idx="27">
                  <c:v>264.91712707182319</c:v>
                </c:pt>
                <c:pt idx="28">
                  <c:v>214.24747474747474</c:v>
                </c:pt>
                <c:pt idx="29">
                  <c:v>214.26633165829145</c:v>
                </c:pt>
                <c:pt idx="30">
                  <c:v>206.82539682539684</c:v>
                </c:pt>
                <c:pt idx="31">
                  <c:v>254.44864864864866</c:v>
                </c:pt>
                <c:pt idx="32">
                  <c:v>181.2568306010929</c:v>
                </c:pt>
                <c:pt idx="33">
                  <c:v>192.77011494252875</c:v>
                </c:pt>
                <c:pt idx="34">
                  <c:v>160.61734693877551</c:v>
                </c:pt>
                <c:pt idx="35">
                  <c:v>252.66</c:v>
                </c:pt>
                <c:pt idx="36">
                  <c:v>220.16564417177915</c:v>
                </c:pt>
                <c:pt idx="37">
                  <c:v>271.81081081081084</c:v>
                </c:pt>
                <c:pt idx="38">
                  <c:v>200.95431472081219</c:v>
                </c:pt>
                <c:pt idx="39">
                  <c:v>246.66666666666666</c:v>
                </c:pt>
                <c:pt idx="40">
                  <c:v>258.4831460674157</c:v>
                </c:pt>
                <c:pt idx="41">
                  <c:v>314.1859296482412</c:v>
                </c:pt>
                <c:pt idx="42">
                  <c:v>365.46745562130178</c:v>
                </c:pt>
                <c:pt idx="43">
                  <c:v>293.24463519313304</c:v>
                </c:pt>
                <c:pt idx="44">
                  <c:v>301.53398058252429</c:v>
                </c:pt>
                <c:pt idx="45">
                  <c:v>223.88481675392671</c:v>
                </c:pt>
                <c:pt idx="46">
                  <c:v>237.2</c:v>
                </c:pt>
                <c:pt idx="47">
                  <c:v>364.35359116022101</c:v>
                </c:pt>
                <c:pt idx="48">
                  <c:v>391.21333333333331</c:v>
                </c:pt>
                <c:pt idx="49">
                  <c:v>268.49056603773585</c:v>
                </c:pt>
                <c:pt idx="50">
                  <c:v>321.70491803278691</c:v>
                </c:pt>
                <c:pt idx="51">
                  <c:v>266.90555555555557</c:v>
                </c:pt>
                <c:pt idx="52">
                  <c:v>237.25700934579439</c:v>
                </c:pt>
                <c:pt idx="53">
                  <c:v>319.94499999999999</c:v>
                </c:pt>
                <c:pt idx="54">
                  <c:v>241.57727272727271</c:v>
                </c:pt>
                <c:pt idx="55">
                  <c:v>197.61538461538461</c:v>
                </c:pt>
                <c:pt idx="56">
                  <c:v>178.83035714285714</c:v>
                </c:pt>
                <c:pt idx="57">
                  <c:v>172.009900990099</c:v>
                </c:pt>
                <c:pt idx="58">
                  <c:v>170.96296296296296</c:v>
                </c:pt>
                <c:pt idx="59">
                  <c:v>181.38461538461539</c:v>
                </c:pt>
                <c:pt idx="60">
                  <c:v>189.25984251968504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F-45AD-AEFC-0C6ED9C88D3F}"/>
            </c:ext>
          </c:extLst>
        </c:ser>
        <c:ser>
          <c:idx val="1"/>
          <c:order val="1"/>
          <c:tx>
            <c:strRef>
              <c:f>'Dashboard 3'!$BE$109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3'!$BE$110:$BE$182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1F-45AD-AEFC-0C6ED9C88D3F}"/>
            </c:ext>
          </c:extLst>
        </c:ser>
        <c:ser>
          <c:idx val="2"/>
          <c:order val="2"/>
          <c:tx>
            <c:strRef>
              <c:f>'Dashboard 3'!$BF$109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3'!$BF$110:$BF$182</c:f>
              <c:numCache>
                <c:formatCode>General</c:formatCode>
                <c:ptCount val="73"/>
                <c:pt idx="0">
                  <c:v>272</c:v>
                </c:pt>
                <c:pt idx="1">
                  <c:v>272</c:v>
                </c:pt>
                <c:pt idx="2">
                  <c:v>272</c:v>
                </c:pt>
                <c:pt idx="3">
                  <c:v>272</c:v>
                </c:pt>
                <c:pt idx="4">
                  <c:v>272</c:v>
                </c:pt>
                <c:pt idx="5">
                  <c:v>272</c:v>
                </c:pt>
                <c:pt idx="6">
                  <c:v>272</c:v>
                </c:pt>
                <c:pt idx="7">
                  <c:v>272</c:v>
                </c:pt>
                <c:pt idx="8">
                  <c:v>272</c:v>
                </c:pt>
                <c:pt idx="9">
                  <c:v>272</c:v>
                </c:pt>
                <c:pt idx="10">
                  <c:v>272</c:v>
                </c:pt>
                <c:pt idx="11">
                  <c:v>272</c:v>
                </c:pt>
                <c:pt idx="12">
                  <c:v>272</c:v>
                </c:pt>
                <c:pt idx="13">
                  <c:v>272</c:v>
                </c:pt>
                <c:pt idx="14">
                  <c:v>272</c:v>
                </c:pt>
                <c:pt idx="15">
                  <c:v>272</c:v>
                </c:pt>
                <c:pt idx="16">
                  <c:v>272</c:v>
                </c:pt>
                <c:pt idx="17">
                  <c:v>272</c:v>
                </c:pt>
                <c:pt idx="18">
                  <c:v>272</c:v>
                </c:pt>
                <c:pt idx="19">
                  <c:v>272</c:v>
                </c:pt>
                <c:pt idx="20">
                  <c:v>272</c:v>
                </c:pt>
                <c:pt idx="21">
                  <c:v>272</c:v>
                </c:pt>
                <c:pt idx="22">
                  <c:v>272</c:v>
                </c:pt>
                <c:pt idx="23">
                  <c:v>272</c:v>
                </c:pt>
                <c:pt idx="24">
                  <c:v>272</c:v>
                </c:pt>
                <c:pt idx="25">
                  <c:v>272</c:v>
                </c:pt>
                <c:pt idx="26">
                  <c:v>272</c:v>
                </c:pt>
                <c:pt idx="27">
                  <c:v>272</c:v>
                </c:pt>
                <c:pt idx="28">
                  <c:v>272</c:v>
                </c:pt>
                <c:pt idx="29">
                  <c:v>272</c:v>
                </c:pt>
                <c:pt idx="30">
                  <c:v>272</c:v>
                </c:pt>
                <c:pt idx="31">
                  <c:v>272</c:v>
                </c:pt>
                <c:pt idx="32">
                  <c:v>272</c:v>
                </c:pt>
                <c:pt idx="33">
                  <c:v>272</c:v>
                </c:pt>
                <c:pt idx="34">
                  <c:v>272</c:v>
                </c:pt>
                <c:pt idx="35">
                  <c:v>272</c:v>
                </c:pt>
                <c:pt idx="36">
                  <c:v>272</c:v>
                </c:pt>
                <c:pt idx="37">
                  <c:v>272</c:v>
                </c:pt>
                <c:pt idx="38">
                  <c:v>272</c:v>
                </c:pt>
                <c:pt idx="39">
                  <c:v>272</c:v>
                </c:pt>
                <c:pt idx="40">
                  <c:v>272</c:v>
                </c:pt>
                <c:pt idx="41">
                  <c:v>272</c:v>
                </c:pt>
                <c:pt idx="42">
                  <c:v>272</c:v>
                </c:pt>
                <c:pt idx="43">
                  <c:v>272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272</c:v>
                </c:pt>
                <c:pt idx="50">
                  <c:v>272</c:v>
                </c:pt>
                <c:pt idx="51">
                  <c:v>272</c:v>
                </c:pt>
                <c:pt idx="52">
                  <c:v>272</c:v>
                </c:pt>
                <c:pt idx="53">
                  <c:v>272</c:v>
                </c:pt>
                <c:pt idx="54">
                  <c:v>272</c:v>
                </c:pt>
                <c:pt idx="55">
                  <c:v>272</c:v>
                </c:pt>
                <c:pt idx="56">
                  <c:v>272</c:v>
                </c:pt>
                <c:pt idx="57">
                  <c:v>272</c:v>
                </c:pt>
                <c:pt idx="58">
                  <c:v>272</c:v>
                </c:pt>
                <c:pt idx="59">
                  <c:v>272</c:v>
                </c:pt>
                <c:pt idx="60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1F-45AD-AEFC-0C6ED9C88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Average FG Units per W/O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3'!$BG$109</c:f>
              <c:strCache>
                <c:ptCount val="1"/>
                <c:pt idx="0">
                  <c:v>FG Units / W/O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3'!$BG$110:$BG$182</c:f>
              <c:numCache>
                <c:formatCode>0</c:formatCode>
                <c:ptCount val="73"/>
                <c:pt idx="0">
                  <c:v>80.647201946472023</c:v>
                </c:pt>
                <c:pt idx="1">
                  <c:v>86.123152709359601</c:v>
                </c:pt>
                <c:pt idx="2">
                  <c:v>80.115492957746483</c:v>
                </c:pt>
                <c:pt idx="3">
                  <c:v>80.784222737819022</c:v>
                </c:pt>
                <c:pt idx="4">
                  <c:v>74.49545454545455</c:v>
                </c:pt>
                <c:pt idx="5">
                  <c:v>95.698630136986296</c:v>
                </c:pt>
                <c:pt idx="6">
                  <c:v>98.902777777777771</c:v>
                </c:pt>
                <c:pt idx="7">
                  <c:v>116.44845360824742</c:v>
                </c:pt>
                <c:pt idx="8">
                  <c:v>114.6265560165975</c:v>
                </c:pt>
                <c:pt idx="9">
                  <c:v>120.50592885375494</c:v>
                </c:pt>
                <c:pt idx="10">
                  <c:v>127.19601328903654</c:v>
                </c:pt>
                <c:pt idx="11">
                  <c:v>100.45114942528735</c:v>
                </c:pt>
                <c:pt idx="12">
                  <c:v>89.945288753799389</c:v>
                </c:pt>
                <c:pt idx="13">
                  <c:v>97.120822622107966</c:v>
                </c:pt>
                <c:pt idx="14">
                  <c:v>93.388571428571424</c:v>
                </c:pt>
                <c:pt idx="15">
                  <c:v>103.37249283667622</c:v>
                </c:pt>
                <c:pt idx="16">
                  <c:v>108.16944444444445</c:v>
                </c:pt>
                <c:pt idx="17">
                  <c:v>116.42024539877301</c:v>
                </c:pt>
                <c:pt idx="18">
                  <c:v>107.15133531157269</c:v>
                </c:pt>
                <c:pt idx="19">
                  <c:v>113.67549668874172</c:v>
                </c:pt>
                <c:pt idx="20">
                  <c:v>136.04464285714286</c:v>
                </c:pt>
                <c:pt idx="21">
                  <c:v>133.30034129692834</c:v>
                </c:pt>
                <c:pt idx="22">
                  <c:v>110.61386138613861</c:v>
                </c:pt>
                <c:pt idx="23">
                  <c:v>109.35943060498221</c:v>
                </c:pt>
                <c:pt idx="24">
                  <c:v>149.82142857142858</c:v>
                </c:pt>
                <c:pt idx="25">
                  <c:v>127.31379310344828</c:v>
                </c:pt>
                <c:pt idx="26">
                  <c:v>137.45114942528735</c:v>
                </c:pt>
                <c:pt idx="27">
                  <c:v>135.07042253521126</c:v>
                </c:pt>
                <c:pt idx="28">
                  <c:v>122.95942028985507</c:v>
                </c:pt>
                <c:pt idx="29">
                  <c:v>119.10335195530726</c:v>
                </c:pt>
                <c:pt idx="30">
                  <c:v>113.63372093023256</c:v>
                </c:pt>
                <c:pt idx="31">
                  <c:v>150.875</c:v>
                </c:pt>
                <c:pt idx="32">
                  <c:v>115.57491289198606</c:v>
                </c:pt>
                <c:pt idx="33">
                  <c:v>118.94326241134752</c:v>
                </c:pt>
                <c:pt idx="34">
                  <c:v>98.686520376175551</c:v>
                </c:pt>
                <c:pt idx="35">
                  <c:v>147.32361516034985</c:v>
                </c:pt>
                <c:pt idx="36">
                  <c:v>125.91929824561403</c:v>
                </c:pt>
                <c:pt idx="37">
                  <c:v>141.64788732394365</c:v>
                </c:pt>
                <c:pt idx="38">
                  <c:v>111.51549295774647</c:v>
                </c:pt>
                <c:pt idx="39">
                  <c:v>125.0415512465374</c:v>
                </c:pt>
                <c:pt idx="40">
                  <c:v>143.78125</c:v>
                </c:pt>
                <c:pt idx="41">
                  <c:v>177.62215909090909</c:v>
                </c:pt>
                <c:pt idx="42">
                  <c:v>196.70063694267515</c:v>
                </c:pt>
                <c:pt idx="43">
                  <c:v>166.24330900243308</c:v>
                </c:pt>
                <c:pt idx="44">
                  <c:v>196.56962025316454</c:v>
                </c:pt>
                <c:pt idx="45">
                  <c:v>137.94193548387096</c:v>
                </c:pt>
                <c:pt idx="46">
                  <c:v>141.42005420054201</c:v>
                </c:pt>
                <c:pt idx="47">
                  <c:v>192.83040935672514</c:v>
                </c:pt>
                <c:pt idx="48">
                  <c:v>225.7</c:v>
                </c:pt>
                <c:pt idx="49">
                  <c:v>158.11111111111111</c:v>
                </c:pt>
                <c:pt idx="50">
                  <c:v>184.55172413793105</c:v>
                </c:pt>
                <c:pt idx="51">
                  <c:v>165.66551724137932</c:v>
                </c:pt>
                <c:pt idx="52">
                  <c:v>133.26246719160105</c:v>
                </c:pt>
                <c:pt idx="53">
                  <c:v>181.78693181818181</c:v>
                </c:pt>
                <c:pt idx="54">
                  <c:v>151.41595441595442</c:v>
                </c:pt>
                <c:pt idx="55">
                  <c:v>128.44999999999999</c:v>
                </c:pt>
                <c:pt idx="56">
                  <c:v>129.21935483870968</c:v>
                </c:pt>
                <c:pt idx="57">
                  <c:v>142.40163934426229</c:v>
                </c:pt>
                <c:pt idx="58">
                  <c:v>116.86075949367088</c:v>
                </c:pt>
                <c:pt idx="59">
                  <c:v>125.6311475409836</c:v>
                </c:pt>
                <c:pt idx="60">
                  <c:v>129.2258064516129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5-4634-9E46-94A63B7ABE8B}"/>
            </c:ext>
          </c:extLst>
        </c:ser>
        <c:ser>
          <c:idx val="1"/>
          <c:order val="1"/>
          <c:tx>
            <c:strRef>
              <c:f>'Dashboard 3'!$BH$109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3'!$BH$110:$BH$182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5-4634-9E46-94A63B7ABE8B}"/>
            </c:ext>
          </c:extLst>
        </c:ser>
        <c:ser>
          <c:idx val="2"/>
          <c:order val="2"/>
          <c:tx>
            <c:strRef>
              <c:f>'Dashboard 3'!$BI$109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3'!$BI$110:$BI$182</c:f>
              <c:numCache>
                <c:formatCode>General</c:formatCode>
                <c:ptCount val="73"/>
                <c:pt idx="0">
                  <c:v>142</c:v>
                </c:pt>
                <c:pt idx="1">
                  <c:v>142</c:v>
                </c:pt>
                <c:pt idx="2">
                  <c:v>142</c:v>
                </c:pt>
                <c:pt idx="3">
                  <c:v>142</c:v>
                </c:pt>
                <c:pt idx="4">
                  <c:v>142</c:v>
                </c:pt>
                <c:pt idx="5">
                  <c:v>142</c:v>
                </c:pt>
                <c:pt idx="6">
                  <c:v>142</c:v>
                </c:pt>
                <c:pt idx="7">
                  <c:v>142</c:v>
                </c:pt>
                <c:pt idx="8">
                  <c:v>142</c:v>
                </c:pt>
                <c:pt idx="9">
                  <c:v>142</c:v>
                </c:pt>
                <c:pt idx="10">
                  <c:v>142</c:v>
                </c:pt>
                <c:pt idx="11">
                  <c:v>142</c:v>
                </c:pt>
                <c:pt idx="12">
                  <c:v>142</c:v>
                </c:pt>
                <c:pt idx="13">
                  <c:v>142</c:v>
                </c:pt>
                <c:pt idx="14">
                  <c:v>142</c:v>
                </c:pt>
                <c:pt idx="15">
                  <c:v>142</c:v>
                </c:pt>
                <c:pt idx="16">
                  <c:v>142</c:v>
                </c:pt>
                <c:pt idx="17">
                  <c:v>142</c:v>
                </c:pt>
                <c:pt idx="18">
                  <c:v>142</c:v>
                </c:pt>
                <c:pt idx="19">
                  <c:v>142</c:v>
                </c:pt>
                <c:pt idx="20">
                  <c:v>142</c:v>
                </c:pt>
                <c:pt idx="21">
                  <c:v>142</c:v>
                </c:pt>
                <c:pt idx="22">
                  <c:v>142</c:v>
                </c:pt>
                <c:pt idx="23">
                  <c:v>142</c:v>
                </c:pt>
                <c:pt idx="24">
                  <c:v>142</c:v>
                </c:pt>
                <c:pt idx="25">
                  <c:v>142</c:v>
                </c:pt>
                <c:pt idx="26">
                  <c:v>142</c:v>
                </c:pt>
                <c:pt idx="27">
                  <c:v>142</c:v>
                </c:pt>
                <c:pt idx="28">
                  <c:v>142</c:v>
                </c:pt>
                <c:pt idx="29">
                  <c:v>142</c:v>
                </c:pt>
                <c:pt idx="30">
                  <c:v>142</c:v>
                </c:pt>
                <c:pt idx="31">
                  <c:v>142</c:v>
                </c:pt>
                <c:pt idx="32">
                  <c:v>142</c:v>
                </c:pt>
                <c:pt idx="33">
                  <c:v>142</c:v>
                </c:pt>
                <c:pt idx="34">
                  <c:v>142</c:v>
                </c:pt>
                <c:pt idx="35">
                  <c:v>142</c:v>
                </c:pt>
                <c:pt idx="36">
                  <c:v>142</c:v>
                </c:pt>
                <c:pt idx="37">
                  <c:v>142</c:v>
                </c:pt>
                <c:pt idx="38">
                  <c:v>142</c:v>
                </c:pt>
                <c:pt idx="39">
                  <c:v>142</c:v>
                </c:pt>
                <c:pt idx="40">
                  <c:v>142</c:v>
                </c:pt>
                <c:pt idx="41">
                  <c:v>142</c:v>
                </c:pt>
                <c:pt idx="42">
                  <c:v>142</c:v>
                </c:pt>
                <c:pt idx="43">
                  <c:v>142</c:v>
                </c:pt>
                <c:pt idx="44">
                  <c:v>142</c:v>
                </c:pt>
                <c:pt idx="45">
                  <c:v>142</c:v>
                </c:pt>
                <c:pt idx="46">
                  <c:v>142</c:v>
                </c:pt>
                <c:pt idx="47">
                  <c:v>142</c:v>
                </c:pt>
                <c:pt idx="48">
                  <c:v>142</c:v>
                </c:pt>
                <c:pt idx="49">
                  <c:v>142</c:v>
                </c:pt>
                <c:pt idx="50">
                  <c:v>142</c:v>
                </c:pt>
                <c:pt idx="51">
                  <c:v>142</c:v>
                </c:pt>
                <c:pt idx="52">
                  <c:v>142</c:v>
                </c:pt>
                <c:pt idx="53">
                  <c:v>142</c:v>
                </c:pt>
                <c:pt idx="54">
                  <c:v>142</c:v>
                </c:pt>
                <c:pt idx="55">
                  <c:v>142</c:v>
                </c:pt>
                <c:pt idx="56">
                  <c:v>142</c:v>
                </c:pt>
                <c:pt idx="57">
                  <c:v>142</c:v>
                </c:pt>
                <c:pt idx="58">
                  <c:v>142</c:v>
                </c:pt>
                <c:pt idx="59">
                  <c:v>142</c:v>
                </c:pt>
                <c:pt idx="60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D5-4634-9E46-94A63B7AB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Avg AM FG Units made</a:t>
            </a:r>
            <a:r>
              <a:rPr lang="en-NZ" baseline="0"/>
              <a:t> per SKU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3'!$BJ$109</c:f>
              <c:strCache>
                <c:ptCount val="1"/>
                <c:pt idx="0">
                  <c:v>AM FG Units / SKU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3'!$BJ$110:$BJ$182</c:f>
              <c:numCache>
                <c:formatCode>0</c:formatCode>
                <c:ptCount val="73"/>
                <c:pt idx="0">
                  <c:v>135.72077922077921</c:v>
                </c:pt>
                <c:pt idx="1">
                  <c:v>159.1448275862069</c:v>
                </c:pt>
                <c:pt idx="2">
                  <c:v>142.87610619469027</c:v>
                </c:pt>
                <c:pt idx="3">
                  <c:v>154.23880597014926</c:v>
                </c:pt>
                <c:pt idx="4">
                  <c:v>123.86363636363636</c:v>
                </c:pt>
                <c:pt idx="5">
                  <c:v>168.59130434782608</c:v>
                </c:pt>
                <c:pt idx="6">
                  <c:v>172.2651515151515</c:v>
                </c:pt>
                <c:pt idx="7">
                  <c:v>196.74820143884892</c:v>
                </c:pt>
                <c:pt idx="8">
                  <c:v>174.78823529411764</c:v>
                </c:pt>
                <c:pt idx="9">
                  <c:v>182.57843137254903</c:v>
                </c:pt>
                <c:pt idx="10">
                  <c:v>195.70434782608694</c:v>
                </c:pt>
                <c:pt idx="11">
                  <c:v>178.61363636363637</c:v>
                </c:pt>
                <c:pt idx="12">
                  <c:v>139.93650793650792</c:v>
                </c:pt>
                <c:pt idx="13">
                  <c:v>169.96621621621622</c:v>
                </c:pt>
                <c:pt idx="14">
                  <c:v>148.75187969924812</c:v>
                </c:pt>
                <c:pt idx="15">
                  <c:v>148.20143884892087</c:v>
                </c:pt>
                <c:pt idx="16">
                  <c:v>145.34415584415584</c:v>
                </c:pt>
                <c:pt idx="17">
                  <c:v>168.57657657657657</c:v>
                </c:pt>
                <c:pt idx="18">
                  <c:v>149.77697841726618</c:v>
                </c:pt>
                <c:pt idx="19">
                  <c:v>155.10569105691056</c:v>
                </c:pt>
                <c:pt idx="20">
                  <c:v>188.7906976744186</c:v>
                </c:pt>
                <c:pt idx="21">
                  <c:v>185.85714285714286</c:v>
                </c:pt>
                <c:pt idx="22">
                  <c:v>139.80303030303031</c:v>
                </c:pt>
                <c:pt idx="23">
                  <c:v>127.19642857142857</c:v>
                </c:pt>
                <c:pt idx="24">
                  <c:v>148.11111111111111</c:v>
                </c:pt>
                <c:pt idx="25">
                  <c:v>179.04464285714286</c:v>
                </c:pt>
                <c:pt idx="26">
                  <c:v>164.15503875968992</c:v>
                </c:pt>
                <c:pt idx="27">
                  <c:v>193.58536585365854</c:v>
                </c:pt>
                <c:pt idx="28">
                  <c:v>169.02758620689656</c:v>
                </c:pt>
                <c:pt idx="29">
                  <c:v>183.47096774193548</c:v>
                </c:pt>
                <c:pt idx="30">
                  <c:v>176.44525547445255</c:v>
                </c:pt>
                <c:pt idx="31">
                  <c:v>226.39097744360902</c:v>
                </c:pt>
                <c:pt idx="32">
                  <c:v>188.544776119403</c:v>
                </c:pt>
                <c:pt idx="33">
                  <c:v>159.78030303030303</c:v>
                </c:pt>
                <c:pt idx="34">
                  <c:v>145.19310344827585</c:v>
                </c:pt>
                <c:pt idx="35">
                  <c:v>203.43708609271522</c:v>
                </c:pt>
                <c:pt idx="36">
                  <c:v>198.75396825396825</c:v>
                </c:pt>
                <c:pt idx="37">
                  <c:v>248.23255813953489</c:v>
                </c:pt>
                <c:pt idx="38">
                  <c:v>184.11347517730496</c:v>
                </c:pt>
                <c:pt idx="39">
                  <c:v>203.82258064516128</c:v>
                </c:pt>
                <c:pt idx="40">
                  <c:v>185.44537815126051</c:v>
                </c:pt>
                <c:pt idx="41">
                  <c:v>215.30534351145039</c:v>
                </c:pt>
                <c:pt idx="42">
                  <c:v>228.80357142857142</c:v>
                </c:pt>
                <c:pt idx="43">
                  <c:v>194.34437086092714</c:v>
                </c:pt>
                <c:pt idx="44">
                  <c:v>233.22962962962964</c:v>
                </c:pt>
                <c:pt idx="45">
                  <c:v>179.34351145038167</c:v>
                </c:pt>
                <c:pt idx="46">
                  <c:v>212.51048951048952</c:v>
                </c:pt>
                <c:pt idx="47">
                  <c:v>316.71304347826089</c:v>
                </c:pt>
                <c:pt idx="48">
                  <c:v>320.50515463917526</c:v>
                </c:pt>
                <c:pt idx="49">
                  <c:v>215.4344827586207</c:v>
                </c:pt>
                <c:pt idx="50">
                  <c:v>182.9375</c:v>
                </c:pt>
                <c:pt idx="51">
                  <c:v>150.8046875</c:v>
                </c:pt>
                <c:pt idx="52">
                  <c:v>154.57446808510639</c:v>
                </c:pt>
                <c:pt idx="53">
                  <c:v>175.05797101449275</c:v>
                </c:pt>
                <c:pt idx="54">
                  <c:v>151.32575757575756</c:v>
                </c:pt>
                <c:pt idx="55">
                  <c:v>117.23622047244095</c:v>
                </c:pt>
                <c:pt idx="56">
                  <c:v>123.86301369863014</c:v>
                </c:pt>
                <c:pt idx="57">
                  <c:v>130.27536231884059</c:v>
                </c:pt>
                <c:pt idx="58">
                  <c:v>130.80000000000001</c:v>
                </c:pt>
                <c:pt idx="59">
                  <c:v>158.94615384615383</c:v>
                </c:pt>
                <c:pt idx="60">
                  <c:v>147.88775510204081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E-4307-B397-C129A6FB77E4}"/>
            </c:ext>
          </c:extLst>
        </c:ser>
        <c:ser>
          <c:idx val="1"/>
          <c:order val="1"/>
          <c:tx>
            <c:strRef>
              <c:f>'Dashboard 3'!$BK$109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3'!$BK$110:$BK$182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E-4307-B397-C129A6FB77E4}"/>
            </c:ext>
          </c:extLst>
        </c:ser>
        <c:ser>
          <c:idx val="2"/>
          <c:order val="2"/>
          <c:tx>
            <c:strRef>
              <c:f>'Dashboard 3'!$BL$109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3'!$BL$110:$BL$182</c:f>
              <c:numCache>
                <c:formatCode>General</c:formatCode>
                <c:ptCount val="73"/>
                <c:pt idx="0">
                  <c:v>248</c:v>
                </c:pt>
                <c:pt idx="1">
                  <c:v>248</c:v>
                </c:pt>
                <c:pt idx="2">
                  <c:v>248</c:v>
                </c:pt>
                <c:pt idx="3">
                  <c:v>248</c:v>
                </c:pt>
                <c:pt idx="4">
                  <c:v>248</c:v>
                </c:pt>
                <c:pt idx="5">
                  <c:v>248</c:v>
                </c:pt>
                <c:pt idx="6">
                  <c:v>248</c:v>
                </c:pt>
                <c:pt idx="7">
                  <c:v>248</c:v>
                </c:pt>
                <c:pt idx="8">
                  <c:v>248</c:v>
                </c:pt>
                <c:pt idx="9">
                  <c:v>248</c:v>
                </c:pt>
                <c:pt idx="10">
                  <c:v>248</c:v>
                </c:pt>
                <c:pt idx="11">
                  <c:v>248</c:v>
                </c:pt>
                <c:pt idx="12">
                  <c:v>248</c:v>
                </c:pt>
                <c:pt idx="13">
                  <c:v>248</c:v>
                </c:pt>
                <c:pt idx="14">
                  <c:v>248</c:v>
                </c:pt>
                <c:pt idx="15">
                  <c:v>248</c:v>
                </c:pt>
                <c:pt idx="16">
                  <c:v>248</c:v>
                </c:pt>
                <c:pt idx="17">
                  <c:v>248</c:v>
                </c:pt>
                <c:pt idx="18">
                  <c:v>248</c:v>
                </c:pt>
                <c:pt idx="19">
                  <c:v>248</c:v>
                </c:pt>
                <c:pt idx="20">
                  <c:v>248</c:v>
                </c:pt>
                <c:pt idx="21">
                  <c:v>248</c:v>
                </c:pt>
                <c:pt idx="22">
                  <c:v>248</c:v>
                </c:pt>
                <c:pt idx="23">
                  <c:v>248</c:v>
                </c:pt>
                <c:pt idx="24">
                  <c:v>248</c:v>
                </c:pt>
                <c:pt idx="25">
                  <c:v>248</c:v>
                </c:pt>
                <c:pt idx="26">
                  <c:v>248</c:v>
                </c:pt>
                <c:pt idx="27">
                  <c:v>248</c:v>
                </c:pt>
                <c:pt idx="28">
                  <c:v>248</c:v>
                </c:pt>
                <c:pt idx="29">
                  <c:v>248</c:v>
                </c:pt>
                <c:pt idx="30">
                  <c:v>248</c:v>
                </c:pt>
                <c:pt idx="31">
                  <c:v>248</c:v>
                </c:pt>
                <c:pt idx="32">
                  <c:v>248</c:v>
                </c:pt>
                <c:pt idx="33">
                  <c:v>248</c:v>
                </c:pt>
                <c:pt idx="34">
                  <c:v>248</c:v>
                </c:pt>
                <c:pt idx="35">
                  <c:v>248</c:v>
                </c:pt>
                <c:pt idx="36">
                  <c:v>248</c:v>
                </c:pt>
                <c:pt idx="37">
                  <c:v>248</c:v>
                </c:pt>
                <c:pt idx="38">
                  <c:v>248</c:v>
                </c:pt>
                <c:pt idx="39">
                  <c:v>248</c:v>
                </c:pt>
                <c:pt idx="40">
                  <c:v>248</c:v>
                </c:pt>
                <c:pt idx="41">
                  <c:v>248</c:v>
                </c:pt>
                <c:pt idx="42">
                  <c:v>248</c:v>
                </c:pt>
                <c:pt idx="43">
                  <c:v>248</c:v>
                </c:pt>
                <c:pt idx="44">
                  <c:v>248</c:v>
                </c:pt>
                <c:pt idx="45">
                  <c:v>248</c:v>
                </c:pt>
                <c:pt idx="46">
                  <c:v>248</c:v>
                </c:pt>
                <c:pt idx="47">
                  <c:v>248</c:v>
                </c:pt>
                <c:pt idx="48">
                  <c:v>248</c:v>
                </c:pt>
                <c:pt idx="49">
                  <c:v>248</c:v>
                </c:pt>
                <c:pt idx="50">
                  <c:v>248</c:v>
                </c:pt>
                <c:pt idx="51">
                  <c:v>248</c:v>
                </c:pt>
                <c:pt idx="52">
                  <c:v>248</c:v>
                </c:pt>
                <c:pt idx="53">
                  <c:v>248</c:v>
                </c:pt>
                <c:pt idx="54">
                  <c:v>248</c:v>
                </c:pt>
                <c:pt idx="55">
                  <c:v>248</c:v>
                </c:pt>
                <c:pt idx="56">
                  <c:v>248</c:v>
                </c:pt>
                <c:pt idx="57">
                  <c:v>248</c:v>
                </c:pt>
                <c:pt idx="58">
                  <c:v>248</c:v>
                </c:pt>
                <c:pt idx="59">
                  <c:v>248</c:v>
                </c:pt>
                <c:pt idx="6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E-4307-B397-C129A6FB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Avg SEC FG Units made per SKU</a:t>
            </a:r>
          </a:p>
        </c:rich>
      </c:tx>
      <c:layout>
        <c:manualLayout>
          <c:xMode val="edge"/>
          <c:yMode val="edge"/>
          <c:x val="0.31678212353779983"/>
          <c:y val="2.8683182207091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3'!$BM$109</c:f>
              <c:strCache>
                <c:ptCount val="1"/>
                <c:pt idx="0">
                  <c:v>SEC FG Units / SKU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3'!$BM$110:$BM$182</c:f>
              <c:numCache>
                <c:formatCode>0</c:formatCode>
                <c:ptCount val="73"/>
                <c:pt idx="0">
                  <c:v>244.9</c:v>
                </c:pt>
                <c:pt idx="1">
                  <c:v>188.73015873015873</c:v>
                </c:pt>
                <c:pt idx="2">
                  <c:v>180.8235294117647</c:v>
                </c:pt>
                <c:pt idx="3">
                  <c:v>188.66666666666666</c:v>
                </c:pt>
                <c:pt idx="4">
                  <c:v>217.50793650793651</c:v>
                </c:pt>
                <c:pt idx="5">
                  <c:v>242.84375</c:v>
                </c:pt>
                <c:pt idx="6">
                  <c:v>298.31343283582089</c:v>
                </c:pt>
                <c:pt idx="7">
                  <c:v>262.26470588235293</c:v>
                </c:pt>
                <c:pt idx="8">
                  <c:v>224</c:v>
                </c:pt>
                <c:pt idx="9">
                  <c:v>257.93478260869563</c:v>
                </c:pt>
                <c:pt idx="10">
                  <c:v>272.06896551724139</c:v>
                </c:pt>
                <c:pt idx="11">
                  <c:v>218.84615384615384</c:v>
                </c:pt>
                <c:pt idx="12">
                  <c:v>254.46808510638297</c:v>
                </c:pt>
                <c:pt idx="13">
                  <c:v>263.02083333333331</c:v>
                </c:pt>
                <c:pt idx="14">
                  <c:v>314.6829268292683</c:v>
                </c:pt>
                <c:pt idx="15">
                  <c:v>315.85714285714283</c:v>
                </c:pt>
                <c:pt idx="16">
                  <c:v>290.49122807017545</c:v>
                </c:pt>
                <c:pt idx="17">
                  <c:v>331.74137931034483</c:v>
                </c:pt>
                <c:pt idx="18">
                  <c:v>299.8235294117647</c:v>
                </c:pt>
                <c:pt idx="19">
                  <c:v>262.9655172413793</c:v>
                </c:pt>
                <c:pt idx="20">
                  <c:v>331.11627906976742</c:v>
                </c:pt>
                <c:pt idx="21">
                  <c:v>467.71794871794873</c:v>
                </c:pt>
                <c:pt idx="22">
                  <c:v>367.36585365853659</c:v>
                </c:pt>
                <c:pt idx="23">
                  <c:v>392.47619047619048</c:v>
                </c:pt>
                <c:pt idx="24">
                  <c:v>248.86956521739131</c:v>
                </c:pt>
                <c:pt idx="25">
                  <c:v>330.74509803921569</c:v>
                </c:pt>
                <c:pt idx="26">
                  <c:v>451.81355932203388</c:v>
                </c:pt>
                <c:pt idx="27">
                  <c:v>416.18965517241378</c:v>
                </c:pt>
                <c:pt idx="28">
                  <c:v>337.96226415094338</c:v>
                </c:pt>
                <c:pt idx="29">
                  <c:v>322.75</c:v>
                </c:pt>
                <c:pt idx="30">
                  <c:v>286.86538461538464</c:v>
                </c:pt>
                <c:pt idx="31">
                  <c:v>326.21153846153845</c:v>
                </c:pt>
                <c:pt idx="32">
                  <c:v>161.32653061224491</c:v>
                </c:pt>
                <c:pt idx="33">
                  <c:v>296.45238095238096</c:v>
                </c:pt>
                <c:pt idx="34">
                  <c:v>204.47058823529412</c:v>
                </c:pt>
                <c:pt idx="35">
                  <c:v>404.34693877551018</c:v>
                </c:pt>
                <c:pt idx="36">
                  <c:v>293.08108108108109</c:v>
                </c:pt>
                <c:pt idx="37">
                  <c:v>326.125</c:v>
                </c:pt>
                <c:pt idx="38">
                  <c:v>243.35714285714286</c:v>
                </c:pt>
                <c:pt idx="39">
                  <c:v>336.71186440677968</c:v>
                </c:pt>
                <c:pt idx="40">
                  <c:v>405.79661016949154</c:v>
                </c:pt>
                <c:pt idx="41">
                  <c:v>504.6764705882353</c:v>
                </c:pt>
                <c:pt idx="42">
                  <c:v>634</c:v>
                </c:pt>
                <c:pt idx="43">
                  <c:v>475.36585365853659</c:v>
                </c:pt>
                <c:pt idx="44">
                  <c:v>431.40845070422534</c:v>
                </c:pt>
                <c:pt idx="45">
                  <c:v>321.13333333333333</c:v>
                </c:pt>
                <c:pt idx="46">
                  <c:v>283.05194805194805</c:v>
                </c:pt>
                <c:pt idx="47">
                  <c:v>447.36363636363637</c:v>
                </c:pt>
                <c:pt idx="48">
                  <c:v>520.62264150943395</c:v>
                </c:pt>
                <c:pt idx="49">
                  <c:v>383.31343283582089</c:v>
                </c:pt>
                <c:pt idx="50">
                  <c:v>644.65454545454543</c:v>
                </c:pt>
                <c:pt idx="51">
                  <c:v>552.69230769230774</c:v>
                </c:pt>
                <c:pt idx="52">
                  <c:v>396.95890410958901</c:v>
                </c:pt>
                <c:pt idx="53">
                  <c:v>642.43548387096769</c:v>
                </c:pt>
                <c:pt idx="54">
                  <c:v>376.95454545454544</c:v>
                </c:pt>
                <c:pt idx="55">
                  <c:v>383.21818181818179</c:v>
                </c:pt>
                <c:pt idx="56">
                  <c:v>281.71794871794873</c:v>
                </c:pt>
                <c:pt idx="57">
                  <c:v>262</c:v>
                </c:pt>
                <c:pt idx="58">
                  <c:v>306.64864864864865</c:v>
                </c:pt>
                <c:pt idx="59">
                  <c:v>256.17948717948718</c:v>
                </c:pt>
                <c:pt idx="60">
                  <c:v>329.06896551724139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C-4C85-9409-10115DCB31DF}"/>
            </c:ext>
          </c:extLst>
        </c:ser>
        <c:ser>
          <c:idx val="1"/>
          <c:order val="1"/>
          <c:tx>
            <c:strRef>
              <c:f>'Dashboard 3'!$BN$109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3'!$BN$110:$BN$182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C-4C85-9409-10115DCB31DF}"/>
            </c:ext>
          </c:extLst>
        </c:ser>
        <c:ser>
          <c:idx val="2"/>
          <c:order val="2"/>
          <c:tx>
            <c:strRef>
              <c:f>'Dashboard 3'!$BO$109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3'!$BO$110:$BO$182</c:f>
              <c:numCache>
                <c:formatCode>General</c:formatCode>
                <c:ptCount val="73"/>
                <c:pt idx="0">
                  <c:v>326</c:v>
                </c:pt>
                <c:pt idx="1">
                  <c:v>326</c:v>
                </c:pt>
                <c:pt idx="2">
                  <c:v>326</c:v>
                </c:pt>
                <c:pt idx="3">
                  <c:v>326</c:v>
                </c:pt>
                <c:pt idx="4">
                  <c:v>326</c:v>
                </c:pt>
                <c:pt idx="5">
                  <c:v>326</c:v>
                </c:pt>
                <c:pt idx="6">
                  <c:v>326</c:v>
                </c:pt>
                <c:pt idx="7">
                  <c:v>326</c:v>
                </c:pt>
                <c:pt idx="8">
                  <c:v>326</c:v>
                </c:pt>
                <c:pt idx="9">
                  <c:v>326</c:v>
                </c:pt>
                <c:pt idx="10">
                  <c:v>326</c:v>
                </c:pt>
                <c:pt idx="11">
                  <c:v>326</c:v>
                </c:pt>
                <c:pt idx="12">
                  <c:v>326</c:v>
                </c:pt>
                <c:pt idx="13">
                  <c:v>326</c:v>
                </c:pt>
                <c:pt idx="14">
                  <c:v>326</c:v>
                </c:pt>
                <c:pt idx="15">
                  <c:v>326</c:v>
                </c:pt>
                <c:pt idx="16">
                  <c:v>326</c:v>
                </c:pt>
                <c:pt idx="17">
                  <c:v>326</c:v>
                </c:pt>
                <c:pt idx="18">
                  <c:v>326</c:v>
                </c:pt>
                <c:pt idx="19">
                  <c:v>326</c:v>
                </c:pt>
                <c:pt idx="20">
                  <c:v>326</c:v>
                </c:pt>
                <c:pt idx="21">
                  <c:v>326</c:v>
                </c:pt>
                <c:pt idx="22">
                  <c:v>326</c:v>
                </c:pt>
                <c:pt idx="23">
                  <c:v>326</c:v>
                </c:pt>
                <c:pt idx="24">
                  <c:v>326</c:v>
                </c:pt>
                <c:pt idx="25">
                  <c:v>326</c:v>
                </c:pt>
                <c:pt idx="26">
                  <c:v>326</c:v>
                </c:pt>
                <c:pt idx="27">
                  <c:v>326</c:v>
                </c:pt>
                <c:pt idx="28">
                  <c:v>326</c:v>
                </c:pt>
                <c:pt idx="29">
                  <c:v>326</c:v>
                </c:pt>
                <c:pt idx="30">
                  <c:v>326</c:v>
                </c:pt>
                <c:pt idx="31">
                  <c:v>326</c:v>
                </c:pt>
                <c:pt idx="32">
                  <c:v>326</c:v>
                </c:pt>
                <c:pt idx="33">
                  <c:v>326</c:v>
                </c:pt>
                <c:pt idx="34">
                  <c:v>326</c:v>
                </c:pt>
                <c:pt idx="35">
                  <c:v>326</c:v>
                </c:pt>
                <c:pt idx="36">
                  <c:v>326</c:v>
                </c:pt>
                <c:pt idx="37">
                  <c:v>326</c:v>
                </c:pt>
                <c:pt idx="38">
                  <c:v>326</c:v>
                </c:pt>
                <c:pt idx="39">
                  <c:v>326</c:v>
                </c:pt>
                <c:pt idx="40">
                  <c:v>326</c:v>
                </c:pt>
                <c:pt idx="41">
                  <c:v>326</c:v>
                </c:pt>
                <c:pt idx="42">
                  <c:v>326</c:v>
                </c:pt>
                <c:pt idx="43">
                  <c:v>326</c:v>
                </c:pt>
                <c:pt idx="44">
                  <c:v>326</c:v>
                </c:pt>
                <c:pt idx="45">
                  <c:v>326</c:v>
                </c:pt>
                <c:pt idx="46">
                  <c:v>326</c:v>
                </c:pt>
                <c:pt idx="47">
                  <c:v>326</c:v>
                </c:pt>
                <c:pt idx="48">
                  <c:v>326</c:v>
                </c:pt>
                <c:pt idx="49">
                  <c:v>326</c:v>
                </c:pt>
                <c:pt idx="50">
                  <c:v>326</c:v>
                </c:pt>
                <c:pt idx="51">
                  <c:v>326</c:v>
                </c:pt>
                <c:pt idx="52">
                  <c:v>326</c:v>
                </c:pt>
                <c:pt idx="53">
                  <c:v>326</c:v>
                </c:pt>
                <c:pt idx="54">
                  <c:v>326</c:v>
                </c:pt>
                <c:pt idx="55">
                  <c:v>326</c:v>
                </c:pt>
                <c:pt idx="56">
                  <c:v>326</c:v>
                </c:pt>
                <c:pt idx="57">
                  <c:v>326</c:v>
                </c:pt>
                <c:pt idx="58">
                  <c:v>326</c:v>
                </c:pt>
                <c:pt idx="59">
                  <c:v>326</c:v>
                </c:pt>
                <c:pt idx="60">
                  <c:v>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7C-4C85-9409-10115DCB3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Avg PCB's made per SKU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3'!$BP$109</c:f>
              <c:strCache>
                <c:ptCount val="1"/>
                <c:pt idx="0">
                  <c:v>PCB Units / SKU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3'!$BP$110:$BP$182</c:f>
              <c:numCache>
                <c:formatCode>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568.64516129032256</c:v>
                </c:pt>
                <c:pt idx="28">
                  <c:v>491.53982300884957</c:v>
                </c:pt>
                <c:pt idx="29">
                  <c:v>490.28260869565219</c:v>
                </c:pt>
                <c:pt idx="30">
                  <c:v>522.62626262626259</c:v>
                </c:pt>
                <c:pt idx="31">
                  <c:v>618.2641509433962</c:v>
                </c:pt>
                <c:pt idx="32">
                  <c:v>462.94285714285712</c:v>
                </c:pt>
                <c:pt idx="33">
                  <c:v>464.56756756756755</c:v>
                </c:pt>
                <c:pt idx="34">
                  <c:v>497.5609756097561</c:v>
                </c:pt>
                <c:pt idx="35">
                  <c:v>639.61797752808991</c:v>
                </c:pt>
                <c:pt idx="36">
                  <c:v>495.11111111111109</c:v>
                </c:pt>
                <c:pt idx="37">
                  <c:v>544.92307692307691</c:v>
                </c:pt>
                <c:pt idx="38">
                  <c:v>515.28723404255322</c:v>
                </c:pt>
                <c:pt idx="39">
                  <c:v>524.08888888888885</c:v>
                </c:pt>
                <c:pt idx="40">
                  <c:v>777.36363636363637</c:v>
                </c:pt>
                <c:pt idx="41">
                  <c:v>709.51785714285711</c:v>
                </c:pt>
                <c:pt idx="42">
                  <c:v>751.59</c:v>
                </c:pt>
                <c:pt idx="43">
                  <c:v>785.2962962962963</c:v>
                </c:pt>
                <c:pt idx="44">
                  <c:v>674.47916666666663</c:v>
                </c:pt>
                <c:pt idx="45">
                  <c:v>629.55555555555554</c:v>
                </c:pt>
                <c:pt idx="46">
                  <c:v>582.63</c:v>
                </c:pt>
                <c:pt idx="47">
                  <c:v>785.08333333333337</c:v>
                </c:pt>
                <c:pt idx="48">
                  <c:v>673.9473684210526</c:v>
                </c:pt>
                <c:pt idx="49">
                  <c:v>683.33027522935777</c:v>
                </c:pt>
                <c:pt idx="50">
                  <c:v>787.32258064516134</c:v>
                </c:pt>
                <c:pt idx="51">
                  <c:v>602.5825242718447</c:v>
                </c:pt>
                <c:pt idx="52">
                  <c:v>604.9</c:v>
                </c:pt>
                <c:pt idx="53">
                  <c:v>505.55454545454546</c:v>
                </c:pt>
                <c:pt idx="54">
                  <c:v>689.43956043956041</c:v>
                </c:pt>
                <c:pt idx="55">
                  <c:v>666.71111111111111</c:v>
                </c:pt>
                <c:pt idx="56">
                  <c:v>549.33333333333337</c:v>
                </c:pt>
                <c:pt idx="57">
                  <c:v>377.96</c:v>
                </c:pt>
                <c:pt idx="58">
                  <c:v>374.35714285714283</c:v>
                </c:pt>
                <c:pt idx="59">
                  <c:v>522.74626865671644</c:v>
                </c:pt>
                <c:pt idx="60">
                  <c:v>450.96491228070175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A-42F3-9666-ABE3DECAED46}"/>
            </c:ext>
          </c:extLst>
        </c:ser>
        <c:ser>
          <c:idx val="1"/>
          <c:order val="1"/>
          <c:tx>
            <c:strRef>
              <c:f>'Dashboard 3'!$BQ$109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3'!$BQ$110:$BQ$182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9A-42F3-9666-ABE3DECAED46}"/>
            </c:ext>
          </c:extLst>
        </c:ser>
        <c:ser>
          <c:idx val="2"/>
          <c:order val="2"/>
          <c:tx>
            <c:strRef>
              <c:f>'Dashboard 3'!$BR$109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3'!$BR$110:$BR$182</c:f>
              <c:numCache>
                <c:formatCode>General</c:formatCode>
                <c:ptCount val="73"/>
                <c:pt idx="0">
                  <c:v>545</c:v>
                </c:pt>
                <c:pt idx="1">
                  <c:v>545</c:v>
                </c:pt>
                <c:pt idx="2">
                  <c:v>545</c:v>
                </c:pt>
                <c:pt idx="3">
                  <c:v>545</c:v>
                </c:pt>
                <c:pt idx="4">
                  <c:v>545</c:v>
                </c:pt>
                <c:pt idx="5">
                  <c:v>545</c:v>
                </c:pt>
                <c:pt idx="6">
                  <c:v>545</c:v>
                </c:pt>
                <c:pt idx="7">
                  <c:v>545</c:v>
                </c:pt>
                <c:pt idx="8">
                  <c:v>545</c:v>
                </c:pt>
                <c:pt idx="9">
                  <c:v>545</c:v>
                </c:pt>
                <c:pt idx="10">
                  <c:v>545</c:v>
                </c:pt>
                <c:pt idx="11">
                  <c:v>545</c:v>
                </c:pt>
                <c:pt idx="12">
                  <c:v>545</c:v>
                </c:pt>
                <c:pt idx="13">
                  <c:v>545</c:v>
                </c:pt>
                <c:pt idx="14">
                  <c:v>545</c:v>
                </c:pt>
                <c:pt idx="15">
                  <c:v>545</c:v>
                </c:pt>
                <c:pt idx="16">
                  <c:v>545</c:v>
                </c:pt>
                <c:pt idx="17">
                  <c:v>545</c:v>
                </c:pt>
                <c:pt idx="18">
                  <c:v>545</c:v>
                </c:pt>
                <c:pt idx="19">
                  <c:v>545</c:v>
                </c:pt>
                <c:pt idx="20">
                  <c:v>545</c:v>
                </c:pt>
                <c:pt idx="21">
                  <c:v>545</c:v>
                </c:pt>
                <c:pt idx="22">
                  <c:v>545</c:v>
                </c:pt>
                <c:pt idx="23">
                  <c:v>545</c:v>
                </c:pt>
                <c:pt idx="24">
                  <c:v>545</c:v>
                </c:pt>
                <c:pt idx="25">
                  <c:v>545</c:v>
                </c:pt>
                <c:pt idx="26">
                  <c:v>545</c:v>
                </c:pt>
                <c:pt idx="27">
                  <c:v>545</c:v>
                </c:pt>
                <c:pt idx="28">
                  <c:v>545</c:v>
                </c:pt>
                <c:pt idx="29">
                  <c:v>545</c:v>
                </c:pt>
                <c:pt idx="30">
                  <c:v>545</c:v>
                </c:pt>
                <c:pt idx="31">
                  <c:v>545</c:v>
                </c:pt>
                <c:pt idx="32">
                  <c:v>545</c:v>
                </c:pt>
                <c:pt idx="33">
                  <c:v>545</c:v>
                </c:pt>
                <c:pt idx="34">
                  <c:v>545</c:v>
                </c:pt>
                <c:pt idx="35">
                  <c:v>545</c:v>
                </c:pt>
                <c:pt idx="36">
                  <c:v>545</c:v>
                </c:pt>
                <c:pt idx="37">
                  <c:v>545</c:v>
                </c:pt>
                <c:pt idx="38">
                  <c:v>545</c:v>
                </c:pt>
                <c:pt idx="39">
                  <c:v>545</c:v>
                </c:pt>
                <c:pt idx="40">
                  <c:v>545</c:v>
                </c:pt>
                <c:pt idx="41">
                  <c:v>545</c:v>
                </c:pt>
                <c:pt idx="42">
                  <c:v>545</c:v>
                </c:pt>
                <c:pt idx="43">
                  <c:v>545</c:v>
                </c:pt>
                <c:pt idx="44">
                  <c:v>545</c:v>
                </c:pt>
                <c:pt idx="45">
                  <c:v>545</c:v>
                </c:pt>
                <c:pt idx="46">
                  <c:v>545</c:v>
                </c:pt>
                <c:pt idx="47">
                  <c:v>545</c:v>
                </c:pt>
                <c:pt idx="48">
                  <c:v>545</c:v>
                </c:pt>
                <c:pt idx="49">
                  <c:v>545</c:v>
                </c:pt>
                <c:pt idx="50">
                  <c:v>545</c:v>
                </c:pt>
                <c:pt idx="51">
                  <c:v>545</c:v>
                </c:pt>
                <c:pt idx="52">
                  <c:v>545</c:v>
                </c:pt>
                <c:pt idx="53">
                  <c:v>545</c:v>
                </c:pt>
                <c:pt idx="54">
                  <c:v>545</c:v>
                </c:pt>
                <c:pt idx="55">
                  <c:v>545</c:v>
                </c:pt>
                <c:pt idx="56">
                  <c:v>545</c:v>
                </c:pt>
                <c:pt idx="57">
                  <c:v>545</c:v>
                </c:pt>
                <c:pt idx="58">
                  <c:v>545</c:v>
                </c:pt>
                <c:pt idx="59">
                  <c:v>545</c:v>
                </c:pt>
                <c:pt idx="60">
                  <c:v>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9A-42F3-9666-ABE3DECAE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Avg XFMR's</a:t>
            </a:r>
            <a:r>
              <a:rPr lang="en-NZ" baseline="0"/>
              <a:t> made per SKU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3'!$BS$109</c:f>
              <c:strCache>
                <c:ptCount val="1"/>
                <c:pt idx="0">
                  <c:v>XFMR Units / SKU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3'!$BS$110:$BS$182</c:f>
              <c:numCache>
                <c:formatCode>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704.13333333333333</c:v>
                </c:pt>
                <c:pt idx="27">
                  <c:v>528.20689655172418</c:v>
                </c:pt>
                <c:pt idx="28">
                  <c:v>791.84848484848487</c:v>
                </c:pt>
                <c:pt idx="29">
                  <c:v>964.39285714285711</c:v>
                </c:pt>
                <c:pt idx="30">
                  <c:v>987.37037037037032</c:v>
                </c:pt>
                <c:pt idx="31">
                  <c:v>1126.0357142857142</c:v>
                </c:pt>
                <c:pt idx="32">
                  <c:v>478.41666666666669</c:v>
                </c:pt>
                <c:pt idx="33">
                  <c:v>784.51851851851848</c:v>
                </c:pt>
                <c:pt idx="34">
                  <c:v>937.2</c:v>
                </c:pt>
                <c:pt idx="35">
                  <c:v>897.78571428571433</c:v>
                </c:pt>
                <c:pt idx="36">
                  <c:v>652.57142857142856</c:v>
                </c:pt>
                <c:pt idx="37">
                  <c:v>719.09090909090912</c:v>
                </c:pt>
                <c:pt idx="38">
                  <c:v>862.58333333333337</c:v>
                </c:pt>
                <c:pt idx="39">
                  <c:v>656.33333333333337</c:v>
                </c:pt>
                <c:pt idx="40">
                  <c:v>1161.909090909091</c:v>
                </c:pt>
                <c:pt idx="41">
                  <c:v>741.9666666666667</c:v>
                </c:pt>
                <c:pt idx="42">
                  <c:v>975.56</c:v>
                </c:pt>
                <c:pt idx="43">
                  <c:v>987.44827586206895</c:v>
                </c:pt>
                <c:pt idx="44">
                  <c:v>691.96153846153845</c:v>
                </c:pt>
                <c:pt idx="45">
                  <c:v>928.95652173913038</c:v>
                </c:pt>
                <c:pt idx="46">
                  <c:v>1009.8928571428571</c:v>
                </c:pt>
                <c:pt idx="47">
                  <c:v>1034.5806451612902</c:v>
                </c:pt>
                <c:pt idx="48">
                  <c:v>673.13333333333333</c:v>
                </c:pt>
                <c:pt idx="49">
                  <c:v>750.34615384615381</c:v>
                </c:pt>
                <c:pt idx="50">
                  <c:v>698.17857142857144</c:v>
                </c:pt>
                <c:pt idx="51">
                  <c:v>530.38461538461536</c:v>
                </c:pt>
                <c:pt idx="52">
                  <c:v>476.51851851851853</c:v>
                </c:pt>
                <c:pt idx="53">
                  <c:v>589.78260869565213</c:v>
                </c:pt>
                <c:pt idx="54">
                  <c:v>693.55555555555554</c:v>
                </c:pt>
                <c:pt idx="55">
                  <c:v>393.95454545454544</c:v>
                </c:pt>
                <c:pt idx="56">
                  <c:v>731.5</c:v>
                </c:pt>
                <c:pt idx="57">
                  <c:v>514.5</c:v>
                </c:pt>
                <c:pt idx="58">
                  <c:v>364.46153846153845</c:v>
                </c:pt>
                <c:pt idx="59">
                  <c:v>746.0526315789474</c:v>
                </c:pt>
                <c:pt idx="60">
                  <c:v>591.52380952380952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E-4855-853D-88234D3823FC}"/>
            </c:ext>
          </c:extLst>
        </c:ser>
        <c:ser>
          <c:idx val="1"/>
          <c:order val="1"/>
          <c:tx>
            <c:strRef>
              <c:f>'Dashboard 3'!$BT$109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3'!$BT$110:$BT$182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E-4855-853D-88234D3823FC}"/>
            </c:ext>
          </c:extLst>
        </c:ser>
        <c:ser>
          <c:idx val="2"/>
          <c:order val="2"/>
          <c:tx>
            <c:strRef>
              <c:f>'Dashboard 3'!$BU$109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3'!$BU$110:$BU$182</c:f>
              <c:numCache>
                <c:formatCode>General</c:formatCode>
                <c:ptCount val="73"/>
                <c:pt idx="0">
                  <c:v>719</c:v>
                </c:pt>
                <c:pt idx="1">
                  <c:v>719</c:v>
                </c:pt>
                <c:pt idx="2">
                  <c:v>719</c:v>
                </c:pt>
                <c:pt idx="3">
                  <c:v>719</c:v>
                </c:pt>
                <c:pt idx="4">
                  <c:v>719</c:v>
                </c:pt>
                <c:pt idx="5">
                  <c:v>719</c:v>
                </c:pt>
                <c:pt idx="6">
                  <c:v>719</c:v>
                </c:pt>
                <c:pt idx="7">
                  <c:v>719</c:v>
                </c:pt>
                <c:pt idx="8">
                  <c:v>719</c:v>
                </c:pt>
                <c:pt idx="9">
                  <c:v>719</c:v>
                </c:pt>
                <c:pt idx="10">
                  <c:v>719</c:v>
                </c:pt>
                <c:pt idx="11">
                  <c:v>719</c:v>
                </c:pt>
                <c:pt idx="12">
                  <c:v>719</c:v>
                </c:pt>
                <c:pt idx="13">
                  <c:v>719</c:v>
                </c:pt>
                <c:pt idx="14">
                  <c:v>719</c:v>
                </c:pt>
                <c:pt idx="15">
                  <c:v>719</c:v>
                </c:pt>
                <c:pt idx="16">
                  <c:v>719</c:v>
                </c:pt>
                <c:pt idx="17">
                  <c:v>719</c:v>
                </c:pt>
                <c:pt idx="18">
                  <c:v>719</c:v>
                </c:pt>
                <c:pt idx="19">
                  <c:v>719</c:v>
                </c:pt>
                <c:pt idx="20">
                  <c:v>719</c:v>
                </c:pt>
                <c:pt idx="21">
                  <c:v>719</c:v>
                </c:pt>
                <c:pt idx="22">
                  <c:v>719</c:v>
                </c:pt>
                <c:pt idx="23">
                  <c:v>719</c:v>
                </c:pt>
                <c:pt idx="24">
                  <c:v>719</c:v>
                </c:pt>
                <c:pt idx="25">
                  <c:v>719</c:v>
                </c:pt>
                <c:pt idx="26">
                  <c:v>719</c:v>
                </c:pt>
                <c:pt idx="27">
                  <c:v>719</c:v>
                </c:pt>
                <c:pt idx="28">
                  <c:v>719</c:v>
                </c:pt>
                <c:pt idx="29">
                  <c:v>719</c:v>
                </c:pt>
                <c:pt idx="30">
                  <c:v>719</c:v>
                </c:pt>
                <c:pt idx="31">
                  <c:v>719</c:v>
                </c:pt>
                <c:pt idx="32">
                  <c:v>719</c:v>
                </c:pt>
                <c:pt idx="33">
                  <c:v>719</c:v>
                </c:pt>
                <c:pt idx="34">
                  <c:v>719</c:v>
                </c:pt>
                <c:pt idx="35">
                  <c:v>719</c:v>
                </c:pt>
                <c:pt idx="36">
                  <c:v>719</c:v>
                </c:pt>
                <c:pt idx="37">
                  <c:v>719</c:v>
                </c:pt>
                <c:pt idx="38">
                  <c:v>719</c:v>
                </c:pt>
                <c:pt idx="39">
                  <c:v>719</c:v>
                </c:pt>
                <c:pt idx="40">
                  <c:v>719</c:v>
                </c:pt>
                <c:pt idx="41">
                  <c:v>719</c:v>
                </c:pt>
                <c:pt idx="42">
                  <c:v>719</c:v>
                </c:pt>
                <c:pt idx="43">
                  <c:v>719</c:v>
                </c:pt>
                <c:pt idx="44">
                  <c:v>719</c:v>
                </c:pt>
                <c:pt idx="45">
                  <c:v>719</c:v>
                </c:pt>
                <c:pt idx="46">
                  <c:v>719</c:v>
                </c:pt>
                <c:pt idx="47">
                  <c:v>719</c:v>
                </c:pt>
                <c:pt idx="48">
                  <c:v>719</c:v>
                </c:pt>
                <c:pt idx="49">
                  <c:v>719</c:v>
                </c:pt>
                <c:pt idx="50">
                  <c:v>719</c:v>
                </c:pt>
                <c:pt idx="51">
                  <c:v>719</c:v>
                </c:pt>
                <c:pt idx="52">
                  <c:v>719</c:v>
                </c:pt>
                <c:pt idx="53">
                  <c:v>719</c:v>
                </c:pt>
                <c:pt idx="54">
                  <c:v>719</c:v>
                </c:pt>
                <c:pt idx="55">
                  <c:v>719</c:v>
                </c:pt>
                <c:pt idx="56">
                  <c:v>719</c:v>
                </c:pt>
                <c:pt idx="57">
                  <c:v>719</c:v>
                </c:pt>
                <c:pt idx="58">
                  <c:v>719</c:v>
                </c:pt>
                <c:pt idx="59">
                  <c:v>719</c:v>
                </c:pt>
                <c:pt idx="60">
                  <c:v>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E-4855-853D-88234D382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Avg AM FG Units made per W/O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3'!$BV$109</c:f>
              <c:strCache>
                <c:ptCount val="1"/>
                <c:pt idx="0">
                  <c:v>AM FG Units / W/O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3'!$BV$110:$BV$182</c:f>
              <c:numCache>
                <c:formatCode>0</c:formatCode>
                <c:ptCount val="73"/>
                <c:pt idx="0">
                  <c:v>66.563694267515928</c:v>
                </c:pt>
                <c:pt idx="1">
                  <c:v>74.679611650485441</c:v>
                </c:pt>
                <c:pt idx="2">
                  <c:v>63.562992125984252</c:v>
                </c:pt>
                <c:pt idx="3">
                  <c:v>72.774647887323937</c:v>
                </c:pt>
                <c:pt idx="4">
                  <c:v>59.055727554179569</c:v>
                </c:pt>
                <c:pt idx="5">
                  <c:v>80.115702479338836</c:v>
                </c:pt>
                <c:pt idx="6">
                  <c:v>77.607508532423211</c:v>
                </c:pt>
                <c:pt idx="7">
                  <c:v>101.66542750929368</c:v>
                </c:pt>
                <c:pt idx="8">
                  <c:v>95.851612903225814</c:v>
                </c:pt>
                <c:pt idx="9">
                  <c:v>101.21195652173913</c:v>
                </c:pt>
                <c:pt idx="10">
                  <c:v>108.20192307692308</c:v>
                </c:pt>
                <c:pt idx="11">
                  <c:v>87.646840148698885</c:v>
                </c:pt>
                <c:pt idx="12">
                  <c:v>70.24701195219123</c:v>
                </c:pt>
                <c:pt idx="13">
                  <c:v>79.103773584905667</c:v>
                </c:pt>
                <c:pt idx="14">
                  <c:v>70.657142857142858</c:v>
                </c:pt>
                <c:pt idx="15">
                  <c:v>80.46875</c:v>
                </c:pt>
                <c:pt idx="16">
                  <c:v>81.989010989010993</c:v>
                </c:pt>
                <c:pt idx="17">
                  <c:v>86.629629629629633</c:v>
                </c:pt>
                <c:pt idx="18">
                  <c:v>82.28853754940711</c:v>
                </c:pt>
                <c:pt idx="19">
                  <c:v>91.282296650717697</c:v>
                </c:pt>
                <c:pt idx="20">
                  <c:v>101.47499999999999</c:v>
                </c:pt>
                <c:pt idx="21">
                  <c:v>92.106194690265482</c:v>
                </c:pt>
                <c:pt idx="22">
                  <c:v>76.572614107883822</c:v>
                </c:pt>
                <c:pt idx="23">
                  <c:v>66.882629107981217</c:v>
                </c:pt>
                <c:pt idx="24">
                  <c:v>95.214285714285708</c:v>
                </c:pt>
                <c:pt idx="25">
                  <c:v>96.40865384615384</c:v>
                </c:pt>
                <c:pt idx="26">
                  <c:v>88.60251046025104</c:v>
                </c:pt>
                <c:pt idx="27">
                  <c:v>90.881679389312978</c:v>
                </c:pt>
                <c:pt idx="28">
                  <c:v>90.439114391143917</c:v>
                </c:pt>
                <c:pt idx="29">
                  <c:v>96.074324324324323</c:v>
                </c:pt>
                <c:pt idx="30">
                  <c:v>88.871323529411768</c:v>
                </c:pt>
                <c:pt idx="31">
                  <c:v>127.0464135021097</c:v>
                </c:pt>
                <c:pt idx="32">
                  <c:v>109.84782608695652</c:v>
                </c:pt>
                <c:pt idx="33">
                  <c:v>92.911894273127757</c:v>
                </c:pt>
                <c:pt idx="34">
                  <c:v>85.234817813765176</c:v>
                </c:pt>
                <c:pt idx="35">
                  <c:v>114.6231343283582</c:v>
                </c:pt>
                <c:pt idx="36">
                  <c:v>108.41125541125541</c:v>
                </c:pt>
                <c:pt idx="37">
                  <c:v>118.16236162361623</c:v>
                </c:pt>
                <c:pt idx="38">
                  <c:v>93.046594982078858</c:v>
                </c:pt>
                <c:pt idx="39">
                  <c:v>91.241877256317693</c:v>
                </c:pt>
                <c:pt idx="40">
                  <c:v>98.08</c:v>
                </c:pt>
                <c:pt idx="41">
                  <c:v>115.12244897959184</c:v>
                </c:pt>
                <c:pt idx="42">
                  <c:v>114.91479820627802</c:v>
                </c:pt>
                <c:pt idx="43">
                  <c:v>109.09293680297398</c:v>
                </c:pt>
                <c:pt idx="44">
                  <c:v>141.19282511210761</c:v>
                </c:pt>
                <c:pt idx="45">
                  <c:v>106.7909090909091</c:v>
                </c:pt>
                <c:pt idx="46">
                  <c:v>116.43295019157088</c:v>
                </c:pt>
                <c:pt idx="47">
                  <c:v>149.2704918032787</c:v>
                </c:pt>
                <c:pt idx="48">
                  <c:v>164.49206349206349</c:v>
                </c:pt>
                <c:pt idx="49">
                  <c:v>116.55970149253731</c:v>
                </c:pt>
                <c:pt idx="50">
                  <c:v>101.80869565217391</c:v>
                </c:pt>
                <c:pt idx="51">
                  <c:v>91.051886792452834</c:v>
                </c:pt>
                <c:pt idx="52">
                  <c:v>81.022304832713758</c:v>
                </c:pt>
                <c:pt idx="53">
                  <c:v>105.03478260869565</c:v>
                </c:pt>
                <c:pt idx="54">
                  <c:v>87.227074235807862</c:v>
                </c:pt>
                <c:pt idx="55">
                  <c:v>74.444999999999993</c:v>
                </c:pt>
                <c:pt idx="56">
                  <c:v>87.786407766990294</c:v>
                </c:pt>
                <c:pt idx="57">
                  <c:v>102.14772727272727</c:v>
                </c:pt>
                <c:pt idx="58">
                  <c:v>87.433155080213908</c:v>
                </c:pt>
                <c:pt idx="59">
                  <c:v>104.88832487309645</c:v>
                </c:pt>
                <c:pt idx="60">
                  <c:v>98.591836734693871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7-49CA-8E37-E138A4449CA1}"/>
            </c:ext>
          </c:extLst>
        </c:ser>
        <c:ser>
          <c:idx val="1"/>
          <c:order val="1"/>
          <c:tx>
            <c:strRef>
              <c:f>'Dashboard 3'!$BW$109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3'!$BW$110:$BW$182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7-49CA-8E37-E138A4449CA1}"/>
            </c:ext>
          </c:extLst>
        </c:ser>
        <c:ser>
          <c:idx val="2"/>
          <c:order val="2"/>
          <c:tx>
            <c:strRef>
              <c:f>'Dashboard 3'!$BX$109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3'!$BX$110:$BX$182</c:f>
              <c:numCache>
                <c:formatCode>General</c:formatCode>
                <c:ptCount val="73"/>
                <c:pt idx="0">
                  <c:v>118</c:v>
                </c:pt>
                <c:pt idx="1">
                  <c:v>118</c:v>
                </c:pt>
                <c:pt idx="2">
                  <c:v>118</c:v>
                </c:pt>
                <c:pt idx="3">
                  <c:v>118</c:v>
                </c:pt>
                <c:pt idx="4">
                  <c:v>118</c:v>
                </c:pt>
                <c:pt idx="5">
                  <c:v>118</c:v>
                </c:pt>
                <c:pt idx="6">
                  <c:v>118</c:v>
                </c:pt>
                <c:pt idx="7">
                  <c:v>118</c:v>
                </c:pt>
                <c:pt idx="8">
                  <c:v>118</c:v>
                </c:pt>
                <c:pt idx="9">
                  <c:v>118</c:v>
                </c:pt>
                <c:pt idx="10">
                  <c:v>118</c:v>
                </c:pt>
                <c:pt idx="11">
                  <c:v>118</c:v>
                </c:pt>
                <c:pt idx="12">
                  <c:v>118</c:v>
                </c:pt>
                <c:pt idx="13">
                  <c:v>118</c:v>
                </c:pt>
                <c:pt idx="14">
                  <c:v>118</c:v>
                </c:pt>
                <c:pt idx="15">
                  <c:v>118</c:v>
                </c:pt>
                <c:pt idx="16">
                  <c:v>118</c:v>
                </c:pt>
                <c:pt idx="17">
                  <c:v>118</c:v>
                </c:pt>
                <c:pt idx="18">
                  <c:v>118</c:v>
                </c:pt>
                <c:pt idx="19">
                  <c:v>118</c:v>
                </c:pt>
                <c:pt idx="20">
                  <c:v>118</c:v>
                </c:pt>
                <c:pt idx="21">
                  <c:v>118</c:v>
                </c:pt>
                <c:pt idx="22">
                  <c:v>118</c:v>
                </c:pt>
                <c:pt idx="23">
                  <c:v>118</c:v>
                </c:pt>
                <c:pt idx="24">
                  <c:v>118</c:v>
                </c:pt>
                <c:pt idx="25">
                  <c:v>118</c:v>
                </c:pt>
                <c:pt idx="26">
                  <c:v>118</c:v>
                </c:pt>
                <c:pt idx="27">
                  <c:v>118</c:v>
                </c:pt>
                <c:pt idx="28">
                  <c:v>118</c:v>
                </c:pt>
                <c:pt idx="29">
                  <c:v>118</c:v>
                </c:pt>
                <c:pt idx="30">
                  <c:v>118</c:v>
                </c:pt>
                <c:pt idx="31">
                  <c:v>118</c:v>
                </c:pt>
                <c:pt idx="32">
                  <c:v>118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118</c:v>
                </c:pt>
                <c:pt idx="37">
                  <c:v>118</c:v>
                </c:pt>
                <c:pt idx="38">
                  <c:v>118</c:v>
                </c:pt>
                <c:pt idx="39">
                  <c:v>118</c:v>
                </c:pt>
                <c:pt idx="40">
                  <c:v>118</c:v>
                </c:pt>
                <c:pt idx="41">
                  <c:v>118</c:v>
                </c:pt>
                <c:pt idx="42">
                  <c:v>118</c:v>
                </c:pt>
                <c:pt idx="43">
                  <c:v>118</c:v>
                </c:pt>
                <c:pt idx="44">
                  <c:v>118</c:v>
                </c:pt>
                <c:pt idx="45">
                  <c:v>118</c:v>
                </c:pt>
                <c:pt idx="46">
                  <c:v>118</c:v>
                </c:pt>
                <c:pt idx="47">
                  <c:v>118</c:v>
                </c:pt>
                <c:pt idx="48">
                  <c:v>118</c:v>
                </c:pt>
                <c:pt idx="49">
                  <c:v>118</c:v>
                </c:pt>
                <c:pt idx="50">
                  <c:v>118</c:v>
                </c:pt>
                <c:pt idx="51">
                  <c:v>118</c:v>
                </c:pt>
                <c:pt idx="52">
                  <c:v>118</c:v>
                </c:pt>
                <c:pt idx="53">
                  <c:v>118</c:v>
                </c:pt>
                <c:pt idx="54">
                  <c:v>118</c:v>
                </c:pt>
                <c:pt idx="55">
                  <c:v>118</c:v>
                </c:pt>
                <c:pt idx="56">
                  <c:v>118</c:v>
                </c:pt>
                <c:pt idx="57">
                  <c:v>118</c:v>
                </c:pt>
                <c:pt idx="58">
                  <c:v>118</c:v>
                </c:pt>
                <c:pt idx="59">
                  <c:v>118</c:v>
                </c:pt>
                <c:pt idx="60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7-49CA-8E37-E138A4449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Avg SEC FG Units made</a:t>
            </a:r>
            <a:r>
              <a:rPr lang="en-NZ" baseline="0"/>
              <a:t> per W/O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3'!$BY$109</c:f>
              <c:strCache>
                <c:ptCount val="1"/>
                <c:pt idx="0">
                  <c:v>SEC FG Units / W/O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3'!$BY$110:$BY$182</c:f>
              <c:numCache>
                <c:formatCode>0</c:formatCode>
                <c:ptCount val="73"/>
                <c:pt idx="0">
                  <c:v>126.23711340206185</c:v>
                </c:pt>
                <c:pt idx="1">
                  <c:v>122.57731958762886</c:v>
                </c:pt>
                <c:pt idx="2">
                  <c:v>121.74257425742574</c:v>
                </c:pt>
                <c:pt idx="3">
                  <c:v>96.258503401360542</c:v>
                </c:pt>
                <c:pt idx="4">
                  <c:v>117.11965811965813</c:v>
                </c:pt>
                <c:pt idx="5">
                  <c:v>126.35772357723577</c:v>
                </c:pt>
                <c:pt idx="6">
                  <c:v>143.79136690647482</c:v>
                </c:pt>
                <c:pt idx="7">
                  <c:v>149.8655462184874</c:v>
                </c:pt>
                <c:pt idx="8">
                  <c:v>148.46511627906978</c:v>
                </c:pt>
                <c:pt idx="9">
                  <c:v>171.95652173913044</c:v>
                </c:pt>
                <c:pt idx="10">
                  <c:v>169.67741935483872</c:v>
                </c:pt>
                <c:pt idx="11">
                  <c:v>144.0506329113924</c:v>
                </c:pt>
                <c:pt idx="12">
                  <c:v>153.33333333333334</c:v>
                </c:pt>
                <c:pt idx="13">
                  <c:v>177.81690140845072</c:v>
                </c:pt>
                <c:pt idx="14">
                  <c:v>184.31428571428572</c:v>
                </c:pt>
                <c:pt idx="15">
                  <c:v>166.41935483870967</c:v>
                </c:pt>
                <c:pt idx="16">
                  <c:v>190.32183908045977</c:v>
                </c:pt>
                <c:pt idx="17">
                  <c:v>174.91818181818181</c:v>
                </c:pt>
                <c:pt idx="18">
                  <c:v>182.03571428571428</c:v>
                </c:pt>
                <c:pt idx="19">
                  <c:v>164</c:v>
                </c:pt>
                <c:pt idx="20">
                  <c:v>222.46875</c:v>
                </c:pt>
                <c:pt idx="21">
                  <c:v>272.25373134328356</c:v>
                </c:pt>
                <c:pt idx="22">
                  <c:v>242.93548387096774</c:v>
                </c:pt>
                <c:pt idx="23">
                  <c:v>242.41176470588235</c:v>
                </c:pt>
                <c:pt idx="24">
                  <c:v>204.42857142857142</c:v>
                </c:pt>
                <c:pt idx="25">
                  <c:v>205.70731707317074</c:v>
                </c:pt>
                <c:pt idx="26">
                  <c:v>244.55963302752295</c:v>
                </c:pt>
                <c:pt idx="27">
                  <c:v>259.55913978494624</c:v>
                </c:pt>
                <c:pt idx="28">
                  <c:v>242.05405405405406</c:v>
                </c:pt>
                <c:pt idx="29">
                  <c:v>229.04838709677421</c:v>
                </c:pt>
                <c:pt idx="30">
                  <c:v>207.18055555555554</c:v>
                </c:pt>
                <c:pt idx="31">
                  <c:v>226.17333333333335</c:v>
                </c:pt>
                <c:pt idx="32">
                  <c:v>138.68421052631578</c:v>
                </c:pt>
                <c:pt idx="33">
                  <c:v>226.38181818181818</c:v>
                </c:pt>
                <c:pt idx="34">
                  <c:v>144.83333333333334</c:v>
                </c:pt>
                <c:pt idx="35">
                  <c:v>264.17333333333335</c:v>
                </c:pt>
                <c:pt idx="36">
                  <c:v>200.81481481481481</c:v>
                </c:pt>
                <c:pt idx="37">
                  <c:v>217.41666666666666</c:v>
                </c:pt>
                <c:pt idx="38">
                  <c:v>179.31578947368422</c:v>
                </c:pt>
                <c:pt idx="39">
                  <c:v>236.5</c:v>
                </c:pt>
                <c:pt idx="40">
                  <c:v>252.02105263157895</c:v>
                </c:pt>
                <c:pt idx="41">
                  <c:v>320.72897196261681</c:v>
                </c:pt>
                <c:pt idx="42">
                  <c:v>397.12087912087912</c:v>
                </c:pt>
                <c:pt idx="43">
                  <c:v>274.50704225352115</c:v>
                </c:pt>
                <c:pt idx="44">
                  <c:v>329.35483870967744</c:v>
                </c:pt>
                <c:pt idx="45">
                  <c:v>214.0888888888889</c:v>
                </c:pt>
                <c:pt idx="46">
                  <c:v>201.80555555555554</c:v>
                </c:pt>
                <c:pt idx="47">
                  <c:v>301.28571428571428</c:v>
                </c:pt>
                <c:pt idx="48">
                  <c:v>388.63380281690144</c:v>
                </c:pt>
                <c:pt idx="49">
                  <c:v>279.1521739130435</c:v>
                </c:pt>
                <c:pt idx="50">
                  <c:v>398.38202247191009</c:v>
                </c:pt>
                <c:pt idx="51">
                  <c:v>368.46153846153845</c:v>
                </c:pt>
                <c:pt idx="52">
                  <c:v>258.73214285714283</c:v>
                </c:pt>
                <c:pt idx="53">
                  <c:v>326.48360655737707</c:v>
                </c:pt>
                <c:pt idx="54">
                  <c:v>271.90163934426232</c:v>
                </c:pt>
                <c:pt idx="55">
                  <c:v>263.46249999999998</c:v>
                </c:pt>
                <c:pt idx="56">
                  <c:v>211.28846153846155</c:v>
                </c:pt>
                <c:pt idx="57">
                  <c:v>246.58823529411765</c:v>
                </c:pt>
                <c:pt idx="58">
                  <c:v>226.92</c:v>
                </c:pt>
                <c:pt idx="59">
                  <c:v>212.57446808510639</c:v>
                </c:pt>
                <c:pt idx="60">
                  <c:v>244.69230769230768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1-45E1-81D1-0E943CEE3FC4}"/>
            </c:ext>
          </c:extLst>
        </c:ser>
        <c:ser>
          <c:idx val="1"/>
          <c:order val="1"/>
          <c:tx>
            <c:strRef>
              <c:f>'Dashboard 3'!$BZ$109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3'!$BZ$110:$BZ$182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F1-45E1-81D1-0E943CEE3FC4}"/>
            </c:ext>
          </c:extLst>
        </c:ser>
        <c:ser>
          <c:idx val="2"/>
          <c:order val="2"/>
          <c:tx>
            <c:strRef>
              <c:f>'Dashboard 3'!$CA$109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3'!$CA$110:$CA$182</c:f>
              <c:numCache>
                <c:formatCode>General</c:formatCode>
                <c:ptCount val="73"/>
                <c:pt idx="0">
                  <c:v>217</c:v>
                </c:pt>
                <c:pt idx="1">
                  <c:v>217</c:v>
                </c:pt>
                <c:pt idx="2">
                  <c:v>217</c:v>
                </c:pt>
                <c:pt idx="3">
                  <c:v>217</c:v>
                </c:pt>
                <c:pt idx="4">
                  <c:v>217</c:v>
                </c:pt>
                <c:pt idx="5">
                  <c:v>217</c:v>
                </c:pt>
                <c:pt idx="6">
                  <c:v>217</c:v>
                </c:pt>
                <c:pt idx="7">
                  <c:v>217</c:v>
                </c:pt>
                <c:pt idx="8">
                  <c:v>217</c:v>
                </c:pt>
                <c:pt idx="9">
                  <c:v>217</c:v>
                </c:pt>
                <c:pt idx="10">
                  <c:v>217</c:v>
                </c:pt>
                <c:pt idx="11">
                  <c:v>217</c:v>
                </c:pt>
                <c:pt idx="12">
                  <c:v>217</c:v>
                </c:pt>
                <c:pt idx="13">
                  <c:v>217</c:v>
                </c:pt>
                <c:pt idx="14">
                  <c:v>217</c:v>
                </c:pt>
                <c:pt idx="15">
                  <c:v>217</c:v>
                </c:pt>
                <c:pt idx="16">
                  <c:v>217</c:v>
                </c:pt>
                <c:pt idx="17">
                  <c:v>217</c:v>
                </c:pt>
                <c:pt idx="18">
                  <c:v>217</c:v>
                </c:pt>
                <c:pt idx="19">
                  <c:v>217</c:v>
                </c:pt>
                <c:pt idx="20">
                  <c:v>217</c:v>
                </c:pt>
                <c:pt idx="21">
                  <c:v>217</c:v>
                </c:pt>
                <c:pt idx="22">
                  <c:v>217</c:v>
                </c:pt>
                <c:pt idx="23">
                  <c:v>217</c:v>
                </c:pt>
                <c:pt idx="24">
                  <c:v>217</c:v>
                </c:pt>
                <c:pt idx="25">
                  <c:v>217</c:v>
                </c:pt>
                <c:pt idx="26">
                  <c:v>217</c:v>
                </c:pt>
                <c:pt idx="27">
                  <c:v>217</c:v>
                </c:pt>
                <c:pt idx="28">
                  <c:v>217</c:v>
                </c:pt>
                <c:pt idx="29">
                  <c:v>217</c:v>
                </c:pt>
                <c:pt idx="30">
                  <c:v>217</c:v>
                </c:pt>
                <c:pt idx="31">
                  <c:v>217</c:v>
                </c:pt>
                <c:pt idx="32">
                  <c:v>217</c:v>
                </c:pt>
                <c:pt idx="33">
                  <c:v>217</c:v>
                </c:pt>
                <c:pt idx="34">
                  <c:v>217</c:v>
                </c:pt>
                <c:pt idx="35">
                  <c:v>217</c:v>
                </c:pt>
                <c:pt idx="36">
                  <c:v>217</c:v>
                </c:pt>
                <c:pt idx="37">
                  <c:v>217</c:v>
                </c:pt>
                <c:pt idx="38">
                  <c:v>217</c:v>
                </c:pt>
                <c:pt idx="39">
                  <c:v>217</c:v>
                </c:pt>
                <c:pt idx="40">
                  <c:v>217</c:v>
                </c:pt>
                <c:pt idx="41">
                  <c:v>217</c:v>
                </c:pt>
                <c:pt idx="42">
                  <c:v>217</c:v>
                </c:pt>
                <c:pt idx="43">
                  <c:v>217</c:v>
                </c:pt>
                <c:pt idx="44">
                  <c:v>217</c:v>
                </c:pt>
                <c:pt idx="45">
                  <c:v>217</c:v>
                </c:pt>
                <c:pt idx="46">
                  <c:v>217</c:v>
                </c:pt>
                <c:pt idx="47">
                  <c:v>217</c:v>
                </c:pt>
                <c:pt idx="48">
                  <c:v>217</c:v>
                </c:pt>
                <c:pt idx="49">
                  <c:v>217</c:v>
                </c:pt>
                <c:pt idx="50">
                  <c:v>217</c:v>
                </c:pt>
                <c:pt idx="51">
                  <c:v>217</c:v>
                </c:pt>
                <c:pt idx="52">
                  <c:v>217</c:v>
                </c:pt>
                <c:pt idx="53">
                  <c:v>217</c:v>
                </c:pt>
                <c:pt idx="54">
                  <c:v>217</c:v>
                </c:pt>
                <c:pt idx="55">
                  <c:v>217</c:v>
                </c:pt>
                <c:pt idx="56">
                  <c:v>217</c:v>
                </c:pt>
                <c:pt idx="57">
                  <c:v>217</c:v>
                </c:pt>
                <c:pt idx="58">
                  <c:v>217</c:v>
                </c:pt>
                <c:pt idx="59">
                  <c:v>217</c:v>
                </c:pt>
                <c:pt idx="6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F1-45E1-81D1-0E943CEE3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Avg PCB's made per W/O</a:t>
            </a:r>
          </a:p>
        </c:rich>
      </c:tx>
      <c:layout>
        <c:manualLayout>
          <c:xMode val="edge"/>
          <c:yMode val="edge"/>
          <c:x val="0.31678212353779983"/>
          <c:y val="2.8683182207091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3'!$CB$109</c:f>
              <c:strCache>
                <c:ptCount val="1"/>
                <c:pt idx="0">
                  <c:v>PCB Units / W/O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3'!$CB$110:$CB$182</c:f>
              <c:numCache>
                <c:formatCode>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377.74285714285713</c:v>
                </c:pt>
                <c:pt idx="28">
                  <c:v>298.6236559139785</c:v>
                </c:pt>
                <c:pt idx="29">
                  <c:v>315.42657342657344</c:v>
                </c:pt>
                <c:pt idx="30">
                  <c:v>300.81395348837208</c:v>
                </c:pt>
                <c:pt idx="31">
                  <c:v>344.92631578947368</c:v>
                </c:pt>
                <c:pt idx="32">
                  <c:v>348.45161290322579</c:v>
                </c:pt>
                <c:pt idx="33">
                  <c:v>324.32075471698113</c:v>
                </c:pt>
                <c:pt idx="34">
                  <c:v>331.70731707317071</c:v>
                </c:pt>
                <c:pt idx="35">
                  <c:v>358.02515723270443</c:v>
                </c:pt>
                <c:pt idx="36">
                  <c:v>332.53731343283584</c:v>
                </c:pt>
                <c:pt idx="37">
                  <c:v>313.84810126582278</c:v>
                </c:pt>
                <c:pt idx="38">
                  <c:v>329.50340136054422</c:v>
                </c:pt>
                <c:pt idx="39">
                  <c:v>332.16901408450707</c:v>
                </c:pt>
                <c:pt idx="40">
                  <c:v>444.84971098265896</c:v>
                </c:pt>
                <c:pt idx="41">
                  <c:v>456.70114942528738</c:v>
                </c:pt>
                <c:pt idx="42">
                  <c:v>504.42281879194633</c:v>
                </c:pt>
                <c:pt idx="43">
                  <c:v>460.93478260869563</c:v>
                </c:pt>
                <c:pt idx="44">
                  <c:v>459.21985815602835</c:v>
                </c:pt>
                <c:pt idx="45">
                  <c:v>456.93548387096774</c:v>
                </c:pt>
                <c:pt idx="46">
                  <c:v>385.84768211920527</c:v>
                </c:pt>
                <c:pt idx="47">
                  <c:v>509.24324324324323</c:v>
                </c:pt>
                <c:pt idx="48">
                  <c:v>500.1953125</c:v>
                </c:pt>
                <c:pt idx="49">
                  <c:v>539.731884057971</c:v>
                </c:pt>
                <c:pt idx="50">
                  <c:v>491.41610738255031</c:v>
                </c:pt>
                <c:pt idx="51">
                  <c:v>390.35220125786162</c:v>
                </c:pt>
                <c:pt idx="52">
                  <c:v>389.11695906432749</c:v>
                </c:pt>
                <c:pt idx="53">
                  <c:v>310.67597765363126</c:v>
                </c:pt>
                <c:pt idx="54">
                  <c:v>471.72180451127821</c:v>
                </c:pt>
                <c:pt idx="55">
                  <c:v>413.82068965517243</c:v>
                </c:pt>
                <c:pt idx="56">
                  <c:v>443.01075268817203</c:v>
                </c:pt>
                <c:pt idx="57">
                  <c:v>356.56603773584908</c:v>
                </c:pt>
                <c:pt idx="58">
                  <c:v>297.78409090909093</c:v>
                </c:pt>
                <c:pt idx="59">
                  <c:v>384.87912087912088</c:v>
                </c:pt>
                <c:pt idx="60">
                  <c:v>325.37974683544303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4-4B90-B89C-89A892F7DA0E}"/>
            </c:ext>
          </c:extLst>
        </c:ser>
        <c:ser>
          <c:idx val="1"/>
          <c:order val="1"/>
          <c:tx>
            <c:strRef>
              <c:f>'Dashboard 3'!$CC$109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3'!$CC$110:$CC$182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4-4B90-B89C-89A892F7DA0E}"/>
            </c:ext>
          </c:extLst>
        </c:ser>
        <c:ser>
          <c:idx val="2"/>
          <c:order val="2"/>
          <c:tx>
            <c:strRef>
              <c:f>'Dashboard 3'!$CD$109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3'!$CD$110:$CD$182</c:f>
              <c:numCache>
                <c:formatCode>General</c:formatCode>
                <c:ptCount val="73"/>
                <c:pt idx="0">
                  <c:v>314</c:v>
                </c:pt>
                <c:pt idx="1">
                  <c:v>314</c:v>
                </c:pt>
                <c:pt idx="2">
                  <c:v>314</c:v>
                </c:pt>
                <c:pt idx="3">
                  <c:v>314</c:v>
                </c:pt>
                <c:pt idx="4">
                  <c:v>314</c:v>
                </c:pt>
                <c:pt idx="5">
                  <c:v>314</c:v>
                </c:pt>
                <c:pt idx="6">
                  <c:v>314</c:v>
                </c:pt>
                <c:pt idx="7">
                  <c:v>314</c:v>
                </c:pt>
                <c:pt idx="8">
                  <c:v>314</c:v>
                </c:pt>
                <c:pt idx="9">
                  <c:v>314</c:v>
                </c:pt>
                <c:pt idx="10">
                  <c:v>314</c:v>
                </c:pt>
                <c:pt idx="11">
                  <c:v>314</c:v>
                </c:pt>
                <c:pt idx="12">
                  <c:v>314</c:v>
                </c:pt>
                <c:pt idx="13">
                  <c:v>314</c:v>
                </c:pt>
                <c:pt idx="14">
                  <c:v>314</c:v>
                </c:pt>
                <c:pt idx="15">
                  <c:v>314</c:v>
                </c:pt>
                <c:pt idx="16">
                  <c:v>314</c:v>
                </c:pt>
                <c:pt idx="17">
                  <c:v>314</c:v>
                </c:pt>
                <c:pt idx="18">
                  <c:v>314</c:v>
                </c:pt>
                <c:pt idx="19">
                  <c:v>314</c:v>
                </c:pt>
                <c:pt idx="20">
                  <c:v>314</c:v>
                </c:pt>
                <c:pt idx="21">
                  <c:v>314</c:v>
                </c:pt>
                <c:pt idx="22">
                  <c:v>314</c:v>
                </c:pt>
                <c:pt idx="23">
                  <c:v>314</c:v>
                </c:pt>
                <c:pt idx="24">
                  <c:v>314</c:v>
                </c:pt>
                <c:pt idx="25">
                  <c:v>314</c:v>
                </c:pt>
                <c:pt idx="26">
                  <c:v>314</c:v>
                </c:pt>
                <c:pt idx="27">
                  <c:v>314</c:v>
                </c:pt>
                <c:pt idx="28">
                  <c:v>314</c:v>
                </c:pt>
                <c:pt idx="29">
                  <c:v>314</c:v>
                </c:pt>
                <c:pt idx="30">
                  <c:v>314</c:v>
                </c:pt>
                <c:pt idx="31">
                  <c:v>314</c:v>
                </c:pt>
                <c:pt idx="32">
                  <c:v>314</c:v>
                </c:pt>
                <c:pt idx="33">
                  <c:v>314</c:v>
                </c:pt>
                <c:pt idx="34">
                  <c:v>314</c:v>
                </c:pt>
                <c:pt idx="35">
                  <c:v>314</c:v>
                </c:pt>
                <c:pt idx="36">
                  <c:v>314</c:v>
                </c:pt>
                <c:pt idx="37">
                  <c:v>314</c:v>
                </c:pt>
                <c:pt idx="38">
                  <c:v>314</c:v>
                </c:pt>
                <c:pt idx="39">
                  <c:v>314</c:v>
                </c:pt>
                <c:pt idx="40">
                  <c:v>314</c:v>
                </c:pt>
                <c:pt idx="41">
                  <c:v>314</c:v>
                </c:pt>
                <c:pt idx="42">
                  <c:v>314</c:v>
                </c:pt>
                <c:pt idx="43">
                  <c:v>314</c:v>
                </c:pt>
                <c:pt idx="44">
                  <c:v>314</c:v>
                </c:pt>
                <c:pt idx="45">
                  <c:v>314</c:v>
                </c:pt>
                <c:pt idx="46">
                  <c:v>314</c:v>
                </c:pt>
                <c:pt idx="47">
                  <c:v>314</c:v>
                </c:pt>
                <c:pt idx="48">
                  <c:v>314</c:v>
                </c:pt>
                <c:pt idx="49">
                  <c:v>314</c:v>
                </c:pt>
                <c:pt idx="50">
                  <c:v>314</c:v>
                </c:pt>
                <c:pt idx="51">
                  <c:v>314</c:v>
                </c:pt>
                <c:pt idx="52">
                  <c:v>314</c:v>
                </c:pt>
                <c:pt idx="53">
                  <c:v>314</c:v>
                </c:pt>
                <c:pt idx="54">
                  <c:v>314</c:v>
                </c:pt>
                <c:pt idx="55">
                  <c:v>314</c:v>
                </c:pt>
                <c:pt idx="56">
                  <c:v>314</c:v>
                </c:pt>
                <c:pt idx="57">
                  <c:v>314</c:v>
                </c:pt>
                <c:pt idx="58">
                  <c:v>314</c:v>
                </c:pt>
                <c:pt idx="59">
                  <c:v>314</c:v>
                </c:pt>
                <c:pt idx="60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14-4B90-B89C-89A892F7D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Avg XFMR's made per W/O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3'!$CE$109</c:f>
              <c:strCache>
                <c:ptCount val="1"/>
                <c:pt idx="0">
                  <c:v>XFMR Units / W/O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3'!$CE$110:$CE$182</c:f>
              <c:numCache>
                <c:formatCode>0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391.18518518518516</c:v>
                </c:pt>
                <c:pt idx="27">
                  <c:v>283.66666666666669</c:v>
                </c:pt>
                <c:pt idx="28">
                  <c:v>384.27941176470586</c:v>
                </c:pt>
                <c:pt idx="29">
                  <c:v>509.49056603773585</c:v>
                </c:pt>
                <c:pt idx="30">
                  <c:v>522.72549019607845</c:v>
                </c:pt>
                <c:pt idx="31">
                  <c:v>450.41428571428571</c:v>
                </c:pt>
                <c:pt idx="32">
                  <c:v>347.93939393939394</c:v>
                </c:pt>
                <c:pt idx="33">
                  <c:v>543.12820512820508</c:v>
                </c:pt>
                <c:pt idx="34">
                  <c:v>568</c:v>
                </c:pt>
                <c:pt idx="35">
                  <c:v>392.78125</c:v>
                </c:pt>
                <c:pt idx="36">
                  <c:v>372.89795918367349</c:v>
                </c:pt>
                <c:pt idx="37">
                  <c:v>334.22535211267603</c:v>
                </c:pt>
                <c:pt idx="38">
                  <c:v>405.92156862745099</c:v>
                </c:pt>
                <c:pt idx="39">
                  <c:v>343.79365079365078</c:v>
                </c:pt>
                <c:pt idx="40">
                  <c:v>580.9545454545455</c:v>
                </c:pt>
                <c:pt idx="41">
                  <c:v>494.64444444444445</c:v>
                </c:pt>
                <c:pt idx="42">
                  <c:v>609.72500000000002</c:v>
                </c:pt>
                <c:pt idx="43">
                  <c:v>596.58333333333337</c:v>
                </c:pt>
                <c:pt idx="44">
                  <c:v>499.75</c:v>
                </c:pt>
                <c:pt idx="45">
                  <c:v>521.1219512195122</c:v>
                </c:pt>
                <c:pt idx="46">
                  <c:v>496.08771929824559</c:v>
                </c:pt>
                <c:pt idx="47">
                  <c:v>605.13207547169816</c:v>
                </c:pt>
                <c:pt idx="48">
                  <c:v>412.12244897959181</c:v>
                </c:pt>
                <c:pt idx="49">
                  <c:v>375.17307692307691</c:v>
                </c:pt>
                <c:pt idx="50">
                  <c:v>368.84905660377359</c:v>
                </c:pt>
                <c:pt idx="51">
                  <c:v>353.58974358974359</c:v>
                </c:pt>
                <c:pt idx="52">
                  <c:v>329.89743589743591</c:v>
                </c:pt>
                <c:pt idx="53">
                  <c:v>366.62162162162161</c:v>
                </c:pt>
                <c:pt idx="54">
                  <c:v>462.37037037037038</c:v>
                </c:pt>
                <c:pt idx="55">
                  <c:v>254.91176470588235</c:v>
                </c:pt>
                <c:pt idx="56">
                  <c:v>532</c:v>
                </c:pt>
                <c:pt idx="57">
                  <c:v>474.92307692307691</c:v>
                </c:pt>
                <c:pt idx="58">
                  <c:v>270.74285714285713</c:v>
                </c:pt>
                <c:pt idx="59">
                  <c:v>457.25806451612902</c:v>
                </c:pt>
                <c:pt idx="60">
                  <c:v>376.42424242424244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9-470B-9FB2-70A20181111D}"/>
            </c:ext>
          </c:extLst>
        </c:ser>
        <c:ser>
          <c:idx val="1"/>
          <c:order val="1"/>
          <c:tx>
            <c:strRef>
              <c:f>'Dashboard 3'!$CF$109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3'!$CF$110:$CF$182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9-470B-9FB2-70A20181111D}"/>
            </c:ext>
          </c:extLst>
        </c:ser>
        <c:ser>
          <c:idx val="2"/>
          <c:order val="2"/>
          <c:tx>
            <c:strRef>
              <c:f>'Dashboard 3'!$CG$109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3'!$CG$110:$CG$182</c:f>
              <c:numCache>
                <c:formatCode>General</c:formatCode>
                <c:ptCount val="73"/>
                <c:pt idx="0">
                  <c:v>334</c:v>
                </c:pt>
                <c:pt idx="1">
                  <c:v>334</c:v>
                </c:pt>
                <c:pt idx="2">
                  <c:v>334</c:v>
                </c:pt>
                <c:pt idx="3">
                  <c:v>334</c:v>
                </c:pt>
                <c:pt idx="4">
                  <c:v>334</c:v>
                </c:pt>
                <c:pt idx="5">
                  <c:v>334</c:v>
                </c:pt>
                <c:pt idx="6">
                  <c:v>334</c:v>
                </c:pt>
                <c:pt idx="7">
                  <c:v>334</c:v>
                </c:pt>
                <c:pt idx="8">
                  <c:v>334</c:v>
                </c:pt>
                <c:pt idx="9">
                  <c:v>334</c:v>
                </c:pt>
                <c:pt idx="10">
                  <c:v>334</c:v>
                </c:pt>
                <c:pt idx="11">
                  <c:v>334</c:v>
                </c:pt>
                <c:pt idx="12">
                  <c:v>334</c:v>
                </c:pt>
                <c:pt idx="13">
                  <c:v>334</c:v>
                </c:pt>
                <c:pt idx="14">
                  <c:v>334</c:v>
                </c:pt>
                <c:pt idx="15">
                  <c:v>334</c:v>
                </c:pt>
                <c:pt idx="16">
                  <c:v>334</c:v>
                </c:pt>
                <c:pt idx="17">
                  <c:v>334</c:v>
                </c:pt>
                <c:pt idx="18">
                  <c:v>334</c:v>
                </c:pt>
                <c:pt idx="19">
                  <c:v>334</c:v>
                </c:pt>
                <c:pt idx="20">
                  <c:v>334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  <c:pt idx="26">
                  <c:v>334</c:v>
                </c:pt>
                <c:pt idx="27">
                  <c:v>334</c:v>
                </c:pt>
                <c:pt idx="28">
                  <c:v>334</c:v>
                </c:pt>
                <c:pt idx="29">
                  <c:v>334</c:v>
                </c:pt>
                <c:pt idx="30">
                  <c:v>334</c:v>
                </c:pt>
                <c:pt idx="31">
                  <c:v>334</c:v>
                </c:pt>
                <c:pt idx="32">
                  <c:v>334</c:v>
                </c:pt>
                <c:pt idx="33">
                  <c:v>334</c:v>
                </c:pt>
                <c:pt idx="34">
                  <c:v>334</c:v>
                </c:pt>
                <c:pt idx="35">
                  <c:v>334</c:v>
                </c:pt>
                <c:pt idx="36">
                  <c:v>334</c:v>
                </c:pt>
                <c:pt idx="37">
                  <c:v>334</c:v>
                </c:pt>
                <c:pt idx="38">
                  <c:v>334</c:v>
                </c:pt>
                <c:pt idx="39">
                  <c:v>334</c:v>
                </c:pt>
                <c:pt idx="40">
                  <c:v>334</c:v>
                </c:pt>
                <c:pt idx="41">
                  <c:v>334</c:v>
                </c:pt>
                <c:pt idx="42">
                  <c:v>334</c:v>
                </c:pt>
                <c:pt idx="43">
                  <c:v>334</c:v>
                </c:pt>
                <c:pt idx="44">
                  <c:v>334</c:v>
                </c:pt>
                <c:pt idx="45">
                  <c:v>334</c:v>
                </c:pt>
                <c:pt idx="46">
                  <c:v>334</c:v>
                </c:pt>
                <c:pt idx="47">
                  <c:v>334</c:v>
                </c:pt>
                <c:pt idx="48">
                  <c:v>334</c:v>
                </c:pt>
                <c:pt idx="49">
                  <c:v>334</c:v>
                </c:pt>
                <c:pt idx="50">
                  <c:v>334</c:v>
                </c:pt>
                <c:pt idx="51">
                  <c:v>334</c:v>
                </c:pt>
                <c:pt idx="52">
                  <c:v>334</c:v>
                </c:pt>
                <c:pt idx="53">
                  <c:v>334</c:v>
                </c:pt>
                <c:pt idx="54">
                  <c:v>334</c:v>
                </c:pt>
                <c:pt idx="55">
                  <c:v>334</c:v>
                </c:pt>
                <c:pt idx="56">
                  <c:v>334</c:v>
                </c:pt>
                <c:pt idx="57">
                  <c:v>334</c:v>
                </c:pt>
                <c:pt idx="58">
                  <c:v>334</c:v>
                </c:pt>
                <c:pt idx="59">
                  <c:v>334</c:v>
                </c:pt>
                <c:pt idx="60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9-470B-9FB2-70A201811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First Past Yeild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3'!$CH$109</c:f>
              <c:strCache>
                <c:ptCount val="1"/>
                <c:pt idx="0">
                  <c:v>FPY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3'!$CH$110:$CH$182</c:f>
              <c:numCache>
                <c:formatCode>0.0%</c:formatCode>
                <c:ptCount val="73"/>
                <c:pt idx="0">
                  <c:v>0.97034353488653202</c:v>
                </c:pt>
                <c:pt idx="1">
                  <c:v>0.94266367783170235</c:v>
                </c:pt>
                <c:pt idx="2">
                  <c:v>0.9741370613593906</c:v>
                </c:pt>
                <c:pt idx="3">
                  <c:v>0.92376299160601094</c:v>
                </c:pt>
                <c:pt idx="4">
                  <c:v>0.93020170230037347</c:v>
                </c:pt>
                <c:pt idx="5">
                  <c:v>0.96874256571602579</c:v>
                </c:pt>
                <c:pt idx="6">
                  <c:v>0.97299999999999998</c:v>
                </c:pt>
                <c:pt idx="7">
                  <c:v>0.9778280746578013</c:v>
                </c:pt>
                <c:pt idx="8">
                  <c:v>0.97612568406642641</c:v>
                </c:pt>
                <c:pt idx="9">
                  <c:v>0.97719084245271792</c:v>
                </c:pt>
                <c:pt idx="10">
                  <c:v>0.97499999999999998</c:v>
                </c:pt>
                <c:pt idx="11">
                  <c:v>0.9729379255116305</c:v>
                </c:pt>
                <c:pt idx="12">
                  <c:v>0.97643551481898483</c:v>
                </c:pt>
                <c:pt idx="13">
                  <c:v>0.93319463723128226</c:v>
                </c:pt>
                <c:pt idx="14">
                  <c:v>0.97637223883053137</c:v>
                </c:pt>
                <c:pt idx="15">
                  <c:v>0.9769530967773179</c:v>
                </c:pt>
                <c:pt idx="16">
                  <c:v>0.97461737010179716</c:v>
                </c:pt>
                <c:pt idx="17">
                  <c:v>0.95104784433374834</c:v>
                </c:pt>
                <c:pt idx="18">
                  <c:v>0.97488389459411418</c:v>
                </c:pt>
                <c:pt idx="19">
                  <c:v>0.97738420575442142</c:v>
                </c:pt>
                <c:pt idx="20">
                  <c:v>0.97529942868055419</c:v>
                </c:pt>
                <c:pt idx="21">
                  <c:v>0.97824330403309201</c:v>
                </c:pt>
                <c:pt idx="22">
                  <c:v>0.97413117563813623</c:v>
                </c:pt>
                <c:pt idx="23">
                  <c:v>0.97694650645505499</c:v>
                </c:pt>
                <c:pt idx="24">
                  <c:v>0.97733522515044613</c:v>
                </c:pt>
                <c:pt idx="25">
                  <c:v>0.97552471520215522</c:v>
                </c:pt>
                <c:pt idx="26">
                  <c:v>0.9760860864472739</c:v>
                </c:pt>
                <c:pt idx="27">
                  <c:v>0.97499999999999998</c:v>
                </c:pt>
                <c:pt idx="28">
                  <c:v>0.97429862444905801</c:v>
                </c:pt>
                <c:pt idx="29">
                  <c:v>0.97826464962615201</c:v>
                </c:pt>
                <c:pt idx="30">
                  <c:v>0.97644286174067418</c:v>
                </c:pt>
                <c:pt idx="31">
                  <c:v>0.9765870960028693</c:v>
                </c:pt>
                <c:pt idx="32">
                  <c:v>0.97474307350201339</c:v>
                </c:pt>
                <c:pt idx="33">
                  <c:v>0.97369582716626424</c:v>
                </c:pt>
                <c:pt idx="34">
                  <c:v>0.97957840129560625</c:v>
                </c:pt>
                <c:pt idx="35">
                  <c:v>0.97623931623931626</c:v>
                </c:pt>
                <c:pt idx="36">
                  <c:v>0.97674783153934586</c:v>
                </c:pt>
                <c:pt idx="37">
                  <c:v>0.97900637156622961</c:v>
                </c:pt>
                <c:pt idx="38">
                  <c:v>0.97166336072541792</c:v>
                </c:pt>
                <c:pt idx="39">
                  <c:v>0.97399325450038599</c:v>
                </c:pt>
                <c:pt idx="40">
                  <c:v>0.97165508880635787</c:v>
                </c:pt>
                <c:pt idx="41">
                  <c:v>0.9347010720839638</c:v>
                </c:pt>
                <c:pt idx="42">
                  <c:v>0.97562559694364848</c:v>
                </c:pt>
                <c:pt idx="43">
                  <c:v>0.97187320702170588</c:v>
                </c:pt>
                <c:pt idx="44">
                  <c:v>0.97548823234852278</c:v>
                </c:pt>
                <c:pt idx="45">
                  <c:v>0.9760021068109247</c:v>
                </c:pt>
                <c:pt idx="46">
                  <c:v>0.97037037037037033</c:v>
                </c:pt>
                <c:pt idx="47">
                  <c:v>0.97131349200770412</c:v>
                </c:pt>
                <c:pt idx="48">
                  <c:v>0.97006213354336224</c:v>
                </c:pt>
                <c:pt idx="49">
                  <c:v>0.97159254404194773</c:v>
                </c:pt>
                <c:pt idx="50">
                  <c:v>0.96882984159427699</c:v>
                </c:pt>
                <c:pt idx="51">
                  <c:v>0.96281303218962</c:v>
                </c:pt>
                <c:pt idx="52">
                  <c:v>0.9621190756623148</c:v>
                </c:pt>
                <c:pt idx="53">
                  <c:v>0.97200926939986987</c:v>
                </c:pt>
                <c:pt idx="54">
                  <c:v>0.97133160956690368</c:v>
                </c:pt>
                <c:pt idx="55">
                  <c:v>0.96972537656859192</c:v>
                </c:pt>
                <c:pt idx="56">
                  <c:v>0.97536659327877706</c:v>
                </c:pt>
                <c:pt idx="57">
                  <c:v>0.96591399761245589</c:v>
                </c:pt>
                <c:pt idx="58">
                  <c:v>0.96468253265049353</c:v>
                </c:pt>
                <c:pt idx="59">
                  <c:v>0.96936565705176403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2-4AD1-929A-32C88E5C8189}"/>
            </c:ext>
          </c:extLst>
        </c:ser>
        <c:ser>
          <c:idx val="1"/>
          <c:order val="1"/>
          <c:tx>
            <c:strRef>
              <c:f>'Dashboard 3'!$CI$109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3'!$CI$110:$CI$182</c:f>
              <c:numCache>
                <c:formatCode>General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2-4AD1-929A-32C88E5C8189}"/>
            </c:ext>
          </c:extLst>
        </c:ser>
        <c:ser>
          <c:idx val="2"/>
          <c:order val="2"/>
          <c:tx>
            <c:strRef>
              <c:f>'Dashboard 3'!$CJ$109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3'!$CJ$110:$CJ$182</c:f>
              <c:numCache>
                <c:formatCode>0%</c:formatCode>
                <c:ptCount val="73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  <c:pt idx="41">
                  <c:v>0.97</c:v>
                </c:pt>
                <c:pt idx="42">
                  <c:v>0.97</c:v>
                </c:pt>
                <c:pt idx="43">
                  <c:v>0.97</c:v>
                </c:pt>
                <c:pt idx="44">
                  <c:v>0.97</c:v>
                </c:pt>
                <c:pt idx="45">
                  <c:v>0.97</c:v>
                </c:pt>
                <c:pt idx="46">
                  <c:v>0.97</c:v>
                </c:pt>
                <c:pt idx="47">
                  <c:v>0.97</c:v>
                </c:pt>
                <c:pt idx="48">
                  <c:v>0.97</c:v>
                </c:pt>
                <c:pt idx="49">
                  <c:v>0.97</c:v>
                </c:pt>
                <c:pt idx="50">
                  <c:v>0.97</c:v>
                </c:pt>
                <c:pt idx="51">
                  <c:v>0.97</c:v>
                </c:pt>
                <c:pt idx="52">
                  <c:v>0.97</c:v>
                </c:pt>
                <c:pt idx="53">
                  <c:v>0.97</c:v>
                </c:pt>
                <c:pt idx="54">
                  <c:v>0.97</c:v>
                </c:pt>
                <c:pt idx="55">
                  <c:v>0.97</c:v>
                </c:pt>
                <c:pt idx="56">
                  <c:v>0.97</c:v>
                </c:pt>
                <c:pt idx="57">
                  <c:v>0.97</c:v>
                </c:pt>
                <c:pt idx="58">
                  <c:v>0.97</c:v>
                </c:pt>
                <c:pt idx="59">
                  <c:v>0.97</c:v>
                </c:pt>
                <c:pt idx="60">
                  <c:v>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2-4AD1-929A-32C88E5C8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  <c:min val="0.9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Operator Cause Errors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3'!$CK$109</c:f>
              <c:strCache>
                <c:ptCount val="1"/>
                <c:pt idx="0">
                  <c:v>Operator Caused Failure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3'!$CK$110:$CK$182</c:f>
              <c:numCache>
                <c:formatCode>0.0%</c:formatCode>
                <c:ptCount val="73"/>
                <c:pt idx="0">
                  <c:v>2.0427280693802313E-2</c:v>
                </c:pt>
                <c:pt idx="1">
                  <c:v>1.8405070676532208E-2</c:v>
                </c:pt>
                <c:pt idx="2">
                  <c:v>2.1554821094984911E-2</c:v>
                </c:pt>
                <c:pt idx="3">
                  <c:v>2.4609650152617984E-2</c:v>
                </c:pt>
                <c:pt idx="4">
                  <c:v>2.3027611646313076E-2</c:v>
                </c:pt>
                <c:pt idx="5">
                  <c:v>2.6857302344463613E-2</c:v>
                </c:pt>
                <c:pt idx="6">
                  <c:v>2.2244893172916815E-2</c:v>
                </c:pt>
                <c:pt idx="7">
                  <c:v>2.1127049600853702E-2</c:v>
                </c:pt>
                <c:pt idx="8">
                  <c:v>2.0957937452127574E-2</c:v>
                </c:pt>
                <c:pt idx="9">
                  <c:v>3.4747829189960749E-2</c:v>
                </c:pt>
                <c:pt idx="10">
                  <c:v>2.6055958761829045E-2</c:v>
                </c:pt>
                <c:pt idx="11">
                  <c:v>2.7011567306470065E-2</c:v>
                </c:pt>
                <c:pt idx="12">
                  <c:v>2.6482294920790982E-2</c:v>
                </c:pt>
                <c:pt idx="13">
                  <c:v>2.8736564121571533E-2</c:v>
                </c:pt>
                <c:pt idx="14">
                  <c:v>2.3326293848221387E-2</c:v>
                </c:pt>
                <c:pt idx="15">
                  <c:v>2.1149608968305852E-2</c:v>
                </c:pt>
                <c:pt idx="16">
                  <c:v>1.9379532170484545E-2</c:v>
                </c:pt>
                <c:pt idx="17">
                  <c:v>1.9389788293897883E-2</c:v>
                </c:pt>
                <c:pt idx="18">
                  <c:v>1.4892860318307104E-2</c:v>
                </c:pt>
                <c:pt idx="19">
                  <c:v>1.3026063603915852E-2</c:v>
                </c:pt>
                <c:pt idx="20">
                  <c:v>1.4672883810493817E-2</c:v>
                </c:pt>
                <c:pt idx="21">
                  <c:v>1.4122285418821096E-2</c:v>
                </c:pt>
                <c:pt idx="22">
                  <c:v>1.5842025263378585E-2</c:v>
                </c:pt>
                <c:pt idx="23">
                  <c:v>1.3826893307483054E-2</c:v>
                </c:pt>
                <c:pt idx="24">
                  <c:v>1.2087570035277028E-2</c:v>
                </c:pt>
                <c:pt idx="25">
                  <c:v>1.4998972673104582E-2</c:v>
                </c:pt>
                <c:pt idx="26">
                  <c:v>1.4168587297389202E-2</c:v>
                </c:pt>
                <c:pt idx="27">
                  <c:v>1.8040758751252831E-2</c:v>
                </c:pt>
                <c:pt idx="28">
                  <c:v>1.7308183362383843E-2</c:v>
                </c:pt>
                <c:pt idx="29">
                  <c:v>1.6293841480254073E-2</c:v>
                </c:pt>
                <c:pt idx="30">
                  <c:v>1.6424589125717669E-2</c:v>
                </c:pt>
                <c:pt idx="31">
                  <c:v>1.7634400031881402E-2</c:v>
                </c:pt>
                <c:pt idx="32">
                  <c:v>1.50099164613258E-2</c:v>
                </c:pt>
                <c:pt idx="33">
                  <c:v>1.747552647295578E-2</c:v>
                </c:pt>
                <c:pt idx="34">
                  <c:v>1.4509736797061187E-2</c:v>
                </c:pt>
                <c:pt idx="35">
                  <c:v>2.0372046254399194E-2</c:v>
                </c:pt>
                <c:pt idx="36">
                  <c:v>1.8301285400773332E-2</c:v>
                </c:pt>
                <c:pt idx="37">
                  <c:v>1.5188890171832848E-2</c:v>
                </c:pt>
                <c:pt idx="38">
                  <c:v>1.8265325399074335E-2</c:v>
                </c:pt>
                <c:pt idx="39">
                  <c:v>1.8712666097769108E-2</c:v>
                </c:pt>
                <c:pt idx="40">
                  <c:v>1.9550868820597686E-2</c:v>
                </c:pt>
                <c:pt idx="41">
                  <c:v>2.0741444254853351E-2</c:v>
                </c:pt>
                <c:pt idx="42">
                  <c:v>1.6710601719197707E-2</c:v>
                </c:pt>
                <c:pt idx="43">
                  <c:v>1.7921724611427357E-2</c:v>
                </c:pt>
                <c:pt idx="44">
                  <c:v>2.0405608412618927E-2</c:v>
                </c:pt>
                <c:pt idx="45">
                  <c:v>2.0607244357148342E-2</c:v>
                </c:pt>
                <c:pt idx="46">
                  <c:v>2.4397883597883599E-2</c:v>
                </c:pt>
                <c:pt idx="47">
                  <c:v>2.0406011443674349E-2</c:v>
                </c:pt>
                <c:pt idx="48">
                  <c:v>1.8272512470464689E-2</c:v>
                </c:pt>
                <c:pt idx="49">
                  <c:v>2.0822009783547014E-2</c:v>
                </c:pt>
                <c:pt idx="50">
                  <c:v>1.9247146993697836E-2</c:v>
                </c:pt>
                <c:pt idx="51">
                  <c:v>2.42515610895521E-2</c:v>
                </c:pt>
                <c:pt idx="52">
                  <c:v>2.6633599309898642E-2</c:v>
                </c:pt>
                <c:pt idx="53">
                  <c:v>2.5792422583051602E-2</c:v>
                </c:pt>
                <c:pt idx="54">
                  <c:v>2.5436328377504848E-2</c:v>
                </c:pt>
                <c:pt idx="55">
                  <c:v>3.5590259283720733E-2</c:v>
                </c:pt>
                <c:pt idx="56">
                  <c:v>2.1330951688613799E-2</c:v>
                </c:pt>
                <c:pt idx="57">
                  <c:v>2.2351476975438773E-2</c:v>
                </c:pt>
                <c:pt idx="58">
                  <c:v>1.846502808739877E-2</c:v>
                </c:pt>
                <c:pt idx="59">
                  <c:v>1.5144223538965922E-2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6-4CFA-B174-2B7AD33CE0CB}"/>
            </c:ext>
          </c:extLst>
        </c:ser>
        <c:ser>
          <c:idx val="1"/>
          <c:order val="1"/>
          <c:tx>
            <c:strRef>
              <c:f>'Dashboard 3'!$CL$109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3'!$CL$110:$CL$182</c:f>
              <c:numCache>
                <c:formatCode>0.00%</c:formatCode>
                <c:ptCount val="73"/>
                <c:pt idx="0">
                  <c:v>1.4999999999999999E-2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1.4999999999999999E-2</c:v>
                </c:pt>
                <c:pt idx="6">
                  <c:v>1.4999999999999999E-2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1.4999999999999999E-2</c:v>
                </c:pt>
                <c:pt idx="15">
                  <c:v>1.4999999999999999E-2</c:v>
                </c:pt>
                <c:pt idx="16">
                  <c:v>1.4999999999999999E-2</c:v>
                </c:pt>
                <c:pt idx="17">
                  <c:v>1.4999999999999999E-2</c:v>
                </c:pt>
                <c:pt idx="18">
                  <c:v>1.4999999999999999E-2</c:v>
                </c:pt>
                <c:pt idx="19">
                  <c:v>1.4999999999999999E-2</c:v>
                </c:pt>
                <c:pt idx="20">
                  <c:v>1.4999999999999999E-2</c:v>
                </c:pt>
                <c:pt idx="21">
                  <c:v>1.4999999999999999E-2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1.4999999999999999E-2</c:v>
                </c:pt>
                <c:pt idx="28">
                  <c:v>1.4999999999999999E-2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1.4999999999999999E-2</c:v>
                </c:pt>
                <c:pt idx="35">
                  <c:v>1.4999999999999999E-2</c:v>
                </c:pt>
                <c:pt idx="36">
                  <c:v>1.4999999999999999E-2</c:v>
                </c:pt>
                <c:pt idx="37">
                  <c:v>1.4999999999999999E-2</c:v>
                </c:pt>
                <c:pt idx="38">
                  <c:v>1.4999999999999999E-2</c:v>
                </c:pt>
                <c:pt idx="39">
                  <c:v>1.4999999999999999E-2</c:v>
                </c:pt>
                <c:pt idx="40">
                  <c:v>1.4999999999999999E-2</c:v>
                </c:pt>
                <c:pt idx="41">
                  <c:v>1.4999999999999999E-2</c:v>
                </c:pt>
                <c:pt idx="42">
                  <c:v>1.4999999999999999E-2</c:v>
                </c:pt>
                <c:pt idx="43">
                  <c:v>1.4999999999999999E-2</c:v>
                </c:pt>
                <c:pt idx="44">
                  <c:v>1.4999999999999999E-2</c:v>
                </c:pt>
                <c:pt idx="45">
                  <c:v>1.4999999999999999E-2</c:v>
                </c:pt>
                <c:pt idx="46">
                  <c:v>1.4999999999999999E-2</c:v>
                </c:pt>
                <c:pt idx="47">
                  <c:v>1.4999999999999999E-2</c:v>
                </c:pt>
                <c:pt idx="48">
                  <c:v>1.4999999999999999E-2</c:v>
                </c:pt>
                <c:pt idx="49">
                  <c:v>1.4999999999999999E-2</c:v>
                </c:pt>
                <c:pt idx="50">
                  <c:v>1.4999999999999999E-2</c:v>
                </c:pt>
                <c:pt idx="51">
                  <c:v>1.4999999999999999E-2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1.4999999999999999E-2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6-4CFA-B174-2B7AD33CE0CB}"/>
            </c:ext>
          </c:extLst>
        </c:ser>
        <c:ser>
          <c:idx val="2"/>
          <c:order val="2"/>
          <c:tx>
            <c:strRef>
              <c:f>'Dashboard 3'!$CM$109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3'!$CM$110:$CM$182</c:f>
              <c:numCache>
                <c:formatCode>0.00%</c:formatCode>
                <c:ptCount val="7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6-4CFA-B174-2B7AD33C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024095"/>
        <c:axId val="2085023679"/>
      </c:lineChart>
      <c:dateAx>
        <c:axId val="208502409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3679"/>
        <c:crosses val="autoZero"/>
        <c:auto val="1"/>
        <c:lblOffset val="100"/>
        <c:baseTimeUnit val="months"/>
      </c:dateAx>
      <c:valAx>
        <c:axId val="20850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 per Unit to FG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3'!$K$109</c:f>
              <c:strCache>
                <c:ptCount val="1"/>
                <c:pt idx="0">
                  <c:v>Expenses / FG unit produced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3'!$K$110:$K$182</c:f>
              <c:numCache>
                <c:formatCode>_("$"* #,##0.00_);_("$"* \(#,##0.00\);_("$"* "-"??_);_(@_)</c:formatCode>
                <c:ptCount val="73"/>
                <c:pt idx="0">
                  <c:v>25.587431364267182</c:v>
                </c:pt>
                <c:pt idx="1">
                  <c:v>26.424698278327519</c:v>
                </c:pt>
                <c:pt idx="2">
                  <c:v>36.66077142153933</c:v>
                </c:pt>
                <c:pt idx="3">
                  <c:v>28.225888908036072</c:v>
                </c:pt>
                <c:pt idx="4">
                  <c:v>34.969156141314294</c:v>
                </c:pt>
                <c:pt idx="5">
                  <c:v>28.975694245634127</c:v>
                </c:pt>
                <c:pt idx="6">
                  <c:v>25.099049758928988</c:v>
                </c:pt>
                <c:pt idx="7">
                  <c:v>24.821588243105662</c:v>
                </c:pt>
                <c:pt idx="8">
                  <c:v>33.303638009049777</c:v>
                </c:pt>
                <c:pt idx="9">
                  <c:v>26.958081868276043</c:v>
                </c:pt>
                <c:pt idx="10">
                  <c:v>27.092435877344197</c:v>
                </c:pt>
                <c:pt idx="11">
                  <c:v>29.984924335612323</c:v>
                </c:pt>
                <c:pt idx="12">
                  <c:v>33.395410921870777</c:v>
                </c:pt>
                <c:pt idx="13">
                  <c:v>30.385203811540496</c:v>
                </c:pt>
                <c:pt idx="14">
                  <c:v>31.863183014134492</c:v>
                </c:pt>
                <c:pt idx="15">
                  <c:v>35.70119466696233</c:v>
                </c:pt>
                <c:pt idx="16">
                  <c:v>28.378007755322155</c:v>
                </c:pt>
                <c:pt idx="17">
                  <c:v>28.514346691961109</c:v>
                </c:pt>
                <c:pt idx="18">
                  <c:v>31.034893381334811</c:v>
                </c:pt>
                <c:pt idx="19">
                  <c:v>32.25091756481212</c:v>
                </c:pt>
                <c:pt idx="20">
                  <c:v>31.961737874909758</c:v>
                </c:pt>
                <c:pt idx="21">
                  <c:v>27.425685536523542</c:v>
                </c:pt>
                <c:pt idx="22">
                  <c:v>31.585451724549468</c:v>
                </c:pt>
                <c:pt idx="23">
                  <c:v>35.854441913439636</c:v>
                </c:pt>
                <c:pt idx="24">
                  <c:v>122.1057210965435</c:v>
                </c:pt>
                <c:pt idx="25">
                  <c:v>26.450069066384984</c:v>
                </c:pt>
                <c:pt idx="26">
                  <c:v>25.243430267806744</c:v>
                </c:pt>
                <c:pt idx="27">
                  <c:v>25.906861313868614</c:v>
                </c:pt>
                <c:pt idx="28">
                  <c:v>27.248886164871173</c:v>
                </c:pt>
                <c:pt idx="29">
                  <c:v>29.869532587537233</c:v>
                </c:pt>
                <c:pt idx="30">
                  <c:v>31.896546431312355</c:v>
                </c:pt>
                <c:pt idx="31">
                  <c:v>26.648036029146219</c:v>
                </c:pt>
                <c:pt idx="32">
                  <c:v>37.007175158275551</c:v>
                </c:pt>
                <c:pt idx="33">
                  <c:v>32.821775684216803</c:v>
                </c:pt>
                <c:pt idx="34">
                  <c:v>37.418474635494427</c:v>
                </c:pt>
                <c:pt idx="35">
                  <c:v>24.440235890129028</c:v>
                </c:pt>
                <c:pt idx="36">
                  <c:v>27.994454816507371</c:v>
                </c:pt>
                <c:pt idx="37">
                  <c:v>19.978860495177489</c:v>
                </c:pt>
                <c:pt idx="38">
                  <c:v>35.928741032636154</c:v>
                </c:pt>
                <c:pt idx="39">
                  <c:v>33.575675675675676</c:v>
                </c:pt>
                <c:pt idx="40">
                  <c:v>30.4814605520539</c:v>
                </c:pt>
                <c:pt idx="41">
                  <c:v>24.12171520880316</c:v>
                </c:pt>
                <c:pt idx="42">
                  <c:v>25.232773136454892</c:v>
                </c:pt>
                <c:pt idx="43">
                  <c:v>25.652650528349383</c:v>
                </c:pt>
                <c:pt idx="44">
                  <c:v>25.883347285723485</c:v>
                </c:pt>
                <c:pt idx="45">
                  <c:v>30.846803236518404</c:v>
                </c:pt>
                <c:pt idx="46">
                  <c:v>34.56049747048904</c:v>
                </c:pt>
                <c:pt idx="47">
                  <c:v>21.685449141748045</c:v>
                </c:pt>
                <c:pt idx="48">
                  <c:v>26.925701237176646</c:v>
                </c:pt>
                <c:pt idx="49">
                  <c:v>28.746293042867183</c:v>
                </c:pt>
                <c:pt idx="50">
                  <c:v>28.765372333197444</c:v>
                </c:pt>
                <c:pt idx="51">
                  <c:v>36.826384697042236</c:v>
                </c:pt>
                <c:pt idx="52">
                  <c:v>41.104898272703998</c:v>
                </c:pt>
                <c:pt idx="53">
                  <c:v>28.700948600540716</c:v>
                </c:pt>
                <c:pt idx="54">
                  <c:v>34.433382881442036</c:v>
                </c:pt>
                <c:pt idx="55">
                  <c:v>54.126814213423792</c:v>
                </c:pt>
                <c:pt idx="56">
                  <c:v>66.284687203554839</c:v>
                </c:pt>
                <c:pt idx="57">
                  <c:v>65.72169458354918</c:v>
                </c:pt>
                <c:pt idx="58">
                  <c:v>43.687319468515312</c:v>
                </c:pt>
                <c:pt idx="59">
                  <c:v>32.246949827102497</c:v>
                </c:pt>
                <c:pt idx="60">
                  <c:v>53.37980529206191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8-475F-8483-ED4EF7C8CFAF}"/>
            </c:ext>
          </c:extLst>
        </c:ser>
        <c:ser>
          <c:idx val="1"/>
          <c:order val="1"/>
          <c:tx>
            <c:strRef>
              <c:f>'Dashboard 3'!$L$109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3'!$L$110:$L$182</c:f>
              <c:numCache>
                <c:formatCode>_-"$"* #,##0_-;\-"$"* #,##0_-;_-"$"* "-"??_-;_-@_-</c:formatCode>
                <c:ptCount val="7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8-475F-8483-ED4EF7C8C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50639"/>
        <c:axId val="1223952719"/>
      </c:lineChart>
      <c:dateAx>
        <c:axId val="122395063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2719"/>
        <c:crosses val="autoZero"/>
        <c:auto val="1"/>
        <c:lblOffset val="100"/>
        <c:baseTimeUnit val="months"/>
      </c:dateAx>
      <c:valAx>
        <c:axId val="1223952719"/>
        <c:scaling>
          <c:orientation val="minMax"/>
          <c:max val="8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 to FG per Direct - Electronics Only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3'!$CO$109</c:f>
              <c:strCache>
                <c:ptCount val="1"/>
                <c:pt idx="0">
                  <c:v>$ to FG per 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'Dashboard 3'!$B$110:$B$182</c:f>
              <c:numCache>
                <c:formatCode>mmm\-yy</c:formatCode>
                <c:ptCount val="73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  <c:pt idx="60">
                  <c:v>45017</c:v>
                </c:pt>
                <c:pt idx="61">
                  <c:v>45047</c:v>
                </c:pt>
                <c:pt idx="62">
                  <c:v>45078</c:v>
                </c:pt>
                <c:pt idx="63">
                  <c:v>45108</c:v>
                </c:pt>
                <c:pt idx="64">
                  <c:v>45139</c:v>
                </c:pt>
                <c:pt idx="65">
                  <c:v>45170</c:v>
                </c:pt>
                <c:pt idx="66">
                  <c:v>45200</c:v>
                </c:pt>
                <c:pt idx="67">
                  <c:v>45231</c:v>
                </c:pt>
                <c:pt idx="68">
                  <c:v>45261</c:v>
                </c:pt>
                <c:pt idx="69">
                  <c:v>45292</c:v>
                </c:pt>
                <c:pt idx="70">
                  <c:v>45323</c:v>
                </c:pt>
                <c:pt idx="71">
                  <c:v>45352</c:v>
                </c:pt>
                <c:pt idx="72">
                  <c:v>45383</c:v>
                </c:pt>
              </c:numCache>
            </c:numRef>
          </c:cat>
          <c:val>
            <c:numRef>
              <c:f>'Dashboard 3'!$CO$110:$CO$182</c:f>
              <c:numCache>
                <c:formatCode>_-"$"* #,##0_-;\-"$"* #,##0_-;_-"$"* "-"??_-;_-@_-</c:formatCode>
                <c:ptCount val="73"/>
                <c:pt idx="0">
                  <c:v>56284.21684210527</c:v>
                </c:pt>
                <c:pt idx="1">
                  <c:v>60991.875657894736</c:v>
                </c:pt>
                <c:pt idx="2">
                  <c:v>61780.176052631577</c:v>
                </c:pt>
                <c:pt idx="3">
                  <c:v>67187.257792207791</c:v>
                </c:pt>
                <c:pt idx="4">
                  <c:v>72679.01506024097</c:v>
                </c:pt>
                <c:pt idx="5">
                  <c:v>65286.34682352942</c:v>
                </c:pt>
                <c:pt idx="6">
                  <c:v>68322.771566265059</c:v>
                </c:pt>
                <c:pt idx="7">
                  <c:v>73454.083295454548</c:v>
                </c:pt>
                <c:pt idx="8">
                  <c:v>37979.838571428569</c:v>
                </c:pt>
                <c:pt idx="9">
                  <c:v>54456.297654320995</c:v>
                </c:pt>
                <c:pt idx="10">
                  <c:v>54084.55</c:v>
                </c:pt>
                <c:pt idx="11">
                  <c:v>69274.674750000006</c:v>
                </c:pt>
                <c:pt idx="12">
                  <c:v>45832.250740740739</c:v>
                </c:pt>
                <c:pt idx="13">
                  <c:v>67896.096707317076</c:v>
                </c:pt>
                <c:pt idx="14">
                  <c:v>53622.502261904767</c:v>
                </c:pt>
                <c:pt idx="15">
                  <c:v>63456.639620253169</c:v>
                </c:pt>
                <c:pt idx="16">
                  <c:v>68876.770374999993</c:v>
                </c:pt>
                <c:pt idx="17">
                  <c:v>72843.072533333339</c:v>
                </c:pt>
                <c:pt idx="18">
                  <c:v>71361.369480519483</c:v>
                </c:pt>
                <c:pt idx="19">
                  <c:v>71224.987922077926</c:v>
                </c:pt>
                <c:pt idx="20">
                  <c:v>52500.958630136985</c:v>
                </c:pt>
                <c:pt idx="21">
                  <c:v>76751.798529411768</c:v>
                </c:pt>
                <c:pt idx="22">
                  <c:v>76898.308307692307</c:v>
                </c:pt>
                <c:pt idx="23">
                  <c:v>60209.626562500001</c:v>
                </c:pt>
                <c:pt idx="24">
                  <c:v>37284.691290322582</c:v>
                </c:pt>
                <c:pt idx="25">
                  <c:v>93011.39</c:v>
                </c:pt>
                <c:pt idx="26">
                  <c:v>83518.805194805202</c:v>
                </c:pt>
                <c:pt idx="27">
                  <c:v>87662.058823529413</c:v>
                </c:pt>
                <c:pt idx="28">
                  <c:v>67731.987951807227</c:v>
                </c:pt>
                <c:pt idx="29">
                  <c:v>71385.168674698798</c:v>
                </c:pt>
                <c:pt idx="30">
                  <c:v>63467.067415730337</c:v>
                </c:pt>
                <c:pt idx="31">
                  <c:v>68381.5</c:v>
                </c:pt>
                <c:pt idx="32">
                  <c:v>52509.287356321838</c:v>
                </c:pt>
                <c:pt idx="33">
                  <c:v>59026.024390243903</c:v>
                </c:pt>
                <c:pt idx="34">
                  <c:v>58976.192307692305</c:v>
                </c:pt>
                <c:pt idx="35">
                  <c:v>62561.932584269663</c:v>
                </c:pt>
                <c:pt idx="36">
                  <c:v>55680.103448275862</c:v>
                </c:pt>
                <c:pt idx="37">
                  <c:v>61401.348314606745</c:v>
                </c:pt>
                <c:pt idx="38">
                  <c:v>63543.267441860466</c:v>
                </c:pt>
                <c:pt idx="39">
                  <c:v>73544.957894736843</c:v>
                </c:pt>
                <c:pt idx="40">
                  <c:v>103503.87755102041</c:v>
                </c:pt>
                <c:pt idx="41">
                  <c:v>162855.91089108912</c:v>
                </c:pt>
                <c:pt idx="42">
                  <c:v>154298.86486486485</c:v>
                </c:pt>
                <c:pt idx="43">
                  <c:v>120023.75</c:v>
                </c:pt>
                <c:pt idx="44">
                  <c:v>85697.175572519089</c:v>
                </c:pt>
                <c:pt idx="45">
                  <c:v>70022.424460431648</c:v>
                </c:pt>
                <c:pt idx="46">
                  <c:v>77087.259259259255</c:v>
                </c:pt>
                <c:pt idx="47">
                  <c:v>83272.125</c:v>
                </c:pt>
                <c:pt idx="48">
                  <c:v>74752.416666666672</c:v>
                </c:pt>
                <c:pt idx="49">
                  <c:v>79952.135593220344</c:v>
                </c:pt>
                <c:pt idx="50">
                  <c:v>84868.2</c:v>
                </c:pt>
                <c:pt idx="51">
                  <c:v>74213.18965517242</c:v>
                </c:pt>
                <c:pt idx="52">
                  <c:v>88407.41025641025</c:v>
                </c:pt>
                <c:pt idx="53">
                  <c:v>79892.190476190473</c:v>
                </c:pt>
                <c:pt idx="54">
                  <c:v>79103.626016260168</c:v>
                </c:pt>
                <c:pt idx="55">
                  <c:v>73544.841584158421</c:v>
                </c:pt>
                <c:pt idx="56">
                  <c:v>45106.175824175822</c:v>
                </c:pt>
                <c:pt idx="57">
                  <c:v>33614.80459770115</c:v>
                </c:pt>
                <c:pt idx="58">
                  <c:v>50479</c:v>
                </c:pt>
                <c:pt idx="59">
                  <c:v>69230.32432432432</c:v>
                </c:pt>
                <c:pt idx="60">
                  <c:v>53882.102564102563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3-4F35-88E8-12A00EA8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68112"/>
        <c:axId val="91264752"/>
      </c:lineChart>
      <c:dateAx>
        <c:axId val="912681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64752"/>
        <c:crosses val="autoZero"/>
        <c:auto val="1"/>
        <c:lblOffset val="100"/>
        <c:baseTimeUnit val="months"/>
      </c:dateAx>
      <c:valAx>
        <c:axId val="912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6BD-4D90-9CDE-ACDDEC0AA9E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6BD-4D90-9CDE-ACDDEC0AA9E1}"/>
              </c:ext>
            </c:extLst>
          </c:dPt>
          <c:dLbls>
            <c:dLbl>
              <c:idx val="0"/>
              <c:layout>
                <c:manualLayout>
                  <c:x val="0"/>
                  <c:y val="0.1290322580645161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6BD-4D90-9CDE-ACDDEC0AA9E1}"/>
                </c:ext>
              </c:extLst>
            </c:dLbl>
            <c:dLbl>
              <c:idx val="1"/>
              <c:layout>
                <c:manualLayout>
                  <c:x val="-3.0535915153462961E-3"/>
                  <c:y val="-3.720535549579118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98A75F1-000C-4574-94A9-0B6E83793272}" type="CATEGORYNAME">
                      <a:rPr lang="en-US" sz="1200"/>
                      <a:pPr>
                        <a:defRPr sz="1200" b="1">
                          <a:solidFill>
                            <a:schemeClr val="bg1"/>
                          </a:solidFill>
                        </a:defRPr>
                      </a:pPr>
                      <a:t>[CATEGORY NAME]</a:t>
                    </a:fld>
                    <a:r>
                      <a:rPr lang="en-US" sz="1200" baseline="0"/>
                      <a:t>, </a:t>
                    </a:r>
                    <a:fld id="{39906490-9BC1-4911-8D17-160976735F01}" type="VALUE">
                      <a:rPr lang="en-US" sz="1200" baseline="0"/>
                      <a:pPr>
                        <a:defRPr sz="1200" b="1"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112726980556001"/>
                      <c:h val="0.194527995961047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6BD-4D90-9CDE-ACDDEC0AA9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2'!$R$1:$R$2</c:f>
              <c:strCache>
                <c:ptCount val="2"/>
                <c:pt idx="0">
                  <c:v>Jan</c:v>
                </c:pt>
                <c:pt idx="1">
                  <c:v>Team Grown by</c:v>
                </c:pt>
              </c:strCache>
            </c:strRef>
          </c:cat>
          <c:val>
            <c:numRef>
              <c:f>'Dashboard 2'!$S$1:$S$2</c:f>
              <c:numCache>
                <c:formatCode>General</c:formatCode>
                <c:ptCount val="2"/>
                <c:pt idx="0">
                  <c:v>132</c:v>
                </c:pt>
                <c:pt idx="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D-4D90-9CDE-ACDDEC0AA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5072448"/>
        <c:axId val="1395070784"/>
      </c:barChart>
      <c:catAx>
        <c:axId val="139507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070784"/>
        <c:crosses val="autoZero"/>
        <c:auto val="1"/>
        <c:lblAlgn val="ctr"/>
        <c:lblOffset val="100"/>
        <c:noMultiLvlLbl val="0"/>
      </c:catAx>
      <c:valAx>
        <c:axId val="13950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07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6B-4C8B-A48C-3FA4022EC6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46B-4C8B-A48C-3FA4022EC655}"/>
              </c:ext>
            </c:extLst>
          </c:dPt>
          <c:dLbls>
            <c:dLbl>
              <c:idx val="0"/>
              <c:layout>
                <c:manualLayout>
                  <c:x val="8.2900713619428149E-2"/>
                  <c:y val="0.2474011985061005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6F88941-6BCB-4FEA-8FEC-730A06406674}" type="CATEGORYNAME">
                      <a:rPr lang="en-US" sz="1050" b="1">
                        <a:solidFill>
                          <a:schemeClr val="bg1"/>
                        </a:solidFill>
                      </a:rPr>
                      <a:pPr>
                        <a:defRPr sz="1200" b="1">
                          <a:solidFill>
                            <a:schemeClr val="bg1"/>
                          </a:solidFill>
                        </a:defRPr>
                      </a:pPr>
                      <a:t>[CATEGORY NAME]</a:t>
                    </a:fld>
                    <a:r>
                      <a:rPr lang="en-US" sz="1050" b="1" baseline="0">
                        <a:solidFill>
                          <a:schemeClr val="bg1"/>
                        </a:solidFill>
                      </a:rPr>
                      <a:t>, </a:t>
                    </a:r>
                    <a:fld id="{993CC088-E6B2-4B98-98F9-8F229489F6DF}" type="VALUE">
                      <a:rPr lang="en-US" sz="1200" b="1" baseline="0">
                        <a:solidFill>
                          <a:schemeClr val="bg1"/>
                        </a:solidFill>
                      </a:rPr>
                      <a:pPr>
                        <a:defRPr sz="1200" b="1"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US" sz="1050" b="1" baseline="0">
                      <a:solidFill>
                        <a:schemeClr val="bg1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17341589526965"/>
                      <c:h val="0.2669530287208722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46B-4C8B-A48C-3FA4022EC655}"/>
                </c:ext>
              </c:extLst>
            </c:dLbl>
            <c:dLbl>
              <c:idx val="1"/>
              <c:layout>
                <c:manualLayout>
                  <c:x val="4.5393303084324078E-2"/>
                  <c:y val="-5.033951401236135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162322883071349"/>
                      <c:h val="0.242399028479648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146B-4C8B-A48C-3FA4022EC6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2'!$R$4:$R$5</c:f>
              <c:strCache>
                <c:ptCount val="2"/>
                <c:pt idx="0">
                  <c:v>Team Prior to Jan</c:v>
                </c:pt>
                <c:pt idx="1">
                  <c:v>New Team </c:v>
                </c:pt>
              </c:strCache>
            </c:strRef>
          </c:cat>
          <c:val>
            <c:numRef>
              <c:f>'Dashboard 2'!$S$4:$S$5</c:f>
              <c:numCache>
                <c:formatCode>General</c:formatCode>
                <c:ptCount val="2"/>
                <c:pt idx="0">
                  <c:v>110</c:v>
                </c:pt>
                <c:pt idx="1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B-4C8B-A48C-3FA4022EC655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E-446E-80F7-5E1ED9EB37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D8E-446E-80F7-5E1ED9EB37C1}"/>
              </c:ext>
            </c:extLst>
          </c:dPt>
          <c:dLbls>
            <c:dLbl>
              <c:idx val="0"/>
              <c:layout>
                <c:manualLayout>
                  <c:x val="-6.3960639606396058E-2"/>
                  <c:y val="-0.2022116903633491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900369003690042"/>
                      <c:h val="0.320695102685624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D8E-446E-80F7-5E1ED9EB37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'Dashboard 2'!$B$20:$B$21</c:f>
              <c:strCache>
                <c:ptCount val="2"/>
                <c:pt idx="0">
                  <c:v>FPY</c:v>
                </c:pt>
                <c:pt idx="1">
                  <c:v>Failed</c:v>
                </c:pt>
              </c:strCache>
            </c:strRef>
          </c:cat>
          <c:val>
            <c:numRef>
              <c:f>'Dashboard 2'!$C$20:$C$21</c:f>
              <c:numCache>
                <c:formatCode>0.0%</c:formatCode>
                <c:ptCount val="2"/>
                <c:pt idx="0">
                  <c:v>0.97299999999999998</c:v>
                </c:pt>
                <c:pt idx="1">
                  <c:v>2.7000000000000024E-2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E-446E-80F7-5E1ED9EB37C1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F0-48EE-BB1C-CEEF2397C7C8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F0-48EE-BB1C-CEEF2397C7C8}"/>
              </c:ext>
            </c:extLst>
          </c:dPt>
          <c:dLbls>
            <c:dLbl>
              <c:idx val="0"/>
              <c:layout>
                <c:manualLayout>
                  <c:x val="-0.15744166821666983"/>
                  <c:y val="-0.2112647562890255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072534A-0F76-451A-B481-DB1B9AB819B1}" type="CATEGORYNAME">
                      <a:rPr lang="en-US" sz="1800"/>
                      <a:pPr>
                        <a:defRPr/>
                      </a:pPr>
                      <a:t>[CATEGORY NAME]</a:t>
                    </a:fld>
                    <a:r>
                      <a:rPr lang="en-US" sz="1800" baseline="0"/>
                      <a:t>, </a:t>
                    </a:r>
                    <a:fld id="{B7C4D063-E380-46BF-85AD-B7D8A7050BC3}" type="VALUE">
                      <a:rPr lang="en-US" sz="1800" baseline="0"/>
                      <a:pPr>
                        <a:defRPr/>
                      </a:pPr>
                      <a:t>[VALUE]</a:t>
                    </a:fld>
                    <a:endParaRPr lang="en-US" sz="18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1328413284132842"/>
                      <c:h val="0.3270142180094786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DF0-48EE-BB1C-CEEF2397C7C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F0-48EE-BB1C-CEEF2397C7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'Dashboard 2'!$B$24:$B$25</c:f>
              <c:strCache>
                <c:ptCount val="2"/>
                <c:pt idx="0">
                  <c:v>DIFOT</c:v>
                </c:pt>
                <c:pt idx="1">
                  <c:v>Missed</c:v>
                </c:pt>
              </c:strCache>
            </c:strRef>
          </c:cat>
          <c:val>
            <c:numRef>
              <c:f>'Dashboard 2'!$C$24:$C$25</c:f>
              <c:numCache>
                <c:formatCode>0%</c:formatCode>
                <c:ptCount val="2"/>
                <c:pt idx="0">
                  <c:v>0.94499999999999995</c:v>
                </c:pt>
                <c:pt idx="1">
                  <c:v>5.5000000000000049E-2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F0-48EE-BB1C-CEEF2397C7C8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Scrap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2'!$R$36</c:f>
              <c:strCache>
                <c:ptCount val="1"/>
                <c:pt idx="0">
                  <c:v>Scrap</c:v>
                </c:pt>
              </c:strCache>
            </c:strRef>
          </c:tx>
          <c:spPr>
            <a:noFill/>
            <a:ln w="9525" cap="flat" cmpd="sng" algn="ctr">
              <a:solidFill>
                <a:srgbClr val="FF9900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'Dashboard 2'!$Q$37:$Q$45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'Dashboard 2'!$R$37:$R$45</c:f>
              <c:numCache>
                <c:formatCode>_-"$"* #,##0_-;\-"$"* #,##0_-;_-"$"* "-"??_-;_-@_-</c:formatCode>
                <c:ptCount val="9"/>
                <c:pt idx="0">
                  <c:v>140515</c:v>
                </c:pt>
                <c:pt idx="1">
                  <c:v>201859</c:v>
                </c:pt>
                <c:pt idx="2">
                  <c:v>197570</c:v>
                </c:pt>
                <c:pt idx="3">
                  <c:v>271390</c:v>
                </c:pt>
                <c:pt idx="4">
                  <c:v>283929</c:v>
                </c:pt>
                <c:pt idx="5">
                  <c:v>262193</c:v>
                </c:pt>
                <c:pt idx="6">
                  <c:v>197864</c:v>
                </c:pt>
                <c:pt idx="7">
                  <c:v>389920</c:v>
                </c:pt>
                <c:pt idx="8">
                  <c:v>470933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0-4C14-94A6-3CB8F22D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647863120"/>
        <c:axId val="1647873936"/>
      </c:barChart>
      <c:barChart>
        <c:barDir val="col"/>
        <c:grouping val="clustered"/>
        <c:varyColors val="0"/>
        <c:ser>
          <c:idx val="1"/>
          <c:order val="1"/>
          <c:tx>
            <c:strRef>
              <c:f>'Dashboard 2'!$S$36</c:f>
              <c:strCache>
                <c:ptCount val="1"/>
                <c:pt idx="0">
                  <c:v>FG Value</c:v>
                </c:pt>
              </c:strCache>
            </c:strRef>
          </c:tx>
          <c:spPr>
            <a:noFill/>
            <a:ln w="9525" cap="flat" cmpd="sng" algn="ctr">
              <a:solidFill>
                <a:srgbClr val="00B050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'Dashboard 2'!$Q$37:$Q$45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'Dashboard 2'!$S$37:$S$45</c:f>
              <c:numCache>
                <c:formatCode>_-"$"* #,##0_-;\-"$"* #,##0_-;_-"$"* "-"??_-;_-@_-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61272410.226666674</c:v>
                </c:pt>
                <c:pt idx="5">
                  <c:v>59294723.020000003</c:v>
                </c:pt>
                <c:pt idx="6">
                  <c:v>64321490.039999999</c:v>
                </c:pt>
                <c:pt idx="7">
                  <c:v>108077041</c:v>
                </c:pt>
                <c:pt idx="8">
                  <c:v>108820123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F5-49B9-9F1F-251333432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70215568"/>
        <c:axId val="270215152"/>
      </c:barChart>
      <c:catAx>
        <c:axId val="1647863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873936"/>
        <c:crosses val="autoZero"/>
        <c:auto val="1"/>
        <c:lblAlgn val="ctr"/>
        <c:lblOffset val="100"/>
        <c:noMultiLvlLbl val="0"/>
      </c:catAx>
      <c:valAx>
        <c:axId val="1647873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863120"/>
        <c:crosses val="autoZero"/>
        <c:crossBetween val="between"/>
      </c:valAx>
      <c:valAx>
        <c:axId val="270215152"/>
        <c:scaling>
          <c:orientation val="minMax"/>
        </c:scaling>
        <c:delete val="0"/>
        <c:axPos val="r"/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215568"/>
        <c:crosses val="max"/>
        <c:crossBetween val="between"/>
      </c:valAx>
      <c:catAx>
        <c:axId val="270215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0215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Totals'!$CJ$3</c:f>
              <c:strCache>
                <c:ptCount val="1"/>
                <c:pt idx="0">
                  <c:v>PFR's 12 month Avg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'Group Totals'!$A$53:$A$137</c:f>
              <c:numCache>
                <c:formatCode>mmm\-yy</c:formatCode>
                <c:ptCount val="85"/>
                <c:pt idx="0">
                  <c:v>42339</c:v>
                </c:pt>
                <c:pt idx="1">
                  <c:v>42370</c:v>
                </c:pt>
                <c:pt idx="2">
                  <c:v>42401</c:v>
                </c:pt>
                <c:pt idx="3">
                  <c:v>42430</c:v>
                </c:pt>
                <c:pt idx="4">
                  <c:v>42461</c:v>
                </c:pt>
                <c:pt idx="5">
                  <c:v>42491</c:v>
                </c:pt>
                <c:pt idx="6">
                  <c:v>42522</c:v>
                </c:pt>
                <c:pt idx="7">
                  <c:v>42552</c:v>
                </c:pt>
                <c:pt idx="8">
                  <c:v>42583</c:v>
                </c:pt>
                <c:pt idx="9">
                  <c:v>42614</c:v>
                </c:pt>
                <c:pt idx="10">
                  <c:v>42644</c:v>
                </c:pt>
                <c:pt idx="11">
                  <c:v>42675</c:v>
                </c:pt>
                <c:pt idx="12">
                  <c:v>42705</c:v>
                </c:pt>
                <c:pt idx="13">
                  <c:v>42736</c:v>
                </c:pt>
                <c:pt idx="14">
                  <c:v>42767</c:v>
                </c:pt>
                <c:pt idx="15">
                  <c:v>42795</c:v>
                </c:pt>
                <c:pt idx="16">
                  <c:v>42826</c:v>
                </c:pt>
                <c:pt idx="17">
                  <c:v>42856</c:v>
                </c:pt>
                <c:pt idx="18">
                  <c:v>42887</c:v>
                </c:pt>
                <c:pt idx="19">
                  <c:v>42917</c:v>
                </c:pt>
                <c:pt idx="20">
                  <c:v>42948</c:v>
                </c:pt>
                <c:pt idx="21">
                  <c:v>42979</c:v>
                </c:pt>
                <c:pt idx="22">
                  <c:v>43009</c:v>
                </c:pt>
                <c:pt idx="23">
                  <c:v>43040</c:v>
                </c:pt>
                <c:pt idx="24">
                  <c:v>43070</c:v>
                </c:pt>
                <c:pt idx="25">
                  <c:v>43101</c:v>
                </c:pt>
                <c:pt idx="26">
                  <c:v>43132</c:v>
                </c:pt>
                <c:pt idx="27">
                  <c:v>43160</c:v>
                </c:pt>
                <c:pt idx="28">
                  <c:v>43191</c:v>
                </c:pt>
                <c:pt idx="29">
                  <c:v>43221</c:v>
                </c:pt>
                <c:pt idx="30">
                  <c:v>43252</c:v>
                </c:pt>
                <c:pt idx="31">
                  <c:v>43282</c:v>
                </c:pt>
                <c:pt idx="32">
                  <c:v>43313</c:v>
                </c:pt>
                <c:pt idx="33">
                  <c:v>43344</c:v>
                </c:pt>
                <c:pt idx="34">
                  <c:v>43374</c:v>
                </c:pt>
                <c:pt idx="35">
                  <c:v>43405</c:v>
                </c:pt>
                <c:pt idx="36">
                  <c:v>43435</c:v>
                </c:pt>
                <c:pt idx="37">
                  <c:v>43466</c:v>
                </c:pt>
                <c:pt idx="38">
                  <c:v>43497</c:v>
                </c:pt>
                <c:pt idx="39">
                  <c:v>43525</c:v>
                </c:pt>
                <c:pt idx="40">
                  <c:v>43556</c:v>
                </c:pt>
                <c:pt idx="41">
                  <c:v>43586</c:v>
                </c:pt>
                <c:pt idx="42">
                  <c:v>43617</c:v>
                </c:pt>
                <c:pt idx="43">
                  <c:v>43647</c:v>
                </c:pt>
                <c:pt idx="44">
                  <c:v>43678</c:v>
                </c:pt>
                <c:pt idx="45">
                  <c:v>43709</c:v>
                </c:pt>
                <c:pt idx="46">
                  <c:v>43739</c:v>
                </c:pt>
                <c:pt idx="47">
                  <c:v>43770</c:v>
                </c:pt>
                <c:pt idx="48">
                  <c:v>43800</c:v>
                </c:pt>
                <c:pt idx="49">
                  <c:v>43831</c:v>
                </c:pt>
                <c:pt idx="50">
                  <c:v>43862</c:v>
                </c:pt>
                <c:pt idx="51">
                  <c:v>43891</c:v>
                </c:pt>
                <c:pt idx="52">
                  <c:v>43922</c:v>
                </c:pt>
                <c:pt idx="53">
                  <c:v>43952</c:v>
                </c:pt>
                <c:pt idx="54">
                  <c:v>43983</c:v>
                </c:pt>
                <c:pt idx="55">
                  <c:v>44013</c:v>
                </c:pt>
                <c:pt idx="56">
                  <c:v>44044</c:v>
                </c:pt>
                <c:pt idx="57">
                  <c:v>44075</c:v>
                </c:pt>
                <c:pt idx="58">
                  <c:v>44105</c:v>
                </c:pt>
                <c:pt idx="59">
                  <c:v>44136</c:v>
                </c:pt>
                <c:pt idx="60">
                  <c:v>44166</c:v>
                </c:pt>
                <c:pt idx="61">
                  <c:v>44197</c:v>
                </c:pt>
                <c:pt idx="62">
                  <c:v>44228</c:v>
                </c:pt>
                <c:pt idx="63">
                  <c:v>44256</c:v>
                </c:pt>
                <c:pt idx="64">
                  <c:v>44287</c:v>
                </c:pt>
                <c:pt idx="65">
                  <c:v>44317</c:v>
                </c:pt>
                <c:pt idx="66">
                  <c:v>44348</c:v>
                </c:pt>
                <c:pt idx="67">
                  <c:v>44378</c:v>
                </c:pt>
                <c:pt idx="68">
                  <c:v>44409</c:v>
                </c:pt>
                <c:pt idx="69">
                  <c:v>44440</c:v>
                </c:pt>
                <c:pt idx="70">
                  <c:v>44470</c:v>
                </c:pt>
                <c:pt idx="71">
                  <c:v>44501</c:v>
                </c:pt>
                <c:pt idx="72">
                  <c:v>44531</c:v>
                </c:pt>
                <c:pt idx="73">
                  <c:v>44562</c:v>
                </c:pt>
                <c:pt idx="74">
                  <c:v>44593</c:v>
                </c:pt>
                <c:pt idx="75">
                  <c:v>44621</c:v>
                </c:pt>
                <c:pt idx="76">
                  <c:v>44652</c:v>
                </c:pt>
                <c:pt idx="77">
                  <c:v>44682</c:v>
                </c:pt>
                <c:pt idx="78">
                  <c:v>44713</c:v>
                </c:pt>
                <c:pt idx="79">
                  <c:v>44743</c:v>
                </c:pt>
                <c:pt idx="80">
                  <c:v>44774</c:v>
                </c:pt>
                <c:pt idx="81">
                  <c:v>44805</c:v>
                </c:pt>
                <c:pt idx="82">
                  <c:v>44835</c:v>
                </c:pt>
                <c:pt idx="83">
                  <c:v>44866</c:v>
                </c:pt>
                <c:pt idx="84">
                  <c:v>44896</c:v>
                </c:pt>
              </c:numCache>
            </c:numRef>
          </c:cat>
          <c:val>
            <c:numRef>
              <c:f>'Group Totals'!$CJ$53:$CJ$137</c:f>
              <c:numCache>
                <c:formatCode>0</c:formatCode>
                <c:ptCount val="85"/>
                <c:pt idx="0">
                  <c:v>9.0833333333333339</c:v>
                </c:pt>
                <c:pt idx="1">
                  <c:v>9</c:v>
                </c:pt>
                <c:pt idx="2">
                  <c:v>9.0833333333333339</c:v>
                </c:pt>
                <c:pt idx="3">
                  <c:v>8.6666666666666661</c:v>
                </c:pt>
                <c:pt idx="4">
                  <c:v>8.6666666666666661</c:v>
                </c:pt>
                <c:pt idx="5">
                  <c:v>8.4166666666666661</c:v>
                </c:pt>
                <c:pt idx="6">
                  <c:v>8.5833333333333339</c:v>
                </c:pt>
                <c:pt idx="7">
                  <c:v>8.9166666666666661</c:v>
                </c:pt>
                <c:pt idx="8">
                  <c:v>9.3333333333333339</c:v>
                </c:pt>
                <c:pt idx="9">
                  <c:v>9.0833333333333339</c:v>
                </c:pt>
                <c:pt idx="10">
                  <c:v>9</c:v>
                </c:pt>
                <c:pt idx="11">
                  <c:v>9.1666666666666661</c:v>
                </c:pt>
                <c:pt idx="12">
                  <c:v>9.3333333333333339</c:v>
                </c:pt>
                <c:pt idx="13">
                  <c:v>9.3333333333333339</c:v>
                </c:pt>
                <c:pt idx="14">
                  <c:v>9.3333333333333339</c:v>
                </c:pt>
                <c:pt idx="15">
                  <c:v>9.8333333333333339</c:v>
                </c:pt>
                <c:pt idx="16">
                  <c:v>9.5833333333333339</c:v>
                </c:pt>
                <c:pt idx="17">
                  <c:v>9.5833333333333339</c:v>
                </c:pt>
                <c:pt idx="18">
                  <c:v>9.25</c:v>
                </c:pt>
                <c:pt idx="19">
                  <c:v>8.4166666666666661</c:v>
                </c:pt>
                <c:pt idx="20">
                  <c:v>8.3333333333333339</c:v>
                </c:pt>
                <c:pt idx="21">
                  <c:v>9.0833333333333339</c:v>
                </c:pt>
                <c:pt idx="22">
                  <c:v>9</c:v>
                </c:pt>
                <c:pt idx="23">
                  <c:v>9.4166666666666661</c:v>
                </c:pt>
                <c:pt idx="24">
                  <c:v>9.5</c:v>
                </c:pt>
                <c:pt idx="25">
                  <c:v>10.083333333333334</c:v>
                </c:pt>
                <c:pt idx="26">
                  <c:v>10.25</c:v>
                </c:pt>
                <c:pt idx="27">
                  <c:v>10.166666666666666</c:v>
                </c:pt>
                <c:pt idx="28">
                  <c:v>11.25</c:v>
                </c:pt>
                <c:pt idx="29">
                  <c:v>11.666666666666666</c:v>
                </c:pt>
                <c:pt idx="30">
                  <c:v>13</c:v>
                </c:pt>
                <c:pt idx="31">
                  <c:v>13.666666666666666</c:v>
                </c:pt>
                <c:pt idx="32">
                  <c:v>13.916666666666666</c:v>
                </c:pt>
                <c:pt idx="33">
                  <c:v>13.416666666666666</c:v>
                </c:pt>
                <c:pt idx="34">
                  <c:v>13.583333333333334</c:v>
                </c:pt>
                <c:pt idx="35">
                  <c:v>13</c:v>
                </c:pt>
                <c:pt idx="36">
                  <c:v>13.083333333333334</c:v>
                </c:pt>
                <c:pt idx="37">
                  <c:v>12.75</c:v>
                </c:pt>
                <c:pt idx="38">
                  <c:v>12.25</c:v>
                </c:pt>
                <c:pt idx="39">
                  <c:v>12.583333333333334</c:v>
                </c:pt>
                <c:pt idx="40">
                  <c:v>11.833333333333334</c:v>
                </c:pt>
                <c:pt idx="41">
                  <c:v>11.25</c:v>
                </c:pt>
                <c:pt idx="42">
                  <c:v>10.333333333333334</c:v>
                </c:pt>
                <c:pt idx="43">
                  <c:v>10.916666666666666</c:v>
                </c:pt>
                <c:pt idx="44">
                  <c:v>10.333333333333334</c:v>
                </c:pt>
                <c:pt idx="45">
                  <c:v>10.5</c:v>
                </c:pt>
                <c:pt idx="46">
                  <c:v>10</c:v>
                </c:pt>
                <c:pt idx="47">
                  <c:v>9.9166666666666661</c:v>
                </c:pt>
                <c:pt idx="48">
                  <c:v>9.4166666666666661</c:v>
                </c:pt>
                <c:pt idx="49">
                  <c:v>9.0833333333333339</c:v>
                </c:pt>
                <c:pt idx="50">
                  <c:v>9.6666666666666661</c:v>
                </c:pt>
                <c:pt idx="51">
                  <c:v>8.75</c:v>
                </c:pt>
                <c:pt idx="52">
                  <c:v>8.3333333333333339</c:v>
                </c:pt>
                <c:pt idx="53">
                  <c:v>9.4166666666666661</c:v>
                </c:pt>
                <c:pt idx="54">
                  <c:v>9.1666666666666661</c:v>
                </c:pt>
                <c:pt idx="55">
                  <c:v>7.833333333333333</c:v>
                </c:pt>
                <c:pt idx="56">
                  <c:v>7.583333333333333</c:v>
                </c:pt>
                <c:pt idx="57">
                  <c:v>7</c:v>
                </c:pt>
                <c:pt idx="58">
                  <c:v>6.75</c:v>
                </c:pt>
                <c:pt idx="59">
                  <c:v>6.416666666666667</c:v>
                </c:pt>
                <c:pt idx="60">
                  <c:v>6.416666666666667</c:v>
                </c:pt>
                <c:pt idx="61">
                  <c:v>6.333333333333333</c:v>
                </c:pt>
                <c:pt idx="62">
                  <c:v>5.666666666666667</c:v>
                </c:pt>
                <c:pt idx="63">
                  <c:v>6.083333333333333</c:v>
                </c:pt>
                <c:pt idx="64">
                  <c:v>6.166666666666667</c:v>
                </c:pt>
                <c:pt idx="65">
                  <c:v>4.666666666666667</c:v>
                </c:pt>
                <c:pt idx="66">
                  <c:v>4.333333333333333</c:v>
                </c:pt>
                <c:pt idx="67">
                  <c:v>4.416666666666667</c:v>
                </c:pt>
                <c:pt idx="68">
                  <c:v>4.083333333333333</c:v>
                </c:pt>
                <c:pt idx="69">
                  <c:v>4</c:v>
                </c:pt>
                <c:pt idx="70">
                  <c:v>4.083333333333333</c:v>
                </c:pt>
                <c:pt idx="71">
                  <c:v>4.25</c:v>
                </c:pt>
                <c:pt idx="72">
                  <c:v>4.083333333333333</c:v>
                </c:pt>
                <c:pt idx="73">
                  <c:v>3.8333333333333335</c:v>
                </c:pt>
                <c:pt idx="74">
                  <c:v>3.8333333333333335</c:v>
                </c:pt>
                <c:pt idx="75">
                  <c:v>3.3333333333333335</c:v>
                </c:pt>
                <c:pt idx="76">
                  <c:v>3.5</c:v>
                </c:pt>
                <c:pt idx="77">
                  <c:v>3.4166666666666665</c:v>
                </c:pt>
                <c:pt idx="78">
                  <c:v>3.9166666666666665</c:v>
                </c:pt>
                <c:pt idx="79">
                  <c:v>3.75</c:v>
                </c:pt>
                <c:pt idx="80">
                  <c:v>4.916666666666667</c:v>
                </c:pt>
                <c:pt idx="81">
                  <c:v>5.166666666666667</c:v>
                </c:pt>
                <c:pt idx="82">
                  <c:v>5.25</c:v>
                </c:pt>
                <c:pt idx="83">
                  <c:v>5.25</c:v>
                </c:pt>
                <c:pt idx="84">
                  <c:v>5.583333333333333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F-4148-A03B-B63357923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370944"/>
        <c:axId val="1219386752"/>
      </c:lineChart>
      <c:dateAx>
        <c:axId val="12193709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386752"/>
        <c:crosses val="autoZero"/>
        <c:auto val="1"/>
        <c:lblOffset val="100"/>
        <c:baseTimeUnit val="months"/>
      </c:dateAx>
      <c:valAx>
        <c:axId val="12193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37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2'!$T$36</c:f>
              <c:strCache>
                <c:ptCount val="1"/>
                <c:pt idx="0">
                  <c:v>Scrap per $100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'Dashboard 2'!$Q$41:$Q$45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numCache>
            </c:numRef>
          </c:cat>
          <c:val>
            <c:numRef>
              <c:f>'Dashboard 2'!$T$41:$T$45</c:f>
              <c:numCache>
                <c:formatCode>_("$"* #,##0.00_);_("$"* \(#,##0.00\);_("$"* "-"??_);_(@_)</c:formatCode>
                <c:ptCount val="5"/>
                <c:pt idx="0">
                  <c:v>0.4633880060367363</c:v>
                </c:pt>
                <c:pt idx="1">
                  <c:v>0.44218606082629441</c:v>
                </c:pt>
                <c:pt idx="2">
                  <c:v>0.30761725183442284</c:v>
                </c:pt>
                <c:pt idx="3">
                  <c:v>0.36077967752651552</c:v>
                </c:pt>
                <c:pt idx="4">
                  <c:v>0.43276278965426274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1-49A7-A731-1A9F80889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165184"/>
        <c:axId val="2095158944"/>
      </c:lineChart>
      <c:catAx>
        <c:axId val="209516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58944"/>
        <c:crosses val="autoZero"/>
        <c:auto val="1"/>
        <c:lblAlgn val="ctr"/>
        <c:lblOffset val="100"/>
        <c:noMultiLvlLbl val="0"/>
      </c:catAx>
      <c:valAx>
        <c:axId val="209515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6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'Group Totals'!$BE$3</c:f>
              <c:strCache>
                <c:ptCount val="1"/>
                <c:pt idx="0">
                  <c:v>$ to FG per FG Unit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Totals'!$BE$82:$BE$125</c:f>
              <c:numCache>
                <c:formatCode>_-"$"* #,##0_-;\-"$"* #,##0_-;_-"$"* "-"??_-;_-@_-</c:formatCode>
                <c:ptCount val="44"/>
                <c:pt idx="0">
                  <c:v>132.56828204541554</c:v>
                </c:pt>
                <c:pt idx="1">
                  <c:v>165.08889912450334</c:v>
                </c:pt>
                <c:pt idx="2">
                  <c:v>148.58460709977598</c:v>
                </c:pt>
                <c:pt idx="3">
                  <c:v>184.03680059796204</c:v>
                </c:pt>
                <c:pt idx="4">
                  <c:v>158.87029716576009</c:v>
                </c:pt>
                <c:pt idx="5">
                  <c:v>132.72457145531996</c:v>
                </c:pt>
                <c:pt idx="6">
                  <c:v>143.06492253552301</c:v>
                </c:pt>
                <c:pt idx="7">
                  <c:v>125.11005647058823</c:v>
                </c:pt>
                <c:pt idx="8">
                  <c:v>144.67856566517975</c:v>
                </c:pt>
                <c:pt idx="9">
                  <c:v>124.31281408347699</c:v>
                </c:pt>
                <c:pt idx="10">
                  <c:v>158.53688760477158</c:v>
                </c:pt>
                <c:pt idx="11">
                  <c:v>125.45324107866992</c:v>
                </c:pt>
                <c:pt idx="12">
                  <c:v>147.36580015881418</c:v>
                </c:pt>
                <c:pt idx="13">
                  <c:v>137.80487639968183</c:v>
                </c:pt>
                <c:pt idx="14">
                  <c:v>138.95486126895253</c:v>
                </c:pt>
                <c:pt idx="15">
                  <c:v>141.49974653963687</c:v>
                </c:pt>
                <c:pt idx="16">
                  <c:v>143.94726214001528</c:v>
                </c:pt>
                <c:pt idx="17">
                  <c:v>152.16907920243699</c:v>
                </c:pt>
                <c:pt idx="18">
                  <c:v>159.75310428196914</c:v>
                </c:pt>
                <c:pt idx="19">
                  <c:v>125.76524184550765</c:v>
                </c:pt>
                <c:pt idx="20">
                  <c:v>133.62834575108175</c:v>
                </c:pt>
                <c:pt idx="21">
                  <c:v>149.13444444444445</c:v>
                </c:pt>
                <c:pt idx="22">
                  <c:v>125.39590302635861</c:v>
                </c:pt>
                <c:pt idx="23">
                  <c:v>275.52453635280096</c:v>
                </c:pt>
                <c:pt idx="24">
                  <c:v>166.26721215568375</c:v>
                </c:pt>
                <c:pt idx="25">
                  <c:v>134.44584282817303</c:v>
                </c:pt>
                <c:pt idx="26">
                  <c:v>155.39676746611053</c:v>
                </c:pt>
                <c:pt idx="27">
                  <c:v>132.52292496640814</c:v>
                </c:pt>
                <c:pt idx="28">
                  <c:v>138.95656558549683</c:v>
                </c:pt>
                <c:pt idx="29">
                  <c:v>144.50163724737786</c:v>
                </c:pt>
                <c:pt idx="30">
                  <c:v>130.740233254732</c:v>
                </c:pt>
                <c:pt idx="31">
                  <c:v>137.72408803135363</c:v>
                </c:pt>
                <c:pt idx="32">
                  <c:v>144.30069763281855</c:v>
                </c:pt>
                <c:pt idx="33">
                  <c:v>146.12442425590038</c:v>
                </c:pt>
                <c:pt idx="34">
                  <c:v>110.18784136784612</c:v>
                </c:pt>
                <c:pt idx="35">
                  <c:v>134.98394961963942</c:v>
                </c:pt>
                <c:pt idx="36">
                  <c:v>108.67495276921547</c:v>
                </c:pt>
                <c:pt idx="37">
                  <c:v>138.03983530362737</c:v>
                </c:pt>
                <c:pt idx="38">
                  <c:v>154.78003987594153</c:v>
                </c:pt>
                <c:pt idx="39">
                  <c:v>220.46033470984568</c:v>
                </c:pt>
                <c:pt idx="40">
                  <c:v>263.07833917118501</c:v>
                </c:pt>
                <c:pt idx="41">
                  <c:v>277.3002720031086</c:v>
                </c:pt>
                <c:pt idx="42">
                  <c:v>224.84910575769106</c:v>
                </c:pt>
                <c:pt idx="43">
                  <c:v>180.73169553738168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CAC-4697-AAD4-1EB8C447A490}"/>
            </c:ext>
          </c:extLst>
        </c:ser>
        <c:ser>
          <c:idx val="1"/>
          <c:order val="1"/>
          <c:tx>
            <c:strRef>
              <c:f>'Group Totals'!$BF$3</c:f>
              <c:strCache>
                <c:ptCount val="1"/>
                <c:pt idx="0">
                  <c:v>$ to FG per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Totals'!$BF$82:$BF$125</c:f>
              <c:numCache>
                <c:formatCode>_-"$"* #,##0_-;\-"$"* #,##0_-;_-"$"* "-"??_-;_-@_-</c:formatCode>
                <c:ptCount val="44"/>
                <c:pt idx="0">
                  <c:v>60991.875657894736</c:v>
                </c:pt>
                <c:pt idx="1">
                  <c:v>61780.176052631577</c:v>
                </c:pt>
                <c:pt idx="2">
                  <c:v>67187.257792207791</c:v>
                </c:pt>
                <c:pt idx="3">
                  <c:v>72679.01506024097</c:v>
                </c:pt>
                <c:pt idx="4">
                  <c:v>65286.34682352942</c:v>
                </c:pt>
                <c:pt idx="5">
                  <c:v>68322.771566265059</c:v>
                </c:pt>
                <c:pt idx="6">
                  <c:v>73454.083295454548</c:v>
                </c:pt>
                <c:pt idx="7">
                  <c:v>37979.838571428569</c:v>
                </c:pt>
                <c:pt idx="8">
                  <c:v>54456.297654320995</c:v>
                </c:pt>
                <c:pt idx="9">
                  <c:v>54084.55</c:v>
                </c:pt>
                <c:pt idx="10">
                  <c:v>69274.674750000006</c:v>
                </c:pt>
                <c:pt idx="11">
                  <c:v>45832.250740740739</c:v>
                </c:pt>
                <c:pt idx="12">
                  <c:v>67896.096707317076</c:v>
                </c:pt>
                <c:pt idx="13">
                  <c:v>53622.502261904767</c:v>
                </c:pt>
                <c:pt idx="14">
                  <c:v>63456.639620253169</c:v>
                </c:pt>
                <c:pt idx="15">
                  <c:v>68876.770374999993</c:v>
                </c:pt>
                <c:pt idx="16">
                  <c:v>72843.072533333339</c:v>
                </c:pt>
                <c:pt idx="17">
                  <c:v>71361.369480519483</c:v>
                </c:pt>
                <c:pt idx="18">
                  <c:v>71224.987922077926</c:v>
                </c:pt>
                <c:pt idx="19">
                  <c:v>52500.958630136985</c:v>
                </c:pt>
                <c:pt idx="20">
                  <c:v>76751.798529411768</c:v>
                </c:pt>
                <c:pt idx="21">
                  <c:v>76898.308307692307</c:v>
                </c:pt>
                <c:pt idx="22">
                  <c:v>60209.626562500001</c:v>
                </c:pt>
                <c:pt idx="23">
                  <c:v>37284.691290322582</c:v>
                </c:pt>
                <c:pt idx="24">
                  <c:v>93011.39</c:v>
                </c:pt>
                <c:pt idx="25">
                  <c:v>83518.805194805202</c:v>
                </c:pt>
                <c:pt idx="26">
                  <c:v>87662.058823529413</c:v>
                </c:pt>
                <c:pt idx="27">
                  <c:v>67731.987951807227</c:v>
                </c:pt>
                <c:pt idx="28">
                  <c:v>71385.168674698798</c:v>
                </c:pt>
                <c:pt idx="29">
                  <c:v>63467.067415730337</c:v>
                </c:pt>
                <c:pt idx="30">
                  <c:v>68381.5</c:v>
                </c:pt>
                <c:pt idx="31">
                  <c:v>52509.287356321838</c:v>
                </c:pt>
                <c:pt idx="32">
                  <c:v>59026.024390243903</c:v>
                </c:pt>
                <c:pt idx="33">
                  <c:v>58976.192307692305</c:v>
                </c:pt>
                <c:pt idx="34">
                  <c:v>62561.932584269663</c:v>
                </c:pt>
                <c:pt idx="35">
                  <c:v>55680.103448275862</c:v>
                </c:pt>
                <c:pt idx="36">
                  <c:v>61401.348314606745</c:v>
                </c:pt>
                <c:pt idx="37">
                  <c:v>63543.267441860466</c:v>
                </c:pt>
                <c:pt idx="38">
                  <c:v>73544.957894736843</c:v>
                </c:pt>
                <c:pt idx="39">
                  <c:v>103503.87755102041</c:v>
                </c:pt>
                <c:pt idx="40">
                  <c:v>162855.91089108912</c:v>
                </c:pt>
                <c:pt idx="41">
                  <c:v>154298.86486486485</c:v>
                </c:pt>
                <c:pt idx="42">
                  <c:v>120023.75</c:v>
                </c:pt>
                <c:pt idx="43">
                  <c:v>85697.175572519089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CAC-4697-AAD4-1EB8C447A490}"/>
            </c:ext>
          </c:extLst>
        </c:ser>
        <c:ser>
          <c:idx val="2"/>
          <c:order val="2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</c:numRef>
          </c:cat>
          <c:val>
            <c:numRef>
              <c:f>'Group Totals'!$BG$82:$BG$125</c:f>
              <c:numCache>
                <c:formatCode>_-"$"* #,##0_-;\-"$"* #,##0_-;_-"$"* "-"??_-;_-@_-</c:formatCode>
                <c:ptCount val="44"/>
                <c:pt idx="0">
                  <c:v>540.51543659315178</c:v>
                </c:pt>
                <c:pt idx="1">
                  <c:v>575.4346288280251</c:v>
                </c:pt>
                <c:pt idx="2">
                  <c:v>619.14335472893038</c:v>
                </c:pt>
                <c:pt idx="3">
                  <c:v>627.75538537281534</c:v>
                </c:pt>
                <c:pt idx="4">
                  <c:v>643.88177202039003</c:v>
                </c:pt>
                <c:pt idx="5">
                  <c:v>599.39344338016724</c:v>
                </c:pt>
                <c:pt idx="6">
                  <c:v>663.05777932510478</c:v>
                </c:pt>
                <c:pt idx="7">
                  <c:v>567.37629252102158</c:v>
                </c:pt>
                <c:pt idx="8">
                  <c:v>586.9420005309272</c:v>
                </c:pt>
                <c:pt idx="9">
                  <c:v>584.9326732157333</c:v>
                </c:pt>
                <c:pt idx="10">
                  <c:v>648.62826883204821</c:v>
                </c:pt>
                <c:pt idx="11">
                  <c:v>587.83886801648748</c:v>
                </c:pt>
                <c:pt idx="12">
                  <c:v>612.63514389357624</c:v>
                </c:pt>
                <c:pt idx="13">
                  <c:v>573.64373517349384</c:v>
                </c:pt>
                <c:pt idx="14">
                  <c:v>612.91715373477166</c:v>
                </c:pt>
                <c:pt idx="15">
                  <c:v>644.92392141587482</c:v>
                </c:pt>
                <c:pt idx="16">
                  <c:v>707.10244152963764</c:v>
                </c:pt>
                <c:pt idx="17">
                  <c:v>689.39999718961769</c:v>
                </c:pt>
                <c:pt idx="18">
                  <c:v>719.23816536910249</c:v>
                </c:pt>
                <c:pt idx="19">
                  <c:v>700.61755224692581</c:v>
                </c:pt>
                <c:pt idx="20">
                  <c:v>674.55271701761365</c:v>
                </c:pt>
                <c:pt idx="21">
                  <c:v>701.59932512478451</c:v>
                </c:pt>
                <c:pt idx="22">
                  <c:v>675.96984093180788</c:v>
                </c:pt>
                <c:pt idx="23">
                  <c:v>771.50489539056321</c:v>
                </c:pt>
                <c:pt idx="24">
                  <c:v>752.75953381711861</c:v>
                </c:pt>
                <c:pt idx="25">
                  <c:v>717.09946476360392</c:v>
                </c:pt>
                <c:pt idx="26">
                  <c:v>713.86041387238936</c:v>
                </c:pt>
                <c:pt idx="27">
                  <c:v>614.06389950846528</c:v>
                </c:pt>
                <c:pt idx="28">
                  <c:v>616.99146100177029</c:v>
                </c:pt>
                <c:pt idx="29">
                  <c:v>590.17542576533276</c:v>
                </c:pt>
                <c:pt idx="30">
                  <c:v>619.45998993457476</c:v>
                </c:pt>
                <c:pt idx="31">
                  <c:v>632.11678428116784</c:v>
                </c:pt>
                <c:pt idx="32">
                  <c:v>631.54149269311063</c:v>
                </c:pt>
                <c:pt idx="33">
                  <c:v>626.5517570144375</c:v>
                </c:pt>
                <c:pt idx="34">
                  <c:v>576.81674090956176</c:v>
                </c:pt>
                <c:pt idx="35">
                  <c:v>609.63616914170655</c:v>
                </c:pt>
                <c:pt idx="36">
                  <c:v>600.98097437589354</c:v>
                </c:pt>
                <c:pt idx="37">
                  <c:v>630.59323794138015</c:v>
                </c:pt>
                <c:pt idx="38">
                  <c:v>708.52560592232021</c:v>
                </c:pt>
                <c:pt idx="39">
                  <c:v>1082.6534315295123</c:v>
                </c:pt>
                <c:pt idx="40">
                  <c:v>1451.8886927354577</c:v>
                </c:pt>
                <c:pt idx="41">
                  <c:v>1468.9171136753791</c:v>
                </c:pt>
                <c:pt idx="42">
                  <c:v>1349.6511587352722</c:v>
                </c:pt>
                <c:pt idx="43">
                  <c:v>811.48404836667078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C-4697-AAD4-1EB8C447A490}"/>
            </c:ext>
          </c:extLst>
        </c:ser>
        <c:ser>
          <c:idx val="3"/>
          <c:order val="3"/>
          <c:tx>
            <c:strRef>
              <c:f>'Group Totals'!$BH$3</c:f>
              <c:strCache>
                <c:ptCount val="1"/>
                <c:pt idx="0">
                  <c:v>$ to FG per W/O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Totals'!$BH$82:$BH$125</c:f>
              <c:numCache>
                <c:formatCode>_-"$"* #,##0_-;\-"$"* #,##0_-;_-"$"* "-"??_-;_-@_-</c:formatCode>
                <c:ptCount val="44"/>
                <c:pt idx="0">
                  <c:v>11417.198399014778</c:v>
                </c:pt>
                <c:pt idx="1">
                  <c:v>13226.178535211267</c:v>
                </c:pt>
                <c:pt idx="2">
                  <c:v>12003.291995359628</c:v>
                </c:pt>
                <c:pt idx="3">
                  <c:v>13709.905113636363</c:v>
                </c:pt>
                <c:pt idx="4">
                  <c:v>15203.66980821918</c:v>
                </c:pt>
                <c:pt idx="5">
                  <c:v>13126.828796296297</c:v>
                </c:pt>
                <c:pt idx="6">
                  <c:v>16659.688994845361</c:v>
                </c:pt>
                <c:pt idx="7">
                  <c:v>14340.93489626556</c:v>
                </c:pt>
                <c:pt idx="8">
                  <c:v>17434.624940711463</c:v>
                </c:pt>
                <c:pt idx="9">
                  <c:v>15812.094352159469</c:v>
                </c:pt>
                <c:pt idx="10">
                  <c:v>15925.212586206897</c:v>
                </c:pt>
                <c:pt idx="11">
                  <c:v>11283.927993920974</c:v>
                </c:pt>
                <c:pt idx="12">
                  <c:v>14312.287737789202</c:v>
                </c:pt>
                <c:pt idx="13">
                  <c:v>12869.400542857144</c:v>
                </c:pt>
                <c:pt idx="14">
                  <c:v>14364.110401146132</c:v>
                </c:pt>
                <c:pt idx="15">
                  <c:v>15305.948972222222</c:v>
                </c:pt>
                <c:pt idx="16">
                  <c:v>16758.375582822086</c:v>
                </c:pt>
                <c:pt idx="17">
                  <c:v>16305.120029673591</c:v>
                </c:pt>
                <c:pt idx="18">
                  <c:v>18160.013476821194</c:v>
                </c:pt>
                <c:pt idx="19">
                  <c:v>17109.687410714287</c:v>
                </c:pt>
                <c:pt idx="20">
                  <c:v>17812.704095563138</c:v>
                </c:pt>
                <c:pt idx="21">
                  <c:v>16496.336765676569</c:v>
                </c:pt>
                <c:pt idx="22">
                  <c:v>13713.224555160143</c:v>
                </c:pt>
                <c:pt idx="23">
                  <c:v>41279.479642857143</c:v>
                </c:pt>
                <c:pt idx="24">
                  <c:v>21168.109448275864</c:v>
                </c:pt>
                <c:pt idx="25">
                  <c:v>18479.735632183907</c:v>
                </c:pt>
                <c:pt idx="26">
                  <c:v>20989.507042253521</c:v>
                </c:pt>
                <c:pt idx="27">
                  <c:v>16294.942028985508</c:v>
                </c:pt>
                <c:pt idx="28">
                  <c:v>16550.192737430167</c:v>
                </c:pt>
                <c:pt idx="29">
                  <c:v>16420.258720930233</c:v>
                </c:pt>
                <c:pt idx="30">
                  <c:v>19725.432692307691</c:v>
                </c:pt>
                <c:pt idx="31">
                  <c:v>15917.449477351916</c:v>
                </c:pt>
                <c:pt idx="32">
                  <c:v>17163.59574468085</c:v>
                </c:pt>
                <c:pt idx="33">
                  <c:v>14420.510971786834</c:v>
                </c:pt>
                <c:pt idx="34">
                  <c:v>16233.271137026239</c:v>
                </c:pt>
                <c:pt idx="35">
                  <c:v>16997.084210526315</c:v>
                </c:pt>
                <c:pt idx="36">
                  <c:v>15393.577464788732</c:v>
                </c:pt>
                <c:pt idx="37">
                  <c:v>15393.580281690141</c:v>
                </c:pt>
                <c:pt idx="38">
                  <c:v>19353.936288088644</c:v>
                </c:pt>
                <c:pt idx="39">
                  <c:v>31698.0625</c:v>
                </c:pt>
                <c:pt idx="40">
                  <c:v>46728.54261363636</c:v>
                </c:pt>
                <c:pt idx="41">
                  <c:v>54545.140127388535</c:v>
                </c:pt>
                <c:pt idx="42">
                  <c:v>37379.659367396591</c:v>
                </c:pt>
                <c:pt idx="43">
                  <c:v>35526.360759493669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ECAC-4697-AAD4-1EB8C447A490}"/>
            </c:ext>
          </c:extLst>
        </c:ser>
        <c:ser>
          <c:idx val="4"/>
          <c:order val="4"/>
          <c:tx>
            <c:strRef>
              <c:f>'Group Totals'!$BI$3</c:f>
              <c:strCache>
                <c:ptCount val="1"/>
                <c:pt idx="0">
                  <c:v>$ to FG per SKU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Totals'!$BI$82:$BI$125</c:f>
              <c:numCache>
                <c:formatCode>_-"$"* #,##0_-;\-"$"* #,##0_-;_-"$"* "-"??_-;_-@_-</c:formatCode>
                <c:ptCount val="44"/>
                <c:pt idx="0">
                  <c:v>22285.493028846155</c:v>
                </c:pt>
                <c:pt idx="1">
                  <c:v>25940.847403314918</c:v>
                </c:pt>
                <c:pt idx="2">
                  <c:v>24753.200239234448</c:v>
                </c:pt>
                <c:pt idx="3">
                  <c:v>27798.885944700462</c:v>
                </c:pt>
                <c:pt idx="4">
                  <c:v>31001.896536312852</c:v>
                </c:pt>
                <c:pt idx="5">
                  <c:v>28496.432361809046</c:v>
                </c:pt>
                <c:pt idx="6">
                  <c:v>31226.856666666667</c:v>
                </c:pt>
                <c:pt idx="7">
                  <c:v>24339.192323943662</c:v>
                </c:pt>
                <c:pt idx="8">
                  <c:v>29803.78452702703</c:v>
                </c:pt>
                <c:pt idx="9">
                  <c:v>27511.216184971101</c:v>
                </c:pt>
                <c:pt idx="10">
                  <c:v>30119.423804347829</c:v>
                </c:pt>
                <c:pt idx="11">
                  <c:v>21459.03069364162</c:v>
                </c:pt>
                <c:pt idx="12">
                  <c:v>28405.509846938774</c:v>
                </c:pt>
                <c:pt idx="13">
                  <c:v>25886.725229885058</c:v>
                </c:pt>
                <c:pt idx="14">
                  <c:v>26665.290053191489</c:v>
                </c:pt>
                <c:pt idx="15">
                  <c:v>26114.415308056872</c:v>
                </c:pt>
                <c:pt idx="16">
                  <c:v>32326.807337278107</c:v>
                </c:pt>
                <c:pt idx="17">
                  <c:v>28920.133947368424</c:v>
                </c:pt>
                <c:pt idx="18">
                  <c:v>30300.132983425417</c:v>
                </c:pt>
                <c:pt idx="19">
                  <c:v>29709.844806201549</c:v>
                </c:pt>
                <c:pt idx="20">
                  <c:v>34563.723841059604</c:v>
                </c:pt>
                <c:pt idx="21">
                  <c:v>28892.427976878615</c:v>
                </c:pt>
                <c:pt idx="22">
                  <c:v>25022.182467532468</c:v>
                </c:pt>
                <c:pt idx="23">
                  <c:v>56381.728292682921</c:v>
                </c:pt>
                <c:pt idx="24">
                  <c:v>37661.053619631901</c:v>
                </c:pt>
                <c:pt idx="25">
                  <c:v>34207.170212765959</c:v>
                </c:pt>
                <c:pt idx="26">
                  <c:v>41167.265193370164</c:v>
                </c:pt>
                <c:pt idx="27">
                  <c:v>28392.702020202021</c:v>
                </c:pt>
                <c:pt idx="28">
                  <c:v>29773.713567839197</c:v>
                </c:pt>
                <c:pt idx="29">
                  <c:v>29886.608465608464</c:v>
                </c:pt>
                <c:pt idx="30">
                  <c:v>33266.675675675673</c:v>
                </c:pt>
                <c:pt idx="31">
                  <c:v>24963.43169398907</c:v>
                </c:pt>
                <c:pt idx="32">
                  <c:v>27816.862068965518</c:v>
                </c:pt>
                <c:pt idx="33">
                  <c:v>23470.117346938776</c:v>
                </c:pt>
                <c:pt idx="34">
                  <c:v>27840.06</c:v>
                </c:pt>
                <c:pt idx="35">
                  <c:v>29718.828220858897</c:v>
                </c:pt>
                <c:pt idx="36">
                  <c:v>29539.027027027027</c:v>
                </c:pt>
                <c:pt idx="37">
                  <c:v>27739.700507614212</c:v>
                </c:pt>
                <c:pt idx="38">
                  <c:v>38179.076502732241</c:v>
                </c:pt>
                <c:pt idx="39">
                  <c:v>56985.280898876401</c:v>
                </c:pt>
                <c:pt idx="40">
                  <c:v>82655.512562814067</c:v>
                </c:pt>
                <c:pt idx="41">
                  <c:v>101344.22485207101</c:v>
                </c:pt>
                <c:pt idx="42">
                  <c:v>65935.793991416314</c:v>
                </c:pt>
                <c:pt idx="43">
                  <c:v>54496.747572815533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ECAC-4697-AAD4-1EB8C447A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date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Offset val="100"/>
        <c:baseTimeUnit val="months"/>
      </c:dateAx>
      <c:valAx>
        <c:axId val="223618303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'Group Totals'!$BE$3</c:f>
              <c:strCache>
                <c:ptCount val="1"/>
                <c:pt idx="0">
                  <c:v>$ to FG per FG Unit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Totals'!$BE$82:$BE$125</c:f>
              <c:numCache>
                <c:formatCode>_-"$"* #,##0_-;\-"$"* #,##0_-;_-"$"* "-"??_-;_-@_-</c:formatCode>
                <c:ptCount val="44"/>
                <c:pt idx="0">
                  <c:v>132.56828204541554</c:v>
                </c:pt>
                <c:pt idx="1">
                  <c:v>165.08889912450334</c:v>
                </c:pt>
                <c:pt idx="2">
                  <c:v>148.58460709977598</c:v>
                </c:pt>
                <c:pt idx="3">
                  <c:v>184.03680059796204</c:v>
                </c:pt>
                <c:pt idx="4">
                  <c:v>158.87029716576009</c:v>
                </c:pt>
                <c:pt idx="5">
                  <c:v>132.72457145531996</c:v>
                </c:pt>
                <c:pt idx="6">
                  <c:v>143.06492253552301</c:v>
                </c:pt>
                <c:pt idx="7">
                  <c:v>125.11005647058823</c:v>
                </c:pt>
                <c:pt idx="8">
                  <c:v>144.67856566517975</c:v>
                </c:pt>
                <c:pt idx="9">
                  <c:v>124.31281408347699</c:v>
                </c:pt>
                <c:pt idx="10">
                  <c:v>158.53688760477158</c:v>
                </c:pt>
                <c:pt idx="11">
                  <c:v>125.45324107866992</c:v>
                </c:pt>
                <c:pt idx="12">
                  <c:v>147.36580015881418</c:v>
                </c:pt>
                <c:pt idx="13">
                  <c:v>137.80487639968183</c:v>
                </c:pt>
                <c:pt idx="14">
                  <c:v>138.95486126895253</c:v>
                </c:pt>
                <c:pt idx="15">
                  <c:v>141.49974653963687</c:v>
                </c:pt>
                <c:pt idx="16">
                  <c:v>143.94726214001528</c:v>
                </c:pt>
                <c:pt idx="17">
                  <c:v>152.16907920243699</c:v>
                </c:pt>
                <c:pt idx="18">
                  <c:v>159.75310428196914</c:v>
                </c:pt>
                <c:pt idx="19">
                  <c:v>125.76524184550765</c:v>
                </c:pt>
                <c:pt idx="20">
                  <c:v>133.62834575108175</c:v>
                </c:pt>
                <c:pt idx="21">
                  <c:v>149.13444444444445</c:v>
                </c:pt>
                <c:pt idx="22">
                  <c:v>125.39590302635861</c:v>
                </c:pt>
                <c:pt idx="23">
                  <c:v>275.52453635280096</c:v>
                </c:pt>
                <c:pt idx="24">
                  <c:v>166.26721215568375</c:v>
                </c:pt>
                <c:pt idx="25">
                  <c:v>134.44584282817303</c:v>
                </c:pt>
                <c:pt idx="26">
                  <c:v>155.39676746611053</c:v>
                </c:pt>
                <c:pt idx="27">
                  <c:v>132.52292496640814</c:v>
                </c:pt>
                <c:pt idx="28">
                  <c:v>138.95656558549683</c:v>
                </c:pt>
                <c:pt idx="29">
                  <c:v>144.50163724737786</c:v>
                </c:pt>
                <c:pt idx="30">
                  <c:v>130.740233254732</c:v>
                </c:pt>
                <c:pt idx="31">
                  <c:v>137.72408803135363</c:v>
                </c:pt>
                <c:pt idx="32">
                  <c:v>144.30069763281855</c:v>
                </c:pt>
                <c:pt idx="33">
                  <c:v>146.12442425590038</c:v>
                </c:pt>
                <c:pt idx="34">
                  <c:v>110.18784136784612</c:v>
                </c:pt>
                <c:pt idx="35">
                  <c:v>134.98394961963942</c:v>
                </c:pt>
                <c:pt idx="36">
                  <c:v>108.67495276921547</c:v>
                </c:pt>
                <c:pt idx="37">
                  <c:v>138.03983530362737</c:v>
                </c:pt>
                <c:pt idx="38">
                  <c:v>154.78003987594153</c:v>
                </c:pt>
                <c:pt idx="39">
                  <c:v>220.46033470984568</c:v>
                </c:pt>
                <c:pt idx="40">
                  <c:v>263.07833917118501</c:v>
                </c:pt>
                <c:pt idx="41">
                  <c:v>277.3002720031086</c:v>
                </c:pt>
                <c:pt idx="42">
                  <c:v>224.84910575769106</c:v>
                </c:pt>
                <c:pt idx="43">
                  <c:v>180.73169553738168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222-44D9-B955-6BFA30FB9B3F}"/>
            </c:ext>
          </c:extLst>
        </c:ser>
        <c:ser>
          <c:idx val="1"/>
          <c:order val="1"/>
          <c:tx>
            <c:strRef>
              <c:f>'Group Totals'!$BF$3</c:f>
              <c:strCache>
                <c:ptCount val="1"/>
                <c:pt idx="0">
                  <c:v>$ to FG per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Totals'!$BF$82:$BF$125</c:f>
              <c:numCache>
                <c:formatCode>_-"$"* #,##0_-;\-"$"* #,##0_-;_-"$"* "-"??_-;_-@_-</c:formatCode>
                <c:ptCount val="44"/>
                <c:pt idx="0">
                  <c:v>60991.875657894736</c:v>
                </c:pt>
                <c:pt idx="1">
                  <c:v>61780.176052631577</c:v>
                </c:pt>
                <c:pt idx="2">
                  <c:v>67187.257792207791</c:v>
                </c:pt>
                <c:pt idx="3">
                  <c:v>72679.01506024097</c:v>
                </c:pt>
                <c:pt idx="4">
                  <c:v>65286.34682352942</c:v>
                </c:pt>
                <c:pt idx="5">
                  <c:v>68322.771566265059</c:v>
                </c:pt>
                <c:pt idx="6">
                  <c:v>73454.083295454548</c:v>
                </c:pt>
                <c:pt idx="7">
                  <c:v>37979.838571428569</c:v>
                </c:pt>
                <c:pt idx="8">
                  <c:v>54456.297654320995</c:v>
                </c:pt>
                <c:pt idx="9">
                  <c:v>54084.55</c:v>
                </c:pt>
                <c:pt idx="10">
                  <c:v>69274.674750000006</c:v>
                </c:pt>
                <c:pt idx="11">
                  <c:v>45832.250740740739</c:v>
                </c:pt>
                <c:pt idx="12">
                  <c:v>67896.096707317076</c:v>
                </c:pt>
                <c:pt idx="13">
                  <c:v>53622.502261904767</c:v>
                </c:pt>
                <c:pt idx="14">
                  <c:v>63456.639620253169</c:v>
                </c:pt>
                <c:pt idx="15">
                  <c:v>68876.770374999993</c:v>
                </c:pt>
                <c:pt idx="16">
                  <c:v>72843.072533333339</c:v>
                </c:pt>
                <c:pt idx="17">
                  <c:v>71361.369480519483</c:v>
                </c:pt>
                <c:pt idx="18">
                  <c:v>71224.987922077926</c:v>
                </c:pt>
                <c:pt idx="19">
                  <c:v>52500.958630136985</c:v>
                </c:pt>
                <c:pt idx="20">
                  <c:v>76751.798529411768</c:v>
                </c:pt>
                <c:pt idx="21">
                  <c:v>76898.308307692307</c:v>
                </c:pt>
                <c:pt idx="22">
                  <c:v>60209.626562500001</c:v>
                </c:pt>
                <c:pt idx="23">
                  <c:v>37284.691290322582</c:v>
                </c:pt>
                <c:pt idx="24">
                  <c:v>93011.39</c:v>
                </c:pt>
                <c:pt idx="25">
                  <c:v>83518.805194805202</c:v>
                </c:pt>
                <c:pt idx="26">
                  <c:v>87662.058823529413</c:v>
                </c:pt>
                <c:pt idx="27">
                  <c:v>67731.987951807227</c:v>
                </c:pt>
                <c:pt idx="28">
                  <c:v>71385.168674698798</c:v>
                </c:pt>
                <c:pt idx="29">
                  <c:v>63467.067415730337</c:v>
                </c:pt>
                <c:pt idx="30">
                  <c:v>68381.5</c:v>
                </c:pt>
                <c:pt idx="31">
                  <c:v>52509.287356321838</c:v>
                </c:pt>
                <c:pt idx="32">
                  <c:v>59026.024390243903</c:v>
                </c:pt>
                <c:pt idx="33">
                  <c:v>58976.192307692305</c:v>
                </c:pt>
                <c:pt idx="34">
                  <c:v>62561.932584269663</c:v>
                </c:pt>
                <c:pt idx="35">
                  <c:v>55680.103448275862</c:v>
                </c:pt>
                <c:pt idx="36">
                  <c:v>61401.348314606745</c:v>
                </c:pt>
                <c:pt idx="37">
                  <c:v>63543.267441860466</c:v>
                </c:pt>
                <c:pt idx="38">
                  <c:v>73544.957894736843</c:v>
                </c:pt>
                <c:pt idx="39">
                  <c:v>103503.87755102041</c:v>
                </c:pt>
                <c:pt idx="40">
                  <c:v>162855.91089108912</c:v>
                </c:pt>
                <c:pt idx="41">
                  <c:v>154298.86486486485</c:v>
                </c:pt>
                <c:pt idx="42">
                  <c:v>120023.75</c:v>
                </c:pt>
                <c:pt idx="43">
                  <c:v>85697.175572519089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222-44D9-B955-6BFA30FB9B3F}"/>
            </c:ext>
          </c:extLst>
        </c:ser>
        <c:ser>
          <c:idx val="4"/>
          <c:order val="3"/>
          <c:tx>
            <c:strRef>
              <c:f>'Group Totals'!$BI$3</c:f>
              <c:strCache>
                <c:ptCount val="1"/>
                <c:pt idx="0">
                  <c:v>$ to FG per SKU (G/C Level)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</c:numRef>
          </c:cat>
          <c:val>
            <c:numRef>
              <c:f>'Group Totals'!$BI$82:$BI$125</c:f>
              <c:numCache>
                <c:formatCode>_-"$"* #,##0_-;\-"$"* #,##0_-;_-"$"* "-"??_-;_-@_-</c:formatCode>
                <c:ptCount val="44"/>
                <c:pt idx="0">
                  <c:v>22285.493028846155</c:v>
                </c:pt>
                <c:pt idx="1">
                  <c:v>25940.847403314918</c:v>
                </c:pt>
                <c:pt idx="2">
                  <c:v>24753.200239234448</c:v>
                </c:pt>
                <c:pt idx="3">
                  <c:v>27798.885944700462</c:v>
                </c:pt>
                <c:pt idx="4">
                  <c:v>31001.896536312852</c:v>
                </c:pt>
                <c:pt idx="5">
                  <c:v>28496.432361809046</c:v>
                </c:pt>
                <c:pt idx="6">
                  <c:v>31226.856666666667</c:v>
                </c:pt>
                <c:pt idx="7">
                  <c:v>24339.192323943662</c:v>
                </c:pt>
                <c:pt idx="8">
                  <c:v>29803.78452702703</c:v>
                </c:pt>
                <c:pt idx="9">
                  <c:v>27511.216184971101</c:v>
                </c:pt>
                <c:pt idx="10">
                  <c:v>30119.423804347829</c:v>
                </c:pt>
                <c:pt idx="11">
                  <c:v>21459.03069364162</c:v>
                </c:pt>
                <c:pt idx="12">
                  <c:v>28405.509846938774</c:v>
                </c:pt>
                <c:pt idx="13">
                  <c:v>25886.725229885058</c:v>
                </c:pt>
                <c:pt idx="14">
                  <c:v>26665.290053191489</c:v>
                </c:pt>
                <c:pt idx="15">
                  <c:v>26114.415308056872</c:v>
                </c:pt>
                <c:pt idx="16">
                  <c:v>32326.807337278107</c:v>
                </c:pt>
                <c:pt idx="17">
                  <c:v>28920.133947368424</c:v>
                </c:pt>
                <c:pt idx="18">
                  <c:v>30300.132983425417</c:v>
                </c:pt>
                <c:pt idx="19">
                  <c:v>29709.844806201549</c:v>
                </c:pt>
                <c:pt idx="20">
                  <c:v>34563.723841059604</c:v>
                </c:pt>
                <c:pt idx="21">
                  <c:v>28892.427976878615</c:v>
                </c:pt>
                <c:pt idx="22">
                  <c:v>25022.182467532468</c:v>
                </c:pt>
                <c:pt idx="23">
                  <c:v>56381.728292682921</c:v>
                </c:pt>
                <c:pt idx="24">
                  <c:v>37661.053619631901</c:v>
                </c:pt>
                <c:pt idx="25">
                  <c:v>34207.170212765959</c:v>
                </c:pt>
                <c:pt idx="26">
                  <c:v>41167.265193370164</c:v>
                </c:pt>
                <c:pt idx="27">
                  <c:v>28392.702020202021</c:v>
                </c:pt>
                <c:pt idx="28">
                  <c:v>29773.713567839197</c:v>
                </c:pt>
                <c:pt idx="29">
                  <c:v>29886.608465608464</c:v>
                </c:pt>
                <c:pt idx="30">
                  <c:v>33266.675675675673</c:v>
                </c:pt>
                <c:pt idx="31">
                  <c:v>24963.43169398907</c:v>
                </c:pt>
                <c:pt idx="32">
                  <c:v>27816.862068965518</c:v>
                </c:pt>
                <c:pt idx="33">
                  <c:v>23470.117346938776</c:v>
                </c:pt>
                <c:pt idx="34">
                  <c:v>27840.06</c:v>
                </c:pt>
                <c:pt idx="35">
                  <c:v>29718.828220858897</c:v>
                </c:pt>
                <c:pt idx="36">
                  <c:v>29539.027027027027</c:v>
                </c:pt>
                <c:pt idx="37">
                  <c:v>27739.700507614212</c:v>
                </c:pt>
                <c:pt idx="38">
                  <c:v>38179.076502732241</c:v>
                </c:pt>
                <c:pt idx="39">
                  <c:v>56985.280898876401</c:v>
                </c:pt>
                <c:pt idx="40">
                  <c:v>82655.512562814067</c:v>
                </c:pt>
                <c:pt idx="41">
                  <c:v>101344.22485207101</c:v>
                </c:pt>
                <c:pt idx="42">
                  <c:v>65935.793991416314</c:v>
                </c:pt>
                <c:pt idx="43">
                  <c:v>54496.747572815533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22-44D9-B955-6BFA30FB9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634223"/>
        <c:axId val="223618303"/>
        <c:extLst/>
      </c:lineChart>
      <c:lineChart>
        <c:grouping val="standard"/>
        <c:varyColors val="0"/>
        <c:ser>
          <c:idx val="2"/>
          <c:order val="2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Totals'!$BG$82:$BG$125</c:f>
              <c:numCache>
                <c:formatCode>_-"$"* #,##0_-;\-"$"* #,##0_-;_-"$"* "-"??_-;_-@_-</c:formatCode>
                <c:ptCount val="44"/>
                <c:pt idx="0">
                  <c:v>540.51543659315178</c:v>
                </c:pt>
                <c:pt idx="1">
                  <c:v>575.4346288280251</c:v>
                </c:pt>
                <c:pt idx="2">
                  <c:v>619.14335472893038</c:v>
                </c:pt>
                <c:pt idx="3">
                  <c:v>627.75538537281534</c:v>
                </c:pt>
                <c:pt idx="4">
                  <c:v>643.88177202039003</c:v>
                </c:pt>
                <c:pt idx="5">
                  <c:v>599.39344338016724</c:v>
                </c:pt>
                <c:pt idx="6">
                  <c:v>663.05777932510478</c:v>
                </c:pt>
                <c:pt idx="7">
                  <c:v>567.37629252102158</c:v>
                </c:pt>
                <c:pt idx="8">
                  <c:v>586.9420005309272</c:v>
                </c:pt>
                <c:pt idx="9">
                  <c:v>584.9326732157333</c:v>
                </c:pt>
                <c:pt idx="10">
                  <c:v>648.62826883204821</c:v>
                </c:pt>
                <c:pt idx="11">
                  <c:v>587.83886801648748</c:v>
                </c:pt>
                <c:pt idx="12">
                  <c:v>612.63514389357624</c:v>
                </c:pt>
                <c:pt idx="13">
                  <c:v>573.64373517349384</c:v>
                </c:pt>
                <c:pt idx="14">
                  <c:v>612.91715373477166</c:v>
                </c:pt>
                <c:pt idx="15">
                  <c:v>644.92392141587482</c:v>
                </c:pt>
                <c:pt idx="16">
                  <c:v>707.10244152963764</c:v>
                </c:pt>
                <c:pt idx="17">
                  <c:v>689.39999718961769</c:v>
                </c:pt>
                <c:pt idx="18">
                  <c:v>719.23816536910249</c:v>
                </c:pt>
                <c:pt idx="19">
                  <c:v>700.61755224692581</c:v>
                </c:pt>
                <c:pt idx="20">
                  <c:v>674.55271701761365</c:v>
                </c:pt>
                <c:pt idx="21">
                  <c:v>701.59932512478451</c:v>
                </c:pt>
                <c:pt idx="22">
                  <c:v>675.96984093180788</c:v>
                </c:pt>
                <c:pt idx="23">
                  <c:v>771.50489539056321</c:v>
                </c:pt>
                <c:pt idx="24">
                  <c:v>752.75953381711861</c:v>
                </c:pt>
                <c:pt idx="25">
                  <c:v>717.09946476360392</c:v>
                </c:pt>
                <c:pt idx="26">
                  <c:v>713.86041387238936</c:v>
                </c:pt>
                <c:pt idx="27">
                  <c:v>614.06389950846528</c:v>
                </c:pt>
                <c:pt idx="28">
                  <c:v>616.99146100177029</c:v>
                </c:pt>
                <c:pt idx="29">
                  <c:v>590.17542576533276</c:v>
                </c:pt>
                <c:pt idx="30">
                  <c:v>619.45998993457476</c:v>
                </c:pt>
                <c:pt idx="31">
                  <c:v>632.11678428116784</c:v>
                </c:pt>
                <c:pt idx="32">
                  <c:v>631.54149269311063</c:v>
                </c:pt>
                <c:pt idx="33">
                  <c:v>626.5517570144375</c:v>
                </c:pt>
                <c:pt idx="34">
                  <c:v>576.81674090956176</c:v>
                </c:pt>
                <c:pt idx="35">
                  <c:v>609.63616914170655</c:v>
                </c:pt>
                <c:pt idx="36">
                  <c:v>600.98097437589354</c:v>
                </c:pt>
                <c:pt idx="37">
                  <c:v>630.59323794138015</c:v>
                </c:pt>
                <c:pt idx="38">
                  <c:v>708.52560592232021</c:v>
                </c:pt>
                <c:pt idx="39">
                  <c:v>1082.6534315295123</c:v>
                </c:pt>
                <c:pt idx="40">
                  <c:v>1451.8886927354577</c:v>
                </c:pt>
                <c:pt idx="41">
                  <c:v>1468.9171136753791</c:v>
                </c:pt>
                <c:pt idx="42">
                  <c:v>1349.6511587352722</c:v>
                </c:pt>
                <c:pt idx="43">
                  <c:v>811.48404836667078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222-44D9-B955-6BFA30FB9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710399"/>
        <c:axId val="2023374847"/>
        <c:extLst/>
      </c:lineChart>
      <c:date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Offset val="100"/>
        <c:baseTimeUnit val="months"/>
      </c:dateAx>
      <c:valAx>
        <c:axId val="223618303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valAx>
        <c:axId val="2023374847"/>
        <c:scaling>
          <c:orientation val="minMax"/>
        </c:scaling>
        <c:delete val="1"/>
        <c:axPos val="r"/>
        <c:numFmt formatCode="_-&quot;$&quot;* #,##0_-;\-&quot;$&quot;* #,##0_-;_-&quot;$&quot;* &quot;-&quot;??_-;_-@_-" sourceLinked="1"/>
        <c:majorTickMark val="out"/>
        <c:minorTickMark val="none"/>
        <c:tickLblPos val="nextTo"/>
        <c:crossAx val="305710399"/>
        <c:crosses val="max"/>
        <c:crossBetween val="between"/>
      </c:valAx>
      <c:dateAx>
        <c:axId val="30571039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2337484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'Group Totals'!$BE$3</c:f>
              <c:strCache>
                <c:ptCount val="1"/>
                <c:pt idx="0">
                  <c:v>$ to FG per FG Unit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Totals'!$BE$82:$BE$125</c:f>
              <c:numCache>
                <c:formatCode>_-"$"* #,##0_-;\-"$"* #,##0_-;_-"$"* "-"??_-;_-@_-</c:formatCode>
                <c:ptCount val="44"/>
                <c:pt idx="0">
                  <c:v>132.56828204541554</c:v>
                </c:pt>
                <c:pt idx="1">
                  <c:v>165.08889912450334</c:v>
                </c:pt>
                <c:pt idx="2">
                  <c:v>148.58460709977598</c:v>
                </c:pt>
                <c:pt idx="3">
                  <c:v>184.03680059796204</c:v>
                </c:pt>
                <c:pt idx="4">
                  <c:v>158.87029716576009</c:v>
                </c:pt>
                <c:pt idx="5">
                  <c:v>132.72457145531996</c:v>
                </c:pt>
                <c:pt idx="6">
                  <c:v>143.06492253552301</c:v>
                </c:pt>
                <c:pt idx="7">
                  <c:v>125.11005647058823</c:v>
                </c:pt>
                <c:pt idx="8">
                  <c:v>144.67856566517975</c:v>
                </c:pt>
                <c:pt idx="9">
                  <c:v>124.31281408347699</c:v>
                </c:pt>
                <c:pt idx="10">
                  <c:v>158.53688760477158</c:v>
                </c:pt>
                <c:pt idx="11">
                  <c:v>125.45324107866992</c:v>
                </c:pt>
                <c:pt idx="12">
                  <c:v>147.36580015881418</c:v>
                </c:pt>
                <c:pt idx="13">
                  <c:v>137.80487639968183</c:v>
                </c:pt>
                <c:pt idx="14">
                  <c:v>138.95486126895253</c:v>
                </c:pt>
                <c:pt idx="15">
                  <c:v>141.49974653963687</c:v>
                </c:pt>
                <c:pt idx="16">
                  <c:v>143.94726214001528</c:v>
                </c:pt>
                <c:pt idx="17">
                  <c:v>152.16907920243699</c:v>
                </c:pt>
                <c:pt idx="18">
                  <c:v>159.75310428196914</c:v>
                </c:pt>
                <c:pt idx="19">
                  <c:v>125.76524184550765</c:v>
                </c:pt>
                <c:pt idx="20">
                  <c:v>133.62834575108175</c:v>
                </c:pt>
                <c:pt idx="21">
                  <c:v>149.13444444444445</c:v>
                </c:pt>
                <c:pt idx="22">
                  <c:v>125.39590302635861</c:v>
                </c:pt>
                <c:pt idx="23">
                  <c:v>275.52453635280096</c:v>
                </c:pt>
                <c:pt idx="24">
                  <c:v>166.26721215568375</c:v>
                </c:pt>
                <c:pt idx="25">
                  <c:v>134.44584282817303</c:v>
                </c:pt>
                <c:pt idx="26">
                  <c:v>155.39676746611053</c:v>
                </c:pt>
                <c:pt idx="27">
                  <c:v>132.52292496640814</c:v>
                </c:pt>
                <c:pt idx="28">
                  <c:v>138.95656558549683</c:v>
                </c:pt>
                <c:pt idx="29">
                  <c:v>144.50163724737786</c:v>
                </c:pt>
                <c:pt idx="30">
                  <c:v>130.740233254732</c:v>
                </c:pt>
                <c:pt idx="31">
                  <c:v>137.72408803135363</c:v>
                </c:pt>
                <c:pt idx="32">
                  <c:v>144.30069763281855</c:v>
                </c:pt>
                <c:pt idx="33">
                  <c:v>146.12442425590038</c:v>
                </c:pt>
                <c:pt idx="34">
                  <c:v>110.18784136784612</c:v>
                </c:pt>
                <c:pt idx="35">
                  <c:v>134.98394961963942</c:v>
                </c:pt>
                <c:pt idx="36">
                  <c:v>108.67495276921547</c:v>
                </c:pt>
                <c:pt idx="37">
                  <c:v>138.03983530362737</c:v>
                </c:pt>
                <c:pt idx="38">
                  <c:v>154.78003987594153</c:v>
                </c:pt>
                <c:pt idx="39">
                  <c:v>220.46033470984568</c:v>
                </c:pt>
                <c:pt idx="40">
                  <c:v>263.07833917118501</c:v>
                </c:pt>
                <c:pt idx="41">
                  <c:v>277.3002720031086</c:v>
                </c:pt>
                <c:pt idx="42">
                  <c:v>224.84910575769106</c:v>
                </c:pt>
                <c:pt idx="43">
                  <c:v>180.73169553738168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F52-4AB5-B354-F4890FD9AB5B}"/>
            </c:ext>
          </c:extLst>
        </c:ser>
        <c:ser>
          <c:idx val="1"/>
          <c:order val="1"/>
          <c:tx>
            <c:strRef>
              <c:f>'Group Totals'!$BF$3</c:f>
              <c:strCache>
                <c:ptCount val="1"/>
                <c:pt idx="0">
                  <c:v>$ to FG per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Totals'!$BF$82:$BF$125</c:f>
              <c:numCache>
                <c:formatCode>_-"$"* #,##0_-;\-"$"* #,##0_-;_-"$"* "-"??_-;_-@_-</c:formatCode>
                <c:ptCount val="44"/>
                <c:pt idx="0">
                  <c:v>60991.875657894736</c:v>
                </c:pt>
                <c:pt idx="1">
                  <c:v>61780.176052631577</c:v>
                </c:pt>
                <c:pt idx="2">
                  <c:v>67187.257792207791</c:v>
                </c:pt>
                <c:pt idx="3">
                  <c:v>72679.01506024097</c:v>
                </c:pt>
                <c:pt idx="4">
                  <c:v>65286.34682352942</c:v>
                </c:pt>
                <c:pt idx="5">
                  <c:v>68322.771566265059</c:v>
                </c:pt>
                <c:pt idx="6">
                  <c:v>73454.083295454548</c:v>
                </c:pt>
                <c:pt idx="7">
                  <c:v>37979.838571428569</c:v>
                </c:pt>
                <c:pt idx="8">
                  <c:v>54456.297654320995</c:v>
                </c:pt>
                <c:pt idx="9">
                  <c:v>54084.55</c:v>
                </c:pt>
                <c:pt idx="10">
                  <c:v>69274.674750000006</c:v>
                </c:pt>
                <c:pt idx="11">
                  <c:v>45832.250740740739</c:v>
                </c:pt>
                <c:pt idx="12">
                  <c:v>67896.096707317076</c:v>
                </c:pt>
                <c:pt idx="13">
                  <c:v>53622.502261904767</c:v>
                </c:pt>
                <c:pt idx="14">
                  <c:v>63456.639620253169</c:v>
                </c:pt>
                <c:pt idx="15">
                  <c:v>68876.770374999993</c:v>
                </c:pt>
                <c:pt idx="16">
                  <c:v>72843.072533333339</c:v>
                </c:pt>
                <c:pt idx="17">
                  <c:v>71361.369480519483</c:v>
                </c:pt>
                <c:pt idx="18">
                  <c:v>71224.987922077926</c:v>
                </c:pt>
                <c:pt idx="19">
                  <c:v>52500.958630136985</c:v>
                </c:pt>
                <c:pt idx="20">
                  <c:v>76751.798529411768</c:v>
                </c:pt>
                <c:pt idx="21">
                  <c:v>76898.308307692307</c:v>
                </c:pt>
                <c:pt idx="22">
                  <c:v>60209.626562500001</c:v>
                </c:pt>
                <c:pt idx="23">
                  <c:v>37284.691290322582</c:v>
                </c:pt>
                <c:pt idx="24">
                  <c:v>93011.39</c:v>
                </c:pt>
                <c:pt idx="25">
                  <c:v>83518.805194805202</c:v>
                </c:pt>
                <c:pt idx="26">
                  <c:v>87662.058823529413</c:v>
                </c:pt>
                <c:pt idx="27">
                  <c:v>67731.987951807227</c:v>
                </c:pt>
                <c:pt idx="28">
                  <c:v>71385.168674698798</c:v>
                </c:pt>
                <c:pt idx="29">
                  <c:v>63467.067415730337</c:v>
                </c:pt>
                <c:pt idx="30">
                  <c:v>68381.5</c:v>
                </c:pt>
                <c:pt idx="31">
                  <c:v>52509.287356321838</c:v>
                </c:pt>
                <c:pt idx="32">
                  <c:v>59026.024390243903</c:v>
                </c:pt>
                <c:pt idx="33">
                  <c:v>58976.192307692305</c:v>
                </c:pt>
                <c:pt idx="34">
                  <c:v>62561.932584269663</c:v>
                </c:pt>
                <c:pt idx="35">
                  <c:v>55680.103448275862</c:v>
                </c:pt>
                <c:pt idx="36">
                  <c:v>61401.348314606745</c:v>
                </c:pt>
                <c:pt idx="37">
                  <c:v>63543.267441860466</c:v>
                </c:pt>
                <c:pt idx="38">
                  <c:v>73544.957894736843</c:v>
                </c:pt>
                <c:pt idx="39">
                  <c:v>103503.87755102041</c:v>
                </c:pt>
                <c:pt idx="40">
                  <c:v>162855.91089108912</c:v>
                </c:pt>
                <c:pt idx="41">
                  <c:v>154298.86486486485</c:v>
                </c:pt>
                <c:pt idx="42">
                  <c:v>120023.75</c:v>
                </c:pt>
                <c:pt idx="43">
                  <c:v>85697.175572519089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EF52-4AB5-B354-F4890FD9AB5B}"/>
            </c:ext>
          </c:extLst>
        </c:ser>
        <c:ser>
          <c:idx val="3"/>
          <c:order val="3"/>
          <c:tx>
            <c:strRef>
              <c:f>'Group Totals'!$BH$3</c:f>
              <c:strCache>
                <c:ptCount val="1"/>
                <c:pt idx="0">
                  <c:v>$ to FG per W/O (G/C Level)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</c:numRef>
          </c:cat>
          <c:val>
            <c:numRef>
              <c:f>'Group Totals'!$BH$82:$BH$125</c:f>
              <c:numCache>
                <c:formatCode>_-"$"* #,##0_-;\-"$"* #,##0_-;_-"$"* "-"??_-;_-@_-</c:formatCode>
                <c:ptCount val="44"/>
                <c:pt idx="0">
                  <c:v>11417.198399014778</c:v>
                </c:pt>
                <c:pt idx="1">
                  <c:v>13226.178535211267</c:v>
                </c:pt>
                <c:pt idx="2">
                  <c:v>12003.291995359628</c:v>
                </c:pt>
                <c:pt idx="3">
                  <c:v>13709.905113636363</c:v>
                </c:pt>
                <c:pt idx="4">
                  <c:v>15203.66980821918</c:v>
                </c:pt>
                <c:pt idx="5">
                  <c:v>13126.828796296297</c:v>
                </c:pt>
                <c:pt idx="6">
                  <c:v>16659.688994845361</c:v>
                </c:pt>
                <c:pt idx="7">
                  <c:v>14340.93489626556</c:v>
                </c:pt>
                <c:pt idx="8">
                  <c:v>17434.624940711463</c:v>
                </c:pt>
                <c:pt idx="9">
                  <c:v>15812.094352159469</c:v>
                </c:pt>
                <c:pt idx="10">
                  <c:v>15925.212586206897</c:v>
                </c:pt>
                <c:pt idx="11">
                  <c:v>11283.927993920974</c:v>
                </c:pt>
                <c:pt idx="12">
                  <c:v>14312.287737789202</c:v>
                </c:pt>
                <c:pt idx="13">
                  <c:v>12869.400542857144</c:v>
                </c:pt>
                <c:pt idx="14">
                  <c:v>14364.110401146132</c:v>
                </c:pt>
                <c:pt idx="15">
                  <c:v>15305.948972222222</c:v>
                </c:pt>
                <c:pt idx="16">
                  <c:v>16758.375582822086</c:v>
                </c:pt>
                <c:pt idx="17">
                  <c:v>16305.120029673591</c:v>
                </c:pt>
                <c:pt idx="18">
                  <c:v>18160.013476821194</c:v>
                </c:pt>
                <c:pt idx="19">
                  <c:v>17109.687410714287</c:v>
                </c:pt>
                <c:pt idx="20">
                  <c:v>17812.704095563138</c:v>
                </c:pt>
                <c:pt idx="21">
                  <c:v>16496.336765676569</c:v>
                </c:pt>
                <c:pt idx="22">
                  <c:v>13713.224555160143</c:v>
                </c:pt>
                <c:pt idx="23">
                  <c:v>41279.479642857143</c:v>
                </c:pt>
                <c:pt idx="24">
                  <c:v>21168.109448275864</c:v>
                </c:pt>
                <c:pt idx="25">
                  <c:v>18479.735632183907</c:v>
                </c:pt>
                <c:pt idx="26">
                  <c:v>20989.507042253521</c:v>
                </c:pt>
                <c:pt idx="27">
                  <c:v>16294.942028985508</c:v>
                </c:pt>
                <c:pt idx="28">
                  <c:v>16550.192737430167</c:v>
                </c:pt>
                <c:pt idx="29">
                  <c:v>16420.258720930233</c:v>
                </c:pt>
                <c:pt idx="30">
                  <c:v>19725.432692307691</c:v>
                </c:pt>
                <c:pt idx="31">
                  <c:v>15917.449477351916</c:v>
                </c:pt>
                <c:pt idx="32">
                  <c:v>17163.59574468085</c:v>
                </c:pt>
                <c:pt idx="33">
                  <c:v>14420.510971786834</c:v>
                </c:pt>
                <c:pt idx="34">
                  <c:v>16233.271137026239</c:v>
                </c:pt>
                <c:pt idx="35">
                  <c:v>16997.084210526315</c:v>
                </c:pt>
                <c:pt idx="36">
                  <c:v>15393.577464788732</c:v>
                </c:pt>
                <c:pt idx="37">
                  <c:v>15393.580281690141</c:v>
                </c:pt>
                <c:pt idx="38">
                  <c:v>19353.936288088644</c:v>
                </c:pt>
                <c:pt idx="39">
                  <c:v>31698.0625</c:v>
                </c:pt>
                <c:pt idx="40">
                  <c:v>46728.54261363636</c:v>
                </c:pt>
                <c:pt idx="41">
                  <c:v>54545.140127388535</c:v>
                </c:pt>
                <c:pt idx="42">
                  <c:v>37379.659367396591</c:v>
                </c:pt>
                <c:pt idx="43">
                  <c:v>35526.360759493669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2-4AB5-B354-F4890FD9A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634223"/>
        <c:axId val="223618303"/>
        <c:extLst/>
      </c:lineChart>
      <c:lineChart>
        <c:grouping val="standard"/>
        <c:varyColors val="0"/>
        <c:ser>
          <c:idx val="2"/>
          <c:order val="2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Totals'!$BG$82:$BG$125</c:f>
              <c:numCache>
                <c:formatCode>_-"$"* #,##0_-;\-"$"* #,##0_-;_-"$"* "-"??_-;_-@_-</c:formatCode>
                <c:ptCount val="44"/>
                <c:pt idx="0">
                  <c:v>540.51543659315178</c:v>
                </c:pt>
                <c:pt idx="1">
                  <c:v>575.4346288280251</c:v>
                </c:pt>
                <c:pt idx="2">
                  <c:v>619.14335472893038</c:v>
                </c:pt>
                <c:pt idx="3">
                  <c:v>627.75538537281534</c:v>
                </c:pt>
                <c:pt idx="4">
                  <c:v>643.88177202039003</c:v>
                </c:pt>
                <c:pt idx="5">
                  <c:v>599.39344338016724</c:v>
                </c:pt>
                <c:pt idx="6">
                  <c:v>663.05777932510478</c:v>
                </c:pt>
                <c:pt idx="7">
                  <c:v>567.37629252102158</c:v>
                </c:pt>
                <c:pt idx="8">
                  <c:v>586.9420005309272</c:v>
                </c:pt>
                <c:pt idx="9">
                  <c:v>584.9326732157333</c:v>
                </c:pt>
                <c:pt idx="10">
                  <c:v>648.62826883204821</c:v>
                </c:pt>
                <c:pt idx="11">
                  <c:v>587.83886801648748</c:v>
                </c:pt>
                <c:pt idx="12">
                  <c:v>612.63514389357624</c:v>
                </c:pt>
                <c:pt idx="13">
                  <c:v>573.64373517349384</c:v>
                </c:pt>
                <c:pt idx="14">
                  <c:v>612.91715373477166</c:v>
                </c:pt>
                <c:pt idx="15">
                  <c:v>644.92392141587482</c:v>
                </c:pt>
                <c:pt idx="16">
                  <c:v>707.10244152963764</c:v>
                </c:pt>
                <c:pt idx="17">
                  <c:v>689.39999718961769</c:v>
                </c:pt>
                <c:pt idx="18">
                  <c:v>719.23816536910249</c:v>
                </c:pt>
                <c:pt idx="19">
                  <c:v>700.61755224692581</c:v>
                </c:pt>
                <c:pt idx="20">
                  <c:v>674.55271701761365</c:v>
                </c:pt>
                <c:pt idx="21">
                  <c:v>701.59932512478451</c:v>
                </c:pt>
                <c:pt idx="22">
                  <c:v>675.96984093180788</c:v>
                </c:pt>
                <c:pt idx="23">
                  <c:v>771.50489539056321</c:v>
                </c:pt>
                <c:pt idx="24">
                  <c:v>752.75953381711861</c:v>
                </c:pt>
                <c:pt idx="25">
                  <c:v>717.09946476360392</c:v>
                </c:pt>
                <c:pt idx="26">
                  <c:v>713.86041387238936</c:v>
                </c:pt>
                <c:pt idx="27">
                  <c:v>614.06389950846528</c:v>
                </c:pt>
                <c:pt idx="28">
                  <c:v>616.99146100177029</c:v>
                </c:pt>
                <c:pt idx="29">
                  <c:v>590.17542576533276</c:v>
                </c:pt>
                <c:pt idx="30">
                  <c:v>619.45998993457476</c:v>
                </c:pt>
                <c:pt idx="31">
                  <c:v>632.11678428116784</c:v>
                </c:pt>
                <c:pt idx="32">
                  <c:v>631.54149269311063</c:v>
                </c:pt>
                <c:pt idx="33">
                  <c:v>626.5517570144375</c:v>
                </c:pt>
                <c:pt idx="34">
                  <c:v>576.81674090956176</c:v>
                </c:pt>
                <c:pt idx="35">
                  <c:v>609.63616914170655</c:v>
                </c:pt>
                <c:pt idx="36">
                  <c:v>600.98097437589354</c:v>
                </c:pt>
                <c:pt idx="37">
                  <c:v>630.59323794138015</c:v>
                </c:pt>
                <c:pt idx="38">
                  <c:v>708.52560592232021</c:v>
                </c:pt>
                <c:pt idx="39">
                  <c:v>1082.6534315295123</c:v>
                </c:pt>
                <c:pt idx="40">
                  <c:v>1451.8886927354577</c:v>
                </c:pt>
                <c:pt idx="41">
                  <c:v>1468.9171136753791</c:v>
                </c:pt>
                <c:pt idx="42">
                  <c:v>1349.6511587352722</c:v>
                </c:pt>
                <c:pt idx="43">
                  <c:v>811.48404836667078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EF52-4AB5-B354-F4890FD9A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710399"/>
        <c:axId val="2023374847"/>
        <c:extLst/>
      </c:lineChart>
      <c:date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Offset val="100"/>
        <c:baseTimeUnit val="months"/>
      </c:dateAx>
      <c:valAx>
        <c:axId val="223618303"/>
        <c:scaling>
          <c:orientation val="minMax"/>
          <c:max val="42000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valAx>
        <c:axId val="2023374847"/>
        <c:scaling>
          <c:orientation val="minMax"/>
        </c:scaling>
        <c:delete val="1"/>
        <c:axPos val="r"/>
        <c:numFmt formatCode="_-&quot;$&quot;* #,##0_-;\-&quot;$&quot;* #,##0_-;_-&quot;$&quot;* &quot;-&quot;??_-;_-@_-" sourceLinked="1"/>
        <c:majorTickMark val="out"/>
        <c:minorTickMark val="none"/>
        <c:tickLblPos val="nextTo"/>
        <c:crossAx val="305710399"/>
        <c:crosses val="max"/>
        <c:crossBetween val="between"/>
      </c:valAx>
      <c:dateAx>
        <c:axId val="30571039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2337484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'Group Totals'!$I$3</c:f>
              <c:strCache>
                <c:ptCount val="1"/>
                <c:pt idx="0">
                  <c:v>$ Transfer to FG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Totals'!$I$82:$I$144</c:f>
              <c:numCache>
                <c:formatCode>_-"$"* #,##0_-;\-"$"* #,##0_-;_-"$"* "-"??_-;_-@_-</c:formatCode>
                <c:ptCount val="63"/>
                <c:pt idx="0">
                  <c:v>4635382.55</c:v>
                </c:pt>
                <c:pt idx="1">
                  <c:v>4695293.38</c:v>
                </c:pt>
                <c:pt idx="2">
                  <c:v>5173418.8499999996</c:v>
                </c:pt>
                <c:pt idx="3">
                  <c:v>6032358.25</c:v>
                </c:pt>
                <c:pt idx="4">
                  <c:v>5549339.4800000004</c:v>
                </c:pt>
                <c:pt idx="5">
                  <c:v>5670790.04</c:v>
                </c:pt>
                <c:pt idx="6">
                  <c:v>6463959.3300000001</c:v>
                </c:pt>
                <c:pt idx="7">
                  <c:v>3456165.31</c:v>
                </c:pt>
                <c:pt idx="8">
                  <c:v>4410960.1100000003</c:v>
                </c:pt>
                <c:pt idx="9">
                  <c:v>4759440.4000000004</c:v>
                </c:pt>
                <c:pt idx="10">
                  <c:v>5541973.9800000004</c:v>
                </c:pt>
                <c:pt idx="11">
                  <c:v>3712412.31</c:v>
                </c:pt>
                <c:pt idx="12">
                  <c:v>5567479.9299999997</c:v>
                </c:pt>
                <c:pt idx="13">
                  <c:v>4504290.1900000004</c:v>
                </c:pt>
                <c:pt idx="14">
                  <c:v>5013074.53</c:v>
                </c:pt>
                <c:pt idx="15">
                  <c:v>5510141.6299999999</c:v>
                </c:pt>
                <c:pt idx="16">
                  <c:v>5463230.4400000004</c:v>
                </c:pt>
                <c:pt idx="17">
                  <c:v>5494825.4500000002</c:v>
                </c:pt>
                <c:pt idx="18">
                  <c:v>5484324.0700000003</c:v>
                </c:pt>
                <c:pt idx="19">
                  <c:v>3832569.98</c:v>
                </c:pt>
                <c:pt idx="20">
                  <c:v>5219122.3</c:v>
                </c:pt>
                <c:pt idx="21">
                  <c:v>4998390.04</c:v>
                </c:pt>
                <c:pt idx="22">
                  <c:v>3853416.1</c:v>
                </c:pt>
                <c:pt idx="23">
                  <c:v>2311650.86</c:v>
                </c:pt>
                <c:pt idx="24">
                  <c:v>6138751.7400000002</c:v>
                </c:pt>
                <c:pt idx="25">
                  <c:v>6430948</c:v>
                </c:pt>
                <c:pt idx="26">
                  <c:v>7451275</c:v>
                </c:pt>
                <c:pt idx="27">
                  <c:v>5621755</c:v>
                </c:pt>
                <c:pt idx="28">
                  <c:v>5924969</c:v>
                </c:pt>
                <c:pt idx="29">
                  <c:v>5648569</c:v>
                </c:pt>
                <c:pt idx="30">
                  <c:v>6154335</c:v>
                </c:pt>
                <c:pt idx="31">
                  <c:v>4568308</c:v>
                </c:pt>
                <c:pt idx="32">
                  <c:v>4840134</c:v>
                </c:pt>
                <c:pt idx="33">
                  <c:v>4600143</c:v>
                </c:pt>
                <c:pt idx="34">
                  <c:v>5568012</c:v>
                </c:pt>
                <c:pt idx="35">
                  <c:v>4844169</c:v>
                </c:pt>
                <c:pt idx="36">
                  <c:v>5464720</c:v>
                </c:pt>
                <c:pt idx="37">
                  <c:v>5464721</c:v>
                </c:pt>
                <c:pt idx="38">
                  <c:v>6986771</c:v>
                </c:pt>
                <c:pt idx="39">
                  <c:v>10143380</c:v>
                </c:pt>
                <c:pt idx="40">
                  <c:v>16448447</c:v>
                </c:pt>
                <c:pt idx="41">
                  <c:v>17127174</c:v>
                </c:pt>
                <c:pt idx="42">
                  <c:v>15363040</c:v>
                </c:pt>
                <c:pt idx="43">
                  <c:v>11226330</c:v>
                </c:pt>
                <c:pt idx="44">
                  <c:v>9733117</c:v>
                </c:pt>
                <c:pt idx="45">
                  <c:v>10406780</c:v>
                </c:pt>
                <c:pt idx="46">
                  <c:v>10658832</c:v>
                </c:pt>
                <c:pt idx="47">
                  <c:v>8970290</c:v>
                </c:pt>
                <c:pt idx="48">
                  <c:v>9434352</c:v>
                </c:pt>
                <c:pt idx="49">
                  <c:v>9335502</c:v>
                </c:pt>
                <c:pt idx="50">
                  <c:v>8608730</c:v>
                </c:pt>
                <c:pt idx="51">
                  <c:v>10343667</c:v>
                </c:pt>
                <c:pt idx="52">
                  <c:v>10066416</c:v>
                </c:pt>
                <c:pt idx="53">
                  <c:v>9729746</c:v>
                </c:pt>
                <c:pt idx="54">
                  <c:v>7428029</c:v>
                </c:pt>
                <c:pt idx="55">
                  <c:v>4104662</c:v>
                </c:pt>
                <c:pt idx="56">
                  <c:v>2924488</c:v>
                </c:pt>
                <c:pt idx="57">
                  <c:v>4442152</c:v>
                </c:pt>
                <c:pt idx="58">
                  <c:v>5123044</c:v>
                </c:pt>
                <c:pt idx="59">
                  <c:v>4202804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6-4BD6-8EDB-C01BA3F51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35167"/>
        <c:axId val="299824927"/>
      </c:lineChart>
      <c:dateAx>
        <c:axId val="473035167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99824927"/>
        <c:crosses val="autoZero"/>
        <c:auto val="1"/>
        <c:lblOffset val="100"/>
        <c:baseTimeUnit val="months"/>
      </c:dateAx>
      <c:valAx>
        <c:axId val="29982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3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'Group Totals'!$BE$3</c:f>
              <c:strCache>
                <c:ptCount val="1"/>
                <c:pt idx="0">
                  <c:v>$ to FG per FG Unit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</c:numRef>
          </c:cat>
          <c:val>
            <c:numRef>
              <c:f>'Group Totals'!$BE$82:$BE$125</c:f>
              <c:numCache>
                <c:formatCode>_-"$"* #,##0_-;\-"$"* #,##0_-;_-"$"* "-"??_-;_-@_-</c:formatCode>
                <c:ptCount val="44"/>
                <c:pt idx="0">
                  <c:v>132.56828204541554</c:v>
                </c:pt>
                <c:pt idx="1">
                  <c:v>165.08889912450334</c:v>
                </c:pt>
                <c:pt idx="2">
                  <c:v>148.58460709977598</c:v>
                </c:pt>
                <c:pt idx="3">
                  <c:v>184.03680059796204</c:v>
                </c:pt>
                <c:pt idx="4">
                  <c:v>158.87029716576009</c:v>
                </c:pt>
                <c:pt idx="5">
                  <c:v>132.72457145531996</c:v>
                </c:pt>
                <c:pt idx="6">
                  <c:v>143.06492253552301</c:v>
                </c:pt>
                <c:pt idx="7">
                  <c:v>125.11005647058823</c:v>
                </c:pt>
                <c:pt idx="8">
                  <c:v>144.67856566517975</c:v>
                </c:pt>
                <c:pt idx="9">
                  <c:v>124.31281408347699</c:v>
                </c:pt>
                <c:pt idx="10">
                  <c:v>158.53688760477158</c:v>
                </c:pt>
                <c:pt idx="11">
                  <c:v>125.45324107866992</c:v>
                </c:pt>
                <c:pt idx="12">
                  <c:v>147.36580015881418</c:v>
                </c:pt>
                <c:pt idx="13">
                  <c:v>137.80487639968183</c:v>
                </c:pt>
                <c:pt idx="14">
                  <c:v>138.95486126895253</c:v>
                </c:pt>
                <c:pt idx="15">
                  <c:v>141.49974653963687</c:v>
                </c:pt>
                <c:pt idx="16">
                  <c:v>143.94726214001528</c:v>
                </c:pt>
                <c:pt idx="17">
                  <c:v>152.16907920243699</c:v>
                </c:pt>
                <c:pt idx="18">
                  <c:v>159.75310428196914</c:v>
                </c:pt>
                <c:pt idx="19">
                  <c:v>125.76524184550765</c:v>
                </c:pt>
                <c:pt idx="20">
                  <c:v>133.62834575108175</c:v>
                </c:pt>
                <c:pt idx="21">
                  <c:v>149.13444444444445</c:v>
                </c:pt>
                <c:pt idx="22">
                  <c:v>125.39590302635861</c:v>
                </c:pt>
                <c:pt idx="23">
                  <c:v>275.52453635280096</c:v>
                </c:pt>
                <c:pt idx="24">
                  <c:v>166.26721215568375</c:v>
                </c:pt>
                <c:pt idx="25">
                  <c:v>134.44584282817303</c:v>
                </c:pt>
                <c:pt idx="26">
                  <c:v>155.39676746611053</c:v>
                </c:pt>
                <c:pt idx="27">
                  <c:v>132.52292496640814</c:v>
                </c:pt>
                <c:pt idx="28">
                  <c:v>138.95656558549683</c:v>
                </c:pt>
                <c:pt idx="29">
                  <c:v>144.50163724737786</c:v>
                </c:pt>
                <c:pt idx="30">
                  <c:v>130.740233254732</c:v>
                </c:pt>
                <c:pt idx="31">
                  <c:v>137.72408803135363</c:v>
                </c:pt>
                <c:pt idx="32">
                  <c:v>144.30069763281855</c:v>
                </c:pt>
                <c:pt idx="33">
                  <c:v>146.12442425590038</c:v>
                </c:pt>
                <c:pt idx="34">
                  <c:v>110.18784136784612</c:v>
                </c:pt>
                <c:pt idx="35">
                  <c:v>134.98394961963942</c:v>
                </c:pt>
                <c:pt idx="36">
                  <c:v>108.67495276921547</c:v>
                </c:pt>
                <c:pt idx="37">
                  <c:v>138.03983530362737</c:v>
                </c:pt>
                <c:pt idx="38">
                  <c:v>154.78003987594153</c:v>
                </c:pt>
                <c:pt idx="39">
                  <c:v>220.46033470984568</c:v>
                </c:pt>
                <c:pt idx="40">
                  <c:v>263.07833917118501</c:v>
                </c:pt>
                <c:pt idx="41">
                  <c:v>277.3002720031086</c:v>
                </c:pt>
                <c:pt idx="42">
                  <c:v>224.84910575769106</c:v>
                </c:pt>
                <c:pt idx="43">
                  <c:v>180.73169553738168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1-4897-B5D4-E8D03F4CE0F1}"/>
            </c:ext>
          </c:extLst>
        </c:ser>
        <c:ser>
          <c:idx val="1"/>
          <c:order val="1"/>
          <c:tx>
            <c:strRef>
              <c:f>'Group Totals'!$BF$3</c:f>
              <c:strCache>
                <c:ptCount val="1"/>
                <c:pt idx="0">
                  <c:v>$ to FG per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Totals'!$BF$82:$BF$125</c:f>
              <c:numCache>
                <c:formatCode>_-"$"* #,##0_-;\-"$"* #,##0_-;_-"$"* "-"??_-;_-@_-</c:formatCode>
                <c:ptCount val="44"/>
                <c:pt idx="0">
                  <c:v>60991.875657894736</c:v>
                </c:pt>
                <c:pt idx="1">
                  <c:v>61780.176052631577</c:v>
                </c:pt>
                <c:pt idx="2">
                  <c:v>67187.257792207791</c:v>
                </c:pt>
                <c:pt idx="3">
                  <c:v>72679.01506024097</c:v>
                </c:pt>
                <c:pt idx="4">
                  <c:v>65286.34682352942</c:v>
                </c:pt>
                <c:pt idx="5">
                  <c:v>68322.771566265059</c:v>
                </c:pt>
                <c:pt idx="6">
                  <c:v>73454.083295454548</c:v>
                </c:pt>
                <c:pt idx="7">
                  <c:v>37979.838571428569</c:v>
                </c:pt>
                <c:pt idx="8">
                  <c:v>54456.297654320995</c:v>
                </c:pt>
                <c:pt idx="9">
                  <c:v>54084.55</c:v>
                </c:pt>
                <c:pt idx="10">
                  <c:v>69274.674750000006</c:v>
                </c:pt>
                <c:pt idx="11">
                  <c:v>45832.250740740739</c:v>
                </c:pt>
                <c:pt idx="12">
                  <c:v>67896.096707317076</c:v>
                </c:pt>
                <c:pt idx="13">
                  <c:v>53622.502261904767</c:v>
                </c:pt>
                <c:pt idx="14">
                  <c:v>63456.639620253169</c:v>
                </c:pt>
                <c:pt idx="15">
                  <c:v>68876.770374999993</c:v>
                </c:pt>
                <c:pt idx="16">
                  <c:v>72843.072533333339</c:v>
                </c:pt>
                <c:pt idx="17">
                  <c:v>71361.369480519483</c:v>
                </c:pt>
                <c:pt idx="18">
                  <c:v>71224.987922077926</c:v>
                </c:pt>
                <c:pt idx="19">
                  <c:v>52500.958630136985</c:v>
                </c:pt>
                <c:pt idx="20">
                  <c:v>76751.798529411768</c:v>
                </c:pt>
                <c:pt idx="21">
                  <c:v>76898.308307692307</c:v>
                </c:pt>
                <c:pt idx="22">
                  <c:v>60209.626562500001</c:v>
                </c:pt>
                <c:pt idx="23">
                  <c:v>37284.691290322582</c:v>
                </c:pt>
                <c:pt idx="24">
                  <c:v>93011.39</c:v>
                </c:pt>
                <c:pt idx="25">
                  <c:v>83518.805194805202</c:v>
                </c:pt>
                <c:pt idx="26">
                  <c:v>87662.058823529413</c:v>
                </c:pt>
                <c:pt idx="27">
                  <c:v>67731.987951807227</c:v>
                </c:pt>
                <c:pt idx="28">
                  <c:v>71385.168674698798</c:v>
                </c:pt>
                <c:pt idx="29">
                  <c:v>63467.067415730337</c:v>
                </c:pt>
                <c:pt idx="30">
                  <c:v>68381.5</c:v>
                </c:pt>
                <c:pt idx="31">
                  <c:v>52509.287356321838</c:v>
                </c:pt>
                <c:pt idx="32">
                  <c:v>59026.024390243903</c:v>
                </c:pt>
                <c:pt idx="33">
                  <c:v>58976.192307692305</c:v>
                </c:pt>
                <c:pt idx="34">
                  <c:v>62561.932584269663</c:v>
                </c:pt>
                <c:pt idx="35">
                  <c:v>55680.103448275862</c:v>
                </c:pt>
                <c:pt idx="36">
                  <c:v>61401.348314606745</c:v>
                </c:pt>
                <c:pt idx="37">
                  <c:v>63543.267441860466</c:v>
                </c:pt>
                <c:pt idx="38">
                  <c:v>73544.957894736843</c:v>
                </c:pt>
                <c:pt idx="39">
                  <c:v>103503.87755102041</c:v>
                </c:pt>
                <c:pt idx="40">
                  <c:v>162855.91089108912</c:v>
                </c:pt>
                <c:pt idx="41">
                  <c:v>154298.86486486485</c:v>
                </c:pt>
                <c:pt idx="42">
                  <c:v>120023.75</c:v>
                </c:pt>
                <c:pt idx="43">
                  <c:v>85697.175572519089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E91-4897-B5D4-E8D03F4CE0F1}"/>
            </c:ext>
          </c:extLst>
        </c:ser>
        <c:ser>
          <c:idx val="2"/>
          <c:order val="2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Totals'!$BG$82:$BG$125</c:f>
              <c:numCache>
                <c:formatCode>_-"$"* #,##0_-;\-"$"* #,##0_-;_-"$"* "-"??_-;_-@_-</c:formatCode>
                <c:ptCount val="44"/>
                <c:pt idx="0">
                  <c:v>540.51543659315178</c:v>
                </c:pt>
                <c:pt idx="1">
                  <c:v>575.4346288280251</c:v>
                </c:pt>
                <c:pt idx="2">
                  <c:v>619.14335472893038</c:v>
                </c:pt>
                <c:pt idx="3">
                  <c:v>627.75538537281534</c:v>
                </c:pt>
                <c:pt idx="4">
                  <c:v>643.88177202039003</c:v>
                </c:pt>
                <c:pt idx="5">
                  <c:v>599.39344338016724</c:v>
                </c:pt>
                <c:pt idx="6">
                  <c:v>663.05777932510478</c:v>
                </c:pt>
                <c:pt idx="7">
                  <c:v>567.37629252102158</c:v>
                </c:pt>
                <c:pt idx="8">
                  <c:v>586.9420005309272</c:v>
                </c:pt>
                <c:pt idx="9">
                  <c:v>584.9326732157333</c:v>
                </c:pt>
                <c:pt idx="10">
                  <c:v>648.62826883204821</c:v>
                </c:pt>
                <c:pt idx="11">
                  <c:v>587.83886801648748</c:v>
                </c:pt>
                <c:pt idx="12">
                  <c:v>612.63514389357624</c:v>
                </c:pt>
                <c:pt idx="13">
                  <c:v>573.64373517349384</c:v>
                </c:pt>
                <c:pt idx="14">
                  <c:v>612.91715373477166</c:v>
                </c:pt>
                <c:pt idx="15">
                  <c:v>644.92392141587482</c:v>
                </c:pt>
                <c:pt idx="16">
                  <c:v>707.10244152963764</c:v>
                </c:pt>
                <c:pt idx="17">
                  <c:v>689.39999718961769</c:v>
                </c:pt>
                <c:pt idx="18">
                  <c:v>719.23816536910249</c:v>
                </c:pt>
                <c:pt idx="19">
                  <c:v>700.61755224692581</c:v>
                </c:pt>
                <c:pt idx="20">
                  <c:v>674.55271701761365</c:v>
                </c:pt>
                <c:pt idx="21">
                  <c:v>701.59932512478451</c:v>
                </c:pt>
                <c:pt idx="22">
                  <c:v>675.96984093180788</c:v>
                </c:pt>
                <c:pt idx="23">
                  <c:v>771.50489539056321</c:v>
                </c:pt>
                <c:pt idx="24">
                  <c:v>752.75953381711861</c:v>
                </c:pt>
                <c:pt idx="25">
                  <c:v>717.09946476360392</c:v>
                </c:pt>
                <c:pt idx="26">
                  <c:v>713.86041387238936</c:v>
                </c:pt>
                <c:pt idx="27">
                  <c:v>614.06389950846528</c:v>
                </c:pt>
                <c:pt idx="28">
                  <c:v>616.99146100177029</c:v>
                </c:pt>
                <c:pt idx="29">
                  <c:v>590.17542576533276</c:v>
                </c:pt>
                <c:pt idx="30">
                  <c:v>619.45998993457476</c:v>
                </c:pt>
                <c:pt idx="31">
                  <c:v>632.11678428116784</c:v>
                </c:pt>
                <c:pt idx="32">
                  <c:v>631.54149269311063</c:v>
                </c:pt>
                <c:pt idx="33">
                  <c:v>626.5517570144375</c:v>
                </c:pt>
                <c:pt idx="34">
                  <c:v>576.81674090956176</c:v>
                </c:pt>
                <c:pt idx="35">
                  <c:v>609.63616914170655</c:v>
                </c:pt>
                <c:pt idx="36">
                  <c:v>600.98097437589354</c:v>
                </c:pt>
                <c:pt idx="37">
                  <c:v>630.59323794138015</c:v>
                </c:pt>
                <c:pt idx="38">
                  <c:v>708.52560592232021</c:v>
                </c:pt>
                <c:pt idx="39">
                  <c:v>1082.6534315295123</c:v>
                </c:pt>
                <c:pt idx="40">
                  <c:v>1451.8886927354577</c:v>
                </c:pt>
                <c:pt idx="41">
                  <c:v>1468.9171136753791</c:v>
                </c:pt>
                <c:pt idx="42">
                  <c:v>1349.6511587352722</c:v>
                </c:pt>
                <c:pt idx="43">
                  <c:v>811.48404836667078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E91-4897-B5D4-E8D03F4CE0F1}"/>
            </c:ext>
          </c:extLst>
        </c:ser>
        <c:ser>
          <c:idx val="3"/>
          <c:order val="3"/>
          <c:tx>
            <c:strRef>
              <c:f>'Group Totals'!$BH$3</c:f>
              <c:strCache>
                <c:ptCount val="1"/>
                <c:pt idx="0">
                  <c:v>$ to FG per W/O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Totals'!$BH$82:$BH$125</c:f>
              <c:numCache>
                <c:formatCode>_-"$"* #,##0_-;\-"$"* #,##0_-;_-"$"* "-"??_-;_-@_-</c:formatCode>
                <c:ptCount val="44"/>
                <c:pt idx="0">
                  <c:v>11417.198399014778</c:v>
                </c:pt>
                <c:pt idx="1">
                  <c:v>13226.178535211267</c:v>
                </c:pt>
                <c:pt idx="2">
                  <c:v>12003.291995359628</c:v>
                </c:pt>
                <c:pt idx="3">
                  <c:v>13709.905113636363</c:v>
                </c:pt>
                <c:pt idx="4">
                  <c:v>15203.66980821918</c:v>
                </c:pt>
                <c:pt idx="5">
                  <c:v>13126.828796296297</c:v>
                </c:pt>
                <c:pt idx="6">
                  <c:v>16659.688994845361</c:v>
                </c:pt>
                <c:pt idx="7">
                  <c:v>14340.93489626556</c:v>
                </c:pt>
                <c:pt idx="8">
                  <c:v>17434.624940711463</c:v>
                </c:pt>
                <c:pt idx="9">
                  <c:v>15812.094352159469</c:v>
                </c:pt>
                <c:pt idx="10">
                  <c:v>15925.212586206897</c:v>
                </c:pt>
                <c:pt idx="11">
                  <c:v>11283.927993920974</c:v>
                </c:pt>
                <c:pt idx="12">
                  <c:v>14312.287737789202</c:v>
                </c:pt>
                <c:pt idx="13">
                  <c:v>12869.400542857144</c:v>
                </c:pt>
                <c:pt idx="14">
                  <c:v>14364.110401146132</c:v>
                </c:pt>
                <c:pt idx="15">
                  <c:v>15305.948972222222</c:v>
                </c:pt>
                <c:pt idx="16">
                  <c:v>16758.375582822086</c:v>
                </c:pt>
                <c:pt idx="17">
                  <c:v>16305.120029673591</c:v>
                </c:pt>
                <c:pt idx="18">
                  <c:v>18160.013476821194</c:v>
                </c:pt>
                <c:pt idx="19">
                  <c:v>17109.687410714287</c:v>
                </c:pt>
                <c:pt idx="20">
                  <c:v>17812.704095563138</c:v>
                </c:pt>
                <c:pt idx="21">
                  <c:v>16496.336765676569</c:v>
                </c:pt>
                <c:pt idx="22">
                  <c:v>13713.224555160143</c:v>
                </c:pt>
                <c:pt idx="23">
                  <c:v>41279.479642857143</c:v>
                </c:pt>
                <c:pt idx="24">
                  <c:v>21168.109448275864</c:v>
                </c:pt>
                <c:pt idx="25">
                  <c:v>18479.735632183907</c:v>
                </c:pt>
                <c:pt idx="26">
                  <c:v>20989.507042253521</c:v>
                </c:pt>
                <c:pt idx="27">
                  <c:v>16294.942028985508</c:v>
                </c:pt>
                <c:pt idx="28">
                  <c:v>16550.192737430167</c:v>
                </c:pt>
                <c:pt idx="29">
                  <c:v>16420.258720930233</c:v>
                </c:pt>
                <c:pt idx="30">
                  <c:v>19725.432692307691</c:v>
                </c:pt>
                <c:pt idx="31">
                  <c:v>15917.449477351916</c:v>
                </c:pt>
                <c:pt idx="32">
                  <c:v>17163.59574468085</c:v>
                </c:pt>
                <c:pt idx="33">
                  <c:v>14420.510971786834</c:v>
                </c:pt>
                <c:pt idx="34">
                  <c:v>16233.271137026239</c:v>
                </c:pt>
                <c:pt idx="35">
                  <c:v>16997.084210526315</c:v>
                </c:pt>
                <c:pt idx="36">
                  <c:v>15393.577464788732</c:v>
                </c:pt>
                <c:pt idx="37">
                  <c:v>15393.580281690141</c:v>
                </c:pt>
                <c:pt idx="38">
                  <c:v>19353.936288088644</c:v>
                </c:pt>
                <c:pt idx="39">
                  <c:v>31698.0625</c:v>
                </c:pt>
                <c:pt idx="40">
                  <c:v>46728.54261363636</c:v>
                </c:pt>
                <c:pt idx="41">
                  <c:v>54545.140127388535</c:v>
                </c:pt>
                <c:pt idx="42">
                  <c:v>37379.659367396591</c:v>
                </c:pt>
                <c:pt idx="43">
                  <c:v>35526.360759493669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E91-4897-B5D4-E8D03F4CE0F1}"/>
            </c:ext>
          </c:extLst>
        </c:ser>
        <c:ser>
          <c:idx val="4"/>
          <c:order val="4"/>
          <c:tx>
            <c:strRef>
              <c:f>'Group Totals'!$BI$3</c:f>
              <c:strCache>
                <c:ptCount val="1"/>
                <c:pt idx="0">
                  <c:v>$ to FG per SKU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  <c:extLst xmlns:c15="http://schemas.microsoft.com/office/drawing/2012/chart"/>
            </c:numRef>
          </c:cat>
          <c:val>
            <c:numRef>
              <c:f>'Group Totals'!$BI$82:$BI$125</c:f>
              <c:numCache>
                <c:formatCode>_-"$"* #,##0_-;\-"$"* #,##0_-;_-"$"* "-"??_-;_-@_-</c:formatCode>
                <c:ptCount val="44"/>
                <c:pt idx="0">
                  <c:v>22285.493028846155</c:v>
                </c:pt>
                <c:pt idx="1">
                  <c:v>25940.847403314918</c:v>
                </c:pt>
                <c:pt idx="2">
                  <c:v>24753.200239234448</c:v>
                </c:pt>
                <c:pt idx="3">
                  <c:v>27798.885944700462</c:v>
                </c:pt>
                <c:pt idx="4">
                  <c:v>31001.896536312852</c:v>
                </c:pt>
                <c:pt idx="5">
                  <c:v>28496.432361809046</c:v>
                </c:pt>
                <c:pt idx="6">
                  <c:v>31226.856666666667</c:v>
                </c:pt>
                <c:pt idx="7">
                  <c:v>24339.192323943662</c:v>
                </c:pt>
                <c:pt idx="8">
                  <c:v>29803.78452702703</c:v>
                </c:pt>
                <c:pt idx="9">
                  <c:v>27511.216184971101</c:v>
                </c:pt>
                <c:pt idx="10">
                  <c:v>30119.423804347829</c:v>
                </c:pt>
                <c:pt idx="11">
                  <c:v>21459.03069364162</c:v>
                </c:pt>
                <c:pt idx="12">
                  <c:v>28405.509846938774</c:v>
                </c:pt>
                <c:pt idx="13">
                  <c:v>25886.725229885058</c:v>
                </c:pt>
                <c:pt idx="14">
                  <c:v>26665.290053191489</c:v>
                </c:pt>
                <c:pt idx="15">
                  <c:v>26114.415308056872</c:v>
                </c:pt>
                <c:pt idx="16">
                  <c:v>32326.807337278107</c:v>
                </c:pt>
                <c:pt idx="17">
                  <c:v>28920.133947368424</c:v>
                </c:pt>
                <c:pt idx="18">
                  <c:v>30300.132983425417</c:v>
                </c:pt>
                <c:pt idx="19">
                  <c:v>29709.844806201549</c:v>
                </c:pt>
                <c:pt idx="20">
                  <c:v>34563.723841059604</c:v>
                </c:pt>
                <c:pt idx="21">
                  <c:v>28892.427976878615</c:v>
                </c:pt>
                <c:pt idx="22">
                  <c:v>25022.182467532468</c:v>
                </c:pt>
                <c:pt idx="23">
                  <c:v>56381.728292682921</c:v>
                </c:pt>
                <c:pt idx="24">
                  <c:v>37661.053619631901</c:v>
                </c:pt>
                <c:pt idx="25">
                  <c:v>34207.170212765959</c:v>
                </c:pt>
                <c:pt idx="26">
                  <c:v>41167.265193370164</c:v>
                </c:pt>
                <c:pt idx="27">
                  <c:v>28392.702020202021</c:v>
                </c:pt>
                <c:pt idx="28">
                  <c:v>29773.713567839197</c:v>
                </c:pt>
                <c:pt idx="29">
                  <c:v>29886.608465608464</c:v>
                </c:pt>
                <c:pt idx="30">
                  <c:v>33266.675675675673</c:v>
                </c:pt>
                <c:pt idx="31">
                  <c:v>24963.43169398907</c:v>
                </c:pt>
                <c:pt idx="32">
                  <c:v>27816.862068965518</c:v>
                </c:pt>
                <c:pt idx="33">
                  <c:v>23470.117346938776</c:v>
                </c:pt>
                <c:pt idx="34">
                  <c:v>27840.06</c:v>
                </c:pt>
                <c:pt idx="35">
                  <c:v>29718.828220858897</c:v>
                </c:pt>
                <c:pt idx="36">
                  <c:v>29539.027027027027</c:v>
                </c:pt>
                <c:pt idx="37">
                  <c:v>27739.700507614212</c:v>
                </c:pt>
                <c:pt idx="38">
                  <c:v>38179.076502732241</c:v>
                </c:pt>
                <c:pt idx="39">
                  <c:v>56985.280898876401</c:v>
                </c:pt>
                <c:pt idx="40">
                  <c:v>82655.512562814067</c:v>
                </c:pt>
                <c:pt idx="41">
                  <c:v>101344.22485207101</c:v>
                </c:pt>
                <c:pt idx="42">
                  <c:v>65935.793991416314</c:v>
                </c:pt>
                <c:pt idx="43">
                  <c:v>54496.747572815533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E91-4897-B5D4-E8D03F4CE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date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Offset val="100"/>
        <c:baseTimeUnit val="months"/>
      </c:dateAx>
      <c:valAx>
        <c:axId val="223618303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'Group Totals'!$K$3</c:f>
              <c:strCache>
                <c:ptCount val="1"/>
                <c:pt idx="0">
                  <c:v>Total Finished Goods Units (SEC&amp;AM)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Totals'!$K$4:$K$144</c:f>
              <c:numCache>
                <c:formatCode>_-* #,##0_-;\-* #,##0_-;_-* "-"??_-;_-@_-</c:formatCode>
                <c:ptCount val="141"/>
                <c:pt idx="0">
                  <c:v>28128</c:v>
                </c:pt>
                <c:pt idx="1">
                  <c:v>23350</c:v>
                </c:pt>
                <c:pt idx="2">
                  <c:v>21991</c:v>
                </c:pt>
                <c:pt idx="3">
                  <c:v>33777</c:v>
                </c:pt>
                <c:pt idx="4">
                  <c:v>41233</c:v>
                </c:pt>
                <c:pt idx="5">
                  <c:v>36339</c:v>
                </c:pt>
                <c:pt idx="6">
                  <c:v>34359</c:v>
                </c:pt>
                <c:pt idx="7">
                  <c:v>34609</c:v>
                </c:pt>
                <c:pt idx="8">
                  <c:v>31616</c:v>
                </c:pt>
                <c:pt idx="9">
                  <c:v>25948</c:v>
                </c:pt>
                <c:pt idx="10">
                  <c:v>25083</c:v>
                </c:pt>
                <c:pt idx="11">
                  <c:v>26991</c:v>
                </c:pt>
                <c:pt idx="12">
                  <c:v>23531</c:v>
                </c:pt>
                <c:pt idx="13">
                  <c:v>18951</c:v>
                </c:pt>
                <c:pt idx="14">
                  <c:v>20549</c:v>
                </c:pt>
                <c:pt idx="15">
                  <c:v>25691</c:v>
                </c:pt>
                <c:pt idx="16">
                  <c:v>29280</c:v>
                </c:pt>
                <c:pt idx="17">
                  <c:v>31196</c:v>
                </c:pt>
                <c:pt idx="18">
                  <c:v>35649</c:v>
                </c:pt>
                <c:pt idx="19">
                  <c:v>21345</c:v>
                </c:pt>
                <c:pt idx="20">
                  <c:v>32091</c:v>
                </c:pt>
                <c:pt idx="21">
                  <c:v>22295</c:v>
                </c:pt>
                <c:pt idx="22">
                  <c:v>24245</c:v>
                </c:pt>
                <c:pt idx="23">
                  <c:v>23074</c:v>
                </c:pt>
                <c:pt idx="24">
                  <c:v>26348</c:v>
                </c:pt>
                <c:pt idx="25">
                  <c:v>21029</c:v>
                </c:pt>
                <c:pt idx="26">
                  <c:v>23137</c:v>
                </c:pt>
                <c:pt idx="27">
                  <c:v>26175</c:v>
                </c:pt>
                <c:pt idx="28">
                  <c:v>36342</c:v>
                </c:pt>
                <c:pt idx="29">
                  <c:v>29124</c:v>
                </c:pt>
                <c:pt idx="30">
                  <c:v>30773</c:v>
                </c:pt>
                <c:pt idx="31">
                  <c:v>29256</c:v>
                </c:pt>
                <c:pt idx="32">
                  <c:v>33141</c:v>
                </c:pt>
                <c:pt idx="33">
                  <c:v>28932</c:v>
                </c:pt>
                <c:pt idx="34">
                  <c:v>33981</c:v>
                </c:pt>
                <c:pt idx="35">
                  <c:v>29060</c:v>
                </c:pt>
                <c:pt idx="36">
                  <c:v>29813</c:v>
                </c:pt>
                <c:pt idx="37">
                  <c:v>27720</c:v>
                </c:pt>
                <c:pt idx="38">
                  <c:v>17781</c:v>
                </c:pt>
                <c:pt idx="39">
                  <c:v>30635</c:v>
                </c:pt>
                <c:pt idx="40">
                  <c:v>36500</c:v>
                </c:pt>
                <c:pt idx="41">
                  <c:v>27404</c:v>
                </c:pt>
                <c:pt idx="42">
                  <c:v>28530</c:v>
                </c:pt>
                <c:pt idx="43">
                  <c:v>29009</c:v>
                </c:pt>
                <c:pt idx="44">
                  <c:v>27468</c:v>
                </c:pt>
                <c:pt idx="45">
                  <c:v>26543</c:v>
                </c:pt>
                <c:pt idx="46">
                  <c:v>28583</c:v>
                </c:pt>
                <c:pt idx="47">
                  <c:v>27675</c:v>
                </c:pt>
                <c:pt idx="48">
                  <c:v>31347</c:v>
                </c:pt>
                <c:pt idx="49">
                  <c:v>21715</c:v>
                </c:pt>
                <c:pt idx="50">
                  <c:v>23193</c:v>
                </c:pt>
                <c:pt idx="51">
                  <c:v>24546</c:v>
                </c:pt>
                <c:pt idx="52">
                  <c:v>26140</c:v>
                </c:pt>
                <c:pt idx="53">
                  <c:v>22012</c:v>
                </c:pt>
                <c:pt idx="54">
                  <c:v>21868</c:v>
                </c:pt>
                <c:pt idx="55">
                  <c:v>20533</c:v>
                </c:pt>
                <c:pt idx="56">
                  <c:v>25126</c:v>
                </c:pt>
                <c:pt idx="57">
                  <c:v>24732</c:v>
                </c:pt>
                <c:pt idx="58">
                  <c:v>21681</c:v>
                </c:pt>
                <c:pt idx="59">
                  <c:v>29219</c:v>
                </c:pt>
                <c:pt idx="60">
                  <c:v>28484</c:v>
                </c:pt>
                <c:pt idx="61">
                  <c:v>21276</c:v>
                </c:pt>
                <c:pt idx="62">
                  <c:v>22014</c:v>
                </c:pt>
                <c:pt idx="63">
                  <c:v>28194</c:v>
                </c:pt>
                <c:pt idx="64">
                  <c:v>33697</c:v>
                </c:pt>
                <c:pt idx="65">
                  <c:v>25538</c:v>
                </c:pt>
                <c:pt idx="66">
                  <c:v>38817</c:v>
                </c:pt>
                <c:pt idx="67">
                  <c:v>34929</c:v>
                </c:pt>
                <c:pt idx="68">
                  <c:v>43591</c:v>
                </c:pt>
                <c:pt idx="69">
                  <c:v>39520</c:v>
                </c:pt>
                <c:pt idx="70">
                  <c:v>43633</c:v>
                </c:pt>
                <c:pt idx="71">
                  <c:v>42874</c:v>
                </c:pt>
                <c:pt idx="72">
                  <c:v>40351</c:v>
                </c:pt>
                <c:pt idx="73">
                  <c:v>28812</c:v>
                </c:pt>
                <c:pt idx="74">
                  <c:v>26796</c:v>
                </c:pt>
                <c:pt idx="75">
                  <c:v>31207</c:v>
                </c:pt>
                <c:pt idx="76">
                  <c:v>39311</c:v>
                </c:pt>
                <c:pt idx="77">
                  <c:v>33146</c:v>
                </c:pt>
                <c:pt idx="78">
                  <c:v>34966</c:v>
                </c:pt>
                <c:pt idx="79">
                  <c:v>28441</c:v>
                </c:pt>
                <c:pt idx="80">
                  <c:v>34818</c:v>
                </c:pt>
                <c:pt idx="81">
                  <c:v>32778</c:v>
                </c:pt>
                <c:pt idx="82">
                  <c:v>34930</c:v>
                </c:pt>
                <c:pt idx="83">
                  <c:v>42726</c:v>
                </c:pt>
                <c:pt idx="84">
                  <c:v>45182</c:v>
                </c:pt>
                <c:pt idx="85">
                  <c:v>27625</c:v>
                </c:pt>
                <c:pt idx="86">
                  <c:v>30488</c:v>
                </c:pt>
                <c:pt idx="87">
                  <c:v>38286</c:v>
                </c:pt>
                <c:pt idx="88">
                  <c:v>34957</c:v>
                </c:pt>
                <c:pt idx="89">
                  <c:v>29592</c:v>
                </c:pt>
                <c:pt idx="90">
                  <c:v>37780</c:v>
                </c:pt>
                <c:pt idx="91">
                  <c:v>32686</c:v>
                </c:pt>
                <c:pt idx="92">
                  <c:v>36077</c:v>
                </c:pt>
                <c:pt idx="93">
                  <c:v>38941</c:v>
                </c:pt>
                <c:pt idx="94">
                  <c:v>37953</c:v>
                </c:pt>
                <c:pt idx="95">
                  <c:v>36110</c:v>
                </c:pt>
                <c:pt idx="96">
                  <c:v>34330</c:v>
                </c:pt>
                <c:pt idx="97">
                  <c:v>30474</c:v>
                </c:pt>
                <c:pt idx="98">
                  <c:v>39057</c:v>
                </c:pt>
                <c:pt idx="99">
                  <c:v>33516</c:v>
                </c:pt>
                <c:pt idx="100">
                  <c:v>30730</c:v>
                </c:pt>
                <c:pt idx="101">
                  <c:v>8390</c:v>
                </c:pt>
                <c:pt idx="102">
                  <c:v>36921</c:v>
                </c:pt>
                <c:pt idx="103">
                  <c:v>47833</c:v>
                </c:pt>
                <c:pt idx="104">
                  <c:v>47950</c:v>
                </c:pt>
                <c:pt idx="105">
                  <c:v>42421</c:v>
                </c:pt>
                <c:pt idx="106">
                  <c:v>42639</c:v>
                </c:pt>
                <c:pt idx="107">
                  <c:v>39090</c:v>
                </c:pt>
                <c:pt idx="108">
                  <c:v>47073</c:v>
                </c:pt>
                <c:pt idx="109">
                  <c:v>33170</c:v>
                </c:pt>
                <c:pt idx="110">
                  <c:v>33542</c:v>
                </c:pt>
                <c:pt idx="111">
                  <c:v>31481</c:v>
                </c:pt>
                <c:pt idx="112">
                  <c:v>50532</c:v>
                </c:pt>
                <c:pt idx="113">
                  <c:v>35887</c:v>
                </c:pt>
                <c:pt idx="114">
                  <c:v>50285</c:v>
                </c:pt>
                <c:pt idx="115">
                  <c:v>39588</c:v>
                </c:pt>
                <c:pt idx="116">
                  <c:v>45140</c:v>
                </c:pt>
                <c:pt idx="117">
                  <c:v>46010</c:v>
                </c:pt>
                <c:pt idx="118">
                  <c:v>62523</c:v>
                </c:pt>
                <c:pt idx="119">
                  <c:v>61764</c:v>
                </c:pt>
                <c:pt idx="120">
                  <c:v>68326</c:v>
                </c:pt>
                <c:pt idx="121">
                  <c:v>62116</c:v>
                </c:pt>
                <c:pt idx="122">
                  <c:v>42762</c:v>
                </c:pt>
                <c:pt idx="123">
                  <c:v>52184</c:v>
                </c:pt>
                <c:pt idx="124">
                  <c:v>65948</c:v>
                </c:pt>
                <c:pt idx="125">
                  <c:v>58682</c:v>
                </c:pt>
                <c:pt idx="126">
                  <c:v>56920</c:v>
                </c:pt>
                <c:pt idx="127">
                  <c:v>58872</c:v>
                </c:pt>
                <c:pt idx="128">
                  <c:v>48043</c:v>
                </c:pt>
                <c:pt idx="129">
                  <c:v>50773</c:v>
                </c:pt>
                <c:pt idx="130">
                  <c:v>63989</c:v>
                </c:pt>
                <c:pt idx="131">
                  <c:v>53147</c:v>
                </c:pt>
                <c:pt idx="132">
                  <c:v>35966</c:v>
                </c:pt>
                <c:pt idx="133">
                  <c:v>20029</c:v>
                </c:pt>
                <c:pt idx="134">
                  <c:v>17373</c:v>
                </c:pt>
                <c:pt idx="135">
                  <c:v>27696</c:v>
                </c:pt>
                <c:pt idx="136">
                  <c:v>30654</c:v>
                </c:pt>
                <c:pt idx="137">
                  <c:v>24036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F-480F-AC69-1C5CB0BC35BF}"/>
            </c:ext>
          </c:extLst>
        </c:ser>
        <c:ser>
          <c:idx val="1"/>
          <c:order val="1"/>
          <c:tx>
            <c:strRef>
              <c:f>'Group Totals'!$M$3</c:f>
              <c:strCache>
                <c:ptCount val="1"/>
                <c:pt idx="0">
                  <c:v>Total FG's W/O's (SEC&amp;AM)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Totals'!$M$4:$M$144</c:f>
              <c:numCache>
                <c:formatCode>_-* #,##0_-;\-* #,##0_-;_-* "-"??_-;_-@_-</c:formatCode>
                <c:ptCount val="141"/>
                <c:pt idx="0">
                  <c:v>308</c:v>
                </c:pt>
                <c:pt idx="1">
                  <c:v>242</c:v>
                </c:pt>
                <c:pt idx="2">
                  <c:v>241</c:v>
                </c:pt>
                <c:pt idx="3">
                  <c:v>326</c:v>
                </c:pt>
                <c:pt idx="4">
                  <c:v>341</c:v>
                </c:pt>
                <c:pt idx="5">
                  <c:v>353</c:v>
                </c:pt>
                <c:pt idx="6">
                  <c:v>365</c:v>
                </c:pt>
                <c:pt idx="7">
                  <c:v>356</c:v>
                </c:pt>
                <c:pt idx="8">
                  <c:v>391</c:v>
                </c:pt>
                <c:pt idx="9">
                  <c:v>358</c:v>
                </c:pt>
                <c:pt idx="10">
                  <c:v>316</c:v>
                </c:pt>
                <c:pt idx="11">
                  <c:v>337</c:v>
                </c:pt>
                <c:pt idx="12">
                  <c:v>319</c:v>
                </c:pt>
                <c:pt idx="13">
                  <c:v>225</c:v>
                </c:pt>
                <c:pt idx="14">
                  <c:v>211</c:v>
                </c:pt>
                <c:pt idx="15">
                  <c:v>307</c:v>
                </c:pt>
                <c:pt idx="16">
                  <c:v>287</c:v>
                </c:pt>
                <c:pt idx="17">
                  <c:v>320</c:v>
                </c:pt>
                <c:pt idx="18">
                  <c:v>370</c:v>
                </c:pt>
                <c:pt idx="19">
                  <c:v>250</c:v>
                </c:pt>
                <c:pt idx="20">
                  <c:v>385</c:v>
                </c:pt>
                <c:pt idx="21">
                  <c:v>281</c:v>
                </c:pt>
                <c:pt idx="22">
                  <c:v>336</c:v>
                </c:pt>
                <c:pt idx="23">
                  <c:v>297</c:v>
                </c:pt>
                <c:pt idx="24">
                  <c:v>327</c:v>
                </c:pt>
                <c:pt idx="25">
                  <c:v>239</c:v>
                </c:pt>
                <c:pt idx="26">
                  <c:v>231</c:v>
                </c:pt>
                <c:pt idx="27">
                  <c:v>277</c:v>
                </c:pt>
                <c:pt idx="28">
                  <c:v>357</c:v>
                </c:pt>
                <c:pt idx="29">
                  <c:v>318</c:v>
                </c:pt>
                <c:pt idx="30">
                  <c:v>334</c:v>
                </c:pt>
                <c:pt idx="31">
                  <c:v>362</c:v>
                </c:pt>
                <c:pt idx="32">
                  <c:v>426</c:v>
                </c:pt>
                <c:pt idx="33">
                  <c:v>386</c:v>
                </c:pt>
                <c:pt idx="34">
                  <c:v>395</c:v>
                </c:pt>
                <c:pt idx="35">
                  <c:v>338</c:v>
                </c:pt>
                <c:pt idx="36">
                  <c:v>336</c:v>
                </c:pt>
                <c:pt idx="37">
                  <c:v>337</c:v>
                </c:pt>
                <c:pt idx="38">
                  <c:v>177</c:v>
                </c:pt>
                <c:pt idx="39">
                  <c:v>305</c:v>
                </c:pt>
                <c:pt idx="40">
                  <c:v>397</c:v>
                </c:pt>
                <c:pt idx="41">
                  <c:v>320</c:v>
                </c:pt>
                <c:pt idx="42">
                  <c:v>341</c:v>
                </c:pt>
                <c:pt idx="43">
                  <c:v>337</c:v>
                </c:pt>
                <c:pt idx="44">
                  <c:v>358</c:v>
                </c:pt>
                <c:pt idx="45">
                  <c:v>315</c:v>
                </c:pt>
                <c:pt idx="46">
                  <c:v>289</c:v>
                </c:pt>
                <c:pt idx="47">
                  <c:v>292</c:v>
                </c:pt>
                <c:pt idx="48">
                  <c:v>314</c:v>
                </c:pt>
                <c:pt idx="49">
                  <c:v>216</c:v>
                </c:pt>
                <c:pt idx="50">
                  <c:v>235</c:v>
                </c:pt>
                <c:pt idx="51">
                  <c:v>289</c:v>
                </c:pt>
                <c:pt idx="52">
                  <c:v>303</c:v>
                </c:pt>
                <c:pt idx="53">
                  <c:v>265</c:v>
                </c:pt>
                <c:pt idx="54">
                  <c:v>282</c:v>
                </c:pt>
                <c:pt idx="55">
                  <c:v>279</c:v>
                </c:pt>
                <c:pt idx="56">
                  <c:v>304</c:v>
                </c:pt>
                <c:pt idx="57">
                  <c:v>360</c:v>
                </c:pt>
                <c:pt idx="58">
                  <c:v>319</c:v>
                </c:pt>
                <c:pt idx="59">
                  <c:v>323</c:v>
                </c:pt>
                <c:pt idx="60">
                  <c:v>283</c:v>
                </c:pt>
                <c:pt idx="61">
                  <c:v>222</c:v>
                </c:pt>
                <c:pt idx="62">
                  <c:v>225</c:v>
                </c:pt>
                <c:pt idx="63">
                  <c:v>334</c:v>
                </c:pt>
                <c:pt idx="64">
                  <c:v>380</c:v>
                </c:pt>
                <c:pt idx="65">
                  <c:v>297</c:v>
                </c:pt>
                <c:pt idx="66">
                  <c:v>418</c:v>
                </c:pt>
                <c:pt idx="67">
                  <c:v>378</c:v>
                </c:pt>
                <c:pt idx="68">
                  <c:v>439</c:v>
                </c:pt>
                <c:pt idx="69">
                  <c:v>421</c:v>
                </c:pt>
                <c:pt idx="70">
                  <c:v>383</c:v>
                </c:pt>
                <c:pt idx="71">
                  <c:v>406</c:v>
                </c:pt>
                <c:pt idx="72">
                  <c:v>390</c:v>
                </c:pt>
                <c:pt idx="73">
                  <c:v>284</c:v>
                </c:pt>
                <c:pt idx="74">
                  <c:v>275</c:v>
                </c:pt>
                <c:pt idx="75">
                  <c:v>311</c:v>
                </c:pt>
                <c:pt idx="76">
                  <c:v>397</c:v>
                </c:pt>
                <c:pt idx="77">
                  <c:v>411</c:v>
                </c:pt>
                <c:pt idx="78">
                  <c:v>406</c:v>
                </c:pt>
                <c:pt idx="79">
                  <c:v>355</c:v>
                </c:pt>
                <c:pt idx="80">
                  <c:v>431</c:v>
                </c:pt>
                <c:pt idx="81">
                  <c:v>440</c:v>
                </c:pt>
                <c:pt idx="82">
                  <c:v>365</c:v>
                </c:pt>
                <c:pt idx="83">
                  <c:v>432</c:v>
                </c:pt>
                <c:pt idx="84">
                  <c:v>388</c:v>
                </c:pt>
                <c:pt idx="85">
                  <c:v>241</c:v>
                </c:pt>
                <c:pt idx="86">
                  <c:v>253</c:v>
                </c:pt>
                <c:pt idx="87">
                  <c:v>301</c:v>
                </c:pt>
                <c:pt idx="88">
                  <c:v>348</c:v>
                </c:pt>
                <c:pt idx="89">
                  <c:v>329</c:v>
                </c:pt>
                <c:pt idx="90">
                  <c:v>389</c:v>
                </c:pt>
                <c:pt idx="91">
                  <c:v>350</c:v>
                </c:pt>
                <c:pt idx="92">
                  <c:v>349</c:v>
                </c:pt>
                <c:pt idx="93">
                  <c:v>360</c:v>
                </c:pt>
                <c:pt idx="94">
                  <c:v>326</c:v>
                </c:pt>
                <c:pt idx="95">
                  <c:v>337</c:v>
                </c:pt>
                <c:pt idx="96">
                  <c:v>302</c:v>
                </c:pt>
                <c:pt idx="97">
                  <c:v>224</c:v>
                </c:pt>
                <c:pt idx="98">
                  <c:v>293</c:v>
                </c:pt>
                <c:pt idx="99">
                  <c:v>303</c:v>
                </c:pt>
                <c:pt idx="100">
                  <c:v>281</c:v>
                </c:pt>
                <c:pt idx="101">
                  <c:v>56</c:v>
                </c:pt>
                <c:pt idx="102">
                  <c:v>290</c:v>
                </c:pt>
                <c:pt idx="103">
                  <c:v>348</c:v>
                </c:pt>
                <c:pt idx="104">
                  <c:v>355</c:v>
                </c:pt>
                <c:pt idx="105">
                  <c:v>345</c:v>
                </c:pt>
                <c:pt idx="106">
                  <c:v>358</c:v>
                </c:pt>
                <c:pt idx="107">
                  <c:v>344</c:v>
                </c:pt>
                <c:pt idx="108">
                  <c:v>312</c:v>
                </c:pt>
                <c:pt idx="109">
                  <c:v>287</c:v>
                </c:pt>
                <c:pt idx="110">
                  <c:v>282</c:v>
                </c:pt>
                <c:pt idx="111">
                  <c:v>319</c:v>
                </c:pt>
                <c:pt idx="112">
                  <c:v>343</c:v>
                </c:pt>
                <c:pt idx="113">
                  <c:v>285</c:v>
                </c:pt>
                <c:pt idx="114">
                  <c:v>355</c:v>
                </c:pt>
                <c:pt idx="115">
                  <c:v>355</c:v>
                </c:pt>
                <c:pt idx="116">
                  <c:v>361</c:v>
                </c:pt>
                <c:pt idx="117">
                  <c:v>320</c:v>
                </c:pt>
                <c:pt idx="118">
                  <c:v>352</c:v>
                </c:pt>
                <c:pt idx="119">
                  <c:v>314</c:v>
                </c:pt>
                <c:pt idx="120">
                  <c:v>411</c:v>
                </c:pt>
                <c:pt idx="121">
                  <c:v>316</c:v>
                </c:pt>
                <c:pt idx="122">
                  <c:v>310</c:v>
                </c:pt>
                <c:pt idx="123">
                  <c:v>369</c:v>
                </c:pt>
                <c:pt idx="124">
                  <c:v>342</c:v>
                </c:pt>
                <c:pt idx="125">
                  <c:v>260</c:v>
                </c:pt>
                <c:pt idx="126">
                  <c:v>360</c:v>
                </c:pt>
                <c:pt idx="127">
                  <c:v>319</c:v>
                </c:pt>
                <c:pt idx="128">
                  <c:v>290</c:v>
                </c:pt>
                <c:pt idx="129">
                  <c:v>381</c:v>
                </c:pt>
                <c:pt idx="130">
                  <c:v>352</c:v>
                </c:pt>
                <c:pt idx="131">
                  <c:v>351</c:v>
                </c:pt>
                <c:pt idx="132">
                  <c:v>280</c:v>
                </c:pt>
                <c:pt idx="133">
                  <c:v>155</c:v>
                </c:pt>
                <c:pt idx="134">
                  <c:v>122</c:v>
                </c:pt>
                <c:pt idx="135">
                  <c:v>237</c:v>
                </c:pt>
                <c:pt idx="136">
                  <c:v>244</c:v>
                </c:pt>
                <c:pt idx="137">
                  <c:v>186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8AF-480F-AC69-1C5CB0BC35BF}"/>
            </c:ext>
          </c:extLst>
        </c:ser>
        <c:ser>
          <c:idx val="2"/>
          <c:order val="2"/>
          <c:tx>
            <c:strRef>
              <c:f>'Group Totals'!$O$3</c:f>
              <c:strCache>
                <c:ptCount val="1"/>
                <c:pt idx="0">
                  <c:v>Total FG's SKU's (SEC&amp;AM)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Totals'!$O$4:$O$144</c:f>
              <c:numCache>
                <c:formatCode>_-* #,##0_-;\-* #,##0_-;_-* "-"??_-;_-@_-</c:formatCode>
                <c:ptCount val="141"/>
                <c:pt idx="77">
                  <c:v>204</c:v>
                </c:pt>
                <c:pt idx="78">
                  <c:v>208</c:v>
                </c:pt>
                <c:pt idx="79">
                  <c:v>181</c:v>
                </c:pt>
                <c:pt idx="80">
                  <c:v>209</c:v>
                </c:pt>
                <c:pt idx="81">
                  <c:v>217</c:v>
                </c:pt>
                <c:pt idx="82">
                  <c:v>179</c:v>
                </c:pt>
                <c:pt idx="83">
                  <c:v>199</c:v>
                </c:pt>
                <c:pt idx="84">
                  <c:v>207</c:v>
                </c:pt>
                <c:pt idx="85">
                  <c:v>142</c:v>
                </c:pt>
                <c:pt idx="86">
                  <c:v>148</c:v>
                </c:pt>
                <c:pt idx="87">
                  <c:v>173</c:v>
                </c:pt>
                <c:pt idx="88">
                  <c:v>184</c:v>
                </c:pt>
                <c:pt idx="89">
                  <c:v>173</c:v>
                </c:pt>
                <c:pt idx="90">
                  <c:v>196</c:v>
                </c:pt>
                <c:pt idx="91">
                  <c:v>174</c:v>
                </c:pt>
                <c:pt idx="92">
                  <c:v>188</c:v>
                </c:pt>
                <c:pt idx="93">
                  <c:v>211</c:v>
                </c:pt>
                <c:pt idx="94">
                  <c:v>169</c:v>
                </c:pt>
                <c:pt idx="95">
                  <c:v>190</c:v>
                </c:pt>
                <c:pt idx="96">
                  <c:v>181</c:v>
                </c:pt>
                <c:pt idx="97">
                  <c:v>129</c:v>
                </c:pt>
                <c:pt idx="98">
                  <c:v>151</c:v>
                </c:pt>
                <c:pt idx="99">
                  <c:v>173</c:v>
                </c:pt>
                <c:pt idx="100">
                  <c:v>154</c:v>
                </c:pt>
                <c:pt idx="101">
                  <c:v>41</c:v>
                </c:pt>
                <c:pt idx="102">
                  <c:v>163</c:v>
                </c:pt>
                <c:pt idx="103">
                  <c:v>188</c:v>
                </c:pt>
                <c:pt idx="104">
                  <c:v>181</c:v>
                </c:pt>
                <c:pt idx="105">
                  <c:v>198</c:v>
                </c:pt>
                <c:pt idx="106">
                  <c:v>199</c:v>
                </c:pt>
                <c:pt idx="107">
                  <c:v>189</c:v>
                </c:pt>
                <c:pt idx="108">
                  <c:v>185</c:v>
                </c:pt>
                <c:pt idx="109">
                  <c:v>183</c:v>
                </c:pt>
                <c:pt idx="110">
                  <c:v>174</c:v>
                </c:pt>
                <c:pt idx="111">
                  <c:v>196</c:v>
                </c:pt>
                <c:pt idx="112">
                  <c:v>200</c:v>
                </c:pt>
                <c:pt idx="113">
                  <c:v>163</c:v>
                </c:pt>
                <c:pt idx="114">
                  <c:v>185</c:v>
                </c:pt>
                <c:pt idx="115">
                  <c:v>197</c:v>
                </c:pt>
                <c:pt idx="116">
                  <c:v>183</c:v>
                </c:pt>
                <c:pt idx="117">
                  <c:v>178</c:v>
                </c:pt>
                <c:pt idx="118">
                  <c:v>199</c:v>
                </c:pt>
                <c:pt idx="119">
                  <c:v>169</c:v>
                </c:pt>
                <c:pt idx="120">
                  <c:v>233</c:v>
                </c:pt>
                <c:pt idx="121">
                  <c:v>206</c:v>
                </c:pt>
                <c:pt idx="122">
                  <c:v>191</c:v>
                </c:pt>
                <c:pt idx="123">
                  <c:v>220</c:v>
                </c:pt>
                <c:pt idx="124">
                  <c:v>181</c:v>
                </c:pt>
                <c:pt idx="125">
                  <c:v>150</c:v>
                </c:pt>
                <c:pt idx="126">
                  <c:v>212</c:v>
                </c:pt>
                <c:pt idx="127">
                  <c:v>183</c:v>
                </c:pt>
                <c:pt idx="128">
                  <c:v>180</c:v>
                </c:pt>
                <c:pt idx="129">
                  <c:v>214</c:v>
                </c:pt>
                <c:pt idx="130">
                  <c:v>200</c:v>
                </c:pt>
                <c:pt idx="131">
                  <c:v>220</c:v>
                </c:pt>
                <c:pt idx="132">
                  <c:v>182</c:v>
                </c:pt>
                <c:pt idx="133">
                  <c:v>112</c:v>
                </c:pt>
                <c:pt idx="134">
                  <c:v>101</c:v>
                </c:pt>
                <c:pt idx="135">
                  <c:v>162</c:v>
                </c:pt>
                <c:pt idx="136">
                  <c:v>169</c:v>
                </c:pt>
                <c:pt idx="137">
                  <c:v>127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8AF-480F-AC69-1C5CB0BC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61343"/>
        <c:axId val="299827839"/>
        <c:extLst/>
      </c:lineChart>
      <c:dateAx>
        <c:axId val="17746134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99827839"/>
        <c:crosses val="autoZero"/>
        <c:auto val="1"/>
        <c:lblOffset val="100"/>
        <c:baseTimeUnit val="months"/>
      </c:dateAx>
      <c:valAx>
        <c:axId val="29982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'Group Totals'!$Q$3</c:f>
              <c:strCache>
                <c:ptCount val="1"/>
                <c:pt idx="0">
                  <c:v>SEC Completed Units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'Group Totals'!$Q$4:$Q$125</c:f>
              <c:numCache>
                <c:formatCode>_-* #,##0_-;\-* #,##0_-;_-* "-"??_-;_-@_-</c:formatCode>
                <c:ptCount val="122"/>
                <c:pt idx="0">
                  <c:v>11273</c:v>
                </c:pt>
                <c:pt idx="1">
                  <c:v>6609</c:v>
                </c:pt>
                <c:pt idx="2">
                  <c:v>4929</c:v>
                </c:pt>
                <c:pt idx="3">
                  <c:v>5199</c:v>
                </c:pt>
                <c:pt idx="4">
                  <c:v>7178</c:v>
                </c:pt>
                <c:pt idx="5">
                  <c:v>6802</c:v>
                </c:pt>
                <c:pt idx="6">
                  <c:v>6297</c:v>
                </c:pt>
                <c:pt idx="7">
                  <c:v>7326</c:v>
                </c:pt>
                <c:pt idx="8">
                  <c:v>9335</c:v>
                </c:pt>
                <c:pt idx="9">
                  <c:v>7473</c:v>
                </c:pt>
                <c:pt idx="10">
                  <c:v>8059</c:v>
                </c:pt>
                <c:pt idx="11">
                  <c:v>7137</c:v>
                </c:pt>
                <c:pt idx="12">
                  <c:v>6454</c:v>
                </c:pt>
                <c:pt idx="13">
                  <c:v>5070</c:v>
                </c:pt>
                <c:pt idx="14">
                  <c:v>3659</c:v>
                </c:pt>
                <c:pt idx="15">
                  <c:v>5707</c:v>
                </c:pt>
                <c:pt idx="16">
                  <c:v>5219</c:v>
                </c:pt>
                <c:pt idx="17">
                  <c:v>5946</c:v>
                </c:pt>
                <c:pt idx="18">
                  <c:v>5823</c:v>
                </c:pt>
                <c:pt idx="19">
                  <c:v>5710</c:v>
                </c:pt>
                <c:pt idx="20">
                  <c:v>8707</c:v>
                </c:pt>
                <c:pt idx="21">
                  <c:v>7474</c:v>
                </c:pt>
                <c:pt idx="22">
                  <c:v>9721</c:v>
                </c:pt>
                <c:pt idx="23">
                  <c:v>7762</c:v>
                </c:pt>
                <c:pt idx="24">
                  <c:v>7811</c:v>
                </c:pt>
                <c:pt idx="25">
                  <c:v>6813</c:v>
                </c:pt>
                <c:pt idx="26">
                  <c:v>7401</c:v>
                </c:pt>
                <c:pt idx="27">
                  <c:v>7749</c:v>
                </c:pt>
                <c:pt idx="28">
                  <c:v>10664</c:v>
                </c:pt>
                <c:pt idx="29">
                  <c:v>6020</c:v>
                </c:pt>
                <c:pt idx="30">
                  <c:v>7584</c:v>
                </c:pt>
                <c:pt idx="31">
                  <c:v>8342</c:v>
                </c:pt>
                <c:pt idx="32">
                  <c:v>8072</c:v>
                </c:pt>
                <c:pt idx="33">
                  <c:v>8169</c:v>
                </c:pt>
                <c:pt idx="34">
                  <c:v>11567</c:v>
                </c:pt>
                <c:pt idx="35">
                  <c:v>9726</c:v>
                </c:pt>
                <c:pt idx="36">
                  <c:v>9499</c:v>
                </c:pt>
                <c:pt idx="37">
                  <c:v>10661</c:v>
                </c:pt>
                <c:pt idx="38">
                  <c:v>4736</c:v>
                </c:pt>
                <c:pt idx="39">
                  <c:v>8288</c:v>
                </c:pt>
                <c:pt idx="40">
                  <c:v>10106</c:v>
                </c:pt>
                <c:pt idx="41">
                  <c:v>7568</c:v>
                </c:pt>
                <c:pt idx="42">
                  <c:v>8272</c:v>
                </c:pt>
                <c:pt idx="43">
                  <c:v>9757</c:v>
                </c:pt>
                <c:pt idx="44">
                  <c:v>7863</c:v>
                </c:pt>
                <c:pt idx="45">
                  <c:v>9407</c:v>
                </c:pt>
                <c:pt idx="46">
                  <c:v>10698</c:v>
                </c:pt>
                <c:pt idx="47">
                  <c:v>10659</c:v>
                </c:pt>
                <c:pt idx="48">
                  <c:v>14024</c:v>
                </c:pt>
                <c:pt idx="49">
                  <c:v>8676</c:v>
                </c:pt>
                <c:pt idx="50">
                  <c:v>6426</c:v>
                </c:pt>
                <c:pt idx="51">
                  <c:v>8482</c:v>
                </c:pt>
                <c:pt idx="52">
                  <c:v>9057</c:v>
                </c:pt>
                <c:pt idx="53">
                  <c:v>6515</c:v>
                </c:pt>
                <c:pt idx="54">
                  <c:v>6415</c:v>
                </c:pt>
                <c:pt idx="55">
                  <c:v>5291</c:v>
                </c:pt>
                <c:pt idx="56">
                  <c:v>8242</c:v>
                </c:pt>
                <c:pt idx="57">
                  <c:v>11506</c:v>
                </c:pt>
                <c:pt idx="58">
                  <c:v>8829</c:v>
                </c:pt>
                <c:pt idx="59">
                  <c:v>13416</c:v>
                </c:pt>
                <c:pt idx="60">
                  <c:v>10255</c:v>
                </c:pt>
                <c:pt idx="61">
                  <c:v>7566</c:v>
                </c:pt>
                <c:pt idx="62">
                  <c:v>10985</c:v>
                </c:pt>
                <c:pt idx="63">
                  <c:v>12644</c:v>
                </c:pt>
                <c:pt idx="64">
                  <c:v>13909</c:v>
                </c:pt>
                <c:pt idx="65">
                  <c:v>11388</c:v>
                </c:pt>
                <c:pt idx="66">
                  <c:v>16170</c:v>
                </c:pt>
                <c:pt idx="67">
                  <c:v>12617</c:v>
                </c:pt>
                <c:pt idx="68">
                  <c:v>16163</c:v>
                </c:pt>
                <c:pt idx="69">
                  <c:v>11758</c:v>
                </c:pt>
                <c:pt idx="70">
                  <c:v>14743</c:v>
                </c:pt>
                <c:pt idx="71">
                  <c:v>14271</c:v>
                </c:pt>
                <c:pt idx="72">
                  <c:v>13164</c:v>
                </c:pt>
                <c:pt idx="73">
                  <c:v>9374</c:v>
                </c:pt>
                <c:pt idx="74">
                  <c:v>8530</c:v>
                </c:pt>
                <c:pt idx="75">
                  <c:v>8729</c:v>
                </c:pt>
                <c:pt idx="76">
                  <c:v>11302</c:v>
                </c:pt>
                <c:pt idx="77">
                  <c:v>12245</c:v>
                </c:pt>
                <c:pt idx="78">
                  <c:v>11890</c:v>
                </c:pt>
                <c:pt idx="79">
                  <c:v>12296</c:v>
                </c:pt>
                <c:pt idx="80">
                  <c:v>14150</c:v>
                </c:pt>
                <c:pt idx="81">
                  <c:v>13703</c:v>
                </c:pt>
                <c:pt idx="82">
                  <c:v>15542</c:v>
                </c:pt>
                <c:pt idx="83">
                  <c:v>19987</c:v>
                </c:pt>
                <c:pt idx="84">
                  <c:v>17834</c:v>
                </c:pt>
                <c:pt idx="85">
                  <c:v>12768</c:v>
                </c:pt>
                <c:pt idx="86">
                  <c:v>11865</c:v>
                </c:pt>
                <c:pt idx="87">
                  <c:v>15780</c:v>
                </c:pt>
                <c:pt idx="88">
                  <c:v>11380</c:v>
                </c:pt>
                <c:pt idx="89">
                  <c:v>11960</c:v>
                </c:pt>
                <c:pt idx="90">
                  <c:v>12625</c:v>
                </c:pt>
                <c:pt idx="91">
                  <c:v>12902</c:v>
                </c:pt>
                <c:pt idx="92">
                  <c:v>15477</c:v>
                </c:pt>
                <c:pt idx="93">
                  <c:v>16558</c:v>
                </c:pt>
                <c:pt idx="94">
                  <c:v>19241</c:v>
                </c:pt>
                <c:pt idx="95">
                  <c:v>15291</c:v>
                </c:pt>
                <c:pt idx="96">
                  <c:v>15252</c:v>
                </c:pt>
                <c:pt idx="97">
                  <c:v>14238</c:v>
                </c:pt>
                <c:pt idx="98">
                  <c:v>18241</c:v>
                </c:pt>
                <c:pt idx="99">
                  <c:v>15062</c:v>
                </c:pt>
                <c:pt idx="100">
                  <c:v>16484</c:v>
                </c:pt>
                <c:pt idx="101">
                  <c:v>5724</c:v>
                </c:pt>
                <c:pt idx="102">
                  <c:v>16868</c:v>
                </c:pt>
                <c:pt idx="103">
                  <c:v>26657</c:v>
                </c:pt>
                <c:pt idx="104">
                  <c:v>24139</c:v>
                </c:pt>
                <c:pt idx="105">
                  <c:v>17912</c:v>
                </c:pt>
                <c:pt idx="106">
                  <c:v>14201</c:v>
                </c:pt>
                <c:pt idx="107">
                  <c:v>14917</c:v>
                </c:pt>
                <c:pt idx="108">
                  <c:v>16963</c:v>
                </c:pt>
                <c:pt idx="109">
                  <c:v>7905</c:v>
                </c:pt>
                <c:pt idx="110">
                  <c:v>12451</c:v>
                </c:pt>
                <c:pt idx="111">
                  <c:v>10428</c:v>
                </c:pt>
                <c:pt idx="112">
                  <c:v>19813</c:v>
                </c:pt>
                <c:pt idx="113">
                  <c:v>10844</c:v>
                </c:pt>
                <c:pt idx="114">
                  <c:v>18263</c:v>
                </c:pt>
                <c:pt idx="115">
                  <c:v>13628</c:v>
                </c:pt>
                <c:pt idx="116">
                  <c:v>19866</c:v>
                </c:pt>
                <c:pt idx="117">
                  <c:v>23942</c:v>
                </c:pt>
                <c:pt idx="118">
                  <c:v>34318</c:v>
                </c:pt>
                <c:pt idx="119">
                  <c:v>36138</c:v>
                </c:pt>
                <c:pt idx="120">
                  <c:v>38980</c:v>
                </c:pt>
                <c:pt idx="121">
                  <c:v>30630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5CB-444E-B965-D432D74CD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183679"/>
        <c:axId val="299859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Totals'!$A$3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'Group Totals'!$A$4:$A$125</c15:sqref>
                        </c15:formulaRef>
                      </c:ext>
                    </c:extLst>
                    <c:numCache>
                      <c:formatCode>mmm\-yy</c:formatCode>
                      <c:ptCount val="122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5CB-444E-B965-D432D74CD4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Totals'!$S$3</c15:sqref>
                        </c15:formulaRef>
                      </c:ext>
                    </c:extLst>
                    <c:strCache>
                      <c:ptCount val="1"/>
                      <c:pt idx="0">
                        <c:v>SEC W/O's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Totals'!$S$4:$S$113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142</c:v>
                      </c:pt>
                      <c:pt idx="1">
                        <c:v>95</c:v>
                      </c:pt>
                      <c:pt idx="2">
                        <c:v>94</c:v>
                      </c:pt>
                      <c:pt idx="3">
                        <c:v>106</c:v>
                      </c:pt>
                      <c:pt idx="4">
                        <c:v>98</c:v>
                      </c:pt>
                      <c:pt idx="5">
                        <c:v>135</c:v>
                      </c:pt>
                      <c:pt idx="6">
                        <c:v>125</c:v>
                      </c:pt>
                      <c:pt idx="7">
                        <c:v>114</c:v>
                      </c:pt>
                      <c:pt idx="8">
                        <c:v>156</c:v>
                      </c:pt>
                      <c:pt idx="9">
                        <c:v>121</c:v>
                      </c:pt>
                      <c:pt idx="10">
                        <c:v>125</c:v>
                      </c:pt>
                      <c:pt idx="11">
                        <c:v>142</c:v>
                      </c:pt>
                      <c:pt idx="12">
                        <c:v>144</c:v>
                      </c:pt>
                      <c:pt idx="13">
                        <c:v>95</c:v>
                      </c:pt>
                      <c:pt idx="14">
                        <c:v>75</c:v>
                      </c:pt>
                      <c:pt idx="15">
                        <c:v>114</c:v>
                      </c:pt>
                      <c:pt idx="16">
                        <c:v>103</c:v>
                      </c:pt>
                      <c:pt idx="17">
                        <c:v>116</c:v>
                      </c:pt>
                      <c:pt idx="18">
                        <c:v>108</c:v>
                      </c:pt>
                      <c:pt idx="19">
                        <c:v>95</c:v>
                      </c:pt>
                      <c:pt idx="20">
                        <c:v>160</c:v>
                      </c:pt>
                      <c:pt idx="21">
                        <c:v>109</c:v>
                      </c:pt>
                      <c:pt idx="22">
                        <c:v>145</c:v>
                      </c:pt>
                      <c:pt idx="23">
                        <c:v>109</c:v>
                      </c:pt>
                      <c:pt idx="24">
                        <c:v>109</c:v>
                      </c:pt>
                      <c:pt idx="25">
                        <c:v>88</c:v>
                      </c:pt>
                      <c:pt idx="26">
                        <c:v>78</c:v>
                      </c:pt>
                      <c:pt idx="27">
                        <c:v>90</c:v>
                      </c:pt>
                      <c:pt idx="28">
                        <c:v>125</c:v>
                      </c:pt>
                      <c:pt idx="29">
                        <c:v>77</c:v>
                      </c:pt>
                      <c:pt idx="30">
                        <c:v>95</c:v>
                      </c:pt>
                      <c:pt idx="31">
                        <c:v>119</c:v>
                      </c:pt>
                      <c:pt idx="32">
                        <c:v>108</c:v>
                      </c:pt>
                      <c:pt idx="33">
                        <c:v>110</c:v>
                      </c:pt>
                      <c:pt idx="34">
                        <c:v>145</c:v>
                      </c:pt>
                      <c:pt idx="35">
                        <c:v>124</c:v>
                      </c:pt>
                      <c:pt idx="36">
                        <c:v>106</c:v>
                      </c:pt>
                      <c:pt idx="37">
                        <c:v>117</c:v>
                      </c:pt>
                      <c:pt idx="38">
                        <c:v>52</c:v>
                      </c:pt>
                      <c:pt idx="39">
                        <c:v>98</c:v>
                      </c:pt>
                      <c:pt idx="40">
                        <c:v>110</c:v>
                      </c:pt>
                      <c:pt idx="41">
                        <c:v>91</c:v>
                      </c:pt>
                      <c:pt idx="42">
                        <c:v>103</c:v>
                      </c:pt>
                      <c:pt idx="43">
                        <c:v>117</c:v>
                      </c:pt>
                      <c:pt idx="44">
                        <c:v>101</c:v>
                      </c:pt>
                      <c:pt idx="45">
                        <c:v>133</c:v>
                      </c:pt>
                      <c:pt idx="46">
                        <c:v>107</c:v>
                      </c:pt>
                      <c:pt idx="47">
                        <c:v>116</c:v>
                      </c:pt>
                      <c:pt idx="48">
                        <c:v>132</c:v>
                      </c:pt>
                      <c:pt idx="49">
                        <c:v>79</c:v>
                      </c:pt>
                      <c:pt idx="50">
                        <c:v>55</c:v>
                      </c:pt>
                      <c:pt idx="51">
                        <c:v>88</c:v>
                      </c:pt>
                      <c:pt idx="52">
                        <c:v>82</c:v>
                      </c:pt>
                      <c:pt idx="53">
                        <c:v>62</c:v>
                      </c:pt>
                      <c:pt idx="54">
                        <c:v>62</c:v>
                      </c:pt>
                      <c:pt idx="55">
                        <c:v>69</c:v>
                      </c:pt>
                      <c:pt idx="56">
                        <c:v>80</c:v>
                      </c:pt>
                      <c:pt idx="57">
                        <c:v>113</c:v>
                      </c:pt>
                      <c:pt idx="58">
                        <c:v>118</c:v>
                      </c:pt>
                      <c:pt idx="59">
                        <c:v>132</c:v>
                      </c:pt>
                      <c:pt idx="60">
                        <c:v>79</c:v>
                      </c:pt>
                      <c:pt idx="61">
                        <c:v>60</c:v>
                      </c:pt>
                      <c:pt idx="62">
                        <c:v>99</c:v>
                      </c:pt>
                      <c:pt idx="63">
                        <c:v>115</c:v>
                      </c:pt>
                      <c:pt idx="64">
                        <c:v>128</c:v>
                      </c:pt>
                      <c:pt idx="65">
                        <c:v>103</c:v>
                      </c:pt>
                      <c:pt idx="66">
                        <c:v>129</c:v>
                      </c:pt>
                      <c:pt idx="67">
                        <c:v>95</c:v>
                      </c:pt>
                      <c:pt idx="68">
                        <c:v>125</c:v>
                      </c:pt>
                      <c:pt idx="69">
                        <c:v>110</c:v>
                      </c:pt>
                      <c:pt idx="70">
                        <c:v>106</c:v>
                      </c:pt>
                      <c:pt idx="71">
                        <c:v>106</c:v>
                      </c:pt>
                      <c:pt idx="72">
                        <c:v>90</c:v>
                      </c:pt>
                      <c:pt idx="73">
                        <c:v>88</c:v>
                      </c:pt>
                      <c:pt idx="74">
                        <c:v>69</c:v>
                      </c:pt>
                      <c:pt idx="75">
                        <c:v>77</c:v>
                      </c:pt>
                      <c:pt idx="76">
                        <c:v>93</c:v>
                      </c:pt>
                      <c:pt idx="77">
                        <c:v>97</c:v>
                      </c:pt>
                      <c:pt idx="78">
                        <c:v>97</c:v>
                      </c:pt>
                      <c:pt idx="79">
                        <c:v>101</c:v>
                      </c:pt>
                      <c:pt idx="80">
                        <c:v>147</c:v>
                      </c:pt>
                      <c:pt idx="81">
                        <c:v>117</c:v>
                      </c:pt>
                      <c:pt idx="82">
                        <c:v>123</c:v>
                      </c:pt>
                      <c:pt idx="83">
                        <c:v>139</c:v>
                      </c:pt>
                      <c:pt idx="84">
                        <c:v>119</c:v>
                      </c:pt>
                      <c:pt idx="85">
                        <c:v>86</c:v>
                      </c:pt>
                      <c:pt idx="86">
                        <c:v>69</c:v>
                      </c:pt>
                      <c:pt idx="87">
                        <c:v>93</c:v>
                      </c:pt>
                      <c:pt idx="88">
                        <c:v>79</c:v>
                      </c:pt>
                      <c:pt idx="89">
                        <c:v>78</c:v>
                      </c:pt>
                      <c:pt idx="90">
                        <c:v>71</c:v>
                      </c:pt>
                      <c:pt idx="91">
                        <c:v>70</c:v>
                      </c:pt>
                      <c:pt idx="92">
                        <c:v>93</c:v>
                      </c:pt>
                      <c:pt idx="93">
                        <c:v>87</c:v>
                      </c:pt>
                      <c:pt idx="94">
                        <c:v>110</c:v>
                      </c:pt>
                      <c:pt idx="95">
                        <c:v>84</c:v>
                      </c:pt>
                      <c:pt idx="96">
                        <c:v>93</c:v>
                      </c:pt>
                      <c:pt idx="97">
                        <c:v>64</c:v>
                      </c:pt>
                      <c:pt idx="98">
                        <c:v>67</c:v>
                      </c:pt>
                      <c:pt idx="99">
                        <c:v>62</c:v>
                      </c:pt>
                      <c:pt idx="100">
                        <c:v>68</c:v>
                      </c:pt>
                      <c:pt idx="101">
                        <c:v>28</c:v>
                      </c:pt>
                      <c:pt idx="102">
                        <c:v>82</c:v>
                      </c:pt>
                      <c:pt idx="103">
                        <c:v>109</c:v>
                      </c:pt>
                      <c:pt idx="104">
                        <c:v>93</c:v>
                      </c:pt>
                      <c:pt idx="105">
                        <c:v>74</c:v>
                      </c:pt>
                      <c:pt idx="106">
                        <c:v>62</c:v>
                      </c:pt>
                      <c:pt idx="107">
                        <c:v>72</c:v>
                      </c:pt>
                      <c:pt idx="108">
                        <c:v>75</c:v>
                      </c:pt>
                      <c:pt idx="109">
                        <c:v>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5CB-444E-B965-D432D74CD499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Totals'!$U$3</c15:sqref>
                        </c15:formulaRef>
                      </c:ext>
                    </c:extLst>
                    <c:strCache>
                      <c:ptCount val="1"/>
                      <c:pt idx="0">
                        <c:v>SEC SKU's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Totals'!$U$4:$U$113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10"/>
                      <c:pt idx="77">
                        <c:v>50</c:v>
                      </c:pt>
                      <c:pt idx="78">
                        <c:v>63</c:v>
                      </c:pt>
                      <c:pt idx="79">
                        <c:v>68</c:v>
                      </c:pt>
                      <c:pt idx="80">
                        <c:v>75</c:v>
                      </c:pt>
                      <c:pt idx="81">
                        <c:v>63</c:v>
                      </c:pt>
                      <c:pt idx="82">
                        <c:v>64</c:v>
                      </c:pt>
                      <c:pt idx="83">
                        <c:v>67</c:v>
                      </c:pt>
                      <c:pt idx="84">
                        <c:v>68</c:v>
                      </c:pt>
                      <c:pt idx="85">
                        <c:v>57</c:v>
                      </c:pt>
                      <c:pt idx="86">
                        <c:v>46</c:v>
                      </c:pt>
                      <c:pt idx="87">
                        <c:v>58</c:v>
                      </c:pt>
                      <c:pt idx="88">
                        <c:v>52</c:v>
                      </c:pt>
                      <c:pt idx="89">
                        <c:v>47</c:v>
                      </c:pt>
                      <c:pt idx="90">
                        <c:v>48</c:v>
                      </c:pt>
                      <c:pt idx="91">
                        <c:v>41</c:v>
                      </c:pt>
                      <c:pt idx="92">
                        <c:v>49</c:v>
                      </c:pt>
                      <c:pt idx="93">
                        <c:v>57</c:v>
                      </c:pt>
                      <c:pt idx="94">
                        <c:v>58</c:v>
                      </c:pt>
                      <c:pt idx="95">
                        <c:v>51</c:v>
                      </c:pt>
                      <c:pt idx="96">
                        <c:v>58</c:v>
                      </c:pt>
                      <c:pt idx="97">
                        <c:v>43</c:v>
                      </c:pt>
                      <c:pt idx="98">
                        <c:v>39</c:v>
                      </c:pt>
                      <c:pt idx="99">
                        <c:v>41</c:v>
                      </c:pt>
                      <c:pt idx="100">
                        <c:v>42</c:v>
                      </c:pt>
                      <c:pt idx="101">
                        <c:v>23</c:v>
                      </c:pt>
                      <c:pt idx="102">
                        <c:v>51</c:v>
                      </c:pt>
                      <c:pt idx="103">
                        <c:v>59</c:v>
                      </c:pt>
                      <c:pt idx="104">
                        <c:v>58</c:v>
                      </c:pt>
                      <c:pt idx="105">
                        <c:v>53</c:v>
                      </c:pt>
                      <c:pt idx="106">
                        <c:v>44</c:v>
                      </c:pt>
                      <c:pt idx="107">
                        <c:v>52</c:v>
                      </c:pt>
                      <c:pt idx="108">
                        <c:v>52</c:v>
                      </c:pt>
                      <c:pt idx="109">
                        <c:v>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5CB-444E-B965-D432D74CD499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Totals'!$Y$3</c15:sqref>
                        </c15:formulaRef>
                      </c:ext>
                    </c:extLst>
                    <c:strCache>
                      <c:ptCount val="1"/>
                      <c:pt idx="0">
                        <c:v>AM W/O's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Totals'!$Y$4:$Y$125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2"/>
                      <c:pt idx="0">
                        <c:v>166</c:v>
                      </c:pt>
                      <c:pt idx="1">
                        <c:v>147</c:v>
                      </c:pt>
                      <c:pt idx="2">
                        <c:v>147</c:v>
                      </c:pt>
                      <c:pt idx="3">
                        <c:v>220</c:v>
                      </c:pt>
                      <c:pt idx="4">
                        <c:v>243</c:v>
                      </c:pt>
                      <c:pt idx="5">
                        <c:v>218</c:v>
                      </c:pt>
                      <c:pt idx="6">
                        <c:v>240</c:v>
                      </c:pt>
                      <c:pt idx="7">
                        <c:v>242</c:v>
                      </c:pt>
                      <c:pt idx="8">
                        <c:v>235</c:v>
                      </c:pt>
                      <c:pt idx="9">
                        <c:v>237</c:v>
                      </c:pt>
                      <c:pt idx="10">
                        <c:v>191</c:v>
                      </c:pt>
                      <c:pt idx="11">
                        <c:v>195</c:v>
                      </c:pt>
                      <c:pt idx="12">
                        <c:v>175</c:v>
                      </c:pt>
                      <c:pt idx="13">
                        <c:v>130</c:v>
                      </c:pt>
                      <c:pt idx="14">
                        <c:v>136</c:v>
                      </c:pt>
                      <c:pt idx="15">
                        <c:v>193</c:v>
                      </c:pt>
                      <c:pt idx="16">
                        <c:v>184</c:v>
                      </c:pt>
                      <c:pt idx="17">
                        <c:v>204</c:v>
                      </c:pt>
                      <c:pt idx="18">
                        <c:v>262</c:v>
                      </c:pt>
                      <c:pt idx="19">
                        <c:v>155</c:v>
                      </c:pt>
                      <c:pt idx="20">
                        <c:v>225</c:v>
                      </c:pt>
                      <c:pt idx="21">
                        <c:v>172</c:v>
                      </c:pt>
                      <c:pt idx="22">
                        <c:v>191</c:v>
                      </c:pt>
                      <c:pt idx="23">
                        <c:v>188</c:v>
                      </c:pt>
                      <c:pt idx="24">
                        <c:v>218</c:v>
                      </c:pt>
                      <c:pt idx="25">
                        <c:v>151</c:v>
                      </c:pt>
                      <c:pt idx="26">
                        <c:v>153</c:v>
                      </c:pt>
                      <c:pt idx="27">
                        <c:v>187</c:v>
                      </c:pt>
                      <c:pt idx="28">
                        <c:v>232</c:v>
                      </c:pt>
                      <c:pt idx="29">
                        <c:v>241</c:v>
                      </c:pt>
                      <c:pt idx="30">
                        <c:v>239</c:v>
                      </c:pt>
                      <c:pt idx="31">
                        <c:v>243</c:v>
                      </c:pt>
                      <c:pt idx="32">
                        <c:v>318</c:v>
                      </c:pt>
                      <c:pt idx="33">
                        <c:v>276</c:v>
                      </c:pt>
                      <c:pt idx="34">
                        <c:v>250</c:v>
                      </c:pt>
                      <c:pt idx="35">
                        <c:v>214</c:v>
                      </c:pt>
                      <c:pt idx="36">
                        <c:v>230</c:v>
                      </c:pt>
                      <c:pt idx="37">
                        <c:v>220</c:v>
                      </c:pt>
                      <c:pt idx="38">
                        <c:v>125</c:v>
                      </c:pt>
                      <c:pt idx="39">
                        <c:v>207</c:v>
                      </c:pt>
                      <c:pt idx="40">
                        <c:v>287</c:v>
                      </c:pt>
                      <c:pt idx="41">
                        <c:v>229</c:v>
                      </c:pt>
                      <c:pt idx="42">
                        <c:v>238</c:v>
                      </c:pt>
                      <c:pt idx="43">
                        <c:v>220</c:v>
                      </c:pt>
                      <c:pt idx="44">
                        <c:v>257</c:v>
                      </c:pt>
                      <c:pt idx="45">
                        <c:v>182</c:v>
                      </c:pt>
                      <c:pt idx="46">
                        <c:v>182</c:v>
                      </c:pt>
                      <c:pt idx="47">
                        <c:v>176</c:v>
                      </c:pt>
                      <c:pt idx="48">
                        <c:v>182</c:v>
                      </c:pt>
                      <c:pt idx="49">
                        <c:v>137</c:v>
                      </c:pt>
                      <c:pt idx="50">
                        <c:v>180</c:v>
                      </c:pt>
                      <c:pt idx="51">
                        <c:v>201</c:v>
                      </c:pt>
                      <c:pt idx="52">
                        <c:v>221</c:v>
                      </c:pt>
                      <c:pt idx="53">
                        <c:v>203</c:v>
                      </c:pt>
                      <c:pt idx="54">
                        <c:v>220</c:v>
                      </c:pt>
                      <c:pt idx="55">
                        <c:v>210</c:v>
                      </c:pt>
                      <c:pt idx="56">
                        <c:v>224</c:v>
                      </c:pt>
                      <c:pt idx="57">
                        <c:v>247</c:v>
                      </c:pt>
                      <c:pt idx="58">
                        <c:v>201</c:v>
                      </c:pt>
                      <c:pt idx="59">
                        <c:v>191</c:v>
                      </c:pt>
                      <c:pt idx="60">
                        <c:v>204</c:v>
                      </c:pt>
                      <c:pt idx="61">
                        <c:v>162</c:v>
                      </c:pt>
                      <c:pt idx="62">
                        <c:v>126</c:v>
                      </c:pt>
                      <c:pt idx="63">
                        <c:v>219</c:v>
                      </c:pt>
                      <c:pt idx="64">
                        <c:v>252</c:v>
                      </c:pt>
                      <c:pt idx="65">
                        <c:v>194</c:v>
                      </c:pt>
                      <c:pt idx="66">
                        <c:v>289</c:v>
                      </c:pt>
                      <c:pt idx="67">
                        <c:v>283</c:v>
                      </c:pt>
                      <c:pt idx="68">
                        <c:v>314</c:v>
                      </c:pt>
                      <c:pt idx="69">
                        <c:v>311</c:v>
                      </c:pt>
                      <c:pt idx="70">
                        <c:v>277</c:v>
                      </c:pt>
                      <c:pt idx="71">
                        <c:v>300</c:v>
                      </c:pt>
                      <c:pt idx="72">
                        <c:v>300</c:v>
                      </c:pt>
                      <c:pt idx="73">
                        <c:v>196</c:v>
                      </c:pt>
                      <c:pt idx="74">
                        <c:v>206</c:v>
                      </c:pt>
                      <c:pt idx="75">
                        <c:v>234</c:v>
                      </c:pt>
                      <c:pt idx="76">
                        <c:v>304</c:v>
                      </c:pt>
                      <c:pt idx="77">
                        <c:v>314</c:v>
                      </c:pt>
                      <c:pt idx="78">
                        <c:v>309</c:v>
                      </c:pt>
                      <c:pt idx="79">
                        <c:v>254</c:v>
                      </c:pt>
                      <c:pt idx="80">
                        <c:v>284</c:v>
                      </c:pt>
                      <c:pt idx="81">
                        <c:v>323</c:v>
                      </c:pt>
                      <c:pt idx="82">
                        <c:v>242</c:v>
                      </c:pt>
                      <c:pt idx="83">
                        <c:v>293</c:v>
                      </c:pt>
                      <c:pt idx="84">
                        <c:v>269</c:v>
                      </c:pt>
                      <c:pt idx="85">
                        <c:v>155</c:v>
                      </c:pt>
                      <c:pt idx="86">
                        <c:v>184</c:v>
                      </c:pt>
                      <c:pt idx="87">
                        <c:v>208</c:v>
                      </c:pt>
                      <c:pt idx="88">
                        <c:v>269</c:v>
                      </c:pt>
                      <c:pt idx="89">
                        <c:v>251</c:v>
                      </c:pt>
                      <c:pt idx="90">
                        <c:v>318</c:v>
                      </c:pt>
                      <c:pt idx="91">
                        <c:v>280</c:v>
                      </c:pt>
                      <c:pt idx="92">
                        <c:v>256</c:v>
                      </c:pt>
                      <c:pt idx="93">
                        <c:v>273</c:v>
                      </c:pt>
                      <c:pt idx="94">
                        <c:v>216</c:v>
                      </c:pt>
                      <c:pt idx="95">
                        <c:v>253</c:v>
                      </c:pt>
                      <c:pt idx="96">
                        <c:v>209</c:v>
                      </c:pt>
                      <c:pt idx="97">
                        <c:v>160</c:v>
                      </c:pt>
                      <c:pt idx="98">
                        <c:v>226</c:v>
                      </c:pt>
                      <c:pt idx="99">
                        <c:v>241</c:v>
                      </c:pt>
                      <c:pt idx="100">
                        <c:v>213</c:v>
                      </c:pt>
                      <c:pt idx="101">
                        <c:v>28</c:v>
                      </c:pt>
                      <c:pt idx="102">
                        <c:v>208</c:v>
                      </c:pt>
                      <c:pt idx="103">
                        <c:v>239</c:v>
                      </c:pt>
                      <c:pt idx="104">
                        <c:v>262</c:v>
                      </c:pt>
                      <c:pt idx="105">
                        <c:v>271</c:v>
                      </c:pt>
                      <c:pt idx="106">
                        <c:v>296</c:v>
                      </c:pt>
                      <c:pt idx="107">
                        <c:v>272</c:v>
                      </c:pt>
                      <c:pt idx="108">
                        <c:v>237</c:v>
                      </c:pt>
                      <c:pt idx="109">
                        <c:v>230</c:v>
                      </c:pt>
                      <c:pt idx="110">
                        <c:v>227</c:v>
                      </c:pt>
                      <c:pt idx="111">
                        <c:v>247</c:v>
                      </c:pt>
                      <c:pt idx="112">
                        <c:v>268</c:v>
                      </c:pt>
                      <c:pt idx="113">
                        <c:v>231</c:v>
                      </c:pt>
                      <c:pt idx="114">
                        <c:v>271</c:v>
                      </c:pt>
                      <c:pt idx="115">
                        <c:v>279</c:v>
                      </c:pt>
                      <c:pt idx="116">
                        <c:v>277</c:v>
                      </c:pt>
                      <c:pt idx="117">
                        <c:v>225</c:v>
                      </c:pt>
                      <c:pt idx="118">
                        <c:v>245</c:v>
                      </c:pt>
                      <c:pt idx="119">
                        <c:v>223</c:v>
                      </c:pt>
                      <c:pt idx="120">
                        <c:v>269</c:v>
                      </c:pt>
                      <c:pt idx="121">
                        <c:v>223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5CB-444E-B965-D432D74CD499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Totals'!$AA$3</c15:sqref>
                        </c15:formulaRef>
                      </c:ext>
                    </c:extLst>
                    <c:strCache>
                      <c:ptCount val="1"/>
                      <c:pt idx="0">
                        <c:v>AM SKU's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Totals'!$AA$4:$AA$125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2"/>
                      <c:pt idx="77">
                        <c:v>154</c:v>
                      </c:pt>
                      <c:pt idx="78">
                        <c:v>145</c:v>
                      </c:pt>
                      <c:pt idx="79">
                        <c:v>113</c:v>
                      </c:pt>
                      <c:pt idx="80">
                        <c:v>134</c:v>
                      </c:pt>
                      <c:pt idx="81">
                        <c:v>154</c:v>
                      </c:pt>
                      <c:pt idx="82">
                        <c:v>115</c:v>
                      </c:pt>
                      <c:pt idx="83">
                        <c:v>132</c:v>
                      </c:pt>
                      <c:pt idx="84">
                        <c:v>139</c:v>
                      </c:pt>
                      <c:pt idx="85">
                        <c:v>85</c:v>
                      </c:pt>
                      <c:pt idx="86">
                        <c:v>102</c:v>
                      </c:pt>
                      <c:pt idx="87">
                        <c:v>115</c:v>
                      </c:pt>
                      <c:pt idx="88">
                        <c:v>132</c:v>
                      </c:pt>
                      <c:pt idx="89">
                        <c:v>126</c:v>
                      </c:pt>
                      <c:pt idx="90">
                        <c:v>148</c:v>
                      </c:pt>
                      <c:pt idx="91">
                        <c:v>133</c:v>
                      </c:pt>
                      <c:pt idx="92">
                        <c:v>139</c:v>
                      </c:pt>
                      <c:pt idx="93">
                        <c:v>154</c:v>
                      </c:pt>
                      <c:pt idx="94">
                        <c:v>111</c:v>
                      </c:pt>
                      <c:pt idx="95">
                        <c:v>139</c:v>
                      </c:pt>
                      <c:pt idx="96">
                        <c:v>123</c:v>
                      </c:pt>
                      <c:pt idx="97">
                        <c:v>86</c:v>
                      </c:pt>
                      <c:pt idx="98">
                        <c:v>112</c:v>
                      </c:pt>
                      <c:pt idx="99">
                        <c:v>132</c:v>
                      </c:pt>
                      <c:pt idx="100">
                        <c:v>112</c:v>
                      </c:pt>
                      <c:pt idx="101">
                        <c:v>18</c:v>
                      </c:pt>
                      <c:pt idx="102">
                        <c:v>112</c:v>
                      </c:pt>
                      <c:pt idx="103">
                        <c:v>129</c:v>
                      </c:pt>
                      <c:pt idx="104">
                        <c:v>123</c:v>
                      </c:pt>
                      <c:pt idx="105">
                        <c:v>145</c:v>
                      </c:pt>
                      <c:pt idx="106">
                        <c:v>155</c:v>
                      </c:pt>
                      <c:pt idx="107">
                        <c:v>137</c:v>
                      </c:pt>
                      <c:pt idx="108">
                        <c:v>133</c:v>
                      </c:pt>
                      <c:pt idx="109">
                        <c:v>134</c:v>
                      </c:pt>
                      <c:pt idx="110">
                        <c:v>132</c:v>
                      </c:pt>
                      <c:pt idx="111">
                        <c:v>145</c:v>
                      </c:pt>
                      <c:pt idx="112">
                        <c:v>151</c:v>
                      </c:pt>
                      <c:pt idx="113">
                        <c:v>126</c:v>
                      </c:pt>
                      <c:pt idx="114">
                        <c:v>129</c:v>
                      </c:pt>
                      <c:pt idx="115">
                        <c:v>141</c:v>
                      </c:pt>
                      <c:pt idx="116">
                        <c:v>124</c:v>
                      </c:pt>
                      <c:pt idx="117">
                        <c:v>119</c:v>
                      </c:pt>
                      <c:pt idx="118">
                        <c:v>131</c:v>
                      </c:pt>
                      <c:pt idx="119">
                        <c:v>112</c:v>
                      </c:pt>
                      <c:pt idx="120">
                        <c:v>151</c:v>
                      </c:pt>
                      <c:pt idx="121">
                        <c:v>135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758-49C7-ABBA-295D5B90947E}"/>
                  </c:ext>
                </c:extLst>
              </c15:ser>
            </c15:filteredLineSeries>
          </c:ext>
        </c:extLst>
      </c:lineChart>
      <c:catAx>
        <c:axId val="45618367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99859455"/>
        <c:crosses val="autoZero"/>
        <c:auto val="1"/>
        <c:lblAlgn val="ctr"/>
        <c:lblOffset val="100"/>
        <c:noMultiLvlLbl val="1"/>
      </c:catAx>
      <c:valAx>
        <c:axId val="2998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8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3"/>
          <c:tx>
            <c:strRef>
              <c:f>'Group Totals'!$W$3</c:f>
              <c:strCache>
                <c:ptCount val="1"/>
                <c:pt idx="0">
                  <c:v>AM Completed Units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'Group Totals'!$W$4:$W$125</c:f>
              <c:numCache>
                <c:formatCode>_-* #,##0_-;\-* #,##0_-;_-* "-"??_-;_-@_-</c:formatCode>
                <c:ptCount val="122"/>
                <c:pt idx="0">
                  <c:v>16855</c:v>
                </c:pt>
                <c:pt idx="1">
                  <c:v>16741</c:v>
                </c:pt>
                <c:pt idx="2">
                  <c:v>17062</c:v>
                </c:pt>
                <c:pt idx="3">
                  <c:v>28578</c:v>
                </c:pt>
                <c:pt idx="4">
                  <c:v>34055</c:v>
                </c:pt>
                <c:pt idx="5">
                  <c:v>29537</c:v>
                </c:pt>
                <c:pt idx="6">
                  <c:v>28062</c:v>
                </c:pt>
                <c:pt idx="7">
                  <c:v>27283</c:v>
                </c:pt>
                <c:pt idx="8">
                  <c:v>22281</c:v>
                </c:pt>
                <c:pt idx="9">
                  <c:v>18475</c:v>
                </c:pt>
                <c:pt idx="10">
                  <c:v>17024</c:v>
                </c:pt>
                <c:pt idx="11">
                  <c:v>19854</c:v>
                </c:pt>
                <c:pt idx="12">
                  <c:v>17077</c:v>
                </c:pt>
                <c:pt idx="13">
                  <c:v>13881</c:v>
                </c:pt>
                <c:pt idx="14">
                  <c:v>16890</c:v>
                </c:pt>
                <c:pt idx="15">
                  <c:v>19984</c:v>
                </c:pt>
                <c:pt idx="16">
                  <c:v>24061</c:v>
                </c:pt>
                <c:pt idx="17">
                  <c:v>25250</c:v>
                </c:pt>
                <c:pt idx="18">
                  <c:v>29826</c:v>
                </c:pt>
                <c:pt idx="19">
                  <c:v>15635</c:v>
                </c:pt>
                <c:pt idx="20">
                  <c:v>23384</c:v>
                </c:pt>
                <c:pt idx="21">
                  <c:v>14821</c:v>
                </c:pt>
                <c:pt idx="22">
                  <c:v>14524</c:v>
                </c:pt>
                <c:pt idx="23">
                  <c:v>15312</c:v>
                </c:pt>
                <c:pt idx="24">
                  <c:v>18537</c:v>
                </c:pt>
                <c:pt idx="25">
                  <c:v>14216</c:v>
                </c:pt>
                <c:pt idx="26">
                  <c:v>15736</c:v>
                </c:pt>
                <c:pt idx="27">
                  <c:v>18426</c:v>
                </c:pt>
                <c:pt idx="28">
                  <c:v>25678</c:v>
                </c:pt>
                <c:pt idx="29">
                  <c:v>23104</c:v>
                </c:pt>
                <c:pt idx="30">
                  <c:v>23189</c:v>
                </c:pt>
                <c:pt idx="31">
                  <c:v>20914</c:v>
                </c:pt>
                <c:pt idx="32">
                  <c:v>25069</c:v>
                </c:pt>
                <c:pt idx="33">
                  <c:v>20763</c:v>
                </c:pt>
                <c:pt idx="34">
                  <c:v>22414</c:v>
                </c:pt>
                <c:pt idx="35">
                  <c:v>19334</c:v>
                </c:pt>
                <c:pt idx="36">
                  <c:v>20314</c:v>
                </c:pt>
                <c:pt idx="37">
                  <c:v>17059</c:v>
                </c:pt>
                <c:pt idx="38">
                  <c:v>13045</c:v>
                </c:pt>
                <c:pt idx="39">
                  <c:v>22347</c:v>
                </c:pt>
                <c:pt idx="40">
                  <c:v>26394</c:v>
                </c:pt>
                <c:pt idx="41">
                  <c:v>19836</c:v>
                </c:pt>
                <c:pt idx="42">
                  <c:v>20258</c:v>
                </c:pt>
                <c:pt idx="43">
                  <c:v>19252</c:v>
                </c:pt>
                <c:pt idx="44">
                  <c:v>19605</c:v>
                </c:pt>
                <c:pt idx="45">
                  <c:v>17136</c:v>
                </c:pt>
                <c:pt idx="46">
                  <c:v>17885</c:v>
                </c:pt>
                <c:pt idx="47">
                  <c:v>17016</c:v>
                </c:pt>
                <c:pt idx="48">
                  <c:v>17323</c:v>
                </c:pt>
                <c:pt idx="49">
                  <c:v>13039</c:v>
                </c:pt>
                <c:pt idx="50">
                  <c:v>16767</c:v>
                </c:pt>
                <c:pt idx="51">
                  <c:v>16064</c:v>
                </c:pt>
                <c:pt idx="52">
                  <c:v>17083</c:v>
                </c:pt>
                <c:pt idx="53">
                  <c:v>15497</c:v>
                </c:pt>
                <c:pt idx="54">
                  <c:v>15453</c:v>
                </c:pt>
                <c:pt idx="55">
                  <c:v>15242</c:v>
                </c:pt>
                <c:pt idx="56">
                  <c:v>16884</c:v>
                </c:pt>
                <c:pt idx="57">
                  <c:v>13226</c:v>
                </c:pt>
                <c:pt idx="58">
                  <c:v>12852</c:v>
                </c:pt>
                <c:pt idx="59">
                  <c:v>15803</c:v>
                </c:pt>
                <c:pt idx="60">
                  <c:v>18229</c:v>
                </c:pt>
                <c:pt idx="61">
                  <c:v>13710</c:v>
                </c:pt>
                <c:pt idx="62">
                  <c:v>11029</c:v>
                </c:pt>
                <c:pt idx="63">
                  <c:v>15550</c:v>
                </c:pt>
                <c:pt idx="64">
                  <c:v>19788</c:v>
                </c:pt>
                <c:pt idx="65">
                  <c:v>14150</c:v>
                </c:pt>
                <c:pt idx="66">
                  <c:v>22647</c:v>
                </c:pt>
                <c:pt idx="67">
                  <c:v>22312</c:v>
                </c:pt>
                <c:pt idx="68">
                  <c:v>27428</c:v>
                </c:pt>
                <c:pt idx="69">
                  <c:v>27762</c:v>
                </c:pt>
                <c:pt idx="70">
                  <c:v>28890</c:v>
                </c:pt>
                <c:pt idx="71">
                  <c:v>28603</c:v>
                </c:pt>
                <c:pt idx="72">
                  <c:v>27187</c:v>
                </c:pt>
                <c:pt idx="73">
                  <c:v>19438</c:v>
                </c:pt>
                <c:pt idx="74">
                  <c:v>18266</c:v>
                </c:pt>
                <c:pt idx="75">
                  <c:v>22478</c:v>
                </c:pt>
                <c:pt idx="76">
                  <c:v>28009</c:v>
                </c:pt>
                <c:pt idx="77">
                  <c:v>20901</c:v>
                </c:pt>
                <c:pt idx="78">
                  <c:v>23076</c:v>
                </c:pt>
                <c:pt idx="79">
                  <c:v>16145</c:v>
                </c:pt>
                <c:pt idx="80">
                  <c:v>20668</c:v>
                </c:pt>
                <c:pt idx="81">
                  <c:v>19075</c:v>
                </c:pt>
                <c:pt idx="82">
                  <c:v>19388</c:v>
                </c:pt>
                <c:pt idx="83">
                  <c:v>22739</c:v>
                </c:pt>
                <c:pt idx="84">
                  <c:v>27348</c:v>
                </c:pt>
                <c:pt idx="85">
                  <c:v>14857</c:v>
                </c:pt>
                <c:pt idx="86">
                  <c:v>18623</c:v>
                </c:pt>
                <c:pt idx="87">
                  <c:v>22506</c:v>
                </c:pt>
                <c:pt idx="88">
                  <c:v>23577</c:v>
                </c:pt>
                <c:pt idx="89">
                  <c:v>17632</c:v>
                </c:pt>
                <c:pt idx="90">
                  <c:v>25155</c:v>
                </c:pt>
                <c:pt idx="91">
                  <c:v>19784</c:v>
                </c:pt>
                <c:pt idx="92">
                  <c:v>20600</c:v>
                </c:pt>
                <c:pt idx="93">
                  <c:v>22383</c:v>
                </c:pt>
                <c:pt idx="94">
                  <c:v>18712</c:v>
                </c:pt>
                <c:pt idx="95">
                  <c:v>20819</c:v>
                </c:pt>
                <c:pt idx="96">
                  <c:v>19078</c:v>
                </c:pt>
                <c:pt idx="97">
                  <c:v>16236</c:v>
                </c:pt>
                <c:pt idx="98">
                  <c:v>20816</c:v>
                </c:pt>
                <c:pt idx="99">
                  <c:v>18454</c:v>
                </c:pt>
                <c:pt idx="100">
                  <c:v>14246</c:v>
                </c:pt>
                <c:pt idx="101">
                  <c:v>2666</c:v>
                </c:pt>
                <c:pt idx="102">
                  <c:v>20053</c:v>
                </c:pt>
                <c:pt idx="103">
                  <c:v>21176</c:v>
                </c:pt>
                <c:pt idx="104">
                  <c:v>23811</c:v>
                </c:pt>
                <c:pt idx="105">
                  <c:v>24509</c:v>
                </c:pt>
                <c:pt idx="106">
                  <c:v>28438</c:v>
                </c:pt>
                <c:pt idx="107">
                  <c:v>24173</c:v>
                </c:pt>
                <c:pt idx="108">
                  <c:v>30110</c:v>
                </c:pt>
                <c:pt idx="109">
                  <c:v>25265</c:v>
                </c:pt>
                <c:pt idx="110">
                  <c:v>21091</c:v>
                </c:pt>
                <c:pt idx="111">
                  <c:v>21053</c:v>
                </c:pt>
                <c:pt idx="112">
                  <c:v>30719</c:v>
                </c:pt>
                <c:pt idx="113">
                  <c:v>25043</c:v>
                </c:pt>
                <c:pt idx="114">
                  <c:v>32022</c:v>
                </c:pt>
                <c:pt idx="115">
                  <c:v>25960</c:v>
                </c:pt>
                <c:pt idx="116">
                  <c:v>25274</c:v>
                </c:pt>
                <c:pt idx="117">
                  <c:v>22068</c:v>
                </c:pt>
                <c:pt idx="118">
                  <c:v>28205</c:v>
                </c:pt>
                <c:pt idx="119">
                  <c:v>25626</c:v>
                </c:pt>
                <c:pt idx="120">
                  <c:v>29346</c:v>
                </c:pt>
                <c:pt idx="121">
                  <c:v>31486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19D-411D-901F-7ADEE93D6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183679"/>
        <c:axId val="299859455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Totals'!$A$3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'Group Totals'!$A$4:$A$125</c15:sqref>
                        </c15:formulaRef>
                      </c:ext>
                    </c:extLst>
                    <c:numCache>
                      <c:formatCode>mmm\-yy</c:formatCode>
                      <c:ptCount val="122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19D-411D-901F-7ADEE93D6723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Totals'!$S$3</c15:sqref>
                        </c15:formulaRef>
                      </c:ext>
                    </c:extLst>
                    <c:strCache>
                      <c:ptCount val="1"/>
                      <c:pt idx="0">
                        <c:v>SEC W/O's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Totals'!$S$4:$S$125</c15:sqref>
                        </c15:formulaRef>
                      </c:ext>
                    </c:extLst>
                    <c:numCache>
                      <c:formatCode>General</c:formatCode>
                      <c:ptCount val="122"/>
                      <c:pt idx="0">
                        <c:v>142</c:v>
                      </c:pt>
                      <c:pt idx="1">
                        <c:v>95</c:v>
                      </c:pt>
                      <c:pt idx="2">
                        <c:v>94</c:v>
                      </c:pt>
                      <c:pt idx="3">
                        <c:v>106</c:v>
                      </c:pt>
                      <c:pt idx="4">
                        <c:v>98</c:v>
                      </c:pt>
                      <c:pt idx="5">
                        <c:v>135</c:v>
                      </c:pt>
                      <c:pt idx="6">
                        <c:v>125</c:v>
                      </c:pt>
                      <c:pt idx="7">
                        <c:v>114</c:v>
                      </c:pt>
                      <c:pt idx="8">
                        <c:v>156</c:v>
                      </c:pt>
                      <c:pt idx="9">
                        <c:v>121</c:v>
                      </c:pt>
                      <c:pt idx="10">
                        <c:v>125</c:v>
                      </c:pt>
                      <c:pt idx="11">
                        <c:v>142</c:v>
                      </c:pt>
                      <c:pt idx="12">
                        <c:v>144</c:v>
                      </c:pt>
                      <c:pt idx="13">
                        <c:v>95</c:v>
                      </c:pt>
                      <c:pt idx="14">
                        <c:v>75</c:v>
                      </c:pt>
                      <c:pt idx="15">
                        <c:v>114</c:v>
                      </c:pt>
                      <c:pt idx="16">
                        <c:v>103</c:v>
                      </c:pt>
                      <c:pt idx="17">
                        <c:v>116</c:v>
                      </c:pt>
                      <c:pt idx="18">
                        <c:v>108</c:v>
                      </c:pt>
                      <c:pt idx="19">
                        <c:v>95</c:v>
                      </c:pt>
                      <c:pt idx="20">
                        <c:v>160</c:v>
                      </c:pt>
                      <c:pt idx="21">
                        <c:v>109</c:v>
                      </c:pt>
                      <c:pt idx="22">
                        <c:v>145</c:v>
                      </c:pt>
                      <c:pt idx="23">
                        <c:v>109</c:v>
                      </c:pt>
                      <c:pt idx="24">
                        <c:v>109</c:v>
                      </c:pt>
                      <c:pt idx="25">
                        <c:v>88</c:v>
                      </c:pt>
                      <c:pt idx="26">
                        <c:v>78</c:v>
                      </c:pt>
                      <c:pt idx="27">
                        <c:v>90</c:v>
                      </c:pt>
                      <c:pt idx="28">
                        <c:v>125</c:v>
                      </c:pt>
                      <c:pt idx="29">
                        <c:v>77</c:v>
                      </c:pt>
                      <c:pt idx="30">
                        <c:v>95</c:v>
                      </c:pt>
                      <c:pt idx="31">
                        <c:v>119</c:v>
                      </c:pt>
                      <c:pt idx="32">
                        <c:v>108</c:v>
                      </c:pt>
                      <c:pt idx="33">
                        <c:v>110</c:v>
                      </c:pt>
                      <c:pt idx="34">
                        <c:v>145</c:v>
                      </c:pt>
                      <c:pt idx="35">
                        <c:v>124</c:v>
                      </c:pt>
                      <c:pt idx="36">
                        <c:v>106</c:v>
                      </c:pt>
                      <c:pt idx="37">
                        <c:v>117</c:v>
                      </c:pt>
                      <c:pt idx="38">
                        <c:v>52</c:v>
                      </c:pt>
                      <c:pt idx="39">
                        <c:v>98</c:v>
                      </c:pt>
                      <c:pt idx="40">
                        <c:v>110</c:v>
                      </c:pt>
                      <c:pt idx="41">
                        <c:v>91</c:v>
                      </c:pt>
                      <c:pt idx="42">
                        <c:v>103</c:v>
                      </c:pt>
                      <c:pt idx="43">
                        <c:v>117</c:v>
                      </c:pt>
                      <c:pt idx="44">
                        <c:v>101</c:v>
                      </c:pt>
                      <c:pt idx="45">
                        <c:v>133</c:v>
                      </c:pt>
                      <c:pt idx="46">
                        <c:v>107</c:v>
                      </c:pt>
                      <c:pt idx="47">
                        <c:v>116</c:v>
                      </c:pt>
                      <c:pt idx="48">
                        <c:v>132</c:v>
                      </c:pt>
                      <c:pt idx="49">
                        <c:v>79</c:v>
                      </c:pt>
                      <c:pt idx="50">
                        <c:v>55</c:v>
                      </c:pt>
                      <c:pt idx="51">
                        <c:v>88</c:v>
                      </c:pt>
                      <c:pt idx="52">
                        <c:v>82</c:v>
                      </c:pt>
                      <c:pt idx="53">
                        <c:v>62</c:v>
                      </c:pt>
                      <c:pt idx="54">
                        <c:v>62</c:v>
                      </c:pt>
                      <c:pt idx="55">
                        <c:v>69</c:v>
                      </c:pt>
                      <c:pt idx="56">
                        <c:v>80</c:v>
                      </c:pt>
                      <c:pt idx="57">
                        <c:v>113</c:v>
                      </c:pt>
                      <c:pt idx="58">
                        <c:v>118</c:v>
                      </c:pt>
                      <c:pt idx="59">
                        <c:v>132</c:v>
                      </c:pt>
                      <c:pt idx="60">
                        <c:v>79</c:v>
                      </c:pt>
                      <c:pt idx="61">
                        <c:v>60</c:v>
                      </c:pt>
                      <c:pt idx="62">
                        <c:v>99</c:v>
                      </c:pt>
                      <c:pt idx="63">
                        <c:v>115</c:v>
                      </c:pt>
                      <c:pt idx="64">
                        <c:v>128</c:v>
                      </c:pt>
                      <c:pt idx="65">
                        <c:v>103</c:v>
                      </c:pt>
                      <c:pt idx="66">
                        <c:v>129</c:v>
                      </c:pt>
                      <c:pt idx="67">
                        <c:v>95</c:v>
                      </c:pt>
                      <c:pt idx="68">
                        <c:v>125</c:v>
                      </c:pt>
                      <c:pt idx="69">
                        <c:v>110</c:v>
                      </c:pt>
                      <c:pt idx="70">
                        <c:v>106</c:v>
                      </c:pt>
                      <c:pt idx="71">
                        <c:v>106</c:v>
                      </c:pt>
                      <c:pt idx="72">
                        <c:v>90</c:v>
                      </c:pt>
                      <c:pt idx="73">
                        <c:v>88</c:v>
                      </c:pt>
                      <c:pt idx="74">
                        <c:v>69</c:v>
                      </c:pt>
                      <c:pt idx="75">
                        <c:v>77</c:v>
                      </c:pt>
                      <c:pt idx="76">
                        <c:v>93</c:v>
                      </c:pt>
                      <c:pt idx="77">
                        <c:v>97</c:v>
                      </c:pt>
                      <c:pt idx="78">
                        <c:v>97</c:v>
                      </c:pt>
                      <c:pt idx="79">
                        <c:v>101</c:v>
                      </c:pt>
                      <c:pt idx="80">
                        <c:v>147</c:v>
                      </c:pt>
                      <c:pt idx="81">
                        <c:v>117</c:v>
                      </c:pt>
                      <c:pt idx="82">
                        <c:v>123</c:v>
                      </c:pt>
                      <c:pt idx="83">
                        <c:v>139</c:v>
                      </c:pt>
                      <c:pt idx="84">
                        <c:v>119</c:v>
                      </c:pt>
                      <c:pt idx="85">
                        <c:v>86</c:v>
                      </c:pt>
                      <c:pt idx="86">
                        <c:v>69</c:v>
                      </c:pt>
                      <c:pt idx="87">
                        <c:v>93</c:v>
                      </c:pt>
                      <c:pt idx="88">
                        <c:v>79</c:v>
                      </c:pt>
                      <c:pt idx="89">
                        <c:v>78</c:v>
                      </c:pt>
                      <c:pt idx="90">
                        <c:v>71</c:v>
                      </c:pt>
                      <c:pt idx="91">
                        <c:v>70</c:v>
                      </c:pt>
                      <c:pt idx="92">
                        <c:v>93</c:v>
                      </c:pt>
                      <c:pt idx="93">
                        <c:v>87</c:v>
                      </c:pt>
                      <c:pt idx="94">
                        <c:v>110</c:v>
                      </c:pt>
                      <c:pt idx="95">
                        <c:v>84</c:v>
                      </c:pt>
                      <c:pt idx="96">
                        <c:v>93</c:v>
                      </c:pt>
                      <c:pt idx="97">
                        <c:v>64</c:v>
                      </c:pt>
                      <c:pt idx="98">
                        <c:v>67</c:v>
                      </c:pt>
                      <c:pt idx="99">
                        <c:v>62</c:v>
                      </c:pt>
                      <c:pt idx="100">
                        <c:v>68</c:v>
                      </c:pt>
                      <c:pt idx="101">
                        <c:v>28</c:v>
                      </c:pt>
                      <c:pt idx="102">
                        <c:v>82</c:v>
                      </c:pt>
                      <c:pt idx="103">
                        <c:v>109</c:v>
                      </c:pt>
                      <c:pt idx="104">
                        <c:v>93</c:v>
                      </c:pt>
                      <c:pt idx="105">
                        <c:v>74</c:v>
                      </c:pt>
                      <c:pt idx="106">
                        <c:v>62</c:v>
                      </c:pt>
                      <c:pt idx="107">
                        <c:v>72</c:v>
                      </c:pt>
                      <c:pt idx="108">
                        <c:v>75</c:v>
                      </c:pt>
                      <c:pt idx="109">
                        <c:v>57</c:v>
                      </c:pt>
                      <c:pt idx="110">
                        <c:v>55</c:v>
                      </c:pt>
                      <c:pt idx="111">
                        <c:v>72</c:v>
                      </c:pt>
                      <c:pt idx="112">
                        <c:v>75</c:v>
                      </c:pt>
                      <c:pt idx="113">
                        <c:v>54</c:v>
                      </c:pt>
                      <c:pt idx="114">
                        <c:v>84</c:v>
                      </c:pt>
                      <c:pt idx="115">
                        <c:v>76</c:v>
                      </c:pt>
                      <c:pt idx="116">
                        <c:v>84</c:v>
                      </c:pt>
                      <c:pt idx="117">
                        <c:v>95</c:v>
                      </c:pt>
                      <c:pt idx="118">
                        <c:v>107</c:v>
                      </c:pt>
                      <c:pt idx="119">
                        <c:v>91</c:v>
                      </c:pt>
                      <c:pt idx="120">
                        <c:v>142</c:v>
                      </c:pt>
                      <c:pt idx="121">
                        <c:v>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9D-411D-901F-7ADEE93D6723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Totals'!$U$3</c15:sqref>
                        </c15:formulaRef>
                      </c:ext>
                    </c:extLst>
                    <c:strCache>
                      <c:ptCount val="1"/>
                      <c:pt idx="0">
                        <c:v>SEC SKU's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Totals'!$U$4:$U$113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10"/>
                      <c:pt idx="77">
                        <c:v>50</c:v>
                      </c:pt>
                      <c:pt idx="78">
                        <c:v>63</c:v>
                      </c:pt>
                      <c:pt idx="79">
                        <c:v>68</c:v>
                      </c:pt>
                      <c:pt idx="80">
                        <c:v>75</c:v>
                      </c:pt>
                      <c:pt idx="81">
                        <c:v>63</c:v>
                      </c:pt>
                      <c:pt idx="82">
                        <c:v>64</c:v>
                      </c:pt>
                      <c:pt idx="83">
                        <c:v>67</c:v>
                      </c:pt>
                      <c:pt idx="84">
                        <c:v>68</c:v>
                      </c:pt>
                      <c:pt idx="85">
                        <c:v>57</c:v>
                      </c:pt>
                      <c:pt idx="86">
                        <c:v>46</c:v>
                      </c:pt>
                      <c:pt idx="87">
                        <c:v>58</c:v>
                      </c:pt>
                      <c:pt idx="88">
                        <c:v>52</c:v>
                      </c:pt>
                      <c:pt idx="89">
                        <c:v>47</c:v>
                      </c:pt>
                      <c:pt idx="90">
                        <c:v>48</c:v>
                      </c:pt>
                      <c:pt idx="91">
                        <c:v>41</c:v>
                      </c:pt>
                      <c:pt idx="92">
                        <c:v>49</c:v>
                      </c:pt>
                      <c:pt idx="93">
                        <c:v>57</c:v>
                      </c:pt>
                      <c:pt idx="94">
                        <c:v>58</c:v>
                      </c:pt>
                      <c:pt idx="95">
                        <c:v>51</c:v>
                      </c:pt>
                      <c:pt idx="96">
                        <c:v>58</c:v>
                      </c:pt>
                      <c:pt idx="97">
                        <c:v>43</c:v>
                      </c:pt>
                      <c:pt idx="98">
                        <c:v>39</c:v>
                      </c:pt>
                      <c:pt idx="99">
                        <c:v>41</c:v>
                      </c:pt>
                      <c:pt idx="100">
                        <c:v>42</c:v>
                      </c:pt>
                      <c:pt idx="101">
                        <c:v>23</c:v>
                      </c:pt>
                      <c:pt idx="102">
                        <c:v>51</c:v>
                      </c:pt>
                      <c:pt idx="103">
                        <c:v>59</c:v>
                      </c:pt>
                      <c:pt idx="104">
                        <c:v>58</c:v>
                      </c:pt>
                      <c:pt idx="105">
                        <c:v>53</c:v>
                      </c:pt>
                      <c:pt idx="106">
                        <c:v>44</c:v>
                      </c:pt>
                      <c:pt idx="107">
                        <c:v>52</c:v>
                      </c:pt>
                      <c:pt idx="108">
                        <c:v>52</c:v>
                      </c:pt>
                      <c:pt idx="109">
                        <c:v>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9D-411D-901F-7ADEE93D672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Totals'!$Y$3</c15:sqref>
                        </c15:formulaRef>
                      </c:ext>
                    </c:extLst>
                    <c:strCache>
                      <c:ptCount val="1"/>
                      <c:pt idx="0">
                        <c:v>AM W/O's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Totals'!$Y$4:$Y$125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2"/>
                      <c:pt idx="0">
                        <c:v>166</c:v>
                      </c:pt>
                      <c:pt idx="1">
                        <c:v>147</c:v>
                      </c:pt>
                      <c:pt idx="2">
                        <c:v>147</c:v>
                      </c:pt>
                      <c:pt idx="3">
                        <c:v>220</c:v>
                      </c:pt>
                      <c:pt idx="4">
                        <c:v>243</c:v>
                      </c:pt>
                      <c:pt idx="5">
                        <c:v>218</c:v>
                      </c:pt>
                      <c:pt idx="6">
                        <c:v>240</c:v>
                      </c:pt>
                      <c:pt idx="7">
                        <c:v>242</c:v>
                      </c:pt>
                      <c:pt idx="8">
                        <c:v>235</c:v>
                      </c:pt>
                      <c:pt idx="9">
                        <c:v>237</c:v>
                      </c:pt>
                      <c:pt idx="10">
                        <c:v>191</c:v>
                      </c:pt>
                      <c:pt idx="11">
                        <c:v>195</c:v>
                      </c:pt>
                      <c:pt idx="12">
                        <c:v>175</c:v>
                      </c:pt>
                      <c:pt idx="13">
                        <c:v>130</c:v>
                      </c:pt>
                      <c:pt idx="14">
                        <c:v>136</c:v>
                      </c:pt>
                      <c:pt idx="15">
                        <c:v>193</c:v>
                      </c:pt>
                      <c:pt idx="16">
                        <c:v>184</c:v>
                      </c:pt>
                      <c:pt idx="17">
                        <c:v>204</c:v>
                      </c:pt>
                      <c:pt idx="18">
                        <c:v>262</c:v>
                      </c:pt>
                      <c:pt idx="19">
                        <c:v>155</c:v>
                      </c:pt>
                      <c:pt idx="20">
                        <c:v>225</c:v>
                      </c:pt>
                      <c:pt idx="21">
                        <c:v>172</c:v>
                      </c:pt>
                      <c:pt idx="22">
                        <c:v>191</c:v>
                      </c:pt>
                      <c:pt idx="23">
                        <c:v>188</c:v>
                      </c:pt>
                      <c:pt idx="24">
                        <c:v>218</c:v>
                      </c:pt>
                      <c:pt idx="25">
                        <c:v>151</c:v>
                      </c:pt>
                      <c:pt idx="26">
                        <c:v>153</c:v>
                      </c:pt>
                      <c:pt idx="27">
                        <c:v>187</c:v>
                      </c:pt>
                      <c:pt idx="28">
                        <c:v>232</c:v>
                      </c:pt>
                      <c:pt idx="29">
                        <c:v>241</c:v>
                      </c:pt>
                      <c:pt idx="30">
                        <c:v>239</c:v>
                      </c:pt>
                      <c:pt idx="31">
                        <c:v>243</c:v>
                      </c:pt>
                      <c:pt idx="32">
                        <c:v>318</c:v>
                      </c:pt>
                      <c:pt idx="33">
                        <c:v>276</c:v>
                      </c:pt>
                      <c:pt idx="34">
                        <c:v>250</c:v>
                      </c:pt>
                      <c:pt idx="35">
                        <c:v>214</c:v>
                      </c:pt>
                      <c:pt idx="36">
                        <c:v>230</c:v>
                      </c:pt>
                      <c:pt idx="37">
                        <c:v>220</c:v>
                      </c:pt>
                      <c:pt idx="38">
                        <c:v>125</c:v>
                      </c:pt>
                      <c:pt idx="39">
                        <c:v>207</c:v>
                      </c:pt>
                      <c:pt idx="40">
                        <c:v>287</c:v>
                      </c:pt>
                      <c:pt idx="41">
                        <c:v>229</c:v>
                      </c:pt>
                      <c:pt idx="42">
                        <c:v>238</c:v>
                      </c:pt>
                      <c:pt idx="43">
                        <c:v>220</c:v>
                      </c:pt>
                      <c:pt idx="44">
                        <c:v>257</c:v>
                      </c:pt>
                      <c:pt idx="45">
                        <c:v>182</c:v>
                      </c:pt>
                      <c:pt idx="46">
                        <c:v>182</c:v>
                      </c:pt>
                      <c:pt idx="47">
                        <c:v>176</c:v>
                      </c:pt>
                      <c:pt idx="48">
                        <c:v>182</c:v>
                      </c:pt>
                      <c:pt idx="49">
                        <c:v>137</c:v>
                      </c:pt>
                      <c:pt idx="50">
                        <c:v>180</c:v>
                      </c:pt>
                      <c:pt idx="51">
                        <c:v>201</c:v>
                      </c:pt>
                      <c:pt idx="52">
                        <c:v>221</c:v>
                      </c:pt>
                      <c:pt idx="53">
                        <c:v>203</c:v>
                      </c:pt>
                      <c:pt idx="54">
                        <c:v>220</c:v>
                      </c:pt>
                      <c:pt idx="55">
                        <c:v>210</c:v>
                      </c:pt>
                      <c:pt idx="56">
                        <c:v>224</c:v>
                      </c:pt>
                      <c:pt idx="57">
                        <c:v>247</c:v>
                      </c:pt>
                      <c:pt idx="58">
                        <c:v>201</c:v>
                      </c:pt>
                      <c:pt idx="59">
                        <c:v>191</c:v>
                      </c:pt>
                      <c:pt idx="60">
                        <c:v>204</c:v>
                      </c:pt>
                      <c:pt idx="61">
                        <c:v>162</c:v>
                      </c:pt>
                      <c:pt idx="62">
                        <c:v>126</c:v>
                      </c:pt>
                      <c:pt idx="63">
                        <c:v>219</c:v>
                      </c:pt>
                      <c:pt idx="64">
                        <c:v>252</c:v>
                      </c:pt>
                      <c:pt idx="65">
                        <c:v>194</c:v>
                      </c:pt>
                      <c:pt idx="66">
                        <c:v>289</c:v>
                      </c:pt>
                      <c:pt idx="67">
                        <c:v>283</c:v>
                      </c:pt>
                      <c:pt idx="68">
                        <c:v>314</c:v>
                      </c:pt>
                      <c:pt idx="69">
                        <c:v>311</c:v>
                      </c:pt>
                      <c:pt idx="70">
                        <c:v>277</c:v>
                      </c:pt>
                      <c:pt idx="71">
                        <c:v>300</c:v>
                      </c:pt>
                      <c:pt idx="72">
                        <c:v>300</c:v>
                      </c:pt>
                      <c:pt idx="73">
                        <c:v>196</c:v>
                      </c:pt>
                      <c:pt idx="74">
                        <c:v>206</c:v>
                      </c:pt>
                      <c:pt idx="75">
                        <c:v>234</c:v>
                      </c:pt>
                      <c:pt idx="76">
                        <c:v>304</c:v>
                      </c:pt>
                      <c:pt idx="77">
                        <c:v>314</c:v>
                      </c:pt>
                      <c:pt idx="78">
                        <c:v>309</c:v>
                      </c:pt>
                      <c:pt idx="79">
                        <c:v>254</c:v>
                      </c:pt>
                      <c:pt idx="80">
                        <c:v>284</c:v>
                      </c:pt>
                      <c:pt idx="81">
                        <c:v>323</c:v>
                      </c:pt>
                      <c:pt idx="82">
                        <c:v>242</c:v>
                      </c:pt>
                      <c:pt idx="83">
                        <c:v>293</c:v>
                      </c:pt>
                      <c:pt idx="84">
                        <c:v>269</c:v>
                      </c:pt>
                      <c:pt idx="85">
                        <c:v>155</c:v>
                      </c:pt>
                      <c:pt idx="86">
                        <c:v>184</c:v>
                      </c:pt>
                      <c:pt idx="87">
                        <c:v>208</c:v>
                      </c:pt>
                      <c:pt idx="88">
                        <c:v>269</c:v>
                      </c:pt>
                      <c:pt idx="89">
                        <c:v>251</c:v>
                      </c:pt>
                      <c:pt idx="90">
                        <c:v>318</c:v>
                      </c:pt>
                      <c:pt idx="91">
                        <c:v>280</c:v>
                      </c:pt>
                      <c:pt idx="92">
                        <c:v>256</c:v>
                      </c:pt>
                      <c:pt idx="93">
                        <c:v>273</c:v>
                      </c:pt>
                      <c:pt idx="94">
                        <c:v>216</c:v>
                      </c:pt>
                      <c:pt idx="95">
                        <c:v>253</c:v>
                      </c:pt>
                      <c:pt idx="96">
                        <c:v>209</c:v>
                      </c:pt>
                      <c:pt idx="97">
                        <c:v>160</c:v>
                      </c:pt>
                      <c:pt idx="98">
                        <c:v>226</c:v>
                      </c:pt>
                      <c:pt idx="99">
                        <c:v>241</c:v>
                      </c:pt>
                      <c:pt idx="100">
                        <c:v>213</c:v>
                      </c:pt>
                      <c:pt idx="101">
                        <c:v>28</c:v>
                      </c:pt>
                      <c:pt idx="102">
                        <c:v>208</c:v>
                      </c:pt>
                      <c:pt idx="103">
                        <c:v>239</c:v>
                      </c:pt>
                      <c:pt idx="104">
                        <c:v>262</c:v>
                      </c:pt>
                      <c:pt idx="105">
                        <c:v>271</c:v>
                      </c:pt>
                      <c:pt idx="106">
                        <c:v>296</c:v>
                      </c:pt>
                      <c:pt idx="107">
                        <c:v>272</c:v>
                      </c:pt>
                      <c:pt idx="108">
                        <c:v>237</c:v>
                      </c:pt>
                      <c:pt idx="109">
                        <c:v>230</c:v>
                      </c:pt>
                      <c:pt idx="110">
                        <c:v>227</c:v>
                      </c:pt>
                      <c:pt idx="111">
                        <c:v>247</c:v>
                      </c:pt>
                      <c:pt idx="112">
                        <c:v>268</c:v>
                      </c:pt>
                      <c:pt idx="113">
                        <c:v>231</c:v>
                      </c:pt>
                      <c:pt idx="114">
                        <c:v>271</c:v>
                      </c:pt>
                      <c:pt idx="115">
                        <c:v>279</c:v>
                      </c:pt>
                      <c:pt idx="116">
                        <c:v>277</c:v>
                      </c:pt>
                      <c:pt idx="117">
                        <c:v>225</c:v>
                      </c:pt>
                      <c:pt idx="118">
                        <c:v>245</c:v>
                      </c:pt>
                      <c:pt idx="119">
                        <c:v>223</c:v>
                      </c:pt>
                      <c:pt idx="120">
                        <c:v>269</c:v>
                      </c:pt>
                      <c:pt idx="121">
                        <c:v>223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9D-411D-901F-7ADEE93D6723}"/>
                  </c:ext>
                </c:extLst>
              </c15:ser>
            </c15:filteredLineSeries>
            <c15:filteredLineSeries>
              <c15:ser>
                <c:idx val="0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Totals'!$AA$3</c15:sqref>
                        </c15:formulaRef>
                      </c:ext>
                    </c:extLst>
                    <c:strCache>
                      <c:ptCount val="1"/>
                      <c:pt idx="0">
                        <c:v>AM SKU's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Totals'!$AA$4:$AA$125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2"/>
                      <c:pt idx="77">
                        <c:v>154</c:v>
                      </c:pt>
                      <c:pt idx="78">
                        <c:v>145</c:v>
                      </c:pt>
                      <c:pt idx="79">
                        <c:v>113</c:v>
                      </c:pt>
                      <c:pt idx="80">
                        <c:v>134</c:v>
                      </c:pt>
                      <c:pt idx="81">
                        <c:v>154</c:v>
                      </c:pt>
                      <c:pt idx="82">
                        <c:v>115</c:v>
                      </c:pt>
                      <c:pt idx="83">
                        <c:v>132</c:v>
                      </c:pt>
                      <c:pt idx="84">
                        <c:v>139</c:v>
                      </c:pt>
                      <c:pt idx="85">
                        <c:v>85</c:v>
                      </c:pt>
                      <c:pt idx="86">
                        <c:v>102</c:v>
                      </c:pt>
                      <c:pt idx="87">
                        <c:v>115</c:v>
                      </c:pt>
                      <c:pt idx="88">
                        <c:v>132</c:v>
                      </c:pt>
                      <c:pt idx="89">
                        <c:v>126</c:v>
                      </c:pt>
                      <c:pt idx="90">
                        <c:v>148</c:v>
                      </c:pt>
                      <c:pt idx="91">
                        <c:v>133</c:v>
                      </c:pt>
                      <c:pt idx="92">
                        <c:v>139</c:v>
                      </c:pt>
                      <c:pt idx="93">
                        <c:v>154</c:v>
                      </c:pt>
                      <c:pt idx="94">
                        <c:v>111</c:v>
                      </c:pt>
                      <c:pt idx="95">
                        <c:v>139</c:v>
                      </c:pt>
                      <c:pt idx="96">
                        <c:v>123</c:v>
                      </c:pt>
                      <c:pt idx="97">
                        <c:v>86</c:v>
                      </c:pt>
                      <c:pt idx="98">
                        <c:v>112</c:v>
                      </c:pt>
                      <c:pt idx="99">
                        <c:v>132</c:v>
                      </c:pt>
                      <c:pt idx="100">
                        <c:v>112</c:v>
                      </c:pt>
                      <c:pt idx="101">
                        <c:v>18</c:v>
                      </c:pt>
                      <c:pt idx="102">
                        <c:v>112</c:v>
                      </c:pt>
                      <c:pt idx="103">
                        <c:v>129</c:v>
                      </c:pt>
                      <c:pt idx="104">
                        <c:v>123</c:v>
                      </c:pt>
                      <c:pt idx="105">
                        <c:v>145</c:v>
                      </c:pt>
                      <c:pt idx="106">
                        <c:v>155</c:v>
                      </c:pt>
                      <c:pt idx="107">
                        <c:v>137</c:v>
                      </c:pt>
                      <c:pt idx="108">
                        <c:v>133</c:v>
                      </c:pt>
                      <c:pt idx="109">
                        <c:v>134</c:v>
                      </c:pt>
                      <c:pt idx="110">
                        <c:v>132</c:v>
                      </c:pt>
                      <c:pt idx="111">
                        <c:v>145</c:v>
                      </c:pt>
                      <c:pt idx="112">
                        <c:v>151</c:v>
                      </c:pt>
                      <c:pt idx="113">
                        <c:v>126</c:v>
                      </c:pt>
                      <c:pt idx="114">
                        <c:v>129</c:v>
                      </c:pt>
                      <c:pt idx="115">
                        <c:v>141</c:v>
                      </c:pt>
                      <c:pt idx="116">
                        <c:v>124</c:v>
                      </c:pt>
                      <c:pt idx="117">
                        <c:v>119</c:v>
                      </c:pt>
                      <c:pt idx="118">
                        <c:v>131</c:v>
                      </c:pt>
                      <c:pt idx="119">
                        <c:v>112</c:v>
                      </c:pt>
                      <c:pt idx="120">
                        <c:v>151</c:v>
                      </c:pt>
                      <c:pt idx="121">
                        <c:v>135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EC-451C-B03B-62AE98EAE9CF}"/>
                  </c:ext>
                </c:extLst>
              </c15:ser>
            </c15:filteredLineSeries>
          </c:ext>
        </c:extLst>
      </c:lineChart>
      <c:catAx>
        <c:axId val="45618367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99859455"/>
        <c:crosses val="autoZero"/>
        <c:auto val="1"/>
        <c:lblAlgn val="ctr"/>
        <c:lblOffset val="100"/>
        <c:noMultiLvlLbl val="1"/>
      </c:catAx>
      <c:valAx>
        <c:axId val="2998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8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'Group Totals'!$AD$3</c:f>
              <c:strCache>
                <c:ptCount val="1"/>
                <c:pt idx="0">
                  <c:v>XFMR's 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Totals'!$A$4:$A$125</c:f>
              <c:numCache>
                <c:formatCode>mmm\-yy</c:formatCode>
                <c:ptCount val="122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</c:numCache>
            </c:numRef>
          </c:cat>
          <c:val>
            <c:numRef>
              <c:f>'Group Totals'!$AD$4:$AD$125</c:f>
              <c:numCache>
                <c:formatCode>_-* #,##0_-;\-* #,##0_-;_-* "-"??_-;_-@_-</c:formatCode>
                <c:ptCount val="122"/>
                <c:pt idx="0">
                  <c:v>23530</c:v>
                </c:pt>
                <c:pt idx="1">
                  <c:v>15871</c:v>
                </c:pt>
                <c:pt idx="2">
                  <c:v>15056</c:v>
                </c:pt>
                <c:pt idx="3">
                  <c:v>20463</c:v>
                </c:pt>
                <c:pt idx="4">
                  <c:v>25210</c:v>
                </c:pt>
                <c:pt idx="5">
                  <c:v>27372</c:v>
                </c:pt>
                <c:pt idx="6">
                  <c:v>26029</c:v>
                </c:pt>
                <c:pt idx="7">
                  <c:v>20235</c:v>
                </c:pt>
                <c:pt idx="8">
                  <c:v>26773</c:v>
                </c:pt>
                <c:pt idx="9">
                  <c:v>18016</c:v>
                </c:pt>
                <c:pt idx="10">
                  <c:v>17719</c:v>
                </c:pt>
                <c:pt idx="11">
                  <c:v>30657</c:v>
                </c:pt>
                <c:pt idx="12">
                  <c:v>23828</c:v>
                </c:pt>
                <c:pt idx="13">
                  <c:v>21264</c:v>
                </c:pt>
                <c:pt idx="14">
                  <c:v>15316</c:v>
                </c:pt>
                <c:pt idx="15">
                  <c:v>20129</c:v>
                </c:pt>
                <c:pt idx="16">
                  <c:v>21009</c:v>
                </c:pt>
                <c:pt idx="17">
                  <c:v>21969</c:v>
                </c:pt>
                <c:pt idx="18">
                  <c:v>19506</c:v>
                </c:pt>
                <c:pt idx="19">
                  <c:v>15636</c:v>
                </c:pt>
                <c:pt idx="20">
                  <c:v>19447</c:v>
                </c:pt>
                <c:pt idx="21">
                  <c:v>14995</c:v>
                </c:pt>
                <c:pt idx="22">
                  <c:v>16010</c:v>
                </c:pt>
                <c:pt idx="23">
                  <c:v>18075</c:v>
                </c:pt>
                <c:pt idx="24">
                  <c:v>16662</c:v>
                </c:pt>
                <c:pt idx="25">
                  <c:v>14224</c:v>
                </c:pt>
                <c:pt idx="26">
                  <c:v>15346</c:v>
                </c:pt>
                <c:pt idx="27">
                  <c:v>17261</c:v>
                </c:pt>
                <c:pt idx="28">
                  <c:v>21458</c:v>
                </c:pt>
                <c:pt idx="29">
                  <c:v>13717</c:v>
                </c:pt>
                <c:pt idx="30">
                  <c:v>17172</c:v>
                </c:pt>
                <c:pt idx="31">
                  <c:v>17788</c:v>
                </c:pt>
                <c:pt idx="32">
                  <c:v>21415</c:v>
                </c:pt>
                <c:pt idx="33">
                  <c:v>24623</c:v>
                </c:pt>
                <c:pt idx="34">
                  <c:v>27334</c:v>
                </c:pt>
                <c:pt idx="35">
                  <c:v>22160</c:v>
                </c:pt>
                <c:pt idx="36">
                  <c:v>23749</c:v>
                </c:pt>
                <c:pt idx="37">
                  <c:v>16775</c:v>
                </c:pt>
                <c:pt idx="38">
                  <c:v>7769</c:v>
                </c:pt>
                <c:pt idx="39">
                  <c:v>14698</c:v>
                </c:pt>
                <c:pt idx="40">
                  <c:v>21611</c:v>
                </c:pt>
                <c:pt idx="41">
                  <c:v>18635</c:v>
                </c:pt>
                <c:pt idx="42">
                  <c:v>16993</c:v>
                </c:pt>
                <c:pt idx="43">
                  <c:v>21420</c:v>
                </c:pt>
                <c:pt idx="44">
                  <c:v>33106</c:v>
                </c:pt>
                <c:pt idx="45">
                  <c:v>30823</c:v>
                </c:pt>
                <c:pt idx="46">
                  <c:v>21820</c:v>
                </c:pt>
                <c:pt idx="47">
                  <c:v>20516</c:v>
                </c:pt>
                <c:pt idx="48">
                  <c:v>23639</c:v>
                </c:pt>
                <c:pt idx="49">
                  <c:v>11155</c:v>
                </c:pt>
                <c:pt idx="50">
                  <c:v>12351</c:v>
                </c:pt>
                <c:pt idx="51">
                  <c:v>18704</c:v>
                </c:pt>
                <c:pt idx="52">
                  <c:v>14141</c:v>
                </c:pt>
                <c:pt idx="53">
                  <c:v>14863</c:v>
                </c:pt>
                <c:pt idx="54">
                  <c:v>17617</c:v>
                </c:pt>
                <c:pt idx="55">
                  <c:v>13158</c:v>
                </c:pt>
                <c:pt idx="56">
                  <c:v>12138</c:v>
                </c:pt>
                <c:pt idx="57">
                  <c:v>17289</c:v>
                </c:pt>
                <c:pt idx="58">
                  <c:v>14871</c:v>
                </c:pt>
                <c:pt idx="59">
                  <c:v>18809</c:v>
                </c:pt>
                <c:pt idx="60">
                  <c:v>18851</c:v>
                </c:pt>
                <c:pt idx="61">
                  <c:v>15066</c:v>
                </c:pt>
                <c:pt idx="62">
                  <c:v>14369</c:v>
                </c:pt>
                <c:pt idx="63">
                  <c:v>17302</c:v>
                </c:pt>
                <c:pt idx="64">
                  <c:v>17086</c:v>
                </c:pt>
                <c:pt idx="65">
                  <c:v>12038</c:v>
                </c:pt>
                <c:pt idx="66">
                  <c:v>17672</c:v>
                </c:pt>
                <c:pt idx="67">
                  <c:v>14194</c:v>
                </c:pt>
                <c:pt idx="68">
                  <c:v>22100</c:v>
                </c:pt>
                <c:pt idx="69">
                  <c:v>20013</c:v>
                </c:pt>
                <c:pt idx="70">
                  <c:v>14881</c:v>
                </c:pt>
                <c:pt idx="71">
                  <c:v>18597</c:v>
                </c:pt>
                <c:pt idx="72">
                  <c:v>18197</c:v>
                </c:pt>
                <c:pt idx="73">
                  <c:v>13504</c:v>
                </c:pt>
                <c:pt idx="74">
                  <c:v>15690</c:v>
                </c:pt>
                <c:pt idx="75">
                  <c:v>15589</c:v>
                </c:pt>
                <c:pt idx="76">
                  <c:v>20579</c:v>
                </c:pt>
                <c:pt idx="77">
                  <c:v>20420</c:v>
                </c:pt>
                <c:pt idx="78">
                  <c:v>15988</c:v>
                </c:pt>
                <c:pt idx="79">
                  <c:v>11828</c:v>
                </c:pt>
                <c:pt idx="80">
                  <c:v>15815</c:v>
                </c:pt>
                <c:pt idx="81">
                  <c:v>13214</c:v>
                </c:pt>
                <c:pt idx="82">
                  <c:v>18050</c:v>
                </c:pt>
                <c:pt idx="83">
                  <c:v>20984</c:v>
                </c:pt>
                <c:pt idx="84">
                  <c:v>20087</c:v>
                </c:pt>
                <c:pt idx="85">
                  <c:v>14973</c:v>
                </c:pt>
                <c:pt idx="86">
                  <c:v>18112</c:v>
                </c:pt>
                <c:pt idx="87">
                  <c:v>16132</c:v>
                </c:pt>
                <c:pt idx="88">
                  <c:v>17603</c:v>
                </c:pt>
                <c:pt idx="89">
                  <c:v>15554</c:v>
                </c:pt>
                <c:pt idx="90">
                  <c:v>18571</c:v>
                </c:pt>
                <c:pt idx="91">
                  <c:v>15706</c:v>
                </c:pt>
                <c:pt idx="92">
                  <c:v>22787</c:v>
                </c:pt>
                <c:pt idx="93">
                  <c:v>16384</c:v>
                </c:pt>
                <c:pt idx="94">
                  <c:v>20194</c:v>
                </c:pt>
                <c:pt idx="95">
                  <c:v>16317</c:v>
                </c:pt>
                <c:pt idx="96">
                  <c:v>14217</c:v>
                </c:pt>
                <c:pt idx="97">
                  <c:v>12514</c:v>
                </c:pt>
                <c:pt idx="98">
                  <c:v>16445</c:v>
                </c:pt>
                <c:pt idx="99">
                  <c:v>13516</c:v>
                </c:pt>
                <c:pt idx="100">
                  <c:v>21103</c:v>
                </c:pt>
                <c:pt idx="101">
                  <c:v>3349</c:v>
                </c:pt>
                <c:pt idx="102">
                  <c:v>18279</c:v>
                </c:pt>
                <c:pt idx="103">
                  <c:v>21124</c:v>
                </c:pt>
                <c:pt idx="104">
                  <c:v>15318</c:v>
                </c:pt>
                <c:pt idx="105">
                  <c:v>26131</c:v>
                </c:pt>
                <c:pt idx="106">
                  <c:v>27003</c:v>
                </c:pt>
                <c:pt idx="107">
                  <c:v>26659</c:v>
                </c:pt>
                <c:pt idx="108">
                  <c:v>31529</c:v>
                </c:pt>
                <c:pt idx="109">
                  <c:v>11482</c:v>
                </c:pt>
                <c:pt idx="110">
                  <c:v>21182</c:v>
                </c:pt>
                <c:pt idx="111">
                  <c:v>18744</c:v>
                </c:pt>
                <c:pt idx="112">
                  <c:v>25138</c:v>
                </c:pt>
                <c:pt idx="113">
                  <c:v>18272</c:v>
                </c:pt>
                <c:pt idx="114">
                  <c:v>23730</c:v>
                </c:pt>
                <c:pt idx="115">
                  <c:v>20702</c:v>
                </c:pt>
                <c:pt idx="116">
                  <c:v>21659</c:v>
                </c:pt>
                <c:pt idx="117">
                  <c:v>25562</c:v>
                </c:pt>
                <c:pt idx="118">
                  <c:v>22259</c:v>
                </c:pt>
                <c:pt idx="119">
                  <c:v>24389</c:v>
                </c:pt>
                <c:pt idx="120">
                  <c:v>28636</c:v>
                </c:pt>
                <c:pt idx="121">
                  <c:v>17991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99-494B-AA3D-128916933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498975"/>
        <c:axId val="299854047"/>
      </c:lineChart>
      <c:dateAx>
        <c:axId val="467498975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99854047"/>
        <c:crosses val="autoZero"/>
        <c:auto val="1"/>
        <c:lblOffset val="100"/>
        <c:baseTimeUnit val="months"/>
      </c:dateAx>
      <c:valAx>
        <c:axId val="2998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49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'Group Totals'!$AC$3</c:f>
              <c:strCache>
                <c:ptCount val="1"/>
                <c:pt idx="0">
                  <c:v>Modules PCB's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Totals'!$A$4:$A$125</c:f>
              <c:numCache>
                <c:formatCode>mmm\-yy</c:formatCode>
                <c:ptCount val="122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</c:numCache>
            </c:numRef>
          </c:cat>
          <c:val>
            <c:numRef>
              <c:f>'Group Totals'!$AC$4:$AC$125</c:f>
              <c:numCache>
                <c:formatCode>_-* #,##0_-;\-* #,##0_-;_-* "-"??_-;_-@_-</c:formatCode>
                <c:ptCount val="122"/>
                <c:pt idx="0">
                  <c:v>33535</c:v>
                </c:pt>
                <c:pt idx="1">
                  <c:v>24467</c:v>
                </c:pt>
                <c:pt idx="2">
                  <c:v>31484</c:v>
                </c:pt>
                <c:pt idx="3">
                  <c:v>32651</c:v>
                </c:pt>
                <c:pt idx="4">
                  <c:v>36444</c:v>
                </c:pt>
                <c:pt idx="5">
                  <c:v>36853</c:v>
                </c:pt>
                <c:pt idx="6">
                  <c:v>33983</c:v>
                </c:pt>
                <c:pt idx="7">
                  <c:v>29250</c:v>
                </c:pt>
                <c:pt idx="8">
                  <c:v>36694</c:v>
                </c:pt>
                <c:pt idx="9">
                  <c:v>28996</c:v>
                </c:pt>
                <c:pt idx="10">
                  <c:v>32303</c:v>
                </c:pt>
                <c:pt idx="11">
                  <c:v>30241</c:v>
                </c:pt>
                <c:pt idx="12">
                  <c:v>32527</c:v>
                </c:pt>
                <c:pt idx="13">
                  <c:v>22586</c:v>
                </c:pt>
                <c:pt idx="14">
                  <c:v>17710</c:v>
                </c:pt>
                <c:pt idx="15">
                  <c:v>29768</c:v>
                </c:pt>
                <c:pt idx="16">
                  <c:v>35856</c:v>
                </c:pt>
                <c:pt idx="17">
                  <c:v>37309</c:v>
                </c:pt>
                <c:pt idx="18">
                  <c:v>34075</c:v>
                </c:pt>
                <c:pt idx="19">
                  <c:v>30584</c:v>
                </c:pt>
                <c:pt idx="20">
                  <c:v>33525</c:v>
                </c:pt>
                <c:pt idx="21">
                  <c:v>22249</c:v>
                </c:pt>
                <c:pt idx="22">
                  <c:v>25564</c:v>
                </c:pt>
                <c:pt idx="23">
                  <c:v>30297</c:v>
                </c:pt>
                <c:pt idx="24">
                  <c:v>31605</c:v>
                </c:pt>
                <c:pt idx="25">
                  <c:v>24957</c:v>
                </c:pt>
                <c:pt idx="26">
                  <c:v>28779</c:v>
                </c:pt>
                <c:pt idx="27">
                  <c:v>27233</c:v>
                </c:pt>
                <c:pt idx="28">
                  <c:v>39842</c:v>
                </c:pt>
                <c:pt idx="29">
                  <c:v>24245</c:v>
                </c:pt>
                <c:pt idx="30">
                  <c:v>34148</c:v>
                </c:pt>
                <c:pt idx="31">
                  <c:v>39607</c:v>
                </c:pt>
                <c:pt idx="32">
                  <c:v>31017</c:v>
                </c:pt>
                <c:pt idx="33">
                  <c:v>35217</c:v>
                </c:pt>
                <c:pt idx="34">
                  <c:v>47299</c:v>
                </c:pt>
                <c:pt idx="35">
                  <c:v>38249</c:v>
                </c:pt>
                <c:pt idx="36">
                  <c:v>36920</c:v>
                </c:pt>
                <c:pt idx="37">
                  <c:v>36740</c:v>
                </c:pt>
                <c:pt idx="38">
                  <c:v>12695</c:v>
                </c:pt>
                <c:pt idx="39">
                  <c:v>24534</c:v>
                </c:pt>
                <c:pt idx="40">
                  <c:v>35818</c:v>
                </c:pt>
                <c:pt idx="41">
                  <c:v>27206</c:v>
                </c:pt>
                <c:pt idx="42">
                  <c:v>26719</c:v>
                </c:pt>
                <c:pt idx="43">
                  <c:v>39952</c:v>
                </c:pt>
                <c:pt idx="44">
                  <c:v>34863</c:v>
                </c:pt>
                <c:pt idx="45">
                  <c:v>42626</c:v>
                </c:pt>
                <c:pt idx="46">
                  <c:v>34417</c:v>
                </c:pt>
                <c:pt idx="47">
                  <c:v>35287</c:v>
                </c:pt>
                <c:pt idx="48">
                  <c:v>43002</c:v>
                </c:pt>
                <c:pt idx="49">
                  <c:v>28170</c:v>
                </c:pt>
                <c:pt idx="50">
                  <c:v>22716</c:v>
                </c:pt>
                <c:pt idx="51">
                  <c:v>39204</c:v>
                </c:pt>
                <c:pt idx="52">
                  <c:v>27354</c:v>
                </c:pt>
                <c:pt idx="53">
                  <c:v>24138</c:v>
                </c:pt>
                <c:pt idx="54">
                  <c:v>27123</c:v>
                </c:pt>
                <c:pt idx="55">
                  <c:v>25646</c:v>
                </c:pt>
                <c:pt idx="56">
                  <c:v>27047</c:v>
                </c:pt>
                <c:pt idx="57">
                  <c:v>29459</c:v>
                </c:pt>
                <c:pt idx="58">
                  <c:v>31209</c:v>
                </c:pt>
                <c:pt idx="59">
                  <c:v>43022</c:v>
                </c:pt>
                <c:pt idx="60">
                  <c:v>33259</c:v>
                </c:pt>
                <c:pt idx="61">
                  <c:v>29928</c:v>
                </c:pt>
                <c:pt idx="62">
                  <c:v>38897</c:v>
                </c:pt>
                <c:pt idx="63">
                  <c:v>34499</c:v>
                </c:pt>
                <c:pt idx="64">
                  <c:v>31159</c:v>
                </c:pt>
                <c:pt idx="65">
                  <c:v>28229</c:v>
                </c:pt>
                <c:pt idx="66">
                  <c:v>45914</c:v>
                </c:pt>
                <c:pt idx="67">
                  <c:v>42676</c:v>
                </c:pt>
                <c:pt idx="68">
                  <c:v>56141</c:v>
                </c:pt>
                <c:pt idx="69">
                  <c:v>43361</c:v>
                </c:pt>
                <c:pt idx="70">
                  <c:v>44947</c:v>
                </c:pt>
                <c:pt idx="71">
                  <c:v>58413</c:v>
                </c:pt>
                <c:pt idx="72">
                  <c:v>46531</c:v>
                </c:pt>
                <c:pt idx="73">
                  <c:v>28444</c:v>
                </c:pt>
                <c:pt idx="74">
                  <c:v>39857</c:v>
                </c:pt>
                <c:pt idx="75">
                  <c:v>38455</c:v>
                </c:pt>
                <c:pt idx="76">
                  <c:v>42566</c:v>
                </c:pt>
                <c:pt idx="77">
                  <c:v>43329</c:v>
                </c:pt>
                <c:pt idx="78">
                  <c:v>36292</c:v>
                </c:pt>
                <c:pt idx="79">
                  <c:v>31555</c:v>
                </c:pt>
                <c:pt idx="80">
                  <c:v>48803</c:v>
                </c:pt>
                <c:pt idx="81">
                  <c:v>47529</c:v>
                </c:pt>
                <c:pt idx="82">
                  <c:v>46660</c:v>
                </c:pt>
                <c:pt idx="83">
                  <c:v>56609</c:v>
                </c:pt>
                <c:pt idx="84">
                  <c:v>44085</c:v>
                </c:pt>
                <c:pt idx="85">
                  <c:v>29618</c:v>
                </c:pt>
                <c:pt idx="86">
                  <c:v>32500</c:v>
                </c:pt>
                <c:pt idx="87">
                  <c:v>33054</c:v>
                </c:pt>
                <c:pt idx="88">
                  <c:v>40036</c:v>
                </c:pt>
                <c:pt idx="89">
                  <c:v>31642</c:v>
                </c:pt>
                <c:pt idx="90">
                  <c:v>42571</c:v>
                </c:pt>
                <c:pt idx="91">
                  <c:v>42661</c:v>
                </c:pt>
                <c:pt idx="92">
                  <c:v>62701</c:v>
                </c:pt>
                <c:pt idx="93">
                  <c:v>47148</c:v>
                </c:pt>
                <c:pt idx="94">
                  <c:v>52455</c:v>
                </c:pt>
                <c:pt idx="95">
                  <c:v>55404</c:v>
                </c:pt>
                <c:pt idx="96">
                  <c:v>44484</c:v>
                </c:pt>
                <c:pt idx="97">
                  <c:v>42262</c:v>
                </c:pt>
                <c:pt idx="98">
                  <c:v>50058</c:v>
                </c:pt>
                <c:pt idx="99">
                  <c:v>46023</c:v>
                </c:pt>
                <c:pt idx="100">
                  <c:v>54126</c:v>
                </c:pt>
                <c:pt idx="101">
                  <c:v>7734</c:v>
                </c:pt>
                <c:pt idx="102">
                  <c:v>46990</c:v>
                </c:pt>
                <c:pt idx="103">
                  <c:v>61357</c:v>
                </c:pt>
                <c:pt idx="104">
                  <c:v>52884</c:v>
                </c:pt>
                <c:pt idx="105">
                  <c:v>55544</c:v>
                </c:pt>
                <c:pt idx="106">
                  <c:v>45106</c:v>
                </c:pt>
                <c:pt idx="107">
                  <c:v>51740</c:v>
                </c:pt>
                <c:pt idx="108">
                  <c:v>65536</c:v>
                </c:pt>
                <c:pt idx="109">
                  <c:v>32406</c:v>
                </c:pt>
                <c:pt idx="110">
                  <c:v>34378</c:v>
                </c:pt>
                <c:pt idx="111">
                  <c:v>40800</c:v>
                </c:pt>
                <c:pt idx="112">
                  <c:v>56926</c:v>
                </c:pt>
                <c:pt idx="113">
                  <c:v>44560</c:v>
                </c:pt>
                <c:pt idx="114">
                  <c:v>49588</c:v>
                </c:pt>
                <c:pt idx="115">
                  <c:v>48437</c:v>
                </c:pt>
                <c:pt idx="116">
                  <c:v>47168</c:v>
                </c:pt>
                <c:pt idx="117">
                  <c:v>76959</c:v>
                </c:pt>
                <c:pt idx="118">
                  <c:v>79466</c:v>
                </c:pt>
                <c:pt idx="119">
                  <c:v>75159</c:v>
                </c:pt>
                <c:pt idx="120">
                  <c:v>84812</c:v>
                </c:pt>
                <c:pt idx="121">
                  <c:v>64750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0-408F-AF1F-444376731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498975"/>
        <c:axId val="299854047"/>
      </c:lineChart>
      <c:dateAx>
        <c:axId val="467498975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99854047"/>
        <c:crosses val="autoZero"/>
        <c:auto val="1"/>
        <c:lblOffset val="100"/>
        <c:baseTimeUnit val="months"/>
      </c:dateAx>
      <c:valAx>
        <c:axId val="2998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49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'Group Totals'!$AO$3</c:f>
              <c:strCache>
                <c:ptCount val="1"/>
                <c:pt idx="0">
                  <c:v>Scrap as % of FG Value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Totals'!$A$82:$A$125</c:f>
              <c:numCache>
                <c:formatCode>mmm\-yy</c:formatCode>
                <c:ptCount val="44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</c:numCache>
            </c:numRef>
          </c:cat>
          <c:val>
            <c:numRef>
              <c:f>'Group Totals'!$AO$82:$AO$125</c:f>
              <c:numCache>
                <c:formatCode>0.00%</c:formatCode>
                <c:ptCount val="44"/>
                <c:pt idx="0">
                  <c:v>8.8040198537658997E-3</c:v>
                </c:pt>
                <c:pt idx="1">
                  <c:v>4.4704341776402477E-3</c:v>
                </c:pt>
                <c:pt idx="2">
                  <c:v>4.6118438680061644E-3</c:v>
                </c:pt>
                <c:pt idx="3">
                  <c:v>4.9721848001981648E-3</c:v>
                </c:pt>
                <c:pt idx="4">
                  <c:v>4.7706578585457165E-3</c:v>
                </c:pt>
                <c:pt idx="5">
                  <c:v>6.2858966296696116E-3</c:v>
                </c:pt>
                <c:pt idx="6">
                  <c:v>4.5996576528584071E-3</c:v>
                </c:pt>
                <c:pt idx="7">
                  <c:v>3.9595906944624708E-3</c:v>
                </c:pt>
                <c:pt idx="8">
                  <c:v>-3.5083064942974512E-3</c:v>
                </c:pt>
                <c:pt idx="9">
                  <c:v>3.9088628990920863E-3</c:v>
                </c:pt>
                <c:pt idx="10">
                  <c:v>4.5785130156818232E-3</c:v>
                </c:pt>
                <c:pt idx="11">
                  <c:v>3.3320652360405516E-3</c:v>
                </c:pt>
                <c:pt idx="12">
                  <c:v>4.6529130460646311E-3</c:v>
                </c:pt>
                <c:pt idx="13">
                  <c:v>3.6012333388315727E-3</c:v>
                </c:pt>
                <c:pt idx="14">
                  <c:v>2.6131867622562553E-2</c:v>
                </c:pt>
                <c:pt idx="15">
                  <c:v>-2.2213585097993207E-4</c:v>
                </c:pt>
                <c:pt idx="16">
                  <c:v>4.5198532756747485E-3</c:v>
                </c:pt>
                <c:pt idx="17">
                  <c:v>2.7680588106761424E-3</c:v>
                </c:pt>
                <c:pt idx="18">
                  <c:v>1.0794402235242089E-4</c:v>
                </c:pt>
                <c:pt idx="19">
                  <c:v>2.3279418370855164E-3</c:v>
                </c:pt>
                <c:pt idx="20">
                  <c:v>2.1045684252311925E-3</c:v>
                </c:pt>
                <c:pt idx="21">
                  <c:v>9.5750831001575854E-4</c:v>
                </c:pt>
                <c:pt idx="22">
                  <c:v>7.5522599285345795E-3</c:v>
                </c:pt>
                <c:pt idx="23">
                  <c:v>1.8233722371033142E-3</c:v>
                </c:pt>
                <c:pt idx="24">
                  <c:v>2.0108322543110368E-3</c:v>
                </c:pt>
                <c:pt idx="25">
                  <c:v>2.5116048209377529E-3</c:v>
                </c:pt>
                <c:pt idx="26">
                  <c:v>4.0672233946539354E-3</c:v>
                </c:pt>
                <c:pt idx="27">
                  <c:v>3.855913322441124E-3</c:v>
                </c:pt>
                <c:pt idx="28">
                  <c:v>3.7341967527593817E-3</c:v>
                </c:pt>
                <c:pt idx="29">
                  <c:v>3.4047561426619735E-3</c:v>
                </c:pt>
                <c:pt idx="30">
                  <c:v>1.8263549189311275E-3</c:v>
                </c:pt>
                <c:pt idx="31">
                  <c:v>3.4369398910931576E-3</c:v>
                </c:pt>
                <c:pt idx="32">
                  <c:v>2.3313404133026069E-3</c:v>
                </c:pt>
                <c:pt idx="33">
                  <c:v>7.0734757593405246E-3</c:v>
                </c:pt>
                <c:pt idx="34">
                  <c:v>-2.7710069590367262E-3</c:v>
                </c:pt>
                <c:pt idx="35">
                  <c:v>4.3784599587669212E-3</c:v>
                </c:pt>
                <c:pt idx="36">
                  <c:v>2.7845891463789546E-3</c:v>
                </c:pt>
                <c:pt idx="37">
                  <c:v>4.1065225470797136E-3</c:v>
                </c:pt>
                <c:pt idx="38">
                  <c:v>1.7966811850567308E-3</c:v>
                </c:pt>
                <c:pt idx="39">
                  <c:v>4.5312312069546836E-3</c:v>
                </c:pt>
                <c:pt idx="40">
                  <c:v>3.8778736983497591E-3</c:v>
                </c:pt>
                <c:pt idx="41">
                  <c:v>6.0970362069072224E-3</c:v>
                </c:pt>
                <c:pt idx="42">
                  <c:v>2.7476332809131527E-3</c:v>
                </c:pt>
                <c:pt idx="43">
                  <c:v>3.0037420955913463E-3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8-47A8-B5AA-842D775E3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357423"/>
        <c:axId val="2998453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Totals'!$AM$3</c15:sqref>
                        </c15:formulaRef>
                      </c:ext>
                    </c:extLst>
                    <c:strCache>
                      <c:ptCount val="1"/>
                      <c:pt idx="0">
                        <c:v>Scrap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Totals'!$A$82:$A$125</c15:sqref>
                        </c15:formulaRef>
                      </c:ext>
                    </c:extLst>
                    <c:numCache>
                      <c:formatCode>mmm\-yy</c:formatCode>
                      <c:ptCount val="44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Totals'!$AM$82:$AM$125</c15:sqref>
                        </c15:formulaRef>
                      </c:ext>
                    </c:extLst>
                    <c:numCache>
                      <c:formatCode>"$"#,##0</c:formatCode>
                      <c:ptCount val="44"/>
                      <c:pt idx="0">
                        <c:v>40810</c:v>
                      </c:pt>
                      <c:pt idx="1">
                        <c:v>20990</c:v>
                      </c:pt>
                      <c:pt idx="2">
                        <c:v>23859</c:v>
                      </c:pt>
                      <c:pt idx="3">
                        <c:v>29994</c:v>
                      </c:pt>
                      <c:pt idx="4">
                        <c:v>26474</c:v>
                      </c:pt>
                      <c:pt idx="5">
                        <c:v>35646</c:v>
                      </c:pt>
                      <c:pt idx="6">
                        <c:v>29732</c:v>
                      </c:pt>
                      <c:pt idx="7">
                        <c:v>13685</c:v>
                      </c:pt>
                      <c:pt idx="8">
                        <c:v>-15475</c:v>
                      </c:pt>
                      <c:pt idx="9">
                        <c:v>18604</c:v>
                      </c:pt>
                      <c:pt idx="10">
                        <c:v>25374</c:v>
                      </c:pt>
                      <c:pt idx="11">
                        <c:v>12370</c:v>
                      </c:pt>
                      <c:pt idx="12">
                        <c:v>25905</c:v>
                      </c:pt>
                      <c:pt idx="13">
                        <c:v>16221</c:v>
                      </c:pt>
                      <c:pt idx="14">
                        <c:v>131001</c:v>
                      </c:pt>
                      <c:pt idx="15">
                        <c:v>-1224</c:v>
                      </c:pt>
                      <c:pt idx="16">
                        <c:v>24693</c:v>
                      </c:pt>
                      <c:pt idx="17">
                        <c:v>15210</c:v>
                      </c:pt>
                      <c:pt idx="18">
                        <c:v>592</c:v>
                      </c:pt>
                      <c:pt idx="19">
                        <c:v>8922</c:v>
                      </c:pt>
                      <c:pt idx="20">
                        <c:v>10984</c:v>
                      </c:pt>
                      <c:pt idx="21">
                        <c:v>4786</c:v>
                      </c:pt>
                      <c:pt idx="22">
                        <c:v>29102</c:v>
                      </c:pt>
                      <c:pt idx="23">
                        <c:v>4215</c:v>
                      </c:pt>
                      <c:pt idx="24">
                        <c:v>12344</c:v>
                      </c:pt>
                      <c:pt idx="25">
                        <c:v>16152</c:v>
                      </c:pt>
                      <c:pt idx="26">
                        <c:v>30306</c:v>
                      </c:pt>
                      <c:pt idx="27">
                        <c:v>21677</c:v>
                      </c:pt>
                      <c:pt idx="28">
                        <c:v>22125</c:v>
                      </c:pt>
                      <c:pt idx="29">
                        <c:v>19232</c:v>
                      </c:pt>
                      <c:pt idx="30">
                        <c:v>11240</c:v>
                      </c:pt>
                      <c:pt idx="31">
                        <c:v>15701</c:v>
                      </c:pt>
                      <c:pt idx="32">
                        <c:v>11284</c:v>
                      </c:pt>
                      <c:pt idx="33">
                        <c:v>32539</c:v>
                      </c:pt>
                      <c:pt idx="34">
                        <c:v>-15429</c:v>
                      </c:pt>
                      <c:pt idx="35">
                        <c:v>21210</c:v>
                      </c:pt>
                      <c:pt idx="36">
                        <c:v>15217</c:v>
                      </c:pt>
                      <c:pt idx="37">
                        <c:v>22441</c:v>
                      </c:pt>
                      <c:pt idx="38">
                        <c:v>12553</c:v>
                      </c:pt>
                      <c:pt idx="39">
                        <c:v>45962</c:v>
                      </c:pt>
                      <c:pt idx="40">
                        <c:v>63785</c:v>
                      </c:pt>
                      <c:pt idx="41">
                        <c:v>104425</c:v>
                      </c:pt>
                      <c:pt idx="42">
                        <c:v>42212</c:v>
                      </c:pt>
                      <c:pt idx="43">
                        <c:v>33721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1D8-47A8-B5AA-842D775E32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Totals'!$AP$3</c15:sqref>
                        </c15:formulaRef>
                      </c:ext>
                    </c:extLst>
                    <c:strCache>
                      <c:ptCount val="1"/>
                      <c:pt idx="0">
                        <c:v>Scrap per $100 to FG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Totals'!$A$82:$A$125</c15:sqref>
                        </c15:formulaRef>
                      </c:ext>
                    </c:extLst>
                    <c:numCache>
                      <c:formatCode>mmm\-yy</c:formatCode>
                      <c:ptCount val="44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Totals'!$AP$82:$AP$125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4"/>
                      <c:pt idx="0">
                        <c:v>0.88040198537658998</c:v>
                      </c:pt>
                      <c:pt idx="1">
                        <c:v>0.44704341776402479</c:v>
                      </c:pt>
                      <c:pt idx="2">
                        <c:v>0.46118438680061646</c:v>
                      </c:pt>
                      <c:pt idx="3">
                        <c:v>0.4972184800198165</c:v>
                      </c:pt>
                      <c:pt idx="4">
                        <c:v>0.47706578585457166</c:v>
                      </c:pt>
                      <c:pt idx="5">
                        <c:v>0.62858966296696117</c:v>
                      </c:pt>
                      <c:pt idx="6">
                        <c:v>0.45996576528584071</c:v>
                      </c:pt>
                      <c:pt idx="7">
                        <c:v>0.39595906944624709</c:v>
                      </c:pt>
                      <c:pt idx="8">
                        <c:v>-0.35083064942974512</c:v>
                      </c:pt>
                      <c:pt idx="9">
                        <c:v>0.39088628990920865</c:v>
                      </c:pt>
                      <c:pt idx="10">
                        <c:v>0.45785130156818232</c:v>
                      </c:pt>
                      <c:pt idx="11">
                        <c:v>0.33320652360405517</c:v>
                      </c:pt>
                      <c:pt idx="12">
                        <c:v>0.46529130460646312</c:v>
                      </c:pt>
                      <c:pt idx="13">
                        <c:v>0.36012333388315726</c:v>
                      </c:pt>
                      <c:pt idx="14">
                        <c:v>2.6131867622562552</c:v>
                      </c:pt>
                      <c:pt idx="15">
                        <c:v>-2.2213585097993208E-2</c:v>
                      </c:pt>
                      <c:pt idx="16">
                        <c:v>0.45198532756747484</c:v>
                      </c:pt>
                      <c:pt idx="17">
                        <c:v>0.27680588106761422</c:v>
                      </c:pt>
                      <c:pt idx="18">
                        <c:v>1.079440223524209E-2</c:v>
                      </c:pt>
                      <c:pt idx="19">
                        <c:v>0.23279418370855165</c:v>
                      </c:pt>
                      <c:pt idx="20">
                        <c:v>0.21045684252311925</c:v>
                      </c:pt>
                      <c:pt idx="21">
                        <c:v>9.5750831001575859E-2</c:v>
                      </c:pt>
                      <c:pt idx="22">
                        <c:v>0.75522599285345793</c:v>
                      </c:pt>
                      <c:pt idx="23">
                        <c:v>0.18233722371033143</c:v>
                      </c:pt>
                      <c:pt idx="24">
                        <c:v>0.20108322543110368</c:v>
                      </c:pt>
                      <c:pt idx="25">
                        <c:v>0.25116048209377528</c:v>
                      </c:pt>
                      <c:pt idx="26">
                        <c:v>0.40672233946539355</c:v>
                      </c:pt>
                      <c:pt idx="27">
                        <c:v>0.38559133224411241</c:v>
                      </c:pt>
                      <c:pt idx="28">
                        <c:v>0.37341967527593817</c:v>
                      </c:pt>
                      <c:pt idx="29">
                        <c:v>0.34047561426619732</c:v>
                      </c:pt>
                      <c:pt idx="30">
                        <c:v>0.18263549189311273</c:v>
                      </c:pt>
                      <c:pt idx="31">
                        <c:v>0.34369398910931576</c:v>
                      </c:pt>
                      <c:pt idx="32">
                        <c:v>0.23313404133026069</c:v>
                      </c:pt>
                      <c:pt idx="33">
                        <c:v>0.70734757593405251</c:v>
                      </c:pt>
                      <c:pt idx="34">
                        <c:v>-0.27710069590367264</c:v>
                      </c:pt>
                      <c:pt idx="35">
                        <c:v>0.43784599587669215</c:v>
                      </c:pt>
                      <c:pt idx="36">
                        <c:v>0.27845891463789546</c:v>
                      </c:pt>
                      <c:pt idx="37">
                        <c:v>0.41065225470797134</c:v>
                      </c:pt>
                      <c:pt idx="38">
                        <c:v>0.17966811850567307</c:v>
                      </c:pt>
                      <c:pt idx="39">
                        <c:v>0.45312312069546834</c:v>
                      </c:pt>
                      <c:pt idx="40">
                        <c:v>0.38778736983497591</c:v>
                      </c:pt>
                      <c:pt idx="41">
                        <c:v>0.60970362069072226</c:v>
                      </c:pt>
                      <c:pt idx="42">
                        <c:v>0.27476332809131526</c:v>
                      </c:pt>
                      <c:pt idx="43">
                        <c:v>0.30037420955913463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1D8-47A8-B5AA-842D775E32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Totals'!$AQ$3</c15:sqref>
                        </c15:formulaRef>
                      </c:ext>
                    </c:extLst>
                    <c:strCache>
                      <c:ptCount val="1"/>
                      <c:pt idx="0">
                        <c:v>Scrap per direct team member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Totals'!$A$82:$A$125</c15:sqref>
                        </c15:formulaRef>
                      </c:ext>
                    </c:extLst>
                    <c:numCache>
                      <c:formatCode>mmm\-yy</c:formatCode>
                      <c:ptCount val="44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Totals'!$AQ$82:$AQ$125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44"/>
                      <c:pt idx="0">
                        <c:v>536.97368421052636</c:v>
                      </c:pt>
                      <c:pt idx="1">
                        <c:v>276.18421052631578</c:v>
                      </c:pt>
                      <c:pt idx="2">
                        <c:v>309.85714285714283</c:v>
                      </c:pt>
                      <c:pt idx="3">
                        <c:v>361.37349397590361</c:v>
                      </c:pt>
                      <c:pt idx="4">
                        <c:v>311.45882352941175</c:v>
                      </c:pt>
                      <c:pt idx="5">
                        <c:v>429.46987951807228</c:v>
                      </c:pt>
                      <c:pt idx="6">
                        <c:v>337.86363636363637</c:v>
                      </c:pt>
                      <c:pt idx="7">
                        <c:v>150.38461538461539</c:v>
                      </c:pt>
                      <c:pt idx="8">
                        <c:v>-191.04938271604939</c:v>
                      </c:pt>
                      <c:pt idx="9">
                        <c:v>211.40909090909091</c:v>
                      </c:pt>
                      <c:pt idx="10">
                        <c:v>317.17500000000001</c:v>
                      </c:pt>
                      <c:pt idx="11">
                        <c:v>152.71604938271605</c:v>
                      </c:pt>
                      <c:pt idx="12">
                        <c:v>315.91463414634148</c:v>
                      </c:pt>
                      <c:pt idx="13">
                        <c:v>193.10714285714286</c:v>
                      </c:pt>
                      <c:pt idx="14">
                        <c:v>1658.2405063291139</c:v>
                      </c:pt>
                      <c:pt idx="15">
                        <c:v>-15.3</c:v>
                      </c:pt>
                      <c:pt idx="16">
                        <c:v>329.24</c:v>
                      </c:pt>
                      <c:pt idx="17">
                        <c:v>197.53246753246754</c:v>
                      </c:pt>
                      <c:pt idx="18">
                        <c:v>7.6883116883116882</c:v>
                      </c:pt>
                      <c:pt idx="19">
                        <c:v>122.21917808219177</c:v>
                      </c:pt>
                      <c:pt idx="20">
                        <c:v>161.52941176470588</c:v>
                      </c:pt>
                      <c:pt idx="21">
                        <c:v>73.630769230769232</c:v>
                      </c:pt>
                      <c:pt idx="22">
                        <c:v>454.71875</c:v>
                      </c:pt>
                      <c:pt idx="23">
                        <c:v>67.983870967741936</c:v>
                      </c:pt>
                      <c:pt idx="24">
                        <c:v>187.03030303030303</c:v>
                      </c:pt>
                      <c:pt idx="25">
                        <c:v>209.76623376623377</c:v>
                      </c:pt>
                      <c:pt idx="26">
                        <c:v>356.54117647058825</c:v>
                      </c:pt>
                      <c:pt idx="27">
                        <c:v>261.1686746987952</c:v>
                      </c:pt>
                      <c:pt idx="28">
                        <c:v>266.56626506024094</c:v>
                      </c:pt>
                      <c:pt idx="29">
                        <c:v>216.08988764044943</c:v>
                      </c:pt>
                      <c:pt idx="30">
                        <c:v>124.88888888888889</c:v>
                      </c:pt>
                      <c:pt idx="31">
                        <c:v>180.4712643678161</c:v>
                      </c:pt>
                      <c:pt idx="32">
                        <c:v>137.60975609756099</c:v>
                      </c:pt>
                      <c:pt idx="33">
                        <c:v>417.16666666666669</c:v>
                      </c:pt>
                      <c:pt idx="34">
                        <c:v>-173.35955056179776</c:v>
                      </c:pt>
                      <c:pt idx="35">
                        <c:v>243.79310344827587</c:v>
                      </c:pt>
                      <c:pt idx="36">
                        <c:v>170.97752808988764</c:v>
                      </c:pt>
                      <c:pt idx="37">
                        <c:v>260.94186046511629</c:v>
                      </c:pt>
                      <c:pt idx="38">
                        <c:v>132.13684210526316</c:v>
                      </c:pt>
                      <c:pt idx="39">
                        <c:v>469</c:v>
                      </c:pt>
                      <c:pt idx="40">
                        <c:v>631.53465346534654</c:v>
                      </c:pt>
                      <c:pt idx="41">
                        <c:v>940.76576576576576</c:v>
                      </c:pt>
                      <c:pt idx="42">
                        <c:v>329.78125</c:v>
                      </c:pt>
                      <c:pt idx="43">
                        <c:v>257.41221374045801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1D8-47A8-B5AA-842D775E322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Totals'!$AR$3</c15:sqref>
                        </c15:formulaRef>
                      </c:ext>
                    </c:extLst>
                    <c:strCache>
                      <c:ptCount val="1"/>
                      <c:pt idx="0">
                        <c:v>Scrap per total team member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Totals'!$A$82:$A$125</c15:sqref>
                        </c15:formulaRef>
                      </c:ext>
                    </c:extLst>
                    <c:numCache>
                      <c:formatCode>mmm\-yy</c:formatCode>
                      <c:ptCount val="44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Totals'!$AR$82:$AR$125</c15:sqref>
                        </c15:formulaRef>
                      </c:ext>
                    </c:extLst>
                    <c:numCache>
                      <c:formatCode>"$"#,##0</c:formatCode>
                      <c:ptCount val="44"/>
                      <c:pt idx="0">
                        <c:v>334.50819672131149</c:v>
                      </c:pt>
                      <c:pt idx="1">
                        <c:v>173.47107438016528</c:v>
                      </c:pt>
                      <c:pt idx="2">
                        <c:v>197.18181818181819</c:v>
                      </c:pt>
                      <c:pt idx="3">
                        <c:v>238.04761904761904</c:v>
                      </c:pt>
                      <c:pt idx="4">
                        <c:v>206.828125</c:v>
                      </c:pt>
                      <c:pt idx="5">
                        <c:v>280.67716535433073</c:v>
                      </c:pt>
                      <c:pt idx="6">
                        <c:v>230.48062015503876</c:v>
                      </c:pt>
                      <c:pt idx="7">
                        <c:v>101.37037037037037</c:v>
                      </c:pt>
                      <c:pt idx="8">
                        <c:v>-119.03846153846153</c:v>
                      </c:pt>
                      <c:pt idx="9">
                        <c:v>145.34375</c:v>
                      </c:pt>
                      <c:pt idx="10">
                        <c:v>201.38095238095238</c:v>
                      </c:pt>
                      <c:pt idx="11">
                        <c:v>97.4015748031496</c:v>
                      </c:pt>
                      <c:pt idx="12">
                        <c:v>197.74809160305344</c:v>
                      </c:pt>
                      <c:pt idx="13">
                        <c:v>123.82442748091603</c:v>
                      </c:pt>
                      <c:pt idx="14">
                        <c:v>984.96992481203006</c:v>
                      </c:pt>
                      <c:pt idx="15">
                        <c:v>-9.2727272727272734</c:v>
                      </c:pt>
                      <c:pt idx="16">
                        <c:v>192.9140625</c:v>
                      </c:pt>
                      <c:pt idx="17">
                        <c:v>118.828125</c:v>
                      </c:pt>
                      <c:pt idx="18">
                        <c:v>4.625</c:v>
                      </c:pt>
                      <c:pt idx="19">
                        <c:v>71.951612903225808</c:v>
                      </c:pt>
                      <c:pt idx="20">
                        <c:v>87.174603174603178</c:v>
                      </c:pt>
                      <c:pt idx="21">
                        <c:v>39.553719008264466</c:v>
                      </c:pt>
                      <c:pt idx="22">
                        <c:v>244.55462184873949</c:v>
                      </c:pt>
                      <c:pt idx="23">
                        <c:v>36.025641025641029</c:v>
                      </c:pt>
                      <c:pt idx="24">
                        <c:v>104.61016949152543</c:v>
                      </c:pt>
                      <c:pt idx="25">
                        <c:v>126.1875</c:v>
                      </c:pt>
                      <c:pt idx="26">
                        <c:v>224.48888888888888</c:v>
                      </c:pt>
                      <c:pt idx="27">
                        <c:v>164.21969696969697</c:v>
                      </c:pt>
                      <c:pt idx="28">
                        <c:v>163.88888888888889</c:v>
                      </c:pt>
                      <c:pt idx="29">
                        <c:v>136.39716312056737</c:v>
                      </c:pt>
                      <c:pt idx="30">
                        <c:v>79.716312056737593</c:v>
                      </c:pt>
                      <c:pt idx="31">
                        <c:v>112.9568345323741</c:v>
                      </c:pt>
                      <c:pt idx="32">
                        <c:v>82.970588235294116</c:v>
                      </c:pt>
                      <c:pt idx="33">
                        <c:v>246.50757575757575</c:v>
                      </c:pt>
                      <c:pt idx="34">
                        <c:v>-111.80434782608695</c:v>
                      </c:pt>
                      <c:pt idx="35">
                        <c:v>155.95588235294119</c:v>
                      </c:pt>
                      <c:pt idx="36">
                        <c:v>108.69285714285714</c:v>
                      </c:pt>
                      <c:pt idx="37">
                        <c:v>162.6159420289855</c:v>
                      </c:pt>
                      <c:pt idx="38">
                        <c:v>85.394557823129247</c:v>
                      </c:pt>
                      <c:pt idx="39">
                        <c:v>302.38157894736844</c:v>
                      </c:pt>
                      <c:pt idx="40">
                        <c:v>414.18831168831167</c:v>
                      </c:pt>
                      <c:pt idx="41">
                        <c:v>603.61271676300578</c:v>
                      </c:pt>
                      <c:pt idx="42">
                        <c:v>228.17297297297299</c:v>
                      </c:pt>
                      <c:pt idx="43">
                        <c:v>176.54973821989529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1D8-47A8-B5AA-842D775E322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Totals'!$AS$3</c15:sqref>
                        </c15:formulaRef>
                      </c:ext>
                    </c:extLst>
                    <c:strCache>
                      <c:ptCount val="1"/>
                      <c:pt idx="0">
                        <c:v>Scrap as a % of Expenses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Totals'!$A$82:$A$125</c15:sqref>
                        </c15:formulaRef>
                      </c:ext>
                    </c:extLst>
                    <c:numCache>
                      <c:formatCode>mmm\-yy</c:formatCode>
                      <c:ptCount val="44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Totals'!$AS$82:$AS$125</c15:sqref>
                        </c15:formulaRef>
                      </c:ext>
                    </c:extLst>
                    <c:numCache>
                      <c:formatCode>0.0%</c:formatCode>
                      <c:ptCount val="44"/>
                      <c:pt idx="0">
                        <c:v>4.4168291906845056E-2</c:v>
                      </c:pt>
                      <c:pt idx="1">
                        <c:v>2.0131029118540974E-2</c:v>
                      </c:pt>
                      <c:pt idx="2">
                        <c:v>2.4277322544768914E-2</c:v>
                      </c:pt>
                      <c:pt idx="3">
                        <c:v>2.6167774221156691E-2</c:v>
                      </c:pt>
                      <c:pt idx="4">
                        <c:v>2.6156951589780274E-2</c:v>
                      </c:pt>
                      <c:pt idx="5">
                        <c:v>3.3240020813478779E-2</c:v>
                      </c:pt>
                      <c:pt idx="6">
                        <c:v>2.6511182900590197E-2</c:v>
                      </c:pt>
                      <c:pt idx="7">
                        <c:v>1.4874789812752646E-2</c:v>
                      </c:pt>
                      <c:pt idx="8">
                        <c:v>-1.882837043039404E-2</c:v>
                      </c:pt>
                      <c:pt idx="9">
                        <c:v>1.7935697958373062E-2</c:v>
                      </c:pt>
                      <c:pt idx="10">
                        <c:v>2.420760496974288E-2</c:v>
                      </c:pt>
                      <c:pt idx="11">
                        <c:v>1.2517240297620915E-2</c:v>
                      </c:pt>
                      <c:pt idx="12">
                        <c:v>2.2566254890226341E-2</c:v>
                      </c:pt>
                      <c:pt idx="13">
                        <c:v>1.5574951031224795E-2</c:v>
                      </c:pt>
                      <c:pt idx="14">
                        <c:v>0.10170948266759421</c:v>
                      </c:pt>
                      <c:pt idx="15">
                        <c:v>-1.1076241462063873E-3</c:v>
                      </c:pt>
                      <c:pt idx="16">
                        <c:v>2.281730356078562E-2</c:v>
                      </c:pt>
                      <c:pt idx="17">
                        <c:v>1.3572238036174787E-2</c:v>
                      </c:pt>
                      <c:pt idx="18">
                        <c:v>5.3469463697666309E-4</c:v>
                      </c:pt>
                      <c:pt idx="19">
                        <c:v>9.1601454617136306E-3</c:v>
                      </c:pt>
                      <c:pt idx="20">
                        <c:v>1.0254255880279882E-2</c:v>
                      </c:pt>
                      <c:pt idx="21">
                        <c:v>4.5209886852481257E-3</c:v>
                      </c:pt>
                      <c:pt idx="22">
                        <c:v>2.6412974323089252E-2</c:v>
                      </c:pt>
                      <c:pt idx="23">
                        <c:v>4.1143345759307032E-3</c:v>
                      </c:pt>
                      <c:pt idx="24">
                        <c:v>1.2640249528192241E-2</c:v>
                      </c:pt>
                      <c:pt idx="25">
                        <c:v>1.3376740934963962E-2</c:v>
                      </c:pt>
                      <c:pt idx="26">
                        <c:v>2.4396369766082719E-2</c:v>
                      </c:pt>
                      <c:pt idx="27">
                        <c:v>1.8752946774228431E-2</c:v>
                      </c:pt>
                      <c:pt idx="28">
                        <c:v>1.7371920851565671E-2</c:v>
                      </c:pt>
                      <c:pt idx="29">
                        <c:v>1.54246428559971E-2</c:v>
                      </c:pt>
                      <c:pt idx="30">
                        <c:v>8.9604377540551169E-3</c:v>
                      </c:pt>
                      <c:pt idx="31">
                        <c:v>1.2790746932045542E-2</c:v>
                      </c:pt>
                      <c:pt idx="32">
                        <c:v>1.0249721139277759E-2</c:v>
                      </c:pt>
                      <c:pt idx="33">
                        <c:v>2.7622921107565465E-2</c:v>
                      </c:pt>
                      <c:pt idx="34">
                        <c:v>-1.2492975788128717E-2</c:v>
                      </c:pt>
                      <c:pt idx="35">
                        <c:v>2.1112103177565629E-2</c:v>
                      </c:pt>
                      <c:pt idx="36">
                        <c:v>1.514676445323037E-2</c:v>
                      </c:pt>
                      <c:pt idx="37">
                        <c:v>1.5777443900820264E-2</c:v>
                      </c:pt>
                      <c:pt idx="38">
                        <c:v>8.2824955826250359E-3</c:v>
                      </c:pt>
                      <c:pt idx="39">
                        <c:v>3.2772601130020847E-2</c:v>
                      </c:pt>
                      <c:pt idx="40">
                        <c:v>4.2293201923931246E-2</c:v>
                      </c:pt>
                      <c:pt idx="41">
                        <c:v>6.7004517872256059E-2</c:v>
                      </c:pt>
                      <c:pt idx="42">
                        <c:v>2.4083393857513624E-2</c:v>
                      </c:pt>
                      <c:pt idx="43">
                        <c:v>2.0973771123979176E-2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1D8-47A8-B5AA-842D775E3225}"/>
                  </c:ext>
                </c:extLst>
              </c15:ser>
            </c15:filteredLineSeries>
          </c:ext>
        </c:extLst>
      </c:lineChart>
      <c:dateAx>
        <c:axId val="3473574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99845311"/>
        <c:crosses val="autoZero"/>
        <c:auto val="1"/>
        <c:lblOffset val="100"/>
        <c:baseTimeUnit val="months"/>
      </c:dateAx>
      <c:valAx>
        <c:axId val="299845311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B2C-43BC-B454-BCEE5C184484}"/>
            </c:ext>
          </c:extLst>
        </c:ser>
        <c:ser>
          <c:idx val="1"/>
          <c:order val="1"/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Totals'!$AN$81:$AN$125</c:f>
              <c:numCache>
                <c:formatCode>#,##0</c:formatCode>
                <c:ptCount val="45"/>
                <c:pt idx="0">
                  <c:v>8269.494999999999</c:v>
                </c:pt>
                <c:pt idx="1">
                  <c:v>8575.8559999999998</c:v>
                </c:pt>
                <c:pt idx="2">
                  <c:v>8159.5599999999986</c:v>
                </c:pt>
                <c:pt idx="3">
                  <c:v>8355.7690000000002</c:v>
                </c:pt>
                <c:pt idx="4">
                  <c:v>9609.4089999999997</c:v>
                </c:pt>
                <c:pt idx="5">
                  <c:v>8618.5689999999995</c:v>
                </c:pt>
                <c:pt idx="6">
                  <c:v>9460.8809999999994</c:v>
                </c:pt>
                <c:pt idx="7">
                  <c:v>9748.7119999999995</c:v>
                </c:pt>
                <c:pt idx="8">
                  <c:v>6091.4870000000001</c:v>
                </c:pt>
                <c:pt idx="9">
                  <c:v>7515.1549999999997</c:v>
                </c:pt>
                <c:pt idx="10">
                  <c:v>8136.732</c:v>
                </c:pt>
                <c:pt idx="11">
                  <c:v>8544.1450000000004</c:v>
                </c:pt>
                <c:pt idx="12" formatCode="_-* #,##0_-;\-* #,##0_-;_-* &quot;-&quot;??_-;_-@_-">
                  <c:v>6315.357</c:v>
                </c:pt>
                <c:pt idx="13" formatCode="_-* #,##0_-;\-* #,##0_-;_-* &quot;-&quot;??_-;_-@_-">
                  <c:v>9087.7580000000016</c:v>
                </c:pt>
                <c:pt idx="14" formatCode="_-* #,##0_-;\-* #,##0_-;_-* &quot;-&quot;??_-;_-@_-">
                  <c:v>7852.0690000000004</c:v>
                </c:pt>
                <c:pt idx="15" formatCode="_-* #,##0_-;\-* #,##0_-;_-* &quot;-&quot;??_-;_-@_-">
                  <c:v>8179.0410000000002</c:v>
                </c:pt>
                <c:pt idx="16" formatCode="_-* #,##0_-;\-* #,##0_-;_-* &quot;-&quot;??_-;_-@_-">
                  <c:v>8543.8629999999994</c:v>
                </c:pt>
                <c:pt idx="17" formatCode="_-* #,##0_-;\-* #,##0_-;_-* &quot;-&quot;??_-;_-@_-">
                  <c:v>7726.2220000000007</c:v>
                </c:pt>
                <c:pt idx="18" formatCode="_-* #,##0_-;\-* #,##0_-;_-* &quot;-&quot;??_-;_-@_-">
                  <c:v>7970.4460000000008</c:v>
                </c:pt>
                <c:pt idx="19" formatCode="_-* #,##0_-;\-* #,##0_-;_-* &quot;-&quot;??_-;_-@_-">
                  <c:v>7625.1850000000004</c:v>
                </c:pt>
                <c:pt idx="20" formatCode="_-* #,##0_-;\-* #,##0_-;_-* &quot;-&quot;??_-;_-@_-">
                  <c:v>5470.2740000000003</c:v>
                </c:pt>
                <c:pt idx="21" formatCode="_-* #,##0_-;\-* #,##0_-;_-* &quot;-&quot;??_-;_-@_-">
                  <c:v>7737.16</c:v>
                </c:pt>
                <c:pt idx="22" formatCode="_-* #,##0_-;\-* #,##0_-;_-* &quot;-&quot;??_-;_-@_-">
                  <c:v>7124.28</c:v>
                </c:pt>
                <c:pt idx="23" formatCode="_-* #,##0_-;\-* #,##0_-;_-* &quot;-&quot;??_-;_-@_-">
                  <c:v>5700.5740000000005</c:v>
                </c:pt>
                <c:pt idx="24" formatCode="_-* #,##0_-;\-* #,##0_-;_-* &quot;-&quot;??_-;_-@_-">
                  <c:v>2996.288</c:v>
                </c:pt>
                <c:pt idx="25" formatCode="_-* #,##0_-;\-* #,##0_-;_-* &quot;-&quot;??_-;_-@_-">
                  <c:v>8154.9969999999994</c:v>
                </c:pt>
                <c:pt idx="26" formatCode="_-* #,##0_-;\-* #,##0_-;_-* &quot;-&quot;??_-;_-@_-">
                  <c:v>8968</c:v>
                </c:pt>
                <c:pt idx="27" formatCode="_-* #,##0_-;\-* #,##0_-;_-* &quot;-&quot;??_-;_-@_-">
                  <c:v>10438</c:v>
                </c:pt>
                <c:pt idx="28" formatCode="_-* #,##0_-;\-* #,##0_-;_-* &quot;-&quot;??_-;_-@_-">
                  <c:v>9155</c:v>
                </c:pt>
                <c:pt idx="29" formatCode="_-* #,##0_-;\-* #,##0_-;_-* &quot;-&quot;??_-;_-@_-">
                  <c:v>9603</c:v>
                </c:pt>
                <c:pt idx="30" formatCode="_-* #,##0_-;\-* #,##0_-;_-* &quot;-&quot;??_-;_-@_-">
                  <c:v>9571</c:v>
                </c:pt>
                <c:pt idx="31" formatCode="_-* #,##0_-;\-* #,##0_-;_-* &quot;-&quot;??_-;_-@_-">
                  <c:v>9935</c:v>
                </c:pt>
                <c:pt idx="32" formatCode="_-* #,##0_-;\-* #,##0_-;_-* &quot;-&quot;??_-;_-@_-">
                  <c:v>7227</c:v>
                </c:pt>
                <c:pt idx="33" formatCode="_-* #,##0_-;\-* #,##0_-;_-* &quot;-&quot;??_-;_-@_-">
                  <c:v>7664</c:v>
                </c:pt>
                <c:pt idx="34" formatCode="_-* #,##0_-;\-* #,##0_-;_-* &quot;-&quot;??_-;_-@_-">
                  <c:v>7342</c:v>
                </c:pt>
                <c:pt idx="35" formatCode="_-* #,##0_-;\-* #,##0_-;_-* &quot;-&quot;??_-;_-@_-">
                  <c:v>9653</c:v>
                </c:pt>
                <c:pt idx="36" formatCode="_-* #,##0_-;\-* #,##0_-;_-* &quot;-&quot;??_-;_-@_-">
                  <c:v>7946</c:v>
                </c:pt>
                <c:pt idx="37" formatCode="_-* #,##0_-;\-* #,##0_-;_-* &quot;-&quot;??_-;_-@_-">
                  <c:v>9093</c:v>
                </c:pt>
                <c:pt idx="38" formatCode="_-* #,##0_-;\-* #,##0_-;_-* &quot;-&quot;??_-;_-@_-">
                  <c:v>8666</c:v>
                </c:pt>
                <c:pt idx="39" formatCode="_-* #,##0_-;\-* #,##0_-;_-* &quot;-&quot;??_-;_-@_-">
                  <c:v>9861</c:v>
                </c:pt>
                <c:pt idx="40" formatCode="_-* #,##0_-;\-* #,##0_-;_-* &quot;-&quot;??_-;_-@_-">
                  <c:v>9369</c:v>
                </c:pt>
                <c:pt idx="41" formatCode="_-* #,##0_-;\-* #,##0_-;_-* &quot;-&quot;??_-;_-@_-">
                  <c:v>11329</c:v>
                </c:pt>
                <c:pt idx="42" formatCode="_-* #,##0_-;\-* #,##0_-;_-* &quot;-&quot;??_-;_-@_-">
                  <c:v>11659.727999999999</c:v>
                </c:pt>
                <c:pt idx="43" formatCode="_-* #,##0_-;\-* #,##0_-;_-* &quot;-&quot;??_-;_-@_-">
                  <c:v>11382.971</c:v>
                </c:pt>
                <c:pt idx="44" formatCode="_-* #,##0_-;\-* #,##0_-;_-* &quot;-&quot;??_-;_-@_-">
                  <c:v>13834.32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B2C-43BC-B454-BCEE5C184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cat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Algn val="ctr"/>
        <c:lblOffset val="100"/>
        <c:noMultiLvlLbl val="0"/>
      </c:catAx>
      <c:valAx>
        <c:axId val="223618303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9EE-4F5E-AB0B-A116927312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'Group Totals'!$BO$81:$BO$125</c:f>
              <c:numCache>
                <c:formatCode>_-"$"* #,##0_-;\-"$"* #,##0_-;_-"$"* "-"??_-;_-@_-</c:formatCode>
                <c:ptCount val="45"/>
                <c:pt idx="0">
                  <c:v>108.22185393424871</c:v>
                </c:pt>
                <c:pt idx="1">
                  <c:v>108.27909423852267</c:v>
                </c:pt>
                <c:pt idx="2">
                  <c:v>114.61806764090223</c:v>
                </c:pt>
                <c:pt idx="3">
                  <c:v>119.61460399395914</c:v>
                </c:pt>
                <c:pt idx="4">
                  <c:v>120.79265228485956</c:v>
                </c:pt>
                <c:pt idx="5">
                  <c:v>120.33331751477537</c:v>
                </c:pt>
                <c:pt idx="6">
                  <c:v>115.73470483351397</c:v>
                </c:pt>
                <c:pt idx="7">
                  <c:v>121.38328940274363</c:v>
                </c:pt>
                <c:pt idx="8">
                  <c:v>113.9222524812086</c:v>
                </c:pt>
                <c:pt idx="9">
                  <c:v>111.19295077746231</c:v>
                </c:pt>
                <c:pt idx="10">
                  <c:v>114.96990192131204</c:v>
                </c:pt>
                <c:pt idx="11">
                  <c:v>115.73024568286235</c:v>
                </c:pt>
                <c:pt idx="12">
                  <c:v>113.71692843334114</c:v>
                </c:pt>
                <c:pt idx="13">
                  <c:v>113.99643344376025</c:v>
                </c:pt>
                <c:pt idx="14">
                  <c:v>112.88540638142634</c:v>
                </c:pt>
                <c:pt idx="15">
                  <c:v>116.93057902509597</c:v>
                </c:pt>
                <c:pt idx="16">
                  <c:v>139.64116699904952</c:v>
                </c:pt>
                <c:pt idx="17">
                  <c:v>134.26251536650125</c:v>
                </c:pt>
                <c:pt idx="18">
                  <c:v>140.62224372387692</c:v>
                </c:pt>
                <c:pt idx="19">
                  <c:v>145.04592347595499</c:v>
                </c:pt>
                <c:pt idx="20">
                  <c:v>142.35795135673277</c:v>
                </c:pt>
                <c:pt idx="21">
                  <c:v>136.10006772510843</c:v>
                </c:pt>
                <c:pt idx="22">
                  <c:v>144.21892457904519</c:v>
                </c:pt>
                <c:pt idx="23">
                  <c:v>142.24550018998085</c:v>
                </c:pt>
                <c:pt idx="24">
                  <c:v>157.63104214281137</c:v>
                </c:pt>
                <c:pt idx="25">
                  <c:v>159.09496962414579</c:v>
                </c:pt>
                <c:pt idx="26">
                  <c:v>146.98951828724353</c:v>
                </c:pt>
                <c:pt idx="27">
                  <c:v>144.87095228971069</c:v>
                </c:pt>
                <c:pt idx="28">
                  <c:v>133.0578918623703</c:v>
                </c:pt>
                <c:pt idx="29">
                  <c:v>139.53858169322086</c:v>
                </c:pt>
                <c:pt idx="30">
                  <c:v>120.62532650715704</c:v>
                </c:pt>
                <c:pt idx="31">
                  <c:v>132.55339708102667</c:v>
                </c:pt>
                <c:pt idx="32">
                  <c:v>135.01784973017851</c:v>
                </c:pt>
                <c:pt idx="33">
                  <c:v>138.05819415448852</c:v>
                </c:pt>
                <c:pt idx="34">
                  <c:v>135.89907382184691</c:v>
                </c:pt>
                <c:pt idx="35">
                  <c:v>101.9140163679685</c:v>
                </c:pt>
                <c:pt idx="36">
                  <c:v>122.31185502139441</c:v>
                </c:pt>
                <c:pt idx="37">
                  <c:v>120.85252391949851</c:v>
                </c:pt>
                <c:pt idx="38">
                  <c:v>129.62935610431572</c:v>
                </c:pt>
                <c:pt idx="39">
                  <c:v>135.75773248149275</c:v>
                </c:pt>
                <c:pt idx="40">
                  <c:v>180.7039171736578</c:v>
                </c:pt>
                <c:pt idx="41">
                  <c:v>195.73501632977315</c:v>
                </c:pt>
                <c:pt idx="42">
                  <c:v>149.89466306589657</c:v>
                </c:pt>
                <c:pt idx="43">
                  <c:v>160.68898005626124</c:v>
                </c:pt>
                <c:pt idx="44">
                  <c:v>101.99605040218819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9EE-4F5E-AB0B-A11692731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cat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Algn val="ctr"/>
        <c:lblOffset val="100"/>
        <c:noMultiLvlLbl val="0"/>
      </c:catAx>
      <c:valAx>
        <c:axId val="223618303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917-4F3A-B3D2-BA54A64057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'Group Totals'!$BA$82:$BA$125</c:f>
              <c:numCache>
                <c:formatCode>_-"$"* #,##0_-;\-"$"* #,##0_-;_-"$"* "-"??_-;_-@_-</c:formatCode>
                <c:ptCount val="44"/>
                <c:pt idx="0">
                  <c:v>12218.235789473685</c:v>
                </c:pt>
                <c:pt idx="1">
                  <c:v>12305.697368421053</c:v>
                </c:pt>
                <c:pt idx="2">
                  <c:v>12980.155844155845</c:v>
                </c:pt>
                <c:pt idx="3">
                  <c:v>13984.89156626506</c:v>
                </c:pt>
                <c:pt idx="4">
                  <c:v>12201.188235294117</c:v>
                </c:pt>
                <c:pt idx="5">
                  <c:v>13192.196024096391</c:v>
                </c:pt>
                <c:pt idx="6">
                  <c:v>13446.940113636358</c:v>
                </c:pt>
                <c:pt idx="7">
                  <c:v>7625.8892307692304</c:v>
                </c:pt>
                <c:pt idx="8">
                  <c:v>10316.447654320986</c:v>
                </c:pt>
                <c:pt idx="9">
                  <c:v>10630.446363636378</c:v>
                </c:pt>
                <c:pt idx="10">
                  <c:v>12360.2</c:v>
                </c:pt>
                <c:pt idx="11">
                  <c:v>8866.2098765432092</c:v>
                </c:pt>
                <c:pt idx="12">
                  <c:v>12633.804878048781</c:v>
                </c:pt>
                <c:pt idx="13">
                  <c:v>10552.190476190477</c:v>
                </c:pt>
                <c:pt idx="14">
                  <c:v>12106.075949367088</c:v>
                </c:pt>
                <c:pt idx="15">
                  <c:v>14913.4375</c:v>
                </c:pt>
                <c:pt idx="16">
                  <c:v>13831.226666666667</c:v>
                </c:pt>
                <c:pt idx="17">
                  <c:v>14556.129870129869</c:v>
                </c:pt>
                <c:pt idx="18">
                  <c:v>14363.662337662337</c:v>
                </c:pt>
                <c:pt idx="19">
                  <c:v>10667.630136986301</c:v>
                </c:pt>
                <c:pt idx="20">
                  <c:v>15485.705882352941</c:v>
                </c:pt>
                <c:pt idx="21">
                  <c:v>15807.015384615384</c:v>
                </c:pt>
                <c:pt idx="22">
                  <c:v>12670.015625</c:v>
                </c:pt>
                <c:pt idx="23">
                  <c:v>7617.8709677419356</c:v>
                </c:pt>
                <c:pt idx="24">
                  <c:v>19657.863636363636</c:v>
                </c:pt>
                <c:pt idx="25">
                  <c:v>17119.506493506495</c:v>
                </c:pt>
                <c:pt idx="26">
                  <c:v>17790.152941176471</c:v>
                </c:pt>
                <c:pt idx="27">
                  <c:v>14676.445783132531</c:v>
                </c:pt>
                <c:pt idx="28">
                  <c:v>16144.445783132531</c:v>
                </c:pt>
                <c:pt idx="29">
                  <c:v>12971.966292134832</c:v>
                </c:pt>
                <c:pt idx="30">
                  <c:v>14632.422222222222</c:v>
                </c:pt>
                <c:pt idx="31">
                  <c:v>11215.793103448275</c:v>
                </c:pt>
                <c:pt idx="32">
                  <c:v>12903.390243902439</c:v>
                </c:pt>
                <c:pt idx="33">
                  <c:v>12791.935897435897</c:v>
                </c:pt>
                <c:pt idx="34">
                  <c:v>11053.662921348314</c:v>
                </c:pt>
                <c:pt idx="35">
                  <c:v>11171.149425287356</c:v>
                </c:pt>
                <c:pt idx="36">
                  <c:v>12347.325842696629</c:v>
                </c:pt>
                <c:pt idx="37">
                  <c:v>13062.418604651162</c:v>
                </c:pt>
                <c:pt idx="38">
                  <c:v>14091.652631578947</c:v>
                </c:pt>
                <c:pt idx="39">
                  <c:v>17275.663265306124</c:v>
                </c:pt>
                <c:pt idx="40">
                  <c:v>21955.267326732672</c:v>
                </c:pt>
                <c:pt idx="41">
                  <c:v>15745.324324324325</c:v>
                </c:pt>
                <c:pt idx="42">
                  <c:v>14289.984375</c:v>
                </c:pt>
                <c:pt idx="43">
                  <c:v>10771.343511450381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917-4F3A-B3D2-BA54A6405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cat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Algn val="ctr"/>
        <c:lblOffset val="100"/>
        <c:noMultiLvlLbl val="0"/>
      </c:catAx>
      <c:valAx>
        <c:axId val="223618303"/>
        <c:scaling>
          <c:orientation val="minMax"/>
          <c:max val="215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Totals'!$AF$82:$AF$113</c:f>
              <c:numCache>
                <c:formatCode>General</c:formatCode>
                <c:ptCount val="32"/>
                <c:pt idx="0">
                  <c:v>76</c:v>
                </c:pt>
                <c:pt idx="1">
                  <c:v>76</c:v>
                </c:pt>
                <c:pt idx="2">
                  <c:v>77</c:v>
                </c:pt>
                <c:pt idx="3">
                  <c:v>83</c:v>
                </c:pt>
                <c:pt idx="4">
                  <c:v>85</c:v>
                </c:pt>
                <c:pt idx="5">
                  <c:v>83</c:v>
                </c:pt>
                <c:pt idx="6">
                  <c:v>88</c:v>
                </c:pt>
                <c:pt idx="7">
                  <c:v>91</c:v>
                </c:pt>
                <c:pt idx="8">
                  <c:v>81</c:v>
                </c:pt>
                <c:pt idx="9">
                  <c:v>88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84</c:v>
                </c:pt>
                <c:pt idx="14">
                  <c:v>79</c:v>
                </c:pt>
                <c:pt idx="15">
                  <c:v>80</c:v>
                </c:pt>
                <c:pt idx="16">
                  <c:v>75</c:v>
                </c:pt>
                <c:pt idx="17">
                  <c:v>77</c:v>
                </c:pt>
                <c:pt idx="18">
                  <c:v>77</c:v>
                </c:pt>
                <c:pt idx="19">
                  <c:v>73</c:v>
                </c:pt>
                <c:pt idx="20">
                  <c:v>68</c:v>
                </c:pt>
                <c:pt idx="21">
                  <c:v>65</c:v>
                </c:pt>
                <c:pt idx="22">
                  <c:v>64</c:v>
                </c:pt>
                <c:pt idx="23">
                  <c:v>62</c:v>
                </c:pt>
                <c:pt idx="24">
                  <c:v>66</c:v>
                </c:pt>
                <c:pt idx="25">
                  <c:v>77</c:v>
                </c:pt>
                <c:pt idx="26">
                  <c:v>85</c:v>
                </c:pt>
                <c:pt idx="27">
                  <c:v>83</c:v>
                </c:pt>
                <c:pt idx="28">
                  <c:v>83</c:v>
                </c:pt>
                <c:pt idx="29">
                  <c:v>89</c:v>
                </c:pt>
                <c:pt idx="30">
                  <c:v>90</c:v>
                </c:pt>
                <c:pt idx="31">
                  <c:v>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2D3-4221-8724-2A84B7452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('Group Totals'!$A$3,'Group Totals'!$AE$114:$AE$125)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136</c:v>
                      </c:pt>
                      <c:pt idx="2">
                        <c:v>132</c:v>
                      </c:pt>
                      <c:pt idx="3">
                        <c:v>138</c:v>
                      </c:pt>
                      <c:pt idx="4">
                        <c:v>136</c:v>
                      </c:pt>
                      <c:pt idx="5">
                        <c:v>140</c:v>
                      </c:pt>
                      <c:pt idx="6">
                        <c:v>138</c:v>
                      </c:pt>
                      <c:pt idx="7">
                        <c:v>147</c:v>
                      </c:pt>
                      <c:pt idx="8">
                        <c:v>152</c:v>
                      </c:pt>
                      <c:pt idx="9">
                        <c:v>154</c:v>
                      </c:pt>
                      <c:pt idx="10">
                        <c:v>173</c:v>
                      </c:pt>
                      <c:pt idx="11">
                        <c:v>185</c:v>
                      </c:pt>
                      <c:pt idx="12">
                        <c:v>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2D3-4221-8724-2A84B745261B}"/>
                  </c:ext>
                </c:extLst>
              </c15:ser>
            </c15:filteredLineSeries>
          </c:ext>
        </c:extLst>
      </c:lineChart>
      <c:cat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Algn val="ctr"/>
        <c:lblOffset val="100"/>
        <c:noMultiLvlLbl val="0"/>
      </c:catAx>
      <c:valAx>
        <c:axId val="223618303"/>
        <c:scaling>
          <c:orientation val="minMax"/>
          <c:max val="110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BE6-4B15-AC35-09A858FB3078}"/>
            </c:ext>
          </c:extLst>
        </c:ser>
        <c:ser>
          <c:idx val="1"/>
          <c:order val="1"/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'Group Totals'!$D$4:$D$125</c:f>
              <c:numCache>
                <c:formatCode>0.0%</c:formatCode>
                <c:ptCount val="122"/>
                <c:pt idx="0">
                  <c:v>2.2492704107053882E-2</c:v>
                </c:pt>
                <c:pt idx="1">
                  <c:v>3.0339866038203919E-2</c:v>
                </c:pt>
                <c:pt idx="2">
                  <c:v>3.1405048797775476E-2</c:v>
                </c:pt>
                <c:pt idx="3">
                  <c:v>3.314198239571374E-2</c:v>
                </c:pt>
                <c:pt idx="4">
                  <c:v>2.765523243600132E-2</c:v>
                </c:pt>
                <c:pt idx="5">
                  <c:v>3.0338536217935305E-2</c:v>
                </c:pt>
                <c:pt idx="6">
                  <c:v>2.8953156822810591E-2</c:v>
                </c:pt>
                <c:pt idx="7">
                  <c:v>3.6192807068486335E-2</c:v>
                </c:pt>
                <c:pt idx="8">
                  <c:v>2.9075198505371321E-2</c:v>
                </c:pt>
                <c:pt idx="9">
                  <c:v>3.2929399367755532E-2</c:v>
                </c:pt>
                <c:pt idx="10">
                  <c:v>3.065529202212431E-2</c:v>
                </c:pt>
                <c:pt idx="11">
                  <c:v>2.980200506976638E-2</c:v>
                </c:pt>
                <c:pt idx="12">
                  <c:v>2.5634868223569671E-2</c:v>
                </c:pt>
                <c:pt idx="13">
                  <c:v>2.128765866340419E-2</c:v>
                </c:pt>
                <c:pt idx="14">
                  <c:v>2.6512013256006627E-2</c:v>
                </c:pt>
                <c:pt idx="15">
                  <c:v>3.1085897462935233E-2</c:v>
                </c:pt>
                <c:pt idx="16">
                  <c:v>2.7988002304193235E-2</c:v>
                </c:pt>
                <c:pt idx="17">
                  <c:v>2.756850456697113E-2</c:v>
                </c:pt>
                <c:pt idx="18">
                  <c:v>2.4083298418757663E-2</c:v>
                </c:pt>
                <c:pt idx="19">
                  <c:v>3.100718235088815E-2</c:v>
                </c:pt>
                <c:pt idx="20">
                  <c:v>3.8015677326758181E-2</c:v>
                </c:pt>
                <c:pt idx="21">
                  <c:v>2.0715214883538276E-2</c:v>
                </c:pt>
                <c:pt idx="22">
                  <c:v>2.2338049143708117E-2</c:v>
                </c:pt>
                <c:pt idx="23">
                  <c:v>2.407615887499753E-2</c:v>
                </c:pt>
                <c:pt idx="24">
                  <c:v>2.762117440328013E-2</c:v>
                </c:pt>
                <c:pt idx="25">
                  <c:v>2.3301011893444874E-2</c:v>
                </c:pt>
                <c:pt idx="26">
                  <c:v>2.2562979189485213E-2</c:v>
                </c:pt>
                <c:pt idx="27">
                  <c:v>2.6610340130682829E-2</c:v>
                </c:pt>
                <c:pt idx="28">
                  <c:v>2.0243780739895929E-2</c:v>
                </c:pt>
                <c:pt idx="29">
                  <c:v>2.4810022591907989E-2</c:v>
                </c:pt>
                <c:pt idx="30">
                  <c:v>2.2174840085287847E-2</c:v>
                </c:pt>
                <c:pt idx="31">
                  <c:v>2.3064941289240356E-2</c:v>
                </c:pt>
                <c:pt idx="32">
                  <c:v>2.4334085066788625E-2</c:v>
                </c:pt>
                <c:pt idx="33">
                  <c:v>2.1590986918704199E-2</c:v>
                </c:pt>
                <c:pt idx="34">
                  <c:v>1.9401337575482111E-2</c:v>
                </c:pt>
                <c:pt idx="35">
                  <c:v>2.1324876673713883E-2</c:v>
                </c:pt>
                <c:pt idx="36">
                  <c:v>2.5403961868703941E-2</c:v>
                </c:pt>
                <c:pt idx="37">
                  <c:v>2.3793395427603725E-2</c:v>
                </c:pt>
                <c:pt idx="38">
                  <c:v>3.2577724308237827E-2</c:v>
                </c:pt>
                <c:pt idx="39">
                  <c:v>2.6259946949602122E-2</c:v>
                </c:pt>
                <c:pt idx="40">
                  <c:v>2.3097852682678569E-2</c:v>
                </c:pt>
                <c:pt idx="41">
                  <c:v>2.3541036968146942E-2</c:v>
                </c:pt>
                <c:pt idx="42">
                  <c:v>2.4424369094709204E-2</c:v>
                </c:pt>
                <c:pt idx="43">
                  <c:v>2.64595537418548E-2</c:v>
                </c:pt>
                <c:pt idx="44">
                  <c:v>2.0500908907291455E-2</c:v>
                </c:pt>
                <c:pt idx="45">
                  <c:v>2.1501081710767183E-2</c:v>
                </c:pt>
                <c:pt idx="46">
                  <c:v>1.7512093256852844E-2</c:v>
                </c:pt>
                <c:pt idx="47">
                  <c:v>2.1912612152600482E-2</c:v>
                </c:pt>
                <c:pt idx="48">
                  <c:v>2.7050506260859145E-2</c:v>
                </c:pt>
                <c:pt idx="49">
                  <c:v>2.5598497262299669E-2</c:v>
                </c:pt>
                <c:pt idx="50">
                  <c:v>3.1265570503238665E-2</c:v>
                </c:pt>
                <c:pt idx="51">
                  <c:v>2.5882940701740902E-2</c:v>
                </c:pt>
                <c:pt idx="52">
                  <c:v>2.2548329815391833E-2</c:v>
                </c:pt>
                <c:pt idx="53">
                  <c:v>2.6400896235388615E-2</c:v>
                </c:pt>
                <c:pt idx="54">
                  <c:v>2.7091527820745129E-2</c:v>
                </c:pt>
                <c:pt idx="55">
                  <c:v>2.1182738412360149E-2</c:v>
                </c:pt>
                <c:pt idx="56">
                  <c:v>2.1515318551183344E-2</c:v>
                </c:pt>
                <c:pt idx="57">
                  <c:v>2.1487010436059918E-2</c:v>
                </c:pt>
                <c:pt idx="58">
                  <c:v>2.0445437457885591E-2</c:v>
                </c:pt>
                <c:pt idx="59">
                  <c:v>1.8639595273711281E-2</c:v>
                </c:pt>
                <c:pt idx="60">
                  <c:v>1.6694541126128164E-2</c:v>
                </c:pt>
                <c:pt idx="61">
                  <c:v>1.8600722462843486E-2</c:v>
                </c:pt>
                <c:pt idx="62">
                  <c:v>1.6788620057326994E-2</c:v>
                </c:pt>
                <c:pt idx="63">
                  <c:v>2.055094627637772E-2</c:v>
                </c:pt>
                <c:pt idx="64">
                  <c:v>2.2936499633852914E-2</c:v>
                </c:pt>
                <c:pt idx="65">
                  <c:v>2.1741631197515241E-2</c:v>
                </c:pt>
                <c:pt idx="66">
                  <c:v>2.075521637478495E-2</c:v>
                </c:pt>
                <c:pt idx="67">
                  <c:v>2.3638660770688567E-2</c:v>
                </c:pt>
                <c:pt idx="68">
                  <c:v>2.4494786627969473E-2</c:v>
                </c:pt>
                <c:pt idx="69">
                  <c:v>2.0588694043984938E-2</c:v>
                </c:pt>
                <c:pt idx="70">
                  <c:v>2.084175004158844E-2</c:v>
                </c:pt>
                <c:pt idx="71">
                  <c:v>2.4229792981393942E-2</c:v>
                </c:pt>
                <c:pt idx="72">
                  <c:v>3.0209274838350831E-2</c:v>
                </c:pt>
                <c:pt idx="73">
                  <c:v>2.2037603847835593E-2</c:v>
                </c:pt>
                <c:pt idx="74">
                  <c:v>2.0933311269237132E-2</c:v>
                </c:pt>
                <c:pt idx="75">
                  <c:v>1.9228498907974737E-2</c:v>
                </c:pt>
                <c:pt idx="76">
                  <c:v>2.0371472178389426E-2</c:v>
                </c:pt>
                <c:pt idx="77">
                  <c:v>2.0427280693802313E-2</c:v>
                </c:pt>
                <c:pt idx="78">
                  <c:v>1.8405070676532208E-2</c:v>
                </c:pt>
                <c:pt idx="79">
                  <c:v>2.1554821094984911E-2</c:v>
                </c:pt>
                <c:pt idx="80">
                  <c:v>2.4609650152617984E-2</c:v>
                </c:pt>
                <c:pt idx="81">
                  <c:v>2.3027611646313076E-2</c:v>
                </c:pt>
                <c:pt idx="82">
                  <c:v>2.6857302344463613E-2</c:v>
                </c:pt>
                <c:pt idx="83">
                  <c:v>2.2244893172916815E-2</c:v>
                </c:pt>
                <c:pt idx="84">
                  <c:v>2.1127049600853702E-2</c:v>
                </c:pt>
                <c:pt idx="85">
                  <c:v>2.0957937452127574E-2</c:v>
                </c:pt>
                <c:pt idx="86">
                  <c:v>3.4747829189960749E-2</c:v>
                </c:pt>
                <c:pt idx="87">
                  <c:v>2.6055958761829045E-2</c:v>
                </c:pt>
                <c:pt idx="88">
                  <c:v>2.7011567306470065E-2</c:v>
                </c:pt>
                <c:pt idx="89">
                  <c:v>2.6482294920790982E-2</c:v>
                </c:pt>
                <c:pt idx="90">
                  <c:v>2.8736564121571533E-2</c:v>
                </c:pt>
                <c:pt idx="91">
                  <c:v>2.3326293848221387E-2</c:v>
                </c:pt>
                <c:pt idx="92">
                  <c:v>2.1149608968305852E-2</c:v>
                </c:pt>
                <c:pt idx="93">
                  <c:v>1.9379532170484545E-2</c:v>
                </c:pt>
                <c:pt idx="94">
                  <c:v>1.9389788293897883E-2</c:v>
                </c:pt>
                <c:pt idx="95">
                  <c:v>1.4892860318307104E-2</c:v>
                </c:pt>
                <c:pt idx="96">
                  <c:v>1.3026063603915852E-2</c:v>
                </c:pt>
                <c:pt idx="97">
                  <c:v>1.4672883810493817E-2</c:v>
                </c:pt>
                <c:pt idx="98">
                  <c:v>1.4122285418821096E-2</c:v>
                </c:pt>
                <c:pt idx="99">
                  <c:v>1.5842025263378585E-2</c:v>
                </c:pt>
                <c:pt idx="100">
                  <c:v>1.3826893307483054E-2</c:v>
                </c:pt>
                <c:pt idx="101">
                  <c:v>1.2087570035277028E-2</c:v>
                </c:pt>
                <c:pt idx="102">
                  <c:v>1.4998972673104582E-2</c:v>
                </c:pt>
                <c:pt idx="103">
                  <c:v>1.4168587297389202E-2</c:v>
                </c:pt>
                <c:pt idx="104">
                  <c:v>1.8040758751252831E-2</c:v>
                </c:pt>
                <c:pt idx="105">
                  <c:v>1.7308183362383843E-2</c:v>
                </c:pt>
                <c:pt idx="106">
                  <c:v>1.6293841480254073E-2</c:v>
                </c:pt>
                <c:pt idx="107">
                  <c:v>1.6424589125717669E-2</c:v>
                </c:pt>
                <c:pt idx="108">
                  <c:v>1.7634400031881402E-2</c:v>
                </c:pt>
                <c:pt idx="109">
                  <c:v>1.50099164613258E-2</c:v>
                </c:pt>
                <c:pt idx="110">
                  <c:v>1.747552647295578E-2</c:v>
                </c:pt>
                <c:pt idx="111">
                  <c:v>1.4509736797061187E-2</c:v>
                </c:pt>
                <c:pt idx="112">
                  <c:v>2.0372046254399194E-2</c:v>
                </c:pt>
                <c:pt idx="113">
                  <c:v>1.8301285400773332E-2</c:v>
                </c:pt>
                <c:pt idx="114">
                  <c:v>1.5188890171832848E-2</c:v>
                </c:pt>
                <c:pt idx="115">
                  <c:v>1.8265325399074335E-2</c:v>
                </c:pt>
                <c:pt idx="116">
                  <c:v>1.8712666097769108E-2</c:v>
                </c:pt>
                <c:pt idx="117">
                  <c:v>1.9550868820597686E-2</c:v>
                </c:pt>
                <c:pt idx="118">
                  <c:v>2.0741444254853351E-2</c:v>
                </c:pt>
                <c:pt idx="119">
                  <c:v>1.6710601719197707E-2</c:v>
                </c:pt>
                <c:pt idx="120">
                  <c:v>1.7921724611427357E-2</c:v>
                </c:pt>
                <c:pt idx="121">
                  <c:v>2.0405608412618927E-2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BE6-4B15-AC35-09A858FB3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cat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Algn val="ctr"/>
        <c:lblOffset val="100"/>
        <c:noMultiLvlLbl val="0"/>
      </c:catAx>
      <c:valAx>
        <c:axId val="223618303"/>
        <c:scaling>
          <c:orientation val="minMax"/>
          <c:max val="4.0000000000000008E-2"/>
          <c:min val="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423-407E-879A-23463D3AFB8B}"/>
            </c:ext>
          </c:extLst>
        </c:ser>
        <c:ser>
          <c:idx val="1"/>
          <c:order val="1"/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'Group Totals'!$B$4:$B$125</c:f>
              <c:numCache>
                <c:formatCode>_-* #,##0_-;\-* #,##0_-;_-* "-"??_-;_-@_-</c:formatCode>
                <c:ptCount val="122"/>
                <c:pt idx="0">
                  <c:v>56196</c:v>
                </c:pt>
                <c:pt idx="1">
                  <c:v>40310</c:v>
                </c:pt>
                <c:pt idx="2">
                  <c:v>36682</c:v>
                </c:pt>
                <c:pt idx="3">
                  <c:v>52260</c:v>
                </c:pt>
                <c:pt idx="4">
                  <c:v>66642</c:v>
                </c:pt>
                <c:pt idx="5">
                  <c:v>47794</c:v>
                </c:pt>
                <c:pt idx="6">
                  <c:v>61375</c:v>
                </c:pt>
                <c:pt idx="7">
                  <c:v>48214</c:v>
                </c:pt>
                <c:pt idx="8">
                  <c:v>51384</c:v>
                </c:pt>
                <c:pt idx="9">
                  <c:v>49348</c:v>
                </c:pt>
                <c:pt idx="10">
                  <c:v>42668</c:v>
                </c:pt>
                <c:pt idx="11">
                  <c:v>43789</c:v>
                </c:pt>
                <c:pt idx="12">
                  <c:v>49971</c:v>
                </c:pt>
                <c:pt idx="13">
                  <c:v>32695</c:v>
                </c:pt>
                <c:pt idx="14">
                  <c:v>32589</c:v>
                </c:pt>
                <c:pt idx="15">
                  <c:v>47417</c:v>
                </c:pt>
                <c:pt idx="16">
                  <c:v>50343</c:v>
                </c:pt>
                <c:pt idx="17">
                  <c:v>59996</c:v>
                </c:pt>
                <c:pt idx="18">
                  <c:v>64443</c:v>
                </c:pt>
                <c:pt idx="19">
                  <c:v>54439</c:v>
                </c:pt>
                <c:pt idx="20">
                  <c:v>54346</c:v>
                </c:pt>
                <c:pt idx="21">
                  <c:v>40743</c:v>
                </c:pt>
                <c:pt idx="22">
                  <c:v>40290</c:v>
                </c:pt>
                <c:pt idx="23">
                  <c:v>50631</c:v>
                </c:pt>
                <c:pt idx="24">
                  <c:v>54632</c:v>
                </c:pt>
                <c:pt idx="25">
                  <c:v>47337</c:v>
                </c:pt>
                <c:pt idx="26">
                  <c:v>41085</c:v>
                </c:pt>
                <c:pt idx="27">
                  <c:v>50657</c:v>
                </c:pt>
                <c:pt idx="28">
                  <c:v>56116</c:v>
                </c:pt>
                <c:pt idx="29">
                  <c:v>48690</c:v>
                </c:pt>
                <c:pt idx="30">
                  <c:v>65660</c:v>
                </c:pt>
                <c:pt idx="31">
                  <c:v>66768</c:v>
                </c:pt>
                <c:pt idx="32">
                  <c:v>63409</c:v>
                </c:pt>
                <c:pt idx="33">
                  <c:v>58404</c:v>
                </c:pt>
                <c:pt idx="34">
                  <c:v>77005</c:v>
                </c:pt>
                <c:pt idx="35">
                  <c:v>70950</c:v>
                </c:pt>
                <c:pt idx="36">
                  <c:v>59164</c:v>
                </c:pt>
                <c:pt idx="37">
                  <c:v>47240</c:v>
                </c:pt>
                <c:pt idx="38">
                  <c:v>31586</c:v>
                </c:pt>
                <c:pt idx="39">
                  <c:v>49010</c:v>
                </c:pt>
                <c:pt idx="40">
                  <c:v>51087</c:v>
                </c:pt>
                <c:pt idx="41">
                  <c:v>51612</c:v>
                </c:pt>
                <c:pt idx="42">
                  <c:v>57893</c:v>
                </c:pt>
                <c:pt idx="43">
                  <c:v>60772</c:v>
                </c:pt>
                <c:pt idx="44">
                  <c:v>59412</c:v>
                </c:pt>
                <c:pt idx="45">
                  <c:v>60090</c:v>
                </c:pt>
                <c:pt idx="46">
                  <c:v>75662</c:v>
                </c:pt>
                <c:pt idx="47">
                  <c:v>68545</c:v>
                </c:pt>
                <c:pt idx="48">
                  <c:v>66764</c:v>
                </c:pt>
                <c:pt idx="49">
                  <c:v>50042</c:v>
                </c:pt>
                <c:pt idx="50">
                  <c:v>48168</c:v>
                </c:pt>
                <c:pt idx="51">
                  <c:v>52042</c:v>
                </c:pt>
                <c:pt idx="52">
                  <c:v>59694</c:v>
                </c:pt>
                <c:pt idx="53">
                  <c:v>47309</c:v>
                </c:pt>
                <c:pt idx="54">
                  <c:v>45254</c:v>
                </c:pt>
                <c:pt idx="55">
                  <c:v>46925</c:v>
                </c:pt>
                <c:pt idx="56">
                  <c:v>56239</c:v>
                </c:pt>
                <c:pt idx="57">
                  <c:v>58547</c:v>
                </c:pt>
                <c:pt idx="58">
                  <c:v>56394</c:v>
                </c:pt>
                <c:pt idx="59">
                  <c:v>59497</c:v>
                </c:pt>
                <c:pt idx="60">
                  <c:v>66369</c:v>
                </c:pt>
                <c:pt idx="61">
                  <c:v>55643</c:v>
                </c:pt>
                <c:pt idx="62">
                  <c:v>56169</c:v>
                </c:pt>
                <c:pt idx="63">
                  <c:v>70751</c:v>
                </c:pt>
                <c:pt idx="64">
                  <c:v>76472</c:v>
                </c:pt>
                <c:pt idx="65">
                  <c:v>60851</c:v>
                </c:pt>
                <c:pt idx="66">
                  <c:v>90676</c:v>
                </c:pt>
                <c:pt idx="67">
                  <c:v>79150</c:v>
                </c:pt>
                <c:pt idx="68">
                  <c:v>74424</c:v>
                </c:pt>
                <c:pt idx="69">
                  <c:v>89758</c:v>
                </c:pt>
                <c:pt idx="70">
                  <c:v>84158</c:v>
                </c:pt>
                <c:pt idx="71">
                  <c:v>85886</c:v>
                </c:pt>
                <c:pt idx="72">
                  <c:v>86298</c:v>
                </c:pt>
                <c:pt idx="73">
                  <c:v>57175</c:v>
                </c:pt>
                <c:pt idx="74">
                  <c:v>60430</c:v>
                </c:pt>
                <c:pt idx="75">
                  <c:v>67764</c:v>
                </c:pt>
                <c:pt idx="76">
                  <c:v>77314</c:v>
                </c:pt>
                <c:pt idx="77">
                  <c:v>66186</c:v>
                </c:pt>
                <c:pt idx="78">
                  <c:v>75414</c:v>
                </c:pt>
                <c:pt idx="79">
                  <c:v>69590</c:v>
                </c:pt>
                <c:pt idx="80">
                  <c:v>68144</c:v>
                </c:pt>
                <c:pt idx="81">
                  <c:v>83769</c:v>
                </c:pt>
                <c:pt idx="82">
                  <c:v>78824</c:v>
                </c:pt>
                <c:pt idx="83">
                  <c:v>85278</c:v>
                </c:pt>
                <c:pt idx="84">
                  <c:v>97458</c:v>
                </c:pt>
                <c:pt idx="85">
                  <c:v>61361</c:v>
                </c:pt>
                <c:pt idx="86">
                  <c:v>67256</c:v>
                </c:pt>
                <c:pt idx="87">
                  <c:v>77986</c:v>
                </c:pt>
                <c:pt idx="88">
                  <c:v>78670</c:v>
                </c:pt>
                <c:pt idx="89">
                  <c:v>63061</c:v>
                </c:pt>
                <c:pt idx="90">
                  <c:v>86336</c:v>
                </c:pt>
                <c:pt idx="91">
                  <c:v>72922</c:v>
                </c:pt>
                <c:pt idx="92">
                  <c:v>82602</c:v>
                </c:pt>
                <c:pt idx="93">
                  <c:v>86741</c:v>
                </c:pt>
                <c:pt idx="94">
                  <c:v>80300</c:v>
                </c:pt>
                <c:pt idx="95">
                  <c:v>89976</c:v>
                </c:pt>
                <c:pt idx="96">
                  <c:v>87133</c:v>
                </c:pt>
                <c:pt idx="97">
                  <c:v>62837</c:v>
                </c:pt>
                <c:pt idx="98">
                  <c:v>92832</c:v>
                </c:pt>
                <c:pt idx="99">
                  <c:v>76316</c:v>
                </c:pt>
                <c:pt idx="100">
                  <c:v>66537</c:v>
                </c:pt>
                <c:pt idx="101">
                  <c:v>38552</c:v>
                </c:pt>
                <c:pt idx="102">
                  <c:v>87606</c:v>
                </c:pt>
                <c:pt idx="103">
                  <c:v>105868</c:v>
                </c:pt>
                <c:pt idx="104">
                  <c:v>107756</c:v>
                </c:pt>
                <c:pt idx="105">
                  <c:v>90073</c:v>
                </c:pt>
                <c:pt idx="106">
                  <c:v>97767</c:v>
                </c:pt>
                <c:pt idx="107">
                  <c:v>96319</c:v>
                </c:pt>
                <c:pt idx="108">
                  <c:v>100372</c:v>
                </c:pt>
                <c:pt idx="109">
                  <c:v>66556</c:v>
                </c:pt>
                <c:pt idx="110">
                  <c:v>77022</c:v>
                </c:pt>
                <c:pt idx="111">
                  <c:v>75949</c:v>
                </c:pt>
                <c:pt idx="112">
                  <c:v>99450</c:v>
                </c:pt>
                <c:pt idx="113">
                  <c:v>76552</c:v>
                </c:pt>
                <c:pt idx="114">
                  <c:v>95267</c:v>
                </c:pt>
                <c:pt idx="115">
                  <c:v>84696</c:v>
                </c:pt>
                <c:pt idx="116">
                  <c:v>98436</c:v>
                </c:pt>
                <c:pt idx="117">
                  <c:v>103934</c:v>
                </c:pt>
                <c:pt idx="118">
                  <c:v>124244</c:v>
                </c:pt>
                <c:pt idx="119">
                  <c:v>130875</c:v>
                </c:pt>
                <c:pt idx="120">
                  <c:v>155119</c:v>
                </c:pt>
                <c:pt idx="121">
                  <c:v>119820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423-407E-879A-23463D3AF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cat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Algn val="ctr"/>
        <c:lblOffset val="100"/>
        <c:noMultiLvlLbl val="0"/>
      </c:catAx>
      <c:valAx>
        <c:axId val="223618303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F5E-4580-B0F3-DC26DC240338}"/>
            </c:ext>
          </c:extLst>
        </c:ser>
        <c:ser>
          <c:idx val="1"/>
          <c:order val="1"/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dPt>
            <c:idx val="10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97F-4EE5-A811-15FBD83997D3}"/>
              </c:ext>
            </c:extLst>
          </c:dPt>
          <c:val>
            <c:numRef>
              <c:f>'Group Totals'!$H$4:$H$125</c:f>
              <c:numCache>
                <c:formatCode>0.0%</c:formatCode>
                <c:ptCount val="122"/>
                <c:pt idx="50">
                  <c:v>4.0712962962965171E-3</c:v>
                </c:pt>
                <c:pt idx="51">
                  <c:v>6.5705353368431599E-3</c:v>
                </c:pt>
                <c:pt idx="52">
                  <c:v>2.1627552182798614E-2</c:v>
                </c:pt>
                <c:pt idx="53">
                  <c:v>7.4189054936692374E-3</c:v>
                </c:pt>
                <c:pt idx="54">
                  <c:v>6.180586246519644E-2</c:v>
                </c:pt>
                <c:pt idx="55">
                  <c:v>4.5068187533297804E-2</c:v>
                </c:pt>
                <c:pt idx="56">
                  <c:v>-2.6582976224327759E-6</c:v>
                </c:pt>
                <c:pt idx="57">
                  <c:v>0.11841768835294733</c:v>
                </c:pt>
                <c:pt idx="59">
                  <c:v>4.8016614283072911E-2</c:v>
                </c:pt>
                <c:pt idx="60">
                  <c:v>4.535419096264854E-2</c:v>
                </c:pt>
                <c:pt idx="62">
                  <c:v>8.1076292972992639E-2</c:v>
                </c:pt>
                <c:pt idx="63">
                  <c:v>5.3145689813571421E-2</c:v>
                </c:pt>
                <c:pt idx="64">
                  <c:v>3.8235839261428928E-2</c:v>
                </c:pt>
                <c:pt idx="65">
                  <c:v>4.5180868021889274E-3</c:v>
                </c:pt>
                <c:pt idx="66">
                  <c:v>3.8696470951519624E-2</c:v>
                </c:pt>
                <c:pt idx="67">
                  <c:v>4.6542042956411712E-2</c:v>
                </c:pt>
                <c:pt idx="68">
                  <c:v>6.1256653767601893E-2</c:v>
                </c:pt>
                <c:pt idx="69">
                  <c:v>4.8895800931393181E-2</c:v>
                </c:pt>
                <c:pt idx="70">
                  <c:v>4.1454442833716645E-3</c:v>
                </c:pt>
                <c:pt idx="71">
                  <c:v>4.4896396385906923E-2</c:v>
                </c:pt>
                <c:pt idx="73">
                  <c:v>4.3705133362482752E-3</c:v>
                </c:pt>
                <c:pt idx="74">
                  <c:v>8.5421605162998696E-2</c:v>
                </c:pt>
                <c:pt idx="75">
                  <c:v>5.5018298801723341E-3</c:v>
                </c:pt>
                <c:pt idx="76">
                  <c:v>6.1569935587345477E-3</c:v>
                </c:pt>
                <c:pt idx="77">
                  <c:v>9.2291844196656647E-3</c:v>
                </c:pt>
                <c:pt idx="78">
                  <c:v>3.8931251491765441E-2</c:v>
                </c:pt>
                <c:pt idx="79">
                  <c:v>4.3081175456244902E-3</c:v>
                </c:pt>
                <c:pt idx="80">
                  <c:v>5.1627358241371074E-2</c:v>
                </c:pt>
                <c:pt idx="81">
                  <c:v>4.6770686053313457E-2</c:v>
                </c:pt>
                <c:pt idx="82">
                  <c:v>4.4001319395105924E-3</c:v>
                </c:pt>
                <c:pt idx="84">
                  <c:v>1.044875741344993E-3</c:v>
                </c:pt>
                <c:pt idx="85">
                  <c:v>2.9163784814460122E-3</c:v>
                </c:pt>
                <c:pt idx="88">
                  <c:v>5.0507181899438203E-5</c:v>
                </c:pt>
                <c:pt idx="91">
                  <c:v>3.0146732124724379E-4</c:v>
                </c:pt>
                <c:pt idx="92">
                  <c:v>1.89729425437625E-3</c:v>
                </c:pt>
                <c:pt idx="93">
                  <c:v>6.0030977277182908E-3</c:v>
                </c:pt>
                <c:pt idx="94">
                  <c:v>2.9562367372353779E-2</c:v>
                </c:pt>
                <c:pt idx="95">
                  <c:v>1.0223245087578721E-2</c:v>
                </c:pt>
                <c:pt idx="96">
                  <c:v>9.5897306416627276E-3</c:v>
                </c:pt>
                <c:pt idx="97">
                  <c:v>1.002768750895199E-2</c:v>
                </c:pt>
                <c:pt idx="98">
                  <c:v>7.6344105480868948E-3</c:v>
                </c:pt>
                <c:pt idx="99">
                  <c:v>1.0026799098485188E-2</c:v>
                </c:pt>
                <c:pt idx="100">
                  <c:v>9.2266002374619595E-3</c:v>
                </c:pt>
                <c:pt idx="101">
                  <c:v>1.0577204814276842E-2</c:v>
                </c:pt>
                <c:pt idx="102">
                  <c:v>9.4763121247401945E-3</c:v>
                </c:pt>
                <c:pt idx="103">
                  <c:v>9.7453262553368943E-3</c:v>
                </c:pt>
                <c:pt idx="105">
                  <c:v>8.393192188558142E-3</c:v>
                </c:pt>
                <c:pt idx="106">
                  <c:v>5.4415088935939222E-3</c:v>
                </c:pt>
                <c:pt idx="107">
                  <c:v>7.1325491336081473E-3</c:v>
                </c:pt>
                <c:pt idx="108">
                  <c:v>5.7785039652492945E-3</c:v>
                </c:pt>
                <c:pt idx="109">
                  <c:v>1.0247010036660809E-2</c:v>
                </c:pt>
                <c:pt idx="110">
                  <c:v>8.8286463607799813E-3</c:v>
                </c:pt>
                <c:pt idx="111">
                  <c:v>5.9118619073325641E-3</c:v>
                </c:pt>
                <c:pt idx="112">
                  <c:v>3.3886375062845489E-3</c:v>
                </c:pt>
                <c:pt idx="113">
                  <c:v>4.9508830598808118E-3</c:v>
                </c:pt>
                <c:pt idx="114">
                  <c:v>5.8047382619375466E-3</c:v>
                </c:pt>
                <c:pt idx="115">
                  <c:v>1.0071313875507741E-2</c:v>
                </c:pt>
                <c:pt idx="116">
                  <c:v>7.2940794018449065E-3</c:v>
                </c:pt>
                <c:pt idx="117">
                  <c:v>8.7940423730444445E-3</c:v>
                </c:pt>
                <c:pt idx="118">
                  <c:v>4.4557483661182846E-2</c:v>
                </c:pt>
                <c:pt idx="119">
                  <c:v>7.6638013371538166E-3</c:v>
                </c:pt>
                <c:pt idx="120">
                  <c:v>1.0205068366866767E-2</c:v>
                </c:pt>
                <c:pt idx="121">
                  <c:v>4.1061592388582958E-3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F5E-4580-B0F3-DC26DC240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cat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Algn val="ctr"/>
        <c:lblOffset val="100"/>
        <c:noMultiLvlLbl val="0"/>
      </c:catAx>
      <c:valAx>
        <c:axId val="223618303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'Group Totals'!$A$3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330-4372-B00D-7C44AFFFEAEC}"/>
            </c:ext>
          </c:extLst>
        </c:ser>
        <c:ser>
          <c:idx val="1"/>
          <c:order val="1"/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'Group Totals'!$F$4:$F$125</c:f>
              <c:numCache>
                <c:formatCode>0.0%</c:formatCode>
                <c:ptCount val="122"/>
                <c:pt idx="50">
                  <c:v>0.96466313320046482</c:v>
                </c:pt>
                <c:pt idx="51">
                  <c:v>0.96754652396141594</c:v>
                </c:pt>
                <c:pt idx="52">
                  <c:v>0.95582411800180955</c:v>
                </c:pt>
                <c:pt idx="53">
                  <c:v>0.96618019827094215</c:v>
                </c:pt>
                <c:pt idx="54">
                  <c:v>0.91110260971405843</c:v>
                </c:pt>
                <c:pt idx="55">
                  <c:v>0.93374907405434204</c:v>
                </c:pt>
                <c:pt idx="56">
                  <c:v>0.97848733974643909</c:v>
                </c:pt>
                <c:pt idx="57">
                  <c:v>0.86009530121099276</c:v>
                </c:pt>
                <c:pt idx="59">
                  <c:v>0.9333437904432158</c:v>
                </c:pt>
                <c:pt idx="60">
                  <c:v>0.9379512679112233</c:v>
                </c:pt>
                <c:pt idx="62">
                  <c:v>0.90213508696968037</c:v>
                </c:pt>
                <c:pt idx="63">
                  <c:v>0.92630336391005086</c:v>
                </c:pt>
                <c:pt idx="64">
                  <c:v>0.93882766110471816</c:v>
                </c:pt>
                <c:pt idx="65">
                  <c:v>0.97374028200029583</c:v>
                </c:pt>
                <c:pt idx="66">
                  <c:v>0.94054831267369543</c:v>
                </c:pt>
                <c:pt idx="67">
                  <c:v>0.92981929627289972</c:v>
                </c:pt>
                <c:pt idx="68">
                  <c:v>0.91424855960442863</c:v>
                </c:pt>
                <c:pt idx="69">
                  <c:v>0.93051550502462188</c:v>
                </c:pt>
                <c:pt idx="70">
                  <c:v>0.9750128056750399</c:v>
                </c:pt>
                <c:pt idx="71">
                  <c:v>0.93087381063269914</c:v>
                </c:pt>
                <c:pt idx="72">
                  <c:v>0.94194676817539236</c:v>
                </c:pt>
                <c:pt idx="73">
                  <c:v>0.97359188281591613</c:v>
                </c:pt>
                <c:pt idx="74">
                  <c:v>0.89364508356776418</c:v>
                </c:pt>
                <c:pt idx="75">
                  <c:v>0.97526967121185293</c:v>
                </c:pt>
                <c:pt idx="76">
                  <c:v>0.97347153426287603</c:v>
                </c:pt>
                <c:pt idx="77">
                  <c:v>0.97034353488653202</c:v>
                </c:pt>
                <c:pt idx="78">
                  <c:v>0.94266367783170235</c:v>
                </c:pt>
                <c:pt idx="79">
                  <c:v>0.9741370613593906</c:v>
                </c:pt>
                <c:pt idx="80">
                  <c:v>0.92376299160601094</c:v>
                </c:pt>
                <c:pt idx="81">
                  <c:v>0.93020170230037347</c:v>
                </c:pt>
                <c:pt idx="82">
                  <c:v>0.96874256571602579</c:v>
                </c:pt>
                <c:pt idx="83">
                  <c:v>0.97299999999999998</c:v>
                </c:pt>
                <c:pt idx="84">
                  <c:v>0.9778280746578013</c:v>
                </c:pt>
                <c:pt idx="85">
                  <c:v>0.97612568406642641</c:v>
                </c:pt>
                <c:pt idx="86">
                  <c:v>0.97719084245271792</c:v>
                </c:pt>
                <c:pt idx="87">
                  <c:v>0.97499999999999998</c:v>
                </c:pt>
                <c:pt idx="88">
                  <c:v>0.9729379255116305</c:v>
                </c:pt>
                <c:pt idx="89">
                  <c:v>0.97643551481898483</c:v>
                </c:pt>
                <c:pt idx="90">
                  <c:v>0.93319463723128226</c:v>
                </c:pt>
                <c:pt idx="91">
                  <c:v>0.97637223883053137</c:v>
                </c:pt>
                <c:pt idx="92">
                  <c:v>0.9769530967773179</c:v>
                </c:pt>
                <c:pt idx="93">
                  <c:v>0.97461737010179716</c:v>
                </c:pt>
                <c:pt idx="94">
                  <c:v>0.95104784433374834</c:v>
                </c:pt>
                <c:pt idx="95">
                  <c:v>0.97488389459411418</c:v>
                </c:pt>
                <c:pt idx="96">
                  <c:v>0.97738420575442142</c:v>
                </c:pt>
                <c:pt idx="97">
                  <c:v>0.97529942868055419</c:v>
                </c:pt>
                <c:pt idx="98">
                  <c:v>0.97824330403309201</c:v>
                </c:pt>
                <c:pt idx="99">
                  <c:v>0.97413117563813623</c:v>
                </c:pt>
                <c:pt idx="100">
                  <c:v>0.97694650645505499</c:v>
                </c:pt>
                <c:pt idx="101">
                  <c:v>0.97733522515044613</c:v>
                </c:pt>
                <c:pt idx="102">
                  <c:v>0.97552471520215522</c:v>
                </c:pt>
                <c:pt idx="103">
                  <c:v>0.9760860864472739</c:v>
                </c:pt>
                <c:pt idx="104">
                  <c:v>0.97499999999999998</c:v>
                </c:pt>
                <c:pt idx="105">
                  <c:v>0.97429862444905801</c:v>
                </c:pt>
                <c:pt idx="106">
                  <c:v>0.97826464962615201</c:v>
                </c:pt>
                <c:pt idx="107">
                  <c:v>0.97644286174067418</c:v>
                </c:pt>
                <c:pt idx="108">
                  <c:v>0.9765870960028693</c:v>
                </c:pt>
                <c:pt idx="109">
                  <c:v>0.97474307350201339</c:v>
                </c:pt>
                <c:pt idx="110">
                  <c:v>0.97369582716626424</c:v>
                </c:pt>
                <c:pt idx="111">
                  <c:v>0.97957840129560625</c:v>
                </c:pt>
                <c:pt idx="112">
                  <c:v>0.97623931623931626</c:v>
                </c:pt>
                <c:pt idx="113">
                  <c:v>0.97674783153934586</c:v>
                </c:pt>
                <c:pt idx="114">
                  <c:v>0.97900637156622961</c:v>
                </c:pt>
                <c:pt idx="115">
                  <c:v>0.97166336072541792</c:v>
                </c:pt>
                <c:pt idx="116">
                  <c:v>0.97399325450038599</c:v>
                </c:pt>
                <c:pt idx="117">
                  <c:v>0.97165508880635787</c:v>
                </c:pt>
                <c:pt idx="118">
                  <c:v>0.9347010720839638</c:v>
                </c:pt>
                <c:pt idx="119">
                  <c:v>0.97562559694364848</c:v>
                </c:pt>
                <c:pt idx="120">
                  <c:v>0.97187320702170588</c:v>
                </c:pt>
                <c:pt idx="121">
                  <c:v>0.97548823234852278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330-4372-B00D-7C44AFFF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catAx>
        <c:axId val="210663422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23618303"/>
        <c:crosses val="autoZero"/>
        <c:auto val="1"/>
        <c:lblAlgn val="ctr"/>
        <c:lblOffset val="100"/>
        <c:noMultiLvlLbl val="0"/>
      </c:catAx>
      <c:valAx>
        <c:axId val="223618303"/>
        <c:scaling>
          <c:orientation val="minMax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$ to FG per W/O &amp; SKU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45625546806648"/>
          <c:y val="0.13669099756691"/>
          <c:w val="0.82198818897637793"/>
          <c:h val="0.56990899860145217"/>
        </c:manualLayout>
      </c:layout>
      <c:lineChart>
        <c:grouping val="standard"/>
        <c:varyColors val="0"/>
        <c:ser>
          <c:idx val="0"/>
          <c:order val="0"/>
          <c:tx>
            <c:strRef>
              <c:f>'Group Totals'!$BE$3</c:f>
              <c:strCache>
                <c:ptCount val="1"/>
                <c:pt idx="0">
                  <c:v>$ to FG per FG Unit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Totals'!$BE$82:$BE$144</c:f>
              <c:numCache>
                <c:formatCode>_-"$"* #,##0_-;\-"$"* #,##0_-;_-"$"* "-"??_-;_-@_-</c:formatCode>
                <c:ptCount val="63"/>
                <c:pt idx="0">
                  <c:v>132.56828204541554</c:v>
                </c:pt>
                <c:pt idx="1">
                  <c:v>165.08889912450334</c:v>
                </c:pt>
                <c:pt idx="2">
                  <c:v>148.58460709977598</c:v>
                </c:pt>
                <c:pt idx="3">
                  <c:v>184.03680059796204</c:v>
                </c:pt>
                <c:pt idx="4">
                  <c:v>158.87029716576009</c:v>
                </c:pt>
                <c:pt idx="5">
                  <c:v>132.72457145531996</c:v>
                </c:pt>
                <c:pt idx="6">
                  <c:v>143.06492253552301</c:v>
                </c:pt>
                <c:pt idx="7">
                  <c:v>125.11005647058823</c:v>
                </c:pt>
                <c:pt idx="8">
                  <c:v>144.67856566517975</c:v>
                </c:pt>
                <c:pt idx="9">
                  <c:v>124.31281408347699</c:v>
                </c:pt>
                <c:pt idx="10">
                  <c:v>158.53688760477158</c:v>
                </c:pt>
                <c:pt idx="11">
                  <c:v>125.45324107866992</c:v>
                </c:pt>
                <c:pt idx="12">
                  <c:v>147.36580015881418</c:v>
                </c:pt>
                <c:pt idx="13">
                  <c:v>137.80487639968183</c:v>
                </c:pt>
                <c:pt idx="14">
                  <c:v>138.95486126895253</c:v>
                </c:pt>
                <c:pt idx="15">
                  <c:v>141.49974653963687</c:v>
                </c:pt>
                <c:pt idx="16">
                  <c:v>143.94726214001528</c:v>
                </c:pt>
                <c:pt idx="17">
                  <c:v>152.16907920243699</c:v>
                </c:pt>
                <c:pt idx="18">
                  <c:v>159.75310428196914</c:v>
                </c:pt>
                <c:pt idx="19">
                  <c:v>125.76524184550765</c:v>
                </c:pt>
                <c:pt idx="20">
                  <c:v>133.62834575108175</c:v>
                </c:pt>
                <c:pt idx="21">
                  <c:v>149.13444444444445</c:v>
                </c:pt>
                <c:pt idx="22">
                  <c:v>125.39590302635861</c:v>
                </c:pt>
                <c:pt idx="23">
                  <c:v>275.52453635280096</c:v>
                </c:pt>
                <c:pt idx="24">
                  <c:v>166.26721215568375</c:v>
                </c:pt>
                <c:pt idx="25">
                  <c:v>134.44584282817303</c:v>
                </c:pt>
                <c:pt idx="26">
                  <c:v>155.39676746611053</c:v>
                </c:pt>
                <c:pt idx="27">
                  <c:v>132.52292496640814</c:v>
                </c:pt>
                <c:pt idx="28">
                  <c:v>138.95656558549683</c:v>
                </c:pt>
                <c:pt idx="29">
                  <c:v>144.50163724737786</c:v>
                </c:pt>
                <c:pt idx="30">
                  <c:v>130.740233254732</c:v>
                </c:pt>
                <c:pt idx="31">
                  <c:v>137.72408803135363</c:v>
                </c:pt>
                <c:pt idx="32">
                  <c:v>144.30069763281855</c:v>
                </c:pt>
                <c:pt idx="33">
                  <c:v>146.12442425590038</c:v>
                </c:pt>
                <c:pt idx="34">
                  <c:v>110.18784136784612</c:v>
                </c:pt>
                <c:pt idx="35">
                  <c:v>134.98394961963942</c:v>
                </c:pt>
                <c:pt idx="36">
                  <c:v>108.67495276921547</c:v>
                </c:pt>
                <c:pt idx="37">
                  <c:v>138.03983530362737</c:v>
                </c:pt>
                <c:pt idx="38">
                  <c:v>154.78003987594153</c:v>
                </c:pt>
                <c:pt idx="39">
                  <c:v>220.46033470984568</c:v>
                </c:pt>
                <c:pt idx="40">
                  <c:v>263.07833917118501</c:v>
                </c:pt>
                <c:pt idx="41">
                  <c:v>277.3002720031086</c:v>
                </c:pt>
                <c:pt idx="42">
                  <c:v>224.84910575769106</c:v>
                </c:pt>
                <c:pt idx="43">
                  <c:v>180.73169553738168</c:v>
                </c:pt>
                <c:pt idx="44">
                  <c:v>227.61136055376269</c:v>
                </c:pt>
                <c:pt idx="45">
                  <c:v>199.42472788594205</c:v>
                </c:pt>
                <c:pt idx="46">
                  <c:v>161.62479529326137</c:v>
                </c:pt>
                <c:pt idx="47">
                  <c:v>152.86271769878329</c:v>
                </c:pt>
                <c:pt idx="48">
                  <c:v>165.74757554462403</c:v>
                </c:pt>
                <c:pt idx="49">
                  <c:v>158.57286995515696</c:v>
                </c:pt>
                <c:pt idx="50">
                  <c:v>179.18801906625316</c:v>
                </c:pt>
                <c:pt idx="51">
                  <c:v>203.72377050794714</c:v>
                </c:pt>
                <c:pt idx="52">
                  <c:v>157.31478847926988</c:v>
                </c:pt>
                <c:pt idx="53">
                  <c:v>183.07234651062149</c:v>
                </c:pt>
                <c:pt idx="54">
                  <c:v>206.52919423900352</c:v>
                </c:pt>
                <c:pt idx="55">
                  <c:v>204.93594288281992</c:v>
                </c:pt>
                <c:pt idx="56">
                  <c:v>168.33523283255627</c:v>
                </c:pt>
                <c:pt idx="57">
                  <c:v>160.38965915655692</c:v>
                </c:pt>
                <c:pt idx="58">
                  <c:v>167.12481242252235</c:v>
                </c:pt>
                <c:pt idx="59">
                  <c:v>174.85455150607422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850-4824-BB40-3D89D608EDC7}"/>
            </c:ext>
          </c:extLst>
        </c:ser>
        <c:ser>
          <c:idx val="1"/>
          <c:order val="1"/>
          <c:tx>
            <c:strRef>
              <c:f>'Group Totals'!$BF$3</c:f>
              <c:strCache>
                <c:ptCount val="1"/>
                <c:pt idx="0">
                  <c:v>$ to FG per Direct Team Member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Totals'!$BF$82:$BF$144</c:f>
              <c:numCache>
                <c:formatCode>_-"$"* #,##0_-;\-"$"* #,##0_-;_-"$"* "-"??_-;_-@_-</c:formatCode>
                <c:ptCount val="63"/>
                <c:pt idx="0">
                  <c:v>60991.875657894736</c:v>
                </c:pt>
                <c:pt idx="1">
                  <c:v>61780.176052631577</c:v>
                </c:pt>
                <c:pt idx="2">
                  <c:v>67187.257792207791</c:v>
                </c:pt>
                <c:pt idx="3">
                  <c:v>72679.01506024097</c:v>
                </c:pt>
                <c:pt idx="4">
                  <c:v>65286.34682352942</c:v>
                </c:pt>
                <c:pt idx="5">
                  <c:v>68322.771566265059</c:v>
                </c:pt>
                <c:pt idx="6">
                  <c:v>73454.083295454548</c:v>
                </c:pt>
                <c:pt idx="7">
                  <c:v>37979.838571428569</c:v>
                </c:pt>
                <c:pt idx="8">
                  <c:v>54456.297654320995</c:v>
                </c:pt>
                <c:pt idx="9">
                  <c:v>54084.55</c:v>
                </c:pt>
                <c:pt idx="10">
                  <c:v>69274.674750000006</c:v>
                </c:pt>
                <c:pt idx="11">
                  <c:v>45832.250740740739</c:v>
                </c:pt>
                <c:pt idx="12">
                  <c:v>67896.096707317076</c:v>
                </c:pt>
                <c:pt idx="13">
                  <c:v>53622.502261904767</c:v>
                </c:pt>
                <c:pt idx="14">
                  <c:v>63456.639620253169</c:v>
                </c:pt>
                <c:pt idx="15">
                  <c:v>68876.770374999993</c:v>
                </c:pt>
                <c:pt idx="16">
                  <c:v>72843.072533333339</c:v>
                </c:pt>
                <c:pt idx="17">
                  <c:v>71361.369480519483</c:v>
                </c:pt>
                <c:pt idx="18">
                  <c:v>71224.987922077926</c:v>
                </c:pt>
                <c:pt idx="19">
                  <c:v>52500.958630136985</c:v>
                </c:pt>
                <c:pt idx="20">
                  <c:v>76751.798529411768</c:v>
                </c:pt>
                <c:pt idx="21">
                  <c:v>76898.308307692307</c:v>
                </c:pt>
                <c:pt idx="22">
                  <c:v>60209.626562500001</c:v>
                </c:pt>
                <c:pt idx="23">
                  <c:v>37284.691290322582</c:v>
                </c:pt>
                <c:pt idx="24">
                  <c:v>93011.39</c:v>
                </c:pt>
                <c:pt idx="25">
                  <c:v>83518.805194805202</c:v>
                </c:pt>
                <c:pt idx="26">
                  <c:v>87662.058823529413</c:v>
                </c:pt>
                <c:pt idx="27">
                  <c:v>67731.987951807227</c:v>
                </c:pt>
                <c:pt idx="28">
                  <c:v>71385.168674698798</c:v>
                </c:pt>
                <c:pt idx="29">
                  <c:v>63467.067415730337</c:v>
                </c:pt>
                <c:pt idx="30">
                  <c:v>68381.5</c:v>
                </c:pt>
                <c:pt idx="31">
                  <c:v>52509.287356321838</c:v>
                </c:pt>
                <c:pt idx="32">
                  <c:v>59026.024390243903</c:v>
                </c:pt>
                <c:pt idx="33">
                  <c:v>58976.192307692305</c:v>
                </c:pt>
                <c:pt idx="34">
                  <c:v>62561.932584269663</c:v>
                </c:pt>
                <c:pt idx="35">
                  <c:v>55680.103448275862</c:v>
                </c:pt>
                <c:pt idx="36">
                  <c:v>61401.348314606745</c:v>
                </c:pt>
                <c:pt idx="37">
                  <c:v>63543.267441860466</c:v>
                </c:pt>
                <c:pt idx="38">
                  <c:v>73544.957894736843</c:v>
                </c:pt>
                <c:pt idx="39">
                  <c:v>103503.87755102041</c:v>
                </c:pt>
                <c:pt idx="40">
                  <c:v>162855.91089108912</c:v>
                </c:pt>
                <c:pt idx="41">
                  <c:v>154298.86486486485</c:v>
                </c:pt>
                <c:pt idx="42">
                  <c:v>120023.75</c:v>
                </c:pt>
                <c:pt idx="43">
                  <c:v>85697.175572519089</c:v>
                </c:pt>
                <c:pt idx="44">
                  <c:v>70022.424460431648</c:v>
                </c:pt>
                <c:pt idx="45">
                  <c:v>77087.259259259255</c:v>
                </c:pt>
                <c:pt idx="46">
                  <c:v>83272.125</c:v>
                </c:pt>
                <c:pt idx="47">
                  <c:v>74752.416666666672</c:v>
                </c:pt>
                <c:pt idx="48">
                  <c:v>79952.135593220344</c:v>
                </c:pt>
                <c:pt idx="49">
                  <c:v>84868.2</c:v>
                </c:pt>
                <c:pt idx="50">
                  <c:v>74213.18965517242</c:v>
                </c:pt>
                <c:pt idx="51">
                  <c:v>88407.41025641025</c:v>
                </c:pt>
                <c:pt idx="52">
                  <c:v>79892.190476190473</c:v>
                </c:pt>
                <c:pt idx="53">
                  <c:v>79103.626016260168</c:v>
                </c:pt>
                <c:pt idx="54">
                  <c:v>73544.841584158421</c:v>
                </c:pt>
                <c:pt idx="55">
                  <c:v>45106.175824175822</c:v>
                </c:pt>
                <c:pt idx="56">
                  <c:v>33614.80459770115</c:v>
                </c:pt>
                <c:pt idx="57">
                  <c:v>50479</c:v>
                </c:pt>
                <c:pt idx="58">
                  <c:v>69230.32432432432</c:v>
                </c:pt>
                <c:pt idx="59">
                  <c:v>53882.102564102563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850-4824-BB40-3D89D608EDC7}"/>
            </c:ext>
          </c:extLst>
        </c:ser>
        <c:ser>
          <c:idx val="3"/>
          <c:order val="3"/>
          <c:tx>
            <c:strRef>
              <c:f>'Group Totals'!$BH$3</c:f>
              <c:strCache>
                <c:ptCount val="1"/>
                <c:pt idx="0">
                  <c:v>$ to FG per W/O (G/C Level)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Totals'!$BH$82:$BH$144</c:f>
              <c:numCache>
                <c:formatCode>_-"$"* #,##0_-;\-"$"* #,##0_-;_-"$"* "-"??_-;_-@_-</c:formatCode>
                <c:ptCount val="63"/>
                <c:pt idx="0">
                  <c:v>11417.198399014778</c:v>
                </c:pt>
                <c:pt idx="1">
                  <c:v>13226.178535211267</c:v>
                </c:pt>
                <c:pt idx="2">
                  <c:v>12003.291995359628</c:v>
                </c:pt>
                <c:pt idx="3">
                  <c:v>13709.905113636363</c:v>
                </c:pt>
                <c:pt idx="4">
                  <c:v>15203.66980821918</c:v>
                </c:pt>
                <c:pt idx="5">
                  <c:v>13126.828796296297</c:v>
                </c:pt>
                <c:pt idx="6">
                  <c:v>16659.688994845361</c:v>
                </c:pt>
                <c:pt idx="7">
                  <c:v>14340.93489626556</c:v>
                </c:pt>
                <c:pt idx="8">
                  <c:v>17434.624940711463</c:v>
                </c:pt>
                <c:pt idx="9">
                  <c:v>15812.094352159469</c:v>
                </c:pt>
                <c:pt idx="10">
                  <c:v>15925.212586206897</c:v>
                </c:pt>
                <c:pt idx="11">
                  <c:v>11283.927993920974</c:v>
                </c:pt>
                <c:pt idx="12">
                  <c:v>14312.287737789202</c:v>
                </c:pt>
                <c:pt idx="13">
                  <c:v>12869.400542857144</c:v>
                </c:pt>
                <c:pt idx="14">
                  <c:v>14364.110401146132</c:v>
                </c:pt>
                <c:pt idx="15">
                  <c:v>15305.948972222222</c:v>
                </c:pt>
                <c:pt idx="16">
                  <c:v>16758.375582822086</c:v>
                </c:pt>
                <c:pt idx="17">
                  <c:v>16305.120029673591</c:v>
                </c:pt>
                <c:pt idx="18">
                  <c:v>18160.013476821194</c:v>
                </c:pt>
                <c:pt idx="19">
                  <c:v>17109.687410714287</c:v>
                </c:pt>
                <c:pt idx="20">
                  <c:v>17812.704095563138</c:v>
                </c:pt>
                <c:pt idx="21">
                  <c:v>16496.336765676569</c:v>
                </c:pt>
                <c:pt idx="22">
                  <c:v>13713.224555160143</c:v>
                </c:pt>
                <c:pt idx="23">
                  <c:v>41279.479642857143</c:v>
                </c:pt>
                <c:pt idx="24">
                  <c:v>21168.109448275864</c:v>
                </c:pt>
                <c:pt idx="25">
                  <c:v>18479.735632183907</c:v>
                </c:pt>
                <c:pt idx="26">
                  <c:v>20989.507042253521</c:v>
                </c:pt>
                <c:pt idx="27">
                  <c:v>16294.942028985508</c:v>
                </c:pt>
                <c:pt idx="28">
                  <c:v>16550.192737430167</c:v>
                </c:pt>
                <c:pt idx="29">
                  <c:v>16420.258720930233</c:v>
                </c:pt>
                <c:pt idx="30">
                  <c:v>19725.432692307691</c:v>
                </c:pt>
                <c:pt idx="31">
                  <c:v>15917.449477351916</c:v>
                </c:pt>
                <c:pt idx="32">
                  <c:v>17163.59574468085</c:v>
                </c:pt>
                <c:pt idx="33">
                  <c:v>14420.510971786834</c:v>
                </c:pt>
                <c:pt idx="34">
                  <c:v>16233.271137026239</c:v>
                </c:pt>
                <c:pt idx="35">
                  <c:v>16997.084210526315</c:v>
                </c:pt>
                <c:pt idx="36">
                  <c:v>15393.577464788732</c:v>
                </c:pt>
                <c:pt idx="37">
                  <c:v>15393.580281690141</c:v>
                </c:pt>
                <c:pt idx="38">
                  <c:v>19353.936288088644</c:v>
                </c:pt>
                <c:pt idx="39">
                  <c:v>31698.0625</c:v>
                </c:pt>
                <c:pt idx="40">
                  <c:v>46728.54261363636</c:v>
                </c:pt>
                <c:pt idx="41">
                  <c:v>54545.140127388535</c:v>
                </c:pt>
                <c:pt idx="42">
                  <c:v>37379.659367396591</c:v>
                </c:pt>
                <c:pt idx="43">
                  <c:v>35526.360759493669</c:v>
                </c:pt>
                <c:pt idx="44">
                  <c:v>31397.151612903224</c:v>
                </c:pt>
                <c:pt idx="45">
                  <c:v>28202.655826558264</c:v>
                </c:pt>
                <c:pt idx="46">
                  <c:v>31166.175438596492</c:v>
                </c:pt>
                <c:pt idx="47">
                  <c:v>34501.115384615383</c:v>
                </c:pt>
                <c:pt idx="48">
                  <c:v>26206.533333333333</c:v>
                </c:pt>
                <c:pt idx="49">
                  <c:v>29264.896551724138</c:v>
                </c:pt>
                <c:pt idx="50">
                  <c:v>29685.275862068964</c:v>
                </c:pt>
                <c:pt idx="51">
                  <c:v>27148.732283464567</c:v>
                </c:pt>
                <c:pt idx="52">
                  <c:v>28597.772727272728</c:v>
                </c:pt>
                <c:pt idx="53">
                  <c:v>27720.074074074073</c:v>
                </c:pt>
                <c:pt idx="54">
                  <c:v>26528.674999999999</c:v>
                </c:pt>
                <c:pt idx="55">
                  <c:v>26481.690322580645</c:v>
                </c:pt>
                <c:pt idx="56">
                  <c:v>23971.213114754097</c:v>
                </c:pt>
                <c:pt idx="57">
                  <c:v>18743.257383966244</c:v>
                </c:pt>
                <c:pt idx="58">
                  <c:v>20996.081967213115</c:v>
                </c:pt>
                <c:pt idx="59">
                  <c:v>22595.720430107525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50-4824-BB40-3D89D608EDC7}"/>
            </c:ext>
          </c:extLst>
        </c:ser>
        <c:ser>
          <c:idx val="4"/>
          <c:order val="4"/>
          <c:tx>
            <c:strRef>
              <c:f>'Group Totals'!$BI$3</c:f>
              <c:strCache>
                <c:ptCount val="1"/>
                <c:pt idx="0">
                  <c:v>$ to FG per SKU (G/C Level)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Totals'!$BI$82:$BI$144</c:f>
              <c:numCache>
                <c:formatCode>_-"$"* #,##0_-;\-"$"* #,##0_-;_-"$"* "-"??_-;_-@_-</c:formatCode>
                <c:ptCount val="63"/>
                <c:pt idx="0">
                  <c:v>22285.493028846155</c:v>
                </c:pt>
                <c:pt idx="1">
                  <c:v>25940.847403314918</c:v>
                </c:pt>
                <c:pt idx="2">
                  <c:v>24753.200239234448</c:v>
                </c:pt>
                <c:pt idx="3">
                  <c:v>27798.885944700462</c:v>
                </c:pt>
                <c:pt idx="4">
                  <c:v>31001.896536312852</c:v>
                </c:pt>
                <c:pt idx="5">
                  <c:v>28496.432361809046</c:v>
                </c:pt>
                <c:pt idx="6">
                  <c:v>31226.856666666667</c:v>
                </c:pt>
                <c:pt idx="7">
                  <c:v>24339.192323943662</c:v>
                </c:pt>
                <c:pt idx="8">
                  <c:v>29803.78452702703</c:v>
                </c:pt>
                <c:pt idx="9">
                  <c:v>27511.216184971101</c:v>
                </c:pt>
                <c:pt idx="10">
                  <c:v>30119.423804347829</c:v>
                </c:pt>
                <c:pt idx="11">
                  <c:v>21459.03069364162</c:v>
                </c:pt>
                <c:pt idx="12">
                  <c:v>28405.509846938774</c:v>
                </c:pt>
                <c:pt idx="13">
                  <c:v>25886.725229885058</c:v>
                </c:pt>
                <c:pt idx="14">
                  <c:v>26665.290053191489</c:v>
                </c:pt>
                <c:pt idx="15">
                  <c:v>26114.415308056872</c:v>
                </c:pt>
                <c:pt idx="16">
                  <c:v>32326.807337278107</c:v>
                </c:pt>
                <c:pt idx="17">
                  <c:v>28920.133947368424</c:v>
                </c:pt>
                <c:pt idx="18">
                  <c:v>30300.132983425417</c:v>
                </c:pt>
                <c:pt idx="19">
                  <c:v>29709.844806201549</c:v>
                </c:pt>
                <c:pt idx="20">
                  <c:v>34563.723841059604</c:v>
                </c:pt>
                <c:pt idx="21">
                  <c:v>28892.427976878615</c:v>
                </c:pt>
                <c:pt idx="22">
                  <c:v>25022.182467532468</c:v>
                </c:pt>
                <c:pt idx="23">
                  <c:v>56381.728292682921</c:v>
                </c:pt>
                <c:pt idx="24">
                  <c:v>37661.053619631901</c:v>
                </c:pt>
                <c:pt idx="25">
                  <c:v>34207.170212765959</c:v>
                </c:pt>
                <c:pt idx="26">
                  <c:v>41167.265193370164</c:v>
                </c:pt>
                <c:pt idx="27">
                  <c:v>28392.702020202021</c:v>
                </c:pt>
                <c:pt idx="28">
                  <c:v>29773.713567839197</c:v>
                </c:pt>
                <c:pt idx="29">
                  <c:v>29886.608465608464</c:v>
                </c:pt>
                <c:pt idx="30">
                  <c:v>33266.675675675673</c:v>
                </c:pt>
                <c:pt idx="31">
                  <c:v>24963.43169398907</c:v>
                </c:pt>
                <c:pt idx="32">
                  <c:v>27816.862068965518</c:v>
                </c:pt>
                <c:pt idx="33">
                  <c:v>23470.117346938776</c:v>
                </c:pt>
                <c:pt idx="34">
                  <c:v>27840.06</c:v>
                </c:pt>
                <c:pt idx="35">
                  <c:v>29718.828220858897</c:v>
                </c:pt>
                <c:pt idx="36">
                  <c:v>29539.027027027027</c:v>
                </c:pt>
                <c:pt idx="37">
                  <c:v>27739.700507614212</c:v>
                </c:pt>
                <c:pt idx="38">
                  <c:v>38179.076502732241</c:v>
                </c:pt>
                <c:pt idx="39">
                  <c:v>56985.280898876401</c:v>
                </c:pt>
                <c:pt idx="40">
                  <c:v>82655.512562814067</c:v>
                </c:pt>
                <c:pt idx="41">
                  <c:v>101344.22485207101</c:v>
                </c:pt>
                <c:pt idx="42">
                  <c:v>65935.793991416314</c:v>
                </c:pt>
                <c:pt idx="43">
                  <c:v>54496.747572815533</c:v>
                </c:pt>
                <c:pt idx="44">
                  <c:v>50958.727748691097</c:v>
                </c:pt>
                <c:pt idx="45">
                  <c:v>47303.545454545456</c:v>
                </c:pt>
                <c:pt idx="46">
                  <c:v>58888.574585635361</c:v>
                </c:pt>
                <c:pt idx="47">
                  <c:v>59801.933333333334</c:v>
                </c:pt>
                <c:pt idx="48">
                  <c:v>44501.660377358494</c:v>
                </c:pt>
                <c:pt idx="49">
                  <c:v>51013.672131147541</c:v>
                </c:pt>
                <c:pt idx="50">
                  <c:v>47826.277777777781</c:v>
                </c:pt>
                <c:pt idx="51">
                  <c:v>48334.892523364484</c:v>
                </c:pt>
                <c:pt idx="52">
                  <c:v>50332.08</c:v>
                </c:pt>
                <c:pt idx="53">
                  <c:v>44226.118181818179</c:v>
                </c:pt>
                <c:pt idx="54">
                  <c:v>40813.346153846156</c:v>
                </c:pt>
                <c:pt idx="55">
                  <c:v>36648.767857142855</c:v>
                </c:pt>
                <c:pt idx="56">
                  <c:v>28955.326732673268</c:v>
                </c:pt>
                <c:pt idx="57">
                  <c:v>27420.691358024691</c:v>
                </c:pt>
                <c:pt idx="58">
                  <c:v>30313.869822485209</c:v>
                </c:pt>
                <c:pt idx="59">
                  <c:v>33092.944881889765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50-4824-BB40-3D89D608E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634223"/>
        <c:axId val="223618303"/>
        <c:extLst/>
      </c:lineChart>
      <c:lineChart>
        <c:grouping val="standard"/>
        <c:varyColors val="0"/>
        <c:ser>
          <c:idx val="2"/>
          <c:order val="2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Totals'!$BG$82:$BG$144</c:f>
              <c:numCache>
                <c:formatCode>_-"$"* #,##0_-;\-"$"* #,##0_-;_-"$"* "-"??_-;_-@_-</c:formatCode>
                <c:ptCount val="63"/>
                <c:pt idx="0">
                  <c:v>540.51543659315178</c:v>
                </c:pt>
                <c:pt idx="1">
                  <c:v>575.4346288280251</c:v>
                </c:pt>
                <c:pt idx="2">
                  <c:v>619.14335472893038</c:v>
                </c:pt>
                <c:pt idx="3">
                  <c:v>627.75538537281534</c:v>
                </c:pt>
                <c:pt idx="4">
                  <c:v>643.88177202039003</c:v>
                </c:pt>
                <c:pt idx="5">
                  <c:v>599.39344338016724</c:v>
                </c:pt>
                <c:pt idx="6">
                  <c:v>663.05777932510478</c:v>
                </c:pt>
                <c:pt idx="7">
                  <c:v>567.37629252102158</c:v>
                </c:pt>
                <c:pt idx="8">
                  <c:v>586.9420005309272</c:v>
                </c:pt>
                <c:pt idx="9">
                  <c:v>584.9326732157333</c:v>
                </c:pt>
                <c:pt idx="10">
                  <c:v>648.62826883204821</c:v>
                </c:pt>
                <c:pt idx="11">
                  <c:v>587.83886801648748</c:v>
                </c:pt>
                <c:pt idx="12">
                  <c:v>612.63514389357624</c:v>
                </c:pt>
                <c:pt idx="13">
                  <c:v>573.64373517349384</c:v>
                </c:pt>
                <c:pt idx="14">
                  <c:v>612.91715373477166</c:v>
                </c:pt>
                <c:pt idx="15">
                  <c:v>644.92392141587482</c:v>
                </c:pt>
                <c:pt idx="16">
                  <c:v>707.10244152963764</c:v>
                </c:pt>
                <c:pt idx="17">
                  <c:v>689.39999718961769</c:v>
                </c:pt>
                <c:pt idx="18">
                  <c:v>719.23816536910249</c:v>
                </c:pt>
                <c:pt idx="19">
                  <c:v>700.61755224692581</c:v>
                </c:pt>
                <c:pt idx="20">
                  <c:v>674.55271701761365</c:v>
                </c:pt>
                <c:pt idx="21">
                  <c:v>701.59932512478451</c:v>
                </c:pt>
                <c:pt idx="22">
                  <c:v>675.96984093180788</c:v>
                </c:pt>
                <c:pt idx="23">
                  <c:v>771.50489539056321</c:v>
                </c:pt>
                <c:pt idx="24">
                  <c:v>752.75953381711861</c:v>
                </c:pt>
                <c:pt idx="25">
                  <c:v>717.09946476360392</c:v>
                </c:pt>
                <c:pt idx="26">
                  <c:v>713.86041387238936</c:v>
                </c:pt>
                <c:pt idx="27">
                  <c:v>614.06389950846528</c:v>
                </c:pt>
                <c:pt idx="28">
                  <c:v>616.99146100177029</c:v>
                </c:pt>
                <c:pt idx="29">
                  <c:v>590.17542576533276</c:v>
                </c:pt>
                <c:pt idx="30">
                  <c:v>619.45998993457476</c:v>
                </c:pt>
                <c:pt idx="31">
                  <c:v>632.11678428116784</c:v>
                </c:pt>
                <c:pt idx="32">
                  <c:v>631.54149269311063</c:v>
                </c:pt>
                <c:pt idx="33">
                  <c:v>626.5517570144375</c:v>
                </c:pt>
                <c:pt idx="34">
                  <c:v>576.81674090956176</c:v>
                </c:pt>
                <c:pt idx="35">
                  <c:v>609.63616914170655</c:v>
                </c:pt>
                <c:pt idx="36">
                  <c:v>600.98097437589354</c:v>
                </c:pt>
                <c:pt idx="37">
                  <c:v>630.59323794138015</c:v>
                </c:pt>
                <c:pt idx="38">
                  <c:v>708.52560592232021</c:v>
                </c:pt>
                <c:pt idx="39">
                  <c:v>1082.6534315295123</c:v>
                </c:pt>
                <c:pt idx="40">
                  <c:v>1451.8886927354577</c:v>
                </c:pt>
                <c:pt idx="41">
                  <c:v>1468.9171136753791</c:v>
                </c:pt>
                <c:pt idx="42">
                  <c:v>1349.6511587352722</c:v>
                </c:pt>
                <c:pt idx="43">
                  <c:v>811.48404836667078</c:v>
                </c:pt>
                <c:pt idx="44">
                  <c:v>898.83155149869799</c:v>
                </c:pt>
                <c:pt idx="45">
                  <c:v>835.95308860149407</c:v>
                </c:pt>
                <c:pt idx="46">
                  <c:v>751.41572083186463</c:v>
                </c:pt>
                <c:pt idx="47">
                  <c:v>919.27546628407458</c:v>
                </c:pt>
                <c:pt idx="48">
                  <c:v>828.81068259685492</c:v>
                </c:pt>
                <c:pt idx="49">
                  <c:v>891.55782637761433</c:v>
                </c:pt>
                <c:pt idx="50">
                  <c:v>812.91123701605284</c:v>
                </c:pt>
                <c:pt idx="51">
                  <c:v>671.4486854917235</c:v>
                </c:pt>
                <c:pt idx="52">
                  <c:v>821.54704970211378</c:v>
                </c:pt>
                <c:pt idx="53">
                  <c:v>719.23018923713778</c:v>
                </c:pt>
                <c:pt idx="54">
                  <c:v>642.61865213253736</c:v>
                </c:pt>
                <c:pt idx="55">
                  <c:v>695.94133604611727</c:v>
                </c:pt>
                <c:pt idx="56">
                  <c:v>664.65636363636361</c:v>
                </c:pt>
                <c:pt idx="57">
                  <c:v>593.39460325941764</c:v>
                </c:pt>
                <c:pt idx="58">
                  <c:v>619.54819204256864</c:v>
                </c:pt>
                <c:pt idx="59">
                  <c:v>679.73540352579653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850-4824-BB40-3D89D608E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710399"/>
        <c:axId val="2023374847"/>
        <c:extLst/>
      </c:lineChart>
      <c:dateAx>
        <c:axId val="21066342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18303"/>
        <c:crosses val="autoZero"/>
        <c:auto val="1"/>
        <c:lblOffset val="100"/>
        <c:baseTimeUnit val="months"/>
      </c:dateAx>
      <c:valAx>
        <c:axId val="223618303"/>
        <c:scaling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valAx>
        <c:axId val="2023374847"/>
        <c:scaling>
          <c:orientation val="minMax"/>
        </c:scaling>
        <c:delete val="1"/>
        <c:axPos val="r"/>
        <c:numFmt formatCode="_-&quot;$&quot;* #,##0_-;\-&quot;$&quot;* #,##0_-;_-&quot;$&quot;* &quot;-&quot;??_-;_-@_-" sourceLinked="1"/>
        <c:majorTickMark val="out"/>
        <c:minorTickMark val="none"/>
        <c:tickLblPos val="nextTo"/>
        <c:crossAx val="305710399"/>
        <c:crosses val="max"/>
        <c:crossBetween val="between"/>
      </c:valAx>
      <c:dateAx>
        <c:axId val="30571039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2337484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5887576552930881E-2"/>
          <c:y val="0.85800371668869857"/>
          <c:w val="0.95655796150481187"/>
          <c:h val="0.13854934191620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Totals'!$BE$3</c:f>
              <c:strCache>
                <c:ptCount val="1"/>
                <c:pt idx="0">
                  <c:v>$ to FG per FG Unit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Totals'!$BE$82:$BE$144</c:f>
              <c:numCache>
                <c:formatCode>_-"$"* #,##0_-;\-"$"* #,##0_-;_-"$"* "-"??_-;_-@_-</c:formatCode>
                <c:ptCount val="63"/>
                <c:pt idx="0">
                  <c:v>132.56828204541554</c:v>
                </c:pt>
                <c:pt idx="1">
                  <c:v>165.08889912450334</c:v>
                </c:pt>
                <c:pt idx="2">
                  <c:v>148.58460709977598</c:v>
                </c:pt>
                <c:pt idx="3">
                  <c:v>184.03680059796204</c:v>
                </c:pt>
                <c:pt idx="4">
                  <c:v>158.87029716576009</c:v>
                </c:pt>
                <c:pt idx="5">
                  <c:v>132.72457145531996</c:v>
                </c:pt>
                <c:pt idx="6">
                  <c:v>143.06492253552301</c:v>
                </c:pt>
                <c:pt idx="7">
                  <c:v>125.11005647058823</c:v>
                </c:pt>
                <c:pt idx="8">
                  <c:v>144.67856566517975</c:v>
                </c:pt>
                <c:pt idx="9">
                  <c:v>124.31281408347699</c:v>
                </c:pt>
                <c:pt idx="10">
                  <c:v>158.53688760477158</c:v>
                </c:pt>
                <c:pt idx="11">
                  <c:v>125.45324107866992</c:v>
                </c:pt>
                <c:pt idx="12">
                  <c:v>147.36580015881418</c:v>
                </c:pt>
                <c:pt idx="13">
                  <c:v>137.80487639968183</c:v>
                </c:pt>
                <c:pt idx="14">
                  <c:v>138.95486126895253</c:v>
                </c:pt>
                <c:pt idx="15">
                  <c:v>141.49974653963687</c:v>
                </c:pt>
                <c:pt idx="16">
                  <c:v>143.94726214001528</c:v>
                </c:pt>
                <c:pt idx="17">
                  <c:v>152.16907920243699</c:v>
                </c:pt>
                <c:pt idx="18">
                  <c:v>159.75310428196914</c:v>
                </c:pt>
                <c:pt idx="19">
                  <c:v>125.76524184550765</c:v>
                </c:pt>
                <c:pt idx="20">
                  <c:v>133.62834575108175</c:v>
                </c:pt>
                <c:pt idx="21">
                  <c:v>149.13444444444445</c:v>
                </c:pt>
                <c:pt idx="22">
                  <c:v>125.39590302635861</c:v>
                </c:pt>
                <c:pt idx="23">
                  <c:v>275.52453635280096</c:v>
                </c:pt>
                <c:pt idx="24">
                  <c:v>166.26721215568375</c:v>
                </c:pt>
                <c:pt idx="25">
                  <c:v>134.44584282817303</c:v>
                </c:pt>
                <c:pt idx="26">
                  <c:v>155.39676746611053</c:v>
                </c:pt>
                <c:pt idx="27">
                  <c:v>132.52292496640814</c:v>
                </c:pt>
                <c:pt idx="28">
                  <c:v>138.95656558549683</c:v>
                </c:pt>
                <c:pt idx="29">
                  <c:v>144.50163724737786</c:v>
                </c:pt>
                <c:pt idx="30">
                  <c:v>130.740233254732</c:v>
                </c:pt>
                <c:pt idx="31">
                  <c:v>137.72408803135363</c:v>
                </c:pt>
                <c:pt idx="32">
                  <c:v>144.30069763281855</c:v>
                </c:pt>
                <c:pt idx="33">
                  <c:v>146.12442425590038</c:v>
                </c:pt>
                <c:pt idx="34">
                  <c:v>110.18784136784612</c:v>
                </c:pt>
                <c:pt idx="35">
                  <c:v>134.98394961963942</c:v>
                </c:pt>
                <c:pt idx="36">
                  <c:v>108.67495276921547</c:v>
                </c:pt>
                <c:pt idx="37">
                  <c:v>138.03983530362737</c:v>
                </c:pt>
                <c:pt idx="38">
                  <c:v>154.78003987594153</c:v>
                </c:pt>
                <c:pt idx="39">
                  <c:v>220.46033470984568</c:v>
                </c:pt>
                <c:pt idx="40">
                  <c:v>263.07833917118501</c:v>
                </c:pt>
                <c:pt idx="41">
                  <c:v>277.3002720031086</c:v>
                </c:pt>
                <c:pt idx="42">
                  <c:v>224.84910575769106</c:v>
                </c:pt>
                <c:pt idx="43">
                  <c:v>180.73169553738168</c:v>
                </c:pt>
                <c:pt idx="44">
                  <c:v>227.61136055376269</c:v>
                </c:pt>
                <c:pt idx="45">
                  <c:v>199.42472788594205</c:v>
                </c:pt>
                <c:pt idx="46">
                  <c:v>161.62479529326137</c:v>
                </c:pt>
                <c:pt idx="47">
                  <c:v>152.86271769878329</c:v>
                </c:pt>
                <c:pt idx="48">
                  <c:v>165.74757554462403</c:v>
                </c:pt>
                <c:pt idx="49">
                  <c:v>158.57286995515696</c:v>
                </c:pt>
                <c:pt idx="50">
                  <c:v>179.18801906625316</c:v>
                </c:pt>
                <c:pt idx="51">
                  <c:v>203.72377050794714</c:v>
                </c:pt>
                <c:pt idx="52">
                  <c:v>157.31478847926988</c:v>
                </c:pt>
                <c:pt idx="53">
                  <c:v>183.07234651062149</c:v>
                </c:pt>
                <c:pt idx="54">
                  <c:v>206.52919423900352</c:v>
                </c:pt>
                <c:pt idx="55">
                  <c:v>204.93594288281992</c:v>
                </c:pt>
                <c:pt idx="56">
                  <c:v>168.33523283255627</c:v>
                </c:pt>
                <c:pt idx="57">
                  <c:v>160.38965915655692</c:v>
                </c:pt>
                <c:pt idx="58">
                  <c:v>167.12481242252235</c:v>
                </c:pt>
                <c:pt idx="59">
                  <c:v>174.85455150607422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5-4A46-A51F-5340A7F1AC1B}"/>
            </c:ext>
          </c:extLst>
        </c:ser>
        <c:ser>
          <c:idx val="1"/>
          <c:order val="1"/>
          <c:tx>
            <c:strRef>
              <c:f>'Group Totals'!$BF$3</c:f>
              <c:strCache>
                <c:ptCount val="1"/>
                <c:pt idx="0">
                  <c:v>$ to FG per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Totals'!$BF$82:$BF$144</c:f>
              <c:numCache>
                <c:formatCode>_-"$"* #,##0_-;\-"$"* #,##0_-;_-"$"* "-"??_-;_-@_-</c:formatCode>
                <c:ptCount val="63"/>
                <c:pt idx="0">
                  <c:v>60991.875657894736</c:v>
                </c:pt>
                <c:pt idx="1">
                  <c:v>61780.176052631577</c:v>
                </c:pt>
                <c:pt idx="2">
                  <c:v>67187.257792207791</c:v>
                </c:pt>
                <c:pt idx="3">
                  <c:v>72679.01506024097</c:v>
                </c:pt>
                <c:pt idx="4">
                  <c:v>65286.34682352942</c:v>
                </c:pt>
                <c:pt idx="5">
                  <c:v>68322.771566265059</c:v>
                </c:pt>
                <c:pt idx="6">
                  <c:v>73454.083295454548</c:v>
                </c:pt>
                <c:pt idx="7">
                  <c:v>37979.838571428569</c:v>
                </c:pt>
                <c:pt idx="8">
                  <c:v>54456.297654320995</c:v>
                </c:pt>
                <c:pt idx="9">
                  <c:v>54084.55</c:v>
                </c:pt>
                <c:pt idx="10">
                  <c:v>69274.674750000006</c:v>
                </c:pt>
                <c:pt idx="11">
                  <c:v>45832.250740740739</c:v>
                </c:pt>
                <c:pt idx="12">
                  <c:v>67896.096707317076</c:v>
                </c:pt>
                <c:pt idx="13">
                  <c:v>53622.502261904767</c:v>
                </c:pt>
                <c:pt idx="14">
                  <c:v>63456.639620253169</c:v>
                </c:pt>
                <c:pt idx="15">
                  <c:v>68876.770374999993</c:v>
                </c:pt>
                <c:pt idx="16">
                  <c:v>72843.072533333339</c:v>
                </c:pt>
                <c:pt idx="17">
                  <c:v>71361.369480519483</c:v>
                </c:pt>
                <c:pt idx="18">
                  <c:v>71224.987922077926</c:v>
                </c:pt>
                <c:pt idx="19">
                  <c:v>52500.958630136985</c:v>
                </c:pt>
                <c:pt idx="20">
                  <c:v>76751.798529411768</c:v>
                </c:pt>
                <c:pt idx="21">
                  <c:v>76898.308307692307</c:v>
                </c:pt>
                <c:pt idx="22">
                  <c:v>60209.626562500001</c:v>
                </c:pt>
                <c:pt idx="23">
                  <c:v>37284.691290322582</c:v>
                </c:pt>
                <c:pt idx="24">
                  <c:v>93011.39</c:v>
                </c:pt>
                <c:pt idx="25">
                  <c:v>83518.805194805202</c:v>
                </c:pt>
                <c:pt idx="26">
                  <c:v>87662.058823529413</c:v>
                </c:pt>
                <c:pt idx="27">
                  <c:v>67731.987951807227</c:v>
                </c:pt>
                <c:pt idx="28">
                  <c:v>71385.168674698798</c:v>
                </c:pt>
                <c:pt idx="29">
                  <c:v>63467.067415730337</c:v>
                </c:pt>
                <c:pt idx="30">
                  <c:v>68381.5</c:v>
                </c:pt>
                <c:pt idx="31">
                  <c:v>52509.287356321838</c:v>
                </c:pt>
                <c:pt idx="32">
                  <c:v>59026.024390243903</c:v>
                </c:pt>
                <c:pt idx="33">
                  <c:v>58976.192307692305</c:v>
                </c:pt>
                <c:pt idx="34">
                  <c:v>62561.932584269663</c:v>
                </c:pt>
                <c:pt idx="35">
                  <c:v>55680.103448275862</c:v>
                </c:pt>
                <c:pt idx="36">
                  <c:v>61401.348314606745</c:v>
                </c:pt>
                <c:pt idx="37">
                  <c:v>63543.267441860466</c:v>
                </c:pt>
                <c:pt idx="38">
                  <c:v>73544.957894736843</c:v>
                </c:pt>
                <c:pt idx="39">
                  <c:v>103503.87755102041</c:v>
                </c:pt>
                <c:pt idx="40">
                  <c:v>162855.91089108912</c:v>
                </c:pt>
                <c:pt idx="41">
                  <c:v>154298.86486486485</c:v>
                </c:pt>
                <c:pt idx="42">
                  <c:v>120023.75</c:v>
                </c:pt>
                <c:pt idx="43">
                  <c:v>85697.175572519089</c:v>
                </c:pt>
                <c:pt idx="44">
                  <c:v>70022.424460431648</c:v>
                </c:pt>
                <c:pt idx="45">
                  <c:v>77087.259259259255</c:v>
                </c:pt>
                <c:pt idx="46">
                  <c:v>83272.125</c:v>
                </c:pt>
                <c:pt idx="47">
                  <c:v>74752.416666666672</c:v>
                </c:pt>
                <c:pt idx="48">
                  <c:v>79952.135593220344</c:v>
                </c:pt>
                <c:pt idx="49">
                  <c:v>84868.2</c:v>
                </c:pt>
                <c:pt idx="50">
                  <c:v>74213.18965517242</c:v>
                </c:pt>
                <c:pt idx="51">
                  <c:v>88407.41025641025</c:v>
                </c:pt>
                <c:pt idx="52">
                  <c:v>79892.190476190473</c:v>
                </c:pt>
                <c:pt idx="53">
                  <c:v>79103.626016260168</c:v>
                </c:pt>
                <c:pt idx="54">
                  <c:v>73544.841584158421</c:v>
                </c:pt>
                <c:pt idx="55">
                  <c:v>45106.175824175822</c:v>
                </c:pt>
                <c:pt idx="56">
                  <c:v>33614.80459770115</c:v>
                </c:pt>
                <c:pt idx="57">
                  <c:v>50479</c:v>
                </c:pt>
                <c:pt idx="58">
                  <c:v>69230.32432432432</c:v>
                </c:pt>
                <c:pt idx="59">
                  <c:v>53882.102564102563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2F5-4A46-A51F-5340A7F1AC1B}"/>
            </c:ext>
          </c:extLst>
        </c:ser>
        <c:ser>
          <c:idx val="2"/>
          <c:order val="2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Totals'!$BG$82:$BG$144</c:f>
              <c:numCache>
                <c:formatCode>_-"$"* #,##0_-;\-"$"* #,##0_-;_-"$"* "-"??_-;_-@_-</c:formatCode>
                <c:ptCount val="63"/>
                <c:pt idx="0">
                  <c:v>540.51543659315178</c:v>
                </c:pt>
                <c:pt idx="1">
                  <c:v>575.4346288280251</c:v>
                </c:pt>
                <c:pt idx="2">
                  <c:v>619.14335472893038</c:v>
                </c:pt>
                <c:pt idx="3">
                  <c:v>627.75538537281534</c:v>
                </c:pt>
                <c:pt idx="4">
                  <c:v>643.88177202039003</c:v>
                </c:pt>
                <c:pt idx="5">
                  <c:v>599.39344338016724</c:v>
                </c:pt>
                <c:pt idx="6">
                  <c:v>663.05777932510478</c:v>
                </c:pt>
                <c:pt idx="7">
                  <c:v>567.37629252102158</c:v>
                </c:pt>
                <c:pt idx="8">
                  <c:v>586.9420005309272</c:v>
                </c:pt>
                <c:pt idx="9">
                  <c:v>584.9326732157333</c:v>
                </c:pt>
                <c:pt idx="10">
                  <c:v>648.62826883204821</c:v>
                </c:pt>
                <c:pt idx="11">
                  <c:v>587.83886801648748</c:v>
                </c:pt>
                <c:pt idx="12">
                  <c:v>612.63514389357624</c:v>
                </c:pt>
                <c:pt idx="13">
                  <c:v>573.64373517349384</c:v>
                </c:pt>
                <c:pt idx="14">
                  <c:v>612.91715373477166</c:v>
                </c:pt>
                <c:pt idx="15">
                  <c:v>644.92392141587482</c:v>
                </c:pt>
                <c:pt idx="16">
                  <c:v>707.10244152963764</c:v>
                </c:pt>
                <c:pt idx="17">
                  <c:v>689.39999718961769</c:v>
                </c:pt>
                <c:pt idx="18">
                  <c:v>719.23816536910249</c:v>
                </c:pt>
                <c:pt idx="19">
                  <c:v>700.61755224692581</c:v>
                </c:pt>
                <c:pt idx="20">
                  <c:v>674.55271701761365</c:v>
                </c:pt>
                <c:pt idx="21">
                  <c:v>701.59932512478451</c:v>
                </c:pt>
                <c:pt idx="22">
                  <c:v>675.96984093180788</c:v>
                </c:pt>
                <c:pt idx="23">
                  <c:v>771.50489539056321</c:v>
                </c:pt>
                <c:pt idx="24">
                  <c:v>752.75953381711861</c:v>
                </c:pt>
                <c:pt idx="25">
                  <c:v>717.09946476360392</c:v>
                </c:pt>
                <c:pt idx="26">
                  <c:v>713.86041387238936</c:v>
                </c:pt>
                <c:pt idx="27">
                  <c:v>614.06389950846528</c:v>
                </c:pt>
                <c:pt idx="28">
                  <c:v>616.99146100177029</c:v>
                </c:pt>
                <c:pt idx="29">
                  <c:v>590.17542576533276</c:v>
                </c:pt>
                <c:pt idx="30">
                  <c:v>619.45998993457476</c:v>
                </c:pt>
                <c:pt idx="31">
                  <c:v>632.11678428116784</c:v>
                </c:pt>
                <c:pt idx="32">
                  <c:v>631.54149269311063</c:v>
                </c:pt>
                <c:pt idx="33">
                  <c:v>626.5517570144375</c:v>
                </c:pt>
                <c:pt idx="34">
                  <c:v>576.81674090956176</c:v>
                </c:pt>
                <c:pt idx="35">
                  <c:v>609.63616914170655</c:v>
                </c:pt>
                <c:pt idx="36">
                  <c:v>600.98097437589354</c:v>
                </c:pt>
                <c:pt idx="37">
                  <c:v>630.59323794138015</c:v>
                </c:pt>
                <c:pt idx="38">
                  <c:v>708.52560592232021</c:v>
                </c:pt>
                <c:pt idx="39">
                  <c:v>1082.6534315295123</c:v>
                </c:pt>
                <c:pt idx="40">
                  <c:v>1451.8886927354577</c:v>
                </c:pt>
                <c:pt idx="41">
                  <c:v>1468.9171136753791</c:v>
                </c:pt>
                <c:pt idx="42">
                  <c:v>1349.6511587352722</c:v>
                </c:pt>
                <c:pt idx="43">
                  <c:v>811.48404836667078</c:v>
                </c:pt>
                <c:pt idx="44">
                  <c:v>898.83155149869799</c:v>
                </c:pt>
                <c:pt idx="45">
                  <c:v>835.95308860149407</c:v>
                </c:pt>
                <c:pt idx="46">
                  <c:v>751.41572083186463</c:v>
                </c:pt>
                <c:pt idx="47">
                  <c:v>919.27546628407458</c:v>
                </c:pt>
                <c:pt idx="48">
                  <c:v>828.81068259685492</c:v>
                </c:pt>
                <c:pt idx="49">
                  <c:v>891.55782637761433</c:v>
                </c:pt>
                <c:pt idx="50">
                  <c:v>812.91123701605284</c:v>
                </c:pt>
                <c:pt idx="51">
                  <c:v>671.4486854917235</c:v>
                </c:pt>
                <c:pt idx="52">
                  <c:v>821.54704970211378</c:v>
                </c:pt>
                <c:pt idx="53">
                  <c:v>719.23018923713778</c:v>
                </c:pt>
                <c:pt idx="54">
                  <c:v>642.61865213253736</c:v>
                </c:pt>
                <c:pt idx="55">
                  <c:v>695.94133604611727</c:v>
                </c:pt>
                <c:pt idx="56">
                  <c:v>664.65636363636361</c:v>
                </c:pt>
                <c:pt idx="57">
                  <c:v>593.39460325941764</c:v>
                </c:pt>
                <c:pt idx="58">
                  <c:v>619.54819204256864</c:v>
                </c:pt>
                <c:pt idx="59">
                  <c:v>679.73540352579653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2F5-4A46-A51F-5340A7F1AC1B}"/>
            </c:ext>
          </c:extLst>
        </c:ser>
        <c:ser>
          <c:idx val="3"/>
          <c:order val="3"/>
          <c:tx>
            <c:strRef>
              <c:f>'Group Totals'!$BH$3</c:f>
              <c:strCache>
                <c:ptCount val="1"/>
                <c:pt idx="0">
                  <c:v>$ to FG per W/O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Totals'!$BH$82:$BH$144</c:f>
              <c:numCache>
                <c:formatCode>_-"$"* #,##0_-;\-"$"* #,##0_-;_-"$"* "-"??_-;_-@_-</c:formatCode>
                <c:ptCount val="63"/>
                <c:pt idx="0">
                  <c:v>11417.198399014778</c:v>
                </c:pt>
                <c:pt idx="1">
                  <c:v>13226.178535211267</c:v>
                </c:pt>
                <c:pt idx="2">
                  <c:v>12003.291995359628</c:v>
                </c:pt>
                <c:pt idx="3">
                  <c:v>13709.905113636363</c:v>
                </c:pt>
                <c:pt idx="4">
                  <c:v>15203.66980821918</c:v>
                </c:pt>
                <c:pt idx="5">
                  <c:v>13126.828796296297</c:v>
                </c:pt>
                <c:pt idx="6">
                  <c:v>16659.688994845361</c:v>
                </c:pt>
                <c:pt idx="7">
                  <c:v>14340.93489626556</c:v>
                </c:pt>
                <c:pt idx="8">
                  <c:v>17434.624940711463</c:v>
                </c:pt>
                <c:pt idx="9">
                  <c:v>15812.094352159469</c:v>
                </c:pt>
                <c:pt idx="10">
                  <c:v>15925.212586206897</c:v>
                </c:pt>
                <c:pt idx="11">
                  <c:v>11283.927993920974</c:v>
                </c:pt>
                <c:pt idx="12">
                  <c:v>14312.287737789202</c:v>
                </c:pt>
                <c:pt idx="13">
                  <c:v>12869.400542857144</c:v>
                </c:pt>
                <c:pt idx="14">
                  <c:v>14364.110401146132</c:v>
                </c:pt>
                <c:pt idx="15">
                  <c:v>15305.948972222222</c:v>
                </c:pt>
                <c:pt idx="16">
                  <c:v>16758.375582822086</c:v>
                </c:pt>
                <c:pt idx="17">
                  <c:v>16305.120029673591</c:v>
                </c:pt>
                <c:pt idx="18">
                  <c:v>18160.013476821194</c:v>
                </c:pt>
                <c:pt idx="19">
                  <c:v>17109.687410714287</c:v>
                </c:pt>
                <c:pt idx="20">
                  <c:v>17812.704095563138</c:v>
                </c:pt>
                <c:pt idx="21">
                  <c:v>16496.336765676569</c:v>
                </c:pt>
                <c:pt idx="22">
                  <c:v>13713.224555160143</c:v>
                </c:pt>
                <c:pt idx="23">
                  <c:v>41279.479642857143</c:v>
                </c:pt>
                <c:pt idx="24">
                  <c:v>21168.109448275864</c:v>
                </c:pt>
                <c:pt idx="25">
                  <c:v>18479.735632183907</c:v>
                </c:pt>
                <c:pt idx="26">
                  <c:v>20989.507042253521</c:v>
                </c:pt>
                <c:pt idx="27">
                  <c:v>16294.942028985508</c:v>
                </c:pt>
                <c:pt idx="28">
                  <c:v>16550.192737430167</c:v>
                </c:pt>
                <c:pt idx="29">
                  <c:v>16420.258720930233</c:v>
                </c:pt>
                <c:pt idx="30">
                  <c:v>19725.432692307691</c:v>
                </c:pt>
                <c:pt idx="31">
                  <c:v>15917.449477351916</c:v>
                </c:pt>
                <c:pt idx="32">
                  <c:v>17163.59574468085</c:v>
                </c:pt>
                <c:pt idx="33">
                  <c:v>14420.510971786834</c:v>
                </c:pt>
                <c:pt idx="34">
                  <c:v>16233.271137026239</c:v>
                </c:pt>
                <c:pt idx="35">
                  <c:v>16997.084210526315</c:v>
                </c:pt>
                <c:pt idx="36">
                  <c:v>15393.577464788732</c:v>
                </c:pt>
                <c:pt idx="37">
                  <c:v>15393.580281690141</c:v>
                </c:pt>
                <c:pt idx="38">
                  <c:v>19353.936288088644</c:v>
                </c:pt>
                <c:pt idx="39">
                  <c:v>31698.0625</c:v>
                </c:pt>
                <c:pt idx="40">
                  <c:v>46728.54261363636</c:v>
                </c:pt>
                <c:pt idx="41">
                  <c:v>54545.140127388535</c:v>
                </c:pt>
                <c:pt idx="42">
                  <c:v>37379.659367396591</c:v>
                </c:pt>
                <c:pt idx="43">
                  <c:v>35526.360759493669</c:v>
                </c:pt>
                <c:pt idx="44">
                  <c:v>31397.151612903224</c:v>
                </c:pt>
                <c:pt idx="45">
                  <c:v>28202.655826558264</c:v>
                </c:pt>
                <c:pt idx="46">
                  <c:v>31166.175438596492</c:v>
                </c:pt>
                <c:pt idx="47">
                  <c:v>34501.115384615383</c:v>
                </c:pt>
                <c:pt idx="48">
                  <c:v>26206.533333333333</c:v>
                </c:pt>
                <c:pt idx="49">
                  <c:v>29264.896551724138</c:v>
                </c:pt>
                <c:pt idx="50">
                  <c:v>29685.275862068964</c:v>
                </c:pt>
                <c:pt idx="51">
                  <c:v>27148.732283464567</c:v>
                </c:pt>
                <c:pt idx="52">
                  <c:v>28597.772727272728</c:v>
                </c:pt>
                <c:pt idx="53">
                  <c:v>27720.074074074073</c:v>
                </c:pt>
                <c:pt idx="54">
                  <c:v>26528.674999999999</c:v>
                </c:pt>
                <c:pt idx="55">
                  <c:v>26481.690322580645</c:v>
                </c:pt>
                <c:pt idx="56">
                  <c:v>23971.213114754097</c:v>
                </c:pt>
                <c:pt idx="57">
                  <c:v>18743.257383966244</c:v>
                </c:pt>
                <c:pt idx="58">
                  <c:v>20996.081967213115</c:v>
                </c:pt>
                <c:pt idx="59">
                  <c:v>22595.720430107525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2F5-4A46-A51F-5340A7F1AC1B}"/>
            </c:ext>
          </c:extLst>
        </c:ser>
        <c:ser>
          <c:idx val="4"/>
          <c:order val="4"/>
          <c:tx>
            <c:strRef>
              <c:f>'Group Totals'!$BI$3</c:f>
              <c:strCache>
                <c:ptCount val="1"/>
                <c:pt idx="0">
                  <c:v>$ to FG per SKU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Totals'!$BI$82:$BI$144</c:f>
              <c:numCache>
                <c:formatCode>_-"$"* #,##0_-;\-"$"* #,##0_-;_-"$"* "-"??_-;_-@_-</c:formatCode>
                <c:ptCount val="63"/>
                <c:pt idx="0">
                  <c:v>22285.493028846155</c:v>
                </c:pt>
                <c:pt idx="1">
                  <c:v>25940.847403314918</c:v>
                </c:pt>
                <c:pt idx="2">
                  <c:v>24753.200239234448</c:v>
                </c:pt>
                <c:pt idx="3">
                  <c:v>27798.885944700462</c:v>
                </c:pt>
                <c:pt idx="4">
                  <c:v>31001.896536312852</c:v>
                </c:pt>
                <c:pt idx="5">
                  <c:v>28496.432361809046</c:v>
                </c:pt>
                <c:pt idx="6">
                  <c:v>31226.856666666667</c:v>
                </c:pt>
                <c:pt idx="7">
                  <c:v>24339.192323943662</c:v>
                </c:pt>
                <c:pt idx="8">
                  <c:v>29803.78452702703</c:v>
                </c:pt>
                <c:pt idx="9">
                  <c:v>27511.216184971101</c:v>
                </c:pt>
                <c:pt idx="10">
                  <c:v>30119.423804347829</c:v>
                </c:pt>
                <c:pt idx="11">
                  <c:v>21459.03069364162</c:v>
                </c:pt>
                <c:pt idx="12">
                  <c:v>28405.509846938774</c:v>
                </c:pt>
                <c:pt idx="13">
                  <c:v>25886.725229885058</c:v>
                </c:pt>
                <c:pt idx="14">
                  <c:v>26665.290053191489</c:v>
                </c:pt>
                <c:pt idx="15">
                  <c:v>26114.415308056872</c:v>
                </c:pt>
                <c:pt idx="16">
                  <c:v>32326.807337278107</c:v>
                </c:pt>
                <c:pt idx="17">
                  <c:v>28920.133947368424</c:v>
                </c:pt>
                <c:pt idx="18">
                  <c:v>30300.132983425417</c:v>
                </c:pt>
                <c:pt idx="19">
                  <c:v>29709.844806201549</c:v>
                </c:pt>
                <c:pt idx="20">
                  <c:v>34563.723841059604</c:v>
                </c:pt>
                <c:pt idx="21">
                  <c:v>28892.427976878615</c:v>
                </c:pt>
                <c:pt idx="22">
                  <c:v>25022.182467532468</c:v>
                </c:pt>
                <c:pt idx="23">
                  <c:v>56381.728292682921</c:v>
                </c:pt>
                <c:pt idx="24">
                  <c:v>37661.053619631901</c:v>
                </c:pt>
                <c:pt idx="25">
                  <c:v>34207.170212765959</c:v>
                </c:pt>
                <c:pt idx="26">
                  <c:v>41167.265193370164</c:v>
                </c:pt>
                <c:pt idx="27">
                  <c:v>28392.702020202021</c:v>
                </c:pt>
                <c:pt idx="28">
                  <c:v>29773.713567839197</c:v>
                </c:pt>
                <c:pt idx="29">
                  <c:v>29886.608465608464</c:v>
                </c:pt>
                <c:pt idx="30">
                  <c:v>33266.675675675673</c:v>
                </c:pt>
                <c:pt idx="31">
                  <c:v>24963.43169398907</c:v>
                </c:pt>
                <c:pt idx="32">
                  <c:v>27816.862068965518</c:v>
                </c:pt>
                <c:pt idx="33">
                  <c:v>23470.117346938776</c:v>
                </c:pt>
                <c:pt idx="34">
                  <c:v>27840.06</c:v>
                </c:pt>
                <c:pt idx="35">
                  <c:v>29718.828220858897</c:v>
                </c:pt>
                <c:pt idx="36">
                  <c:v>29539.027027027027</c:v>
                </c:pt>
                <c:pt idx="37">
                  <c:v>27739.700507614212</c:v>
                </c:pt>
                <c:pt idx="38">
                  <c:v>38179.076502732241</c:v>
                </c:pt>
                <c:pt idx="39">
                  <c:v>56985.280898876401</c:v>
                </c:pt>
                <c:pt idx="40">
                  <c:v>82655.512562814067</c:v>
                </c:pt>
                <c:pt idx="41">
                  <c:v>101344.22485207101</c:v>
                </c:pt>
                <c:pt idx="42">
                  <c:v>65935.793991416314</c:v>
                </c:pt>
                <c:pt idx="43">
                  <c:v>54496.747572815533</c:v>
                </c:pt>
                <c:pt idx="44">
                  <c:v>50958.727748691097</c:v>
                </c:pt>
                <c:pt idx="45">
                  <c:v>47303.545454545456</c:v>
                </c:pt>
                <c:pt idx="46">
                  <c:v>58888.574585635361</c:v>
                </c:pt>
                <c:pt idx="47">
                  <c:v>59801.933333333334</c:v>
                </c:pt>
                <c:pt idx="48">
                  <c:v>44501.660377358494</c:v>
                </c:pt>
                <c:pt idx="49">
                  <c:v>51013.672131147541</c:v>
                </c:pt>
                <c:pt idx="50">
                  <c:v>47826.277777777781</c:v>
                </c:pt>
                <c:pt idx="51">
                  <c:v>48334.892523364484</c:v>
                </c:pt>
                <c:pt idx="52">
                  <c:v>50332.08</c:v>
                </c:pt>
                <c:pt idx="53">
                  <c:v>44226.118181818179</c:v>
                </c:pt>
                <c:pt idx="54">
                  <c:v>40813.346153846156</c:v>
                </c:pt>
                <c:pt idx="55">
                  <c:v>36648.767857142855</c:v>
                </c:pt>
                <c:pt idx="56">
                  <c:v>28955.326732673268</c:v>
                </c:pt>
                <c:pt idx="57">
                  <c:v>27420.691358024691</c:v>
                </c:pt>
                <c:pt idx="58">
                  <c:v>30313.869822485209</c:v>
                </c:pt>
                <c:pt idx="59">
                  <c:v>33092.944881889765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2F5-4A46-A51F-5340A7F1A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dateAx>
        <c:axId val="21066342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18303"/>
        <c:crosses val="autoZero"/>
        <c:auto val="1"/>
        <c:lblOffset val="100"/>
        <c:baseTimeUnit val="months"/>
      </c:dateAx>
      <c:valAx>
        <c:axId val="223618303"/>
        <c:scaling>
          <c:orientation val="minMax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5887576552930881E-2"/>
          <c:y val="0.83853893263342094"/>
          <c:w val="0.95655796150481187"/>
          <c:h val="0.13368328958880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Totals'!$BE$3</c:f>
              <c:strCache>
                <c:ptCount val="1"/>
                <c:pt idx="0">
                  <c:v>$ to FG per FG Unit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Totals'!$BE$82:$BE$144</c:f>
              <c:numCache>
                <c:formatCode>_-"$"* #,##0_-;\-"$"* #,##0_-;_-"$"* "-"??_-;_-@_-</c:formatCode>
                <c:ptCount val="63"/>
                <c:pt idx="0">
                  <c:v>132.56828204541554</c:v>
                </c:pt>
                <c:pt idx="1">
                  <c:v>165.08889912450334</c:v>
                </c:pt>
                <c:pt idx="2">
                  <c:v>148.58460709977598</c:v>
                </c:pt>
                <c:pt idx="3">
                  <c:v>184.03680059796204</c:v>
                </c:pt>
                <c:pt idx="4">
                  <c:v>158.87029716576009</c:v>
                </c:pt>
                <c:pt idx="5">
                  <c:v>132.72457145531996</c:v>
                </c:pt>
                <c:pt idx="6">
                  <c:v>143.06492253552301</c:v>
                </c:pt>
                <c:pt idx="7">
                  <c:v>125.11005647058823</c:v>
                </c:pt>
                <c:pt idx="8">
                  <c:v>144.67856566517975</c:v>
                </c:pt>
                <c:pt idx="9">
                  <c:v>124.31281408347699</c:v>
                </c:pt>
                <c:pt idx="10">
                  <c:v>158.53688760477158</c:v>
                </c:pt>
                <c:pt idx="11">
                  <c:v>125.45324107866992</c:v>
                </c:pt>
                <c:pt idx="12">
                  <c:v>147.36580015881418</c:v>
                </c:pt>
                <c:pt idx="13">
                  <c:v>137.80487639968183</c:v>
                </c:pt>
                <c:pt idx="14">
                  <c:v>138.95486126895253</c:v>
                </c:pt>
                <c:pt idx="15">
                  <c:v>141.49974653963687</c:v>
                </c:pt>
                <c:pt idx="16">
                  <c:v>143.94726214001528</c:v>
                </c:pt>
                <c:pt idx="17">
                  <c:v>152.16907920243699</c:v>
                </c:pt>
                <c:pt idx="18">
                  <c:v>159.75310428196914</c:v>
                </c:pt>
                <c:pt idx="19">
                  <c:v>125.76524184550765</c:v>
                </c:pt>
                <c:pt idx="20">
                  <c:v>133.62834575108175</c:v>
                </c:pt>
                <c:pt idx="21">
                  <c:v>149.13444444444445</c:v>
                </c:pt>
                <c:pt idx="22">
                  <c:v>125.39590302635861</c:v>
                </c:pt>
                <c:pt idx="23">
                  <c:v>275.52453635280096</c:v>
                </c:pt>
                <c:pt idx="24">
                  <c:v>166.26721215568375</c:v>
                </c:pt>
                <c:pt idx="25">
                  <c:v>134.44584282817303</c:v>
                </c:pt>
                <c:pt idx="26">
                  <c:v>155.39676746611053</c:v>
                </c:pt>
                <c:pt idx="27">
                  <c:v>132.52292496640814</c:v>
                </c:pt>
                <c:pt idx="28">
                  <c:v>138.95656558549683</c:v>
                </c:pt>
                <c:pt idx="29">
                  <c:v>144.50163724737786</c:v>
                </c:pt>
                <c:pt idx="30">
                  <c:v>130.740233254732</c:v>
                </c:pt>
                <c:pt idx="31">
                  <c:v>137.72408803135363</c:v>
                </c:pt>
                <c:pt idx="32">
                  <c:v>144.30069763281855</c:v>
                </c:pt>
                <c:pt idx="33">
                  <c:v>146.12442425590038</c:v>
                </c:pt>
                <c:pt idx="34">
                  <c:v>110.18784136784612</c:v>
                </c:pt>
                <c:pt idx="35">
                  <c:v>134.98394961963942</c:v>
                </c:pt>
                <c:pt idx="36">
                  <c:v>108.67495276921547</c:v>
                </c:pt>
                <c:pt idx="37">
                  <c:v>138.03983530362737</c:v>
                </c:pt>
                <c:pt idx="38">
                  <c:v>154.78003987594153</c:v>
                </c:pt>
                <c:pt idx="39">
                  <c:v>220.46033470984568</c:v>
                </c:pt>
                <c:pt idx="40">
                  <c:v>263.07833917118501</c:v>
                </c:pt>
                <c:pt idx="41">
                  <c:v>277.3002720031086</c:v>
                </c:pt>
                <c:pt idx="42">
                  <c:v>224.84910575769106</c:v>
                </c:pt>
                <c:pt idx="43">
                  <c:v>180.73169553738168</c:v>
                </c:pt>
                <c:pt idx="44">
                  <c:v>227.61136055376269</c:v>
                </c:pt>
                <c:pt idx="45">
                  <c:v>199.42472788594205</c:v>
                </c:pt>
                <c:pt idx="46">
                  <c:v>161.62479529326137</c:v>
                </c:pt>
                <c:pt idx="47">
                  <c:v>152.86271769878329</c:v>
                </c:pt>
                <c:pt idx="48">
                  <c:v>165.74757554462403</c:v>
                </c:pt>
                <c:pt idx="49">
                  <c:v>158.57286995515696</c:v>
                </c:pt>
                <c:pt idx="50">
                  <c:v>179.18801906625316</c:v>
                </c:pt>
                <c:pt idx="51">
                  <c:v>203.72377050794714</c:v>
                </c:pt>
                <c:pt idx="52">
                  <c:v>157.31478847926988</c:v>
                </c:pt>
                <c:pt idx="53">
                  <c:v>183.07234651062149</c:v>
                </c:pt>
                <c:pt idx="54">
                  <c:v>206.52919423900352</c:v>
                </c:pt>
                <c:pt idx="55">
                  <c:v>204.93594288281992</c:v>
                </c:pt>
                <c:pt idx="56">
                  <c:v>168.33523283255627</c:v>
                </c:pt>
                <c:pt idx="57">
                  <c:v>160.38965915655692</c:v>
                </c:pt>
                <c:pt idx="58">
                  <c:v>167.12481242252235</c:v>
                </c:pt>
                <c:pt idx="59">
                  <c:v>174.85455150607422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01A-4671-B238-9F371B1412EB}"/>
            </c:ext>
          </c:extLst>
        </c:ser>
        <c:ser>
          <c:idx val="1"/>
          <c:order val="1"/>
          <c:tx>
            <c:strRef>
              <c:f>'Group Totals'!$BF$3</c:f>
              <c:strCache>
                <c:ptCount val="1"/>
                <c:pt idx="0">
                  <c:v>$ to FG per Direct Team Member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Totals'!$BF$82:$BF$144</c:f>
              <c:numCache>
                <c:formatCode>_-"$"* #,##0_-;\-"$"* #,##0_-;_-"$"* "-"??_-;_-@_-</c:formatCode>
                <c:ptCount val="63"/>
                <c:pt idx="0">
                  <c:v>60991.875657894736</c:v>
                </c:pt>
                <c:pt idx="1">
                  <c:v>61780.176052631577</c:v>
                </c:pt>
                <c:pt idx="2">
                  <c:v>67187.257792207791</c:v>
                </c:pt>
                <c:pt idx="3">
                  <c:v>72679.01506024097</c:v>
                </c:pt>
                <c:pt idx="4">
                  <c:v>65286.34682352942</c:v>
                </c:pt>
                <c:pt idx="5">
                  <c:v>68322.771566265059</c:v>
                </c:pt>
                <c:pt idx="6">
                  <c:v>73454.083295454548</c:v>
                </c:pt>
                <c:pt idx="7">
                  <c:v>37979.838571428569</c:v>
                </c:pt>
                <c:pt idx="8">
                  <c:v>54456.297654320995</c:v>
                </c:pt>
                <c:pt idx="9">
                  <c:v>54084.55</c:v>
                </c:pt>
                <c:pt idx="10">
                  <c:v>69274.674750000006</c:v>
                </c:pt>
                <c:pt idx="11">
                  <c:v>45832.250740740739</c:v>
                </c:pt>
                <c:pt idx="12">
                  <c:v>67896.096707317076</c:v>
                </c:pt>
                <c:pt idx="13">
                  <c:v>53622.502261904767</c:v>
                </c:pt>
                <c:pt idx="14">
                  <c:v>63456.639620253169</c:v>
                </c:pt>
                <c:pt idx="15">
                  <c:v>68876.770374999993</c:v>
                </c:pt>
                <c:pt idx="16">
                  <c:v>72843.072533333339</c:v>
                </c:pt>
                <c:pt idx="17">
                  <c:v>71361.369480519483</c:v>
                </c:pt>
                <c:pt idx="18">
                  <c:v>71224.987922077926</c:v>
                </c:pt>
                <c:pt idx="19">
                  <c:v>52500.958630136985</c:v>
                </c:pt>
                <c:pt idx="20">
                  <c:v>76751.798529411768</c:v>
                </c:pt>
                <c:pt idx="21">
                  <c:v>76898.308307692307</c:v>
                </c:pt>
                <c:pt idx="22">
                  <c:v>60209.626562500001</c:v>
                </c:pt>
                <c:pt idx="23">
                  <c:v>37284.691290322582</c:v>
                </c:pt>
                <c:pt idx="24">
                  <c:v>93011.39</c:v>
                </c:pt>
                <c:pt idx="25">
                  <c:v>83518.805194805202</c:v>
                </c:pt>
                <c:pt idx="26">
                  <c:v>87662.058823529413</c:v>
                </c:pt>
                <c:pt idx="27">
                  <c:v>67731.987951807227</c:v>
                </c:pt>
                <c:pt idx="28">
                  <c:v>71385.168674698798</c:v>
                </c:pt>
                <c:pt idx="29">
                  <c:v>63467.067415730337</c:v>
                </c:pt>
                <c:pt idx="30">
                  <c:v>68381.5</c:v>
                </c:pt>
                <c:pt idx="31">
                  <c:v>52509.287356321838</c:v>
                </c:pt>
                <c:pt idx="32">
                  <c:v>59026.024390243903</c:v>
                </c:pt>
                <c:pt idx="33">
                  <c:v>58976.192307692305</c:v>
                </c:pt>
                <c:pt idx="34">
                  <c:v>62561.932584269663</c:v>
                </c:pt>
                <c:pt idx="35">
                  <c:v>55680.103448275862</c:v>
                </c:pt>
                <c:pt idx="36">
                  <c:v>61401.348314606745</c:v>
                </c:pt>
                <c:pt idx="37">
                  <c:v>63543.267441860466</c:v>
                </c:pt>
                <c:pt idx="38">
                  <c:v>73544.957894736843</c:v>
                </c:pt>
                <c:pt idx="39">
                  <c:v>103503.87755102041</c:v>
                </c:pt>
                <c:pt idx="40">
                  <c:v>162855.91089108912</c:v>
                </c:pt>
                <c:pt idx="41">
                  <c:v>154298.86486486485</c:v>
                </c:pt>
                <c:pt idx="42">
                  <c:v>120023.75</c:v>
                </c:pt>
                <c:pt idx="43">
                  <c:v>85697.175572519089</c:v>
                </c:pt>
                <c:pt idx="44">
                  <c:v>70022.424460431648</c:v>
                </c:pt>
                <c:pt idx="45">
                  <c:v>77087.259259259255</c:v>
                </c:pt>
                <c:pt idx="46">
                  <c:v>83272.125</c:v>
                </c:pt>
                <c:pt idx="47">
                  <c:v>74752.416666666672</c:v>
                </c:pt>
                <c:pt idx="48">
                  <c:v>79952.135593220344</c:v>
                </c:pt>
                <c:pt idx="49">
                  <c:v>84868.2</c:v>
                </c:pt>
                <c:pt idx="50">
                  <c:v>74213.18965517242</c:v>
                </c:pt>
                <c:pt idx="51">
                  <c:v>88407.41025641025</c:v>
                </c:pt>
                <c:pt idx="52">
                  <c:v>79892.190476190473</c:v>
                </c:pt>
                <c:pt idx="53">
                  <c:v>79103.626016260168</c:v>
                </c:pt>
                <c:pt idx="54">
                  <c:v>73544.841584158421</c:v>
                </c:pt>
                <c:pt idx="55">
                  <c:v>45106.175824175822</c:v>
                </c:pt>
                <c:pt idx="56">
                  <c:v>33614.80459770115</c:v>
                </c:pt>
                <c:pt idx="57">
                  <c:v>50479</c:v>
                </c:pt>
                <c:pt idx="58">
                  <c:v>69230.32432432432</c:v>
                </c:pt>
                <c:pt idx="59">
                  <c:v>53882.102564102563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A-4671-B238-9F371B1412EB}"/>
            </c:ext>
          </c:extLst>
        </c:ser>
        <c:ser>
          <c:idx val="3"/>
          <c:order val="3"/>
          <c:tx>
            <c:strRef>
              <c:f>'Group Totals'!$BH$3</c:f>
              <c:strCache>
                <c:ptCount val="1"/>
                <c:pt idx="0">
                  <c:v>$ to FG per W/O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Totals'!$BH$82:$BH$144</c:f>
              <c:numCache>
                <c:formatCode>_-"$"* #,##0_-;\-"$"* #,##0_-;_-"$"* "-"??_-;_-@_-</c:formatCode>
                <c:ptCount val="63"/>
                <c:pt idx="0">
                  <c:v>11417.198399014778</c:v>
                </c:pt>
                <c:pt idx="1">
                  <c:v>13226.178535211267</c:v>
                </c:pt>
                <c:pt idx="2">
                  <c:v>12003.291995359628</c:v>
                </c:pt>
                <c:pt idx="3">
                  <c:v>13709.905113636363</c:v>
                </c:pt>
                <c:pt idx="4">
                  <c:v>15203.66980821918</c:v>
                </c:pt>
                <c:pt idx="5">
                  <c:v>13126.828796296297</c:v>
                </c:pt>
                <c:pt idx="6">
                  <c:v>16659.688994845361</c:v>
                </c:pt>
                <c:pt idx="7">
                  <c:v>14340.93489626556</c:v>
                </c:pt>
                <c:pt idx="8">
                  <c:v>17434.624940711463</c:v>
                </c:pt>
                <c:pt idx="9">
                  <c:v>15812.094352159469</c:v>
                </c:pt>
                <c:pt idx="10">
                  <c:v>15925.212586206897</c:v>
                </c:pt>
                <c:pt idx="11">
                  <c:v>11283.927993920974</c:v>
                </c:pt>
                <c:pt idx="12">
                  <c:v>14312.287737789202</c:v>
                </c:pt>
                <c:pt idx="13">
                  <c:v>12869.400542857144</c:v>
                </c:pt>
                <c:pt idx="14">
                  <c:v>14364.110401146132</c:v>
                </c:pt>
                <c:pt idx="15">
                  <c:v>15305.948972222222</c:v>
                </c:pt>
                <c:pt idx="16">
                  <c:v>16758.375582822086</c:v>
                </c:pt>
                <c:pt idx="17">
                  <c:v>16305.120029673591</c:v>
                </c:pt>
                <c:pt idx="18">
                  <c:v>18160.013476821194</c:v>
                </c:pt>
                <c:pt idx="19">
                  <c:v>17109.687410714287</c:v>
                </c:pt>
                <c:pt idx="20">
                  <c:v>17812.704095563138</c:v>
                </c:pt>
                <c:pt idx="21">
                  <c:v>16496.336765676569</c:v>
                </c:pt>
                <c:pt idx="22">
                  <c:v>13713.224555160143</c:v>
                </c:pt>
                <c:pt idx="23">
                  <c:v>41279.479642857143</c:v>
                </c:pt>
                <c:pt idx="24">
                  <c:v>21168.109448275864</c:v>
                </c:pt>
                <c:pt idx="25">
                  <c:v>18479.735632183907</c:v>
                </c:pt>
                <c:pt idx="26">
                  <c:v>20989.507042253521</c:v>
                </c:pt>
                <c:pt idx="27">
                  <c:v>16294.942028985508</c:v>
                </c:pt>
                <c:pt idx="28">
                  <c:v>16550.192737430167</c:v>
                </c:pt>
                <c:pt idx="29">
                  <c:v>16420.258720930233</c:v>
                </c:pt>
                <c:pt idx="30">
                  <c:v>19725.432692307691</c:v>
                </c:pt>
                <c:pt idx="31">
                  <c:v>15917.449477351916</c:v>
                </c:pt>
                <c:pt idx="32">
                  <c:v>17163.59574468085</c:v>
                </c:pt>
                <c:pt idx="33">
                  <c:v>14420.510971786834</c:v>
                </c:pt>
                <c:pt idx="34">
                  <c:v>16233.271137026239</c:v>
                </c:pt>
                <c:pt idx="35">
                  <c:v>16997.084210526315</c:v>
                </c:pt>
                <c:pt idx="36">
                  <c:v>15393.577464788732</c:v>
                </c:pt>
                <c:pt idx="37">
                  <c:v>15393.580281690141</c:v>
                </c:pt>
                <c:pt idx="38">
                  <c:v>19353.936288088644</c:v>
                </c:pt>
                <c:pt idx="39">
                  <c:v>31698.0625</c:v>
                </c:pt>
                <c:pt idx="40">
                  <c:v>46728.54261363636</c:v>
                </c:pt>
                <c:pt idx="41">
                  <c:v>54545.140127388535</c:v>
                </c:pt>
                <c:pt idx="42">
                  <c:v>37379.659367396591</c:v>
                </c:pt>
                <c:pt idx="43">
                  <c:v>35526.360759493669</c:v>
                </c:pt>
                <c:pt idx="44">
                  <c:v>31397.151612903224</c:v>
                </c:pt>
                <c:pt idx="45">
                  <c:v>28202.655826558264</c:v>
                </c:pt>
                <c:pt idx="46">
                  <c:v>31166.175438596492</c:v>
                </c:pt>
                <c:pt idx="47">
                  <c:v>34501.115384615383</c:v>
                </c:pt>
                <c:pt idx="48">
                  <c:v>26206.533333333333</c:v>
                </c:pt>
                <c:pt idx="49">
                  <c:v>29264.896551724138</c:v>
                </c:pt>
                <c:pt idx="50">
                  <c:v>29685.275862068964</c:v>
                </c:pt>
                <c:pt idx="51">
                  <c:v>27148.732283464567</c:v>
                </c:pt>
                <c:pt idx="52">
                  <c:v>28597.772727272728</c:v>
                </c:pt>
                <c:pt idx="53">
                  <c:v>27720.074074074073</c:v>
                </c:pt>
                <c:pt idx="54">
                  <c:v>26528.674999999999</c:v>
                </c:pt>
                <c:pt idx="55">
                  <c:v>26481.690322580645</c:v>
                </c:pt>
                <c:pt idx="56">
                  <c:v>23971.213114754097</c:v>
                </c:pt>
                <c:pt idx="57">
                  <c:v>18743.257383966244</c:v>
                </c:pt>
                <c:pt idx="58">
                  <c:v>20996.081967213115</c:v>
                </c:pt>
                <c:pt idx="59">
                  <c:v>22595.720430107525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01A-4671-B238-9F371B1412EB}"/>
            </c:ext>
          </c:extLst>
        </c:ser>
        <c:ser>
          <c:idx val="4"/>
          <c:order val="4"/>
          <c:tx>
            <c:strRef>
              <c:f>'Group Totals'!$BI$3</c:f>
              <c:strCache>
                <c:ptCount val="1"/>
                <c:pt idx="0">
                  <c:v>$ to FG per SKU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Totals'!$BI$82:$BI$144</c:f>
              <c:numCache>
                <c:formatCode>_-"$"* #,##0_-;\-"$"* #,##0_-;_-"$"* "-"??_-;_-@_-</c:formatCode>
                <c:ptCount val="63"/>
                <c:pt idx="0">
                  <c:v>22285.493028846155</c:v>
                </c:pt>
                <c:pt idx="1">
                  <c:v>25940.847403314918</c:v>
                </c:pt>
                <c:pt idx="2">
                  <c:v>24753.200239234448</c:v>
                </c:pt>
                <c:pt idx="3">
                  <c:v>27798.885944700462</c:v>
                </c:pt>
                <c:pt idx="4">
                  <c:v>31001.896536312852</c:v>
                </c:pt>
                <c:pt idx="5">
                  <c:v>28496.432361809046</c:v>
                </c:pt>
                <c:pt idx="6">
                  <c:v>31226.856666666667</c:v>
                </c:pt>
                <c:pt idx="7">
                  <c:v>24339.192323943662</c:v>
                </c:pt>
                <c:pt idx="8">
                  <c:v>29803.78452702703</c:v>
                </c:pt>
                <c:pt idx="9">
                  <c:v>27511.216184971101</c:v>
                </c:pt>
                <c:pt idx="10">
                  <c:v>30119.423804347829</c:v>
                </c:pt>
                <c:pt idx="11">
                  <c:v>21459.03069364162</c:v>
                </c:pt>
                <c:pt idx="12">
                  <c:v>28405.509846938774</c:v>
                </c:pt>
                <c:pt idx="13">
                  <c:v>25886.725229885058</c:v>
                </c:pt>
                <c:pt idx="14">
                  <c:v>26665.290053191489</c:v>
                </c:pt>
                <c:pt idx="15">
                  <c:v>26114.415308056872</c:v>
                </c:pt>
                <c:pt idx="16">
                  <c:v>32326.807337278107</c:v>
                </c:pt>
                <c:pt idx="17">
                  <c:v>28920.133947368424</c:v>
                </c:pt>
                <c:pt idx="18">
                  <c:v>30300.132983425417</c:v>
                </c:pt>
                <c:pt idx="19">
                  <c:v>29709.844806201549</c:v>
                </c:pt>
                <c:pt idx="20">
                  <c:v>34563.723841059604</c:v>
                </c:pt>
                <c:pt idx="21">
                  <c:v>28892.427976878615</c:v>
                </c:pt>
                <c:pt idx="22">
                  <c:v>25022.182467532468</c:v>
                </c:pt>
                <c:pt idx="23">
                  <c:v>56381.728292682921</c:v>
                </c:pt>
                <c:pt idx="24">
                  <c:v>37661.053619631901</c:v>
                </c:pt>
                <c:pt idx="25">
                  <c:v>34207.170212765959</c:v>
                </c:pt>
                <c:pt idx="26">
                  <c:v>41167.265193370164</c:v>
                </c:pt>
                <c:pt idx="27">
                  <c:v>28392.702020202021</c:v>
                </c:pt>
                <c:pt idx="28">
                  <c:v>29773.713567839197</c:v>
                </c:pt>
                <c:pt idx="29">
                  <c:v>29886.608465608464</c:v>
                </c:pt>
                <c:pt idx="30">
                  <c:v>33266.675675675673</c:v>
                </c:pt>
                <c:pt idx="31">
                  <c:v>24963.43169398907</c:v>
                </c:pt>
                <c:pt idx="32">
                  <c:v>27816.862068965518</c:v>
                </c:pt>
                <c:pt idx="33">
                  <c:v>23470.117346938776</c:v>
                </c:pt>
                <c:pt idx="34">
                  <c:v>27840.06</c:v>
                </c:pt>
                <c:pt idx="35">
                  <c:v>29718.828220858897</c:v>
                </c:pt>
                <c:pt idx="36">
                  <c:v>29539.027027027027</c:v>
                </c:pt>
                <c:pt idx="37">
                  <c:v>27739.700507614212</c:v>
                </c:pt>
                <c:pt idx="38">
                  <c:v>38179.076502732241</c:v>
                </c:pt>
                <c:pt idx="39">
                  <c:v>56985.280898876401</c:v>
                </c:pt>
                <c:pt idx="40">
                  <c:v>82655.512562814067</c:v>
                </c:pt>
                <c:pt idx="41">
                  <c:v>101344.22485207101</c:v>
                </c:pt>
                <c:pt idx="42">
                  <c:v>65935.793991416314</c:v>
                </c:pt>
                <c:pt idx="43">
                  <c:v>54496.747572815533</c:v>
                </c:pt>
                <c:pt idx="44">
                  <c:v>50958.727748691097</c:v>
                </c:pt>
                <c:pt idx="45">
                  <c:v>47303.545454545456</c:v>
                </c:pt>
                <c:pt idx="46">
                  <c:v>58888.574585635361</c:v>
                </c:pt>
                <c:pt idx="47">
                  <c:v>59801.933333333334</c:v>
                </c:pt>
                <c:pt idx="48">
                  <c:v>44501.660377358494</c:v>
                </c:pt>
                <c:pt idx="49">
                  <c:v>51013.672131147541</c:v>
                </c:pt>
                <c:pt idx="50">
                  <c:v>47826.277777777781</c:v>
                </c:pt>
                <c:pt idx="51">
                  <c:v>48334.892523364484</c:v>
                </c:pt>
                <c:pt idx="52">
                  <c:v>50332.08</c:v>
                </c:pt>
                <c:pt idx="53">
                  <c:v>44226.118181818179</c:v>
                </c:pt>
                <c:pt idx="54">
                  <c:v>40813.346153846156</c:v>
                </c:pt>
                <c:pt idx="55">
                  <c:v>36648.767857142855</c:v>
                </c:pt>
                <c:pt idx="56">
                  <c:v>28955.326732673268</c:v>
                </c:pt>
                <c:pt idx="57">
                  <c:v>27420.691358024691</c:v>
                </c:pt>
                <c:pt idx="58">
                  <c:v>30313.869822485209</c:v>
                </c:pt>
                <c:pt idx="59">
                  <c:v>33092.944881889765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01A-4671-B238-9F371B14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634223"/>
        <c:axId val="223618303"/>
        <c:extLst/>
      </c:lineChart>
      <c:lineChart>
        <c:grouping val="standard"/>
        <c:varyColors val="0"/>
        <c:ser>
          <c:idx val="2"/>
          <c:order val="2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Totals'!$BG$82:$BG$144</c:f>
              <c:numCache>
                <c:formatCode>_-"$"* #,##0_-;\-"$"* #,##0_-;_-"$"* "-"??_-;_-@_-</c:formatCode>
                <c:ptCount val="63"/>
                <c:pt idx="0">
                  <c:v>540.51543659315178</c:v>
                </c:pt>
                <c:pt idx="1">
                  <c:v>575.4346288280251</c:v>
                </c:pt>
                <c:pt idx="2">
                  <c:v>619.14335472893038</c:v>
                </c:pt>
                <c:pt idx="3">
                  <c:v>627.75538537281534</c:v>
                </c:pt>
                <c:pt idx="4">
                  <c:v>643.88177202039003</c:v>
                </c:pt>
                <c:pt idx="5">
                  <c:v>599.39344338016724</c:v>
                </c:pt>
                <c:pt idx="6">
                  <c:v>663.05777932510478</c:v>
                </c:pt>
                <c:pt idx="7">
                  <c:v>567.37629252102158</c:v>
                </c:pt>
                <c:pt idx="8">
                  <c:v>586.9420005309272</c:v>
                </c:pt>
                <c:pt idx="9">
                  <c:v>584.9326732157333</c:v>
                </c:pt>
                <c:pt idx="10">
                  <c:v>648.62826883204821</c:v>
                </c:pt>
                <c:pt idx="11">
                  <c:v>587.83886801648748</c:v>
                </c:pt>
                <c:pt idx="12">
                  <c:v>612.63514389357624</c:v>
                </c:pt>
                <c:pt idx="13">
                  <c:v>573.64373517349384</c:v>
                </c:pt>
                <c:pt idx="14">
                  <c:v>612.91715373477166</c:v>
                </c:pt>
                <c:pt idx="15">
                  <c:v>644.92392141587482</c:v>
                </c:pt>
                <c:pt idx="16">
                  <c:v>707.10244152963764</c:v>
                </c:pt>
                <c:pt idx="17">
                  <c:v>689.39999718961769</c:v>
                </c:pt>
                <c:pt idx="18">
                  <c:v>719.23816536910249</c:v>
                </c:pt>
                <c:pt idx="19">
                  <c:v>700.61755224692581</c:v>
                </c:pt>
                <c:pt idx="20">
                  <c:v>674.55271701761365</c:v>
                </c:pt>
                <c:pt idx="21">
                  <c:v>701.59932512478451</c:v>
                </c:pt>
                <c:pt idx="22">
                  <c:v>675.96984093180788</c:v>
                </c:pt>
                <c:pt idx="23">
                  <c:v>771.50489539056321</c:v>
                </c:pt>
                <c:pt idx="24">
                  <c:v>752.75953381711861</c:v>
                </c:pt>
                <c:pt idx="25">
                  <c:v>717.09946476360392</c:v>
                </c:pt>
                <c:pt idx="26">
                  <c:v>713.86041387238936</c:v>
                </c:pt>
                <c:pt idx="27">
                  <c:v>614.06389950846528</c:v>
                </c:pt>
                <c:pt idx="28">
                  <c:v>616.99146100177029</c:v>
                </c:pt>
                <c:pt idx="29">
                  <c:v>590.17542576533276</c:v>
                </c:pt>
                <c:pt idx="30">
                  <c:v>619.45998993457476</c:v>
                </c:pt>
                <c:pt idx="31">
                  <c:v>632.11678428116784</c:v>
                </c:pt>
                <c:pt idx="32">
                  <c:v>631.54149269311063</c:v>
                </c:pt>
                <c:pt idx="33">
                  <c:v>626.5517570144375</c:v>
                </c:pt>
                <c:pt idx="34">
                  <c:v>576.81674090956176</c:v>
                </c:pt>
                <c:pt idx="35">
                  <c:v>609.63616914170655</c:v>
                </c:pt>
                <c:pt idx="36">
                  <c:v>600.98097437589354</c:v>
                </c:pt>
                <c:pt idx="37">
                  <c:v>630.59323794138015</c:v>
                </c:pt>
                <c:pt idx="38">
                  <c:v>708.52560592232021</c:v>
                </c:pt>
                <c:pt idx="39">
                  <c:v>1082.6534315295123</c:v>
                </c:pt>
                <c:pt idx="40">
                  <c:v>1451.8886927354577</c:v>
                </c:pt>
                <c:pt idx="41">
                  <c:v>1468.9171136753791</c:v>
                </c:pt>
                <c:pt idx="42">
                  <c:v>1349.6511587352722</c:v>
                </c:pt>
                <c:pt idx="43">
                  <c:v>811.48404836667078</c:v>
                </c:pt>
                <c:pt idx="44">
                  <c:v>898.83155149869799</c:v>
                </c:pt>
                <c:pt idx="45">
                  <c:v>835.95308860149407</c:v>
                </c:pt>
                <c:pt idx="46">
                  <c:v>751.41572083186463</c:v>
                </c:pt>
                <c:pt idx="47">
                  <c:v>919.27546628407458</c:v>
                </c:pt>
                <c:pt idx="48">
                  <c:v>828.81068259685492</c:v>
                </c:pt>
                <c:pt idx="49">
                  <c:v>891.55782637761433</c:v>
                </c:pt>
                <c:pt idx="50">
                  <c:v>812.91123701605284</c:v>
                </c:pt>
                <c:pt idx="51">
                  <c:v>671.4486854917235</c:v>
                </c:pt>
                <c:pt idx="52">
                  <c:v>821.54704970211378</c:v>
                </c:pt>
                <c:pt idx="53">
                  <c:v>719.23018923713778</c:v>
                </c:pt>
                <c:pt idx="54">
                  <c:v>642.61865213253736</c:v>
                </c:pt>
                <c:pt idx="55">
                  <c:v>695.94133604611727</c:v>
                </c:pt>
                <c:pt idx="56">
                  <c:v>664.65636363636361</c:v>
                </c:pt>
                <c:pt idx="57">
                  <c:v>593.39460325941764</c:v>
                </c:pt>
                <c:pt idx="58">
                  <c:v>619.54819204256864</c:v>
                </c:pt>
                <c:pt idx="59">
                  <c:v>679.73540352579653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01A-4671-B238-9F371B14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710399"/>
        <c:axId val="2023374847"/>
        <c:extLst/>
      </c:lineChart>
      <c:dateAx>
        <c:axId val="21066342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18303"/>
        <c:crosses val="autoZero"/>
        <c:auto val="1"/>
        <c:lblOffset val="100"/>
        <c:baseTimeUnit val="months"/>
      </c:dateAx>
      <c:valAx>
        <c:axId val="223618303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valAx>
        <c:axId val="2023374847"/>
        <c:scaling>
          <c:orientation val="minMax"/>
        </c:scaling>
        <c:delete val="1"/>
        <c:axPos val="r"/>
        <c:numFmt formatCode="_-&quot;$&quot;* #,##0_-;\-&quot;$&quot;* #,##0_-;_-&quot;$&quot;* &quot;-&quot;??_-;_-@_-" sourceLinked="1"/>
        <c:majorTickMark val="out"/>
        <c:minorTickMark val="none"/>
        <c:tickLblPos val="nextTo"/>
        <c:crossAx val="305710399"/>
        <c:crosses val="max"/>
        <c:crossBetween val="between"/>
      </c:valAx>
      <c:dateAx>
        <c:axId val="30571039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2337484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5887576552930881E-2"/>
          <c:y val="0.83853893263342094"/>
          <c:w val="0.95655796150481187"/>
          <c:h val="0.13368328958880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 to FG per Labour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Totals'!$BE$3</c:f>
              <c:strCache>
                <c:ptCount val="1"/>
                <c:pt idx="0">
                  <c:v>$ to FG per FG Unit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Totals'!$BE$82:$BE$144</c:f>
              <c:numCache>
                <c:formatCode>_-"$"* #,##0_-;\-"$"* #,##0_-;_-"$"* "-"??_-;_-@_-</c:formatCode>
                <c:ptCount val="63"/>
                <c:pt idx="0">
                  <c:v>132.56828204541554</c:v>
                </c:pt>
                <c:pt idx="1">
                  <c:v>165.08889912450334</c:v>
                </c:pt>
                <c:pt idx="2">
                  <c:v>148.58460709977598</c:v>
                </c:pt>
                <c:pt idx="3">
                  <c:v>184.03680059796204</c:v>
                </c:pt>
                <c:pt idx="4">
                  <c:v>158.87029716576009</c:v>
                </c:pt>
                <c:pt idx="5">
                  <c:v>132.72457145531996</c:v>
                </c:pt>
                <c:pt idx="6">
                  <c:v>143.06492253552301</c:v>
                </c:pt>
                <c:pt idx="7">
                  <c:v>125.11005647058823</c:v>
                </c:pt>
                <c:pt idx="8">
                  <c:v>144.67856566517975</c:v>
                </c:pt>
                <c:pt idx="9">
                  <c:v>124.31281408347699</c:v>
                </c:pt>
                <c:pt idx="10">
                  <c:v>158.53688760477158</c:v>
                </c:pt>
                <c:pt idx="11">
                  <c:v>125.45324107866992</c:v>
                </c:pt>
                <c:pt idx="12">
                  <c:v>147.36580015881418</c:v>
                </c:pt>
                <c:pt idx="13">
                  <c:v>137.80487639968183</c:v>
                </c:pt>
                <c:pt idx="14">
                  <c:v>138.95486126895253</c:v>
                </c:pt>
                <c:pt idx="15">
                  <c:v>141.49974653963687</c:v>
                </c:pt>
                <c:pt idx="16">
                  <c:v>143.94726214001528</c:v>
                </c:pt>
                <c:pt idx="17">
                  <c:v>152.16907920243699</c:v>
                </c:pt>
                <c:pt idx="18">
                  <c:v>159.75310428196914</c:v>
                </c:pt>
                <c:pt idx="19">
                  <c:v>125.76524184550765</c:v>
                </c:pt>
                <c:pt idx="20">
                  <c:v>133.62834575108175</c:v>
                </c:pt>
                <c:pt idx="21">
                  <c:v>149.13444444444445</c:v>
                </c:pt>
                <c:pt idx="22">
                  <c:v>125.39590302635861</c:v>
                </c:pt>
                <c:pt idx="23">
                  <c:v>275.52453635280096</c:v>
                </c:pt>
                <c:pt idx="24">
                  <c:v>166.26721215568375</c:v>
                </c:pt>
                <c:pt idx="25">
                  <c:v>134.44584282817303</c:v>
                </c:pt>
                <c:pt idx="26">
                  <c:v>155.39676746611053</c:v>
                </c:pt>
                <c:pt idx="27">
                  <c:v>132.52292496640814</c:v>
                </c:pt>
                <c:pt idx="28">
                  <c:v>138.95656558549683</c:v>
                </c:pt>
                <c:pt idx="29">
                  <c:v>144.50163724737786</c:v>
                </c:pt>
                <c:pt idx="30">
                  <c:v>130.740233254732</c:v>
                </c:pt>
                <c:pt idx="31">
                  <c:v>137.72408803135363</c:v>
                </c:pt>
                <c:pt idx="32">
                  <c:v>144.30069763281855</c:v>
                </c:pt>
                <c:pt idx="33">
                  <c:v>146.12442425590038</c:v>
                </c:pt>
                <c:pt idx="34">
                  <c:v>110.18784136784612</c:v>
                </c:pt>
                <c:pt idx="35">
                  <c:v>134.98394961963942</c:v>
                </c:pt>
                <c:pt idx="36">
                  <c:v>108.67495276921547</c:v>
                </c:pt>
                <c:pt idx="37">
                  <c:v>138.03983530362737</c:v>
                </c:pt>
                <c:pt idx="38">
                  <c:v>154.78003987594153</c:v>
                </c:pt>
                <c:pt idx="39">
                  <c:v>220.46033470984568</c:v>
                </c:pt>
                <c:pt idx="40">
                  <c:v>263.07833917118501</c:v>
                </c:pt>
                <c:pt idx="41">
                  <c:v>277.3002720031086</c:v>
                </c:pt>
                <c:pt idx="42">
                  <c:v>224.84910575769106</c:v>
                </c:pt>
                <c:pt idx="43">
                  <c:v>180.73169553738168</c:v>
                </c:pt>
                <c:pt idx="44">
                  <c:v>227.61136055376269</c:v>
                </c:pt>
                <c:pt idx="45">
                  <c:v>199.42472788594205</c:v>
                </c:pt>
                <c:pt idx="46">
                  <c:v>161.62479529326137</c:v>
                </c:pt>
                <c:pt idx="47">
                  <c:v>152.86271769878329</c:v>
                </c:pt>
                <c:pt idx="48">
                  <c:v>165.74757554462403</c:v>
                </c:pt>
                <c:pt idx="49">
                  <c:v>158.57286995515696</c:v>
                </c:pt>
                <c:pt idx="50">
                  <c:v>179.18801906625316</c:v>
                </c:pt>
                <c:pt idx="51">
                  <c:v>203.72377050794714</c:v>
                </c:pt>
                <c:pt idx="52">
                  <c:v>157.31478847926988</c:v>
                </c:pt>
                <c:pt idx="53">
                  <c:v>183.07234651062149</c:v>
                </c:pt>
                <c:pt idx="54">
                  <c:v>206.52919423900352</c:v>
                </c:pt>
                <c:pt idx="55">
                  <c:v>204.93594288281992</c:v>
                </c:pt>
                <c:pt idx="56">
                  <c:v>168.33523283255627</c:v>
                </c:pt>
                <c:pt idx="57">
                  <c:v>160.38965915655692</c:v>
                </c:pt>
                <c:pt idx="58">
                  <c:v>167.12481242252235</c:v>
                </c:pt>
                <c:pt idx="59">
                  <c:v>174.85455150607422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8CB-419C-9D60-73116BA6588D}"/>
            </c:ext>
          </c:extLst>
        </c:ser>
        <c:ser>
          <c:idx val="1"/>
          <c:order val="1"/>
          <c:tx>
            <c:strRef>
              <c:f>'Group Totals'!$BF$3</c:f>
              <c:strCache>
                <c:ptCount val="1"/>
                <c:pt idx="0">
                  <c:v>$ to FG per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Totals'!$BF$82:$BF$144</c:f>
              <c:numCache>
                <c:formatCode>_-"$"* #,##0_-;\-"$"* #,##0_-;_-"$"* "-"??_-;_-@_-</c:formatCode>
                <c:ptCount val="63"/>
                <c:pt idx="0">
                  <c:v>60991.875657894736</c:v>
                </c:pt>
                <c:pt idx="1">
                  <c:v>61780.176052631577</c:v>
                </c:pt>
                <c:pt idx="2">
                  <c:v>67187.257792207791</c:v>
                </c:pt>
                <c:pt idx="3">
                  <c:v>72679.01506024097</c:v>
                </c:pt>
                <c:pt idx="4">
                  <c:v>65286.34682352942</c:v>
                </c:pt>
                <c:pt idx="5">
                  <c:v>68322.771566265059</c:v>
                </c:pt>
                <c:pt idx="6">
                  <c:v>73454.083295454548</c:v>
                </c:pt>
                <c:pt idx="7">
                  <c:v>37979.838571428569</c:v>
                </c:pt>
                <c:pt idx="8">
                  <c:v>54456.297654320995</c:v>
                </c:pt>
                <c:pt idx="9">
                  <c:v>54084.55</c:v>
                </c:pt>
                <c:pt idx="10">
                  <c:v>69274.674750000006</c:v>
                </c:pt>
                <c:pt idx="11">
                  <c:v>45832.250740740739</c:v>
                </c:pt>
                <c:pt idx="12">
                  <c:v>67896.096707317076</c:v>
                </c:pt>
                <c:pt idx="13">
                  <c:v>53622.502261904767</c:v>
                </c:pt>
                <c:pt idx="14">
                  <c:v>63456.639620253169</c:v>
                </c:pt>
                <c:pt idx="15">
                  <c:v>68876.770374999993</c:v>
                </c:pt>
                <c:pt idx="16">
                  <c:v>72843.072533333339</c:v>
                </c:pt>
                <c:pt idx="17">
                  <c:v>71361.369480519483</c:v>
                </c:pt>
                <c:pt idx="18">
                  <c:v>71224.987922077926</c:v>
                </c:pt>
                <c:pt idx="19">
                  <c:v>52500.958630136985</c:v>
                </c:pt>
                <c:pt idx="20">
                  <c:v>76751.798529411768</c:v>
                </c:pt>
                <c:pt idx="21">
                  <c:v>76898.308307692307</c:v>
                </c:pt>
                <c:pt idx="22">
                  <c:v>60209.626562500001</c:v>
                </c:pt>
                <c:pt idx="23">
                  <c:v>37284.691290322582</c:v>
                </c:pt>
                <c:pt idx="24">
                  <c:v>93011.39</c:v>
                </c:pt>
                <c:pt idx="25">
                  <c:v>83518.805194805202</c:v>
                </c:pt>
                <c:pt idx="26">
                  <c:v>87662.058823529413</c:v>
                </c:pt>
                <c:pt idx="27">
                  <c:v>67731.987951807227</c:v>
                </c:pt>
                <c:pt idx="28">
                  <c:v>71385.168674698798</c:v>
                </c:pt>
                <c:pt idx="29">
                  <c:v>63467.067415730337</c:v>
                </c:pt>
                <c:pt idx="30">
                  <c:v>68381.5</c:v>
                </c:pt>
                <c:pt idx="31">
                  <c:v>52509.287356321838</c:v>
                </c:pt>
                <c:pt idx="32">
                  <c:v>59026.024390243903</c:v>
                </c:pt>
                <c:pt idx="33">
                  <c:v>58976.192307692305</c:v>
                </c:pt>
                <c:pt idx="34">
                  <c:v>62561.932584269663</c:v>
                </c:pt>
                <c:pt idx="35">
                  <c:v>55680.103448275862</c:v>
                </c:pt>
                <c:pt idx="36">
                  <c:v>61401.348314606745</c:v>
                </c:pt>
                <c:pt idx="37">
                  <c:v>63543.267441860466</c:v>
                </c:pt>
                <c:pt idx="38">
                  <c:v>73544.957894736843</c:v>
                </c:pt>
                <c:pt idx="39">
                  <c:v>103503.87755102041</c:v>
                </c:pt>
                <c:pt idx="40">
                  <c:v>162855.91089108912</c:v>
                </c:pt>
                <c:pt idx="41">
                  <c:v>154298.86486486485</c:v>
                </c:pt>
                <c:pt idx="42">
                  <c:v>120023.75</c:v>
                </c:pt>
                <c:pt idx="43">
                  <c:v>85697.175572519089</c:v>
                </c:pt>
                <c:pt idx="44">
                  <c:v>70022.424460431648</c:v>
                </c:pt>
                <c:pt idx="45">
                  <c:v>77087.259259259255</c:v>
                </c:pt>
                <c:pt idx="46">
                  <c:v>83272.125</c:v>
                </c:pt>
                <c:pt idx="47">
                  <c:v>74752.416666666672</c:v>
                </c:pt>
                <c:pt idx="48">
                  <c:v>79952.135593220344</c:v>
                </c:pt>
                <c:pt idx="49">
                  <c:v>84868.2</c:v>
                </c:pt>
                <c:pt idx="50">
                  <c:v>74213.18965517242</c:v>
                </c:pt>
                <c:pt idx="51">
                  <c:v>88407.41025641025</c:v>
                </c:pt>
                <c:pt idx="52">
                  <c:v>79892.190476190473</c:v>
                </c:pt>
                <c:pt idx="53">
                  <c:v>79103.626016260168</c:v>
                </c:pt>
                <c:pt idx="54">
                  <c:v>73544.841584158421</c:v>
                </c:pt>
                <c:pt idx="55">
                  <c:v>45106.175824175822</c:v>
                </c:pt>
                <c:pt idx="56">
                  <c:v>33614.80459770115</c:v>
                </c:pt>
                <c:pt idx="57">
                  <c:v>50479</c:v>
                </c:pt>
                <c:pt idx="58">
                  <c:v>69230.32432432432</c:v>
                </c:pt>
                <c:pt idx="59">
                  <c:v>53882.102564102563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8CB-419C-9D60-73116BA6588D}"/>
            </c:ext>
          </c:extLst>
        </c:ser>
        <c:ser>
          <c:idx val="2"/>
          <c:order val="2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Totals'!$BG$82:$BG$144</c:f>
              <c:numCache>
                <c:formatCode>_-"$"* #,##0_-;\-"$"* #,##0_-;_-"$"* "-"??_-;_-@_-</c:formatCode>
                <c:ptCount val="63"/>
                <c:pt idx="0">
                  <c:v>540.51543659315178</c:v>
                </c:pt>
                <c:pt idx="1">
                  <c:v>575.4346288280251</c:v>
                </c:pt>
                <c:pt idx="2">
                  <c:v>619.14335472893038</c:v>
                </c:pt>
                <c:pt idx="3">
                  <c:v>627.75538537281534</c:v>
                </c:pt>
                <c:pt idx="4">
                  <c:v>643.88177202039003</c:v>
                </c:pt>
                <c:pt idx="5">
                  <c:v>599.39344338016724</c:v>
                </c:pt>
                <c:pt idx="6">
                  <c:v>663.05777932510478</c:v>
                </c:pt>
                <c:pt idx="7">
                  <c:v>567.37629252102158</c:v>
                </c:pt>
                <c:pt idx="8">
                  <c:v>586.9420005309272</c:v>
                </c:pt>
                <c:pt idx="9">
                  <c:v>584.9326732157333</c:v>
                </c:pt>
                <c:pt idx="10">
                  <c:v>648.62826883204821</c:v>
                </c:pt>
                <c:pt idx="11">
                  <c:v>587.83886801648748</c:v>
                </c:pt>
                <c:pt idx="12">
                  <c:v>612.63514389357624</c:v>
                </c:pt>
                <c:pt idx="13">
                  <c:v>573.64373517349384</c:v>
                </c:pt>
                <c:pt idx="14">
                  <c:v>612.91715373477166</c:v>
                </c:pt>
                <c:pt idx="15">
                  <c:v>644.92392141587482</c:v>
                </c:pt>
                <c:pt idx="16">
                  <c:v>707.10244152963764</c:v>
                </c:pt>
                <c:pt idx="17">
                  <c:v>689.39999718961769</c:v>
                </c:pt>
                <c:pt idx="18">
                  <c:v>719.23816536910249</c:v>
                </c:pt>
                <c:pt idx="19">
                  <c:v>700.61755224692581</c:v>
                </c:pt>
                <c:pt idx="20">
                  <c:v>674.55271701761365</c:v>
                </c:pt>
                <c:pt idx="21">
                  <c:v>701.59932512478451</c:v>
                </c:pt>
                <c:pt idx="22">
                  <c:v>675.96984093180788</c:v>
                </c:pt>
                <c:pt idx="23">
                  <c:v>771.50489539056321</c:v>
                </c:pt>
                <c:pt idx="24">
                  <c:v>752.75953381711861</c:v>
                </c:pt>
                <c:pt idx="25">
                  <c:v>717.09946476360392</c:v>
                </c:pt>
                <c:pt idx="26">
                  <c:v>713.86041387238936</c:v>
                </c:pt>
                <c:pt idx="27">
                  <c:v>614.06389950846528</c:v>
                </c:pt>
                <c:pt idx="28">
                  <c:v>616.99146100177029</c:v>
                </c:pt>
                <c:pt idx="29">
                  <c:v>590.17542576533276</c:v>
                </c:pt>
                <c:pt idx="30">
                  <c:v>619.45998993457476</c:v>
                </c:pt>
                <c:pt idx="31">
                  <c:v>632.11678428116784</c:v>
                </c:pt>
                <c:pt idx="32">
                  <c:v>631.54149269311063</c:v>
                </c:pt>
                <c:pt idx="33">
                  <c:v>626.5517570144375</c:v>
                </c:pt>
                <c:pt idx="34">
                  <c:v>576.81674090956176</c:v>
                </c:pt>
                <c:pt idx="35">
                  <c:v>609.63616914170655</c:v>
                </c:pt>
                <c:pt idx="36">
                  <c:v>600.98097437589354</c:v>
                </c:pt>
                <c:pt idx="37">
                  <c:v>630.59323794138015</c:v>
                </c:pt>
                <c:pt idx="38">
                  <c:v>708.52560592232021</c:v>
                </c:pt>
                <c:pt idx="39">
                  <c:v>1082.6534315295123</c:v>
                </c:pt>
                <c:pt idx="40">
                  <c:v>1451.8886927354577</c:v>
                </c:pt>
                <c:pt idx="41">
                  <c:v>1468.9171136753791</c:v>
                </c:pt>
                <c:pt idx="42">
                  <c:v>1349.6511587352722</c:v>
                </c:pt>
                <c:pt idx="43">
                  <c:v>811.48404836667078</c:v>
                </c:pt>
                <c:pt idx="44">
                  <c:v>898.83155149869799</c:v>
                </c:pt>
                <c:pt idx="45">
                  <c:v>835.95308860149407</c:v>
                </c:pt>
                <c:pt idx="46">
                  <c:v>751.41572083186463</c:v>
                </c:pt>
                <c:pt idx="47">
                  <c:v>919.27546628407458</c:v>
                </c:pt>
                <c:pt idx="48">
                  <c:v>828.81068259685492</c:v>
                </c:pt>
                <c:pt idx="49">
                  <c:v>891.55782637761433</c:v>
                </c:pt>
                <c:pt idx="50">
                  <c:v>812.91123701605284</c:v>
                </c:pt>
                <c:pt idx="51">
                  <c:v>671.4486854917235</c:v>
                </c:pt>
                <c:pt idx="52">
                  <c:v>821.54704970211378</c:v>
                </c:pt>
                <c:pt idx="53">
                  <c:v>719.23018923713778</c:v>
                </c:pt>
                <c:pt idx="54">
                  <c:v>642.61865213253736</c:v>
                </c:pt>
                <c:pt idx="55">
                  <c:v>695.94133604611727</c:v>
                </c:pt>
                <c:pt idx="56">
                  <c:v>664.65636363636361</c:v>
                </c:pt>
                <c:pt idx="57">
                  <c:v>593.39460325941764</c:v>
                </c:pt>
                <c:pt idx="58">
                  <c:v>619.54819204256864</c:v>
                </c:pt>
                <c:pt idx="59">
                  <c:v>679.73540352579653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B-419C-9D60-73116BA6588D}"/>
            </c:ext>
          </c:extLst>
        </c:ser>
        <c:ser>
          <c:idx val="3"/>
          <c:order val="3"/>
          <c:tx>
            <c:strRef>
              <c:f>'Group Totals'!$BH$3</c:f>
              <c:strCache>
                <c:ptCount val="1"/>
                <c:pt idx="0">
                  <c:v>$ to FG per W/O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Totals'!$BH$82:$BH$144</c:f>
              <c:numCache>
                <c:formatCode>_-"$"* #,##0_-;\-"$"* #,##0_-;_-"$"* "-"??_-;_-@_-</c:formatCode>
                <c:ptCount val="63"/>
                <c:pt idx="0">
                  <c:v>11417.198399014778</c:v>
                </c:pt>
                <c:pt idx="1">
                  <c:v>13226.178535211267</c:v>
                </c:pt>
                <c:pt idx="2">
                  <c:v>12003.291995359628</c:v>
                </c:pt>
                <c:pt idx="3">
                  <c:v>13709.905113636363</c:v>
                </c:pt>
                <c:pt idx="4">
                  <c:v>15203.66980821918</c:v>
                </c:pt>
                <c:pt idx="5">
                  <c:v>13126.828796296297</c:v>
                </c:pt>
                <c:pt idx="6">
                  <c:v>16659.688994845361</c:v>
                </c:pt>
                <c:pt idx="7">
                  <c:v>14340.93489626556</c:v>
                </c:pt>
                <c:pt idx="8">
                  <c:v>17434.624940711463</c:v>
                </c:pt>
                <c:pt idx="9">
                  <c:v>15812.094352159469</c:v>
                </c:pt>
                <c:pt idx="10">
                  <c:v>15925.212586206897</c:v>
                </c:pt>
                <c:pt idx="11">
                  <c:v>11283.927993920974</c:v>
                </c:pt>
                <c:pt idx="12">
                  <c:v>14312.287737789202</c:v>
                </c:pt>
                <c:pt idx="13">
                  <c:v>12869.400542857144</c:v>
                </c:pt>
                <c:pt idx="14">
                  <c:v>14364.110401146132</c:v>
                </c:pt>
                <c:pt idx="15">
                  <c:v>15305.948972222222</c:v>
                </c:pt>
                <c:pt idx="16">
                  <c:v>16758.375582822086</c:v>
                </c:pt>
                <c:pt idx="17">
                  <c:v>16305.120029673591</c:v>
                </c:pt>
                <c:pt idx="18">
                  <c:v>18160.013476821194</c:v>
                </c:pt>
                <c:pt idx="19">
                  <c:v>17109.687410714287</c:v>
                </c:pt>
                <c:pt idx="20">
                  <c:v>17812.704095563138</c:v>
                </c:pt>
                <c:pt idx="21">
                  <c:v>16496.336765676569</c:v>
                </c:pt>
                <c:pt idx="22">
                  <c:v>13713.224555160143</c:v>
                </c:pt>
                <c:pt idx="23">
                  <c:v>41279.479642857143</c:v>
                </c:pt>
                <c:pt idx="24">
                  <c:v>21168.109448275864</c:v>
                </c:pt>
                <c:pt idx="25">
                  <c:v>18479.735632183907</c:v>
                </c:pt>
                <c:pt idx="26">
                  <c:v>20989.507042253521</c:v>
                </c:pt>
                <c:pt idx="27">
                  <c:v>16294.942028985508</c:v>
                </c:pt>
                <c:pt idx="28">
                  <c:v>16550.192737430167</c:v>
                </c:pt>
                <c:pt idx="29">
                  <c:v>16420.258720930233</c:v>
                </c:pt>
                <c:pt idx="30">
                  <c:v>19725.432692307691</c:v>
                </c:pt>
                <c:pt idx="31">
                  <c:v>15917.449477351916</c:v>
                </c:pt>
                <c:pt idx="32">
                  <c:v>17163.59574468085</c:v>
                </c:pt>
                <c:pt idx="33">
                  <c:v>14420.510971786834</c:v>
                </c:pt>
                <c:pt idx="34">
                  <c:v>16233.271137026239</c:v>
                </c:pt>
                <c:pt idx="35">
                  <c:v>16997.084210526315</c:v>
                </c:pt>
                <c:pt idx="36">
                  <c:v>15393.577464788732</c:v>
                </c:pt>
                <c:pt idx="37">
                  <c:v>15393.580281690141</c:v>
                </c:pt>
                <c:pt idx="38">
                  <c:v>19353.936288088644</c:v>
                </c:pt>
                <c:pt idx="39">
                  <c:v>31698.0625</c:v>
                </c:pt>
                <c:pt idx="40">
                  <c:v>46728.54261363636</c:v>
                </c:pt>
                <c:pt idx="41">
                  <c:v>54545.140127388535</c:v>
                </c:pt>
                <c:pt idx="42">
                  <c:v>37379.659367396591</c:v>
                </c:pt>
                <c:pt idx="43">
                  <c:v>35526.360759493669</c:v>
                </c:pt>
                <c:pt idx="44">
                  <c:v>31397.151612903224</c:v>
                </c:pt>
                <c:pt idx="45">
                  <c:v>28202.655826558264</c:v>
                </c:pt>
                <c:pt idx="46">
                  <c:v>31166.175438596492</c:v>
                </c:pt>
                <c:pt idx="47">
                  <c:v>34501.115384615383</c:v>
                </c:pt>
                <c:pt idx="48">
                  <c:v>26206.533333333333</c:v>
                </c:pt>
                <c:pt idx="49">
                  <c:v>29264.896551724138</c:v>
                </c:pt>
                <c:pt idx="50">
                  <c:v>29685.275862068964</c:v>
                </c:pt>
                <c:pt idx="51">
                  <c:v>27148.732283464567</c:v>
                </c:pt>
                <c:pt idx="52">
                  <c:v>28597.772727272728</c:v>
                </c:pt>
                <c:pt idx="53">
                  <c:v>27720.074074074073</c:v>
                </c:pt>
                <c:pt idx="54">
                  <c:v>26528.674999999999</c:v>
                </c:pt>
                <c:pt idx="55">
                  <c:v>26481.690322580645</c:v>
                </c:pt>
                <c:pt idx="56">
                  <c:v>23971.213114754097</c:v>
                </c:pt>
                <c:pt idx="57">
                  <c:v>18743.257383966244</c:v>
                </c:pt>
                <c:pt idx="58">
                  <c:v>20996.081967213115</c:v>
                </c:pt>
                <c:pt idx="59">
                  <c:v>22595.720430107525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8CB-419C-9D60-73116BA6588D}"/>
            </c:ext>
          </c:extLst>
        </c:ser>
        <c:ser>
          <c:idx val="4"/>
          <c:order val="4"/>
          <c:tx>
            <c:strRef>
              <c:f>'Group Totals'!$BI$3</c:f>
              <c:strCache>
                <c:ptCount val="1"/>
                <c:pt idx="0">
                  <c:v>$ to FG per SKU (G/C Level)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Totals'!$BI$82:$BI$144</c:f>
              <c:numCache>
                <c:formatCode>_-"$"* #,##0_-;\-"$"* #,##0_-;_-"$"* "-"??_-;_-@_-</c:formatCode>
                <c:ptCount val="63"/>
                <c:pt idx="0">
                  <c:v>22285.493028846155</c:v>
                </c:pt>
                <c:pt idx="1">
                  <c:v>25940.847403314918</c:v>
                </c:pt>
                <c:pt idx="2">
                  <c:v>24753.200239234448</c:v>
                </c:pt>
                <c:pt idx="3">
                  <c:v>27798.885944700462</c:v>
                </c:pt>
                <c:pt idx="4">
                  <c:v>31001.896536312852</c:v>
                </c:pt>
                <c:pt idx="5">
                  <c:v>28496.432361809046</c:v>
                </c:pt>
                <c:pt idx="6">
                  <c:v>31226.856666666667</c:v>
                </c:pt>
                <c:pt idx="7">
                  <c:v>24339.192323943662</c:v>
                </c:pt>
                <c:pt idx="8">
                  <c:v>29803.78452702703</c:v>
                </c:pt>
                <c:pt idx="9">
                  <c:v>27511.216184971101</c:v>
                </c:pt>
                <c:pt idx="10">
                  <c:v>30119.423804347829</c:v>
                </c:pt>
                <c:pt idx="11">
                  <c:v>21459.03069364162</c:v>
                </c:pt>
                <c:pt idx="12">
                  <c:v>28405.509846938774</c:v>
                </c:pt>
                <c:pt idx="13">
                  <c:v>25886.725229885058</c:v>
                </c:pt>
                <c:pt idx="14">
                  <c:v>26665.290053191489</c:v>
                </c:pt>
                <c:pt idx="15">
                  <c:v>26114.415308056872</c:v>
                </c:pt>
                <c:pt idx="16">
                  <c:v>32326.807337278107</c:v>
                </c:pt>
                <c:pt idx="17">
                  <c:v>28920.133947368424</c:v>
                </c:pt>
                <c:pt idx="18">
                  <c:v>30300.132983425417</c:v>
                </c:pt>
                <c:pt idx="19">
                  <c:v>29709.844806201549</c:v>
                </c:pt>
                <c:pt idx="20">
                  <c:v>34563.723841059604</c:v>
                </c:pt>
                <c:pt idx="21">
                  <c:v>28892.427976878615</c:v>
                </c:pt>
                <c:pt idx="22">
                  <c:v>25022.182467532468</c:v>
                </c:pt>
                <c:pt idx="23">
                  <c:v>56381.728292682921</c:v>
                </c:pt>
                <c:pt idx="24">
                  <c:v>37661.053619631901</c:v>
                </c:pt>
                <c:pt idx="25">
                  <c:v>34207.170212765959</c:v>
                </c:pt>
                <c:pt idx="26">
                  <c:v>41167.265193370164</c:v>
                </c:pt>
                <c:pt idx="27">
                  <c:v>28392.702020202021</c:v>
                </c:pt>
                <c:pt idx="28">
                  <c:v>29773.713567839197</c:v>
                </c:pt>
                <c:pt idx="29">
                  <c:v>29886.608465608464</c:v>
                </c:pt>
                <c:pt idx="30">
                  <c:v>33266.675675675673</c:v>
                </c:pt>
                <c:pt idx="31">
                  <c:v>24963.43169398907</c:v>
                </c:pt>
                <c:pt idx="32">
                  <c:v>27816.862068965518</c:v>
                </c:pt>
                <c:pt idx="33">
                  <c:v>23470.117346938776</c:v>
                </c:pt>
                <c:pt idx="34">
                  <c:v>27840.06</c:v>
                </c:pt>
                <c:pt idx="35">
                  <c:v>29718.828220858897</c:v>
                </c:pt>
                <c:pt idx="36">
                  <c:v>29539.027027027027</c:v>
                </c:pt>
                <c:pt idx="37">
                  <c:v>27739.700507614212</c:v>
                </c:pt>
                <c:pt idx="38">
                  <c:v>38179.076502732241</c:v>
                </c:pt>
                <c:pt idx="39">
                  <c:v>56985.280898876401</c:v>
                </c:pt>
                <c:pt idx="40">
                  <c:v>82655.512562814067</c:v>
                </c:pt>
                <c:pt idx="41">
                  <c:v>101344.22485207101</c:v>
                </c:pt>
                <c:pt idx="42">
                  <c:v>65935.793991416314</c:v>
                </c:pt>
                <c:pt idx="43">
                  <c:v>54496.747572815533</c:v>
                </c:pt>
                <c:pt idx="44">
                  <c:v>50958.727748691097</c:v>
                </c:pt>
                <c:pt idx="45">
                  <c:v>47303.545454545456</c:v>
                </c:pt>
                <c:pt idx="46">
                  <c:v>58888.574585635361</c:v>
                </c:pt>
                <c:pt idx="47">
                  <c:v>59801.933333333334</c:v>
                </c:pt>
                <c:pt idx="48">
                  <c:v>44501.660377358494</c:v>
                </c:pt>
                <c:pt idx="49">
                  <c:v>51013.672131147541</c:v>
                </c:pt>
                <c:pt idx="50">
                  <c:v>47826.277777777781</c:v>
                </c:pt>
                <c:pt idx="51">
                  <c:v>48334.892523364484</c:v>
                </c:pt>
                <c:pt idx="52">
                  <c:v>50332.08</c:v>
                </c:pt>
                <c:pt idx="53">
                  <c:v>44226.118181818179</c:v>
                </c:pt>
                <c:pt idx="54">
                  <c:v>40813.346153846156</c:v>
                </c:pt>
                <c:pt idx="55">
                  <c:v>36648.767857142855</c:v>
                </c:pt>
                <c:pt idx="56">
                  <c:v>28955.326732673268</c:v>
                </c:pt>
                <c:pt idx="57">
                  <c:v>27420.691358024691</c:v>
                </c:pt>
                <c:pt idx="58">
                  <c:v>30313.869822485209</c:v>
                </c:pt>
                <c:pt idx="59">
                  <c:v>33092.944881889765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8CB-419C-9D60-73116BA6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4223"/>
        <c:axId val="223618303"/>
        <c:extLst/>
      </c:lineChart>
      <c:dateAx>
        <c:axId val="21066342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18303"/>
        <c:crosses val="autoZero"/>
        <c:auto val="1"/>
        <c:lblOffset val="100"/>
        <c:baseTimeUnit val="months"/>
      </c:dateAx>
      <c:valAx>
        <c:axId val="223618303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3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5887576552930881E-2"/>
          <c:y val="0.83853893263342094"/>
          <c:w val="0.95655796150481187"/>
          <c:h val="0.13368328958880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Units</a:t>
            </a:r>
            <a:r>
              <a:rPr lang="en-NZ" baseline="0"/>
              <a:t> to Finished Goods by Team Size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Totals'!$BC$3</c:f>
              <c:strCache>
                <c:ptCount val="1"/>
                <c:pt idx="0">
                  <c:v>Units to FG per direct team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Totals'!$BC$82:$BC$144</c:f>
              <c:numCache>
                <c:formatCode>_-* #,##0_-;\-* #,##0_-;_-* "-"??_-;_-@_-</c:formatCode>
                <c:ptCount val="63"/>
                <c:pt idx="0">
                  <c:v>460.07894736842104</c:v>
                </c:pt>
                <c:pt idx="1">
                  <c:v>374.2236842105263</c:v>
                </c:pt>
                <c:pt idx="2">
                  <c:v>452.18181818181819</c:v>
                </c:pt>
                <c:pt idx="3">
                  <c:v>394.91566265060243</c:v>
                </c:pt>
                <c:pt idx="4">
                  <c:v>410.94117647058823</c:v>
                </c:pt>
                <c:pt idx="5">
                  <c:v>514.77108433734941</c:v>
                </c:pt>
                <c:pt idx="6">
                  <c:v>513.43181818181813</c:v>
                </c:pt>
                <c:pt idx="7">
                  <c:v>303.57142857142856</c:v>
                </c:pt>
                <c:pt idx="8">
                  <c:v>376.39506172839504</c:v>
                </c:pt>
                <c:pt idx="9">
                  <c:v>435.06818181818181</c:v>
                </c:pt>
                <c:pt idx="10">
                  <c:v>436.96249999999998</c:v>
                </c:pt>
                <c:pt idx="11">
                  <c:v>365.33333333333331</c:v>
                </c:pt>
                <c:pt idx="12">
                  <c:v>460.73170731707319</c:v>
                </c:pt>
                <c:pt idx="13">
                  <c:v>389.11904761904759</c:v>
                </c:pt>
                <c:pt idx="14">
                  <c:v>456.67088607594934</c:v>
                </c:pt>
                <c:pt idx="15">
                  <c:v>486.76249999999999</c:v>
                </c:pt>
                <c:pt idx="16">
                  <c:v>506.04</c:v>
                </c:pt>
                <c:pt idx="17">
                  <c:v>468.96103896103898</c:v>
                </c:pt>
                <c:pt idx="18">
                  <c:v>445.84415584415586</c:v>
                </c:pt>
                <c:pt idx="19">
                  <c:v>417.45205479452056</c:v>
                </c:pt>
                <c:pt idx="20">
                  <c:v>574.36764705882354</c:v>
                </c:pt>
                <c:pt idx="21">
                  <c:v>515.63076923076926</c:v>
                </c:pt>
                <c:pt idx="22">
                  <c:v>480.15625</c:v>
                </c:pt>
                <c:pt idx="23">
                  <c:v>135.32258064516128</c:v>
                </c:pt>
                <c:pt idx="24">
                  <c:v>559.40909090909088</c:v>
                </c:pt>
                <c:pt idx="25">
                  <c:v>621.20779220779218</c:v>
                </c:pt>
                <c:pt idx="26">
                  <c:v>564.11764705882354</c:v>
                </c:pt>
                <c:pt idx="27">
                  <c:v>511.09638554216866</c:v>
                </c:pt>
                <c:pt idx="28">
                  <c:v>513.72289156626505</c:v>
                </c:pt>
                <c:pt idx="29">
                  <c:v>439.2134831460674</c:v>
                </c:pt>
                <c:pt idx="30">
                  <c:v>523.0333333333333</c:v>
                </c:pt>
                <c:pt idx="31">
                  <c:v>381.26436781609198</c:v>
                </c:pt>
                <c:pt idx="32">
                  <c:v>409.04878048780489</c:v>
                </c:pt>
                <c:pt idx="33">
                  <c:v>403.60256410256409</c:v>
                </c:pt>
                <c:pt idx="34">
                  <c:v>567.77528089887642</c:v>
                </c:pt>
                <c:pt idx="35">
                  <c:v>412.4942528735632</c:v>
                </c:pt>
                <c:pt idx="36">
                  <c:v>565</c:v>
                </c:pt>
                <c:pt idx="37">
                  <c:v>460.32558139534882</c:v>
                </c:pt>
                <c:pt idx="38">
                  <c:v>475.15789473684208</c:v>
                </c:pt>
                <c:pt idx="39">
                  <c:v>469.48979591836735</c:v>
                </c:pt>
                <c:pt idx="40">
                  <c:v>619.03960396039599</c:v>
                </c:pt>
                <c:pt idx="41">
                  <c:v>556.43243243243239</c:v>
                </c:pt>
                <c:pt idx="42">
                  <c:v>533.796875</c:v>
                </c:pt>
                <c:pt idx="43">
                  <c:v>474.16793893129773</c:v>
                </c:pt>
                <c:pt idx="44">
                  <c:v>307.64028776978415</c:v>
                </c:pt>
                <c:pt idx="45">
                  <c:v>386.54814814814813</c:v>
                </c:pt>
                <c:pt idx="46">
                  <c:v>515.21875</c:v>
                </c:pt>
                <c:pt idx="47">
                  <c:v>489.01666666666665</c:v>
                </c:pt>
                <c:pt idx="48">
                  <c:v>482.37288135593218</c:v>
                </c:pt>
                <c:pt idx="49">
                  <c:v>535.20000000000005</c:v>
                </c:pt>
                <c:pt idx="50">
                  <c:v>414.16379310344826</c:v>
                </c:pt>
                <c:pt idx="51">
                  <c:v>433.95726495726495</c:v>
                </c:pt>
                <c:pt idx="52">
                  <c:v>507.84920634920633</c:v>
                </c:pt>
                <c:pt idx="53">
                  <c:v>432.08943089430892</c:v>
                </c:pt>
                <c:pt idx="54">
                  <c:v>356.0990099009901</c:v>
                </c:pt>
                <c:pt idx="55">
                  <c:v>220.09890109890111</c:v>
                </c:pt>
                <c:pt idx="56">
                  <c:v>199.68965517241378</c:v>
                </c:pt>
                <c:pt idx="57">
                  <c:v>314.72727272727275</c:v>
                </c:pt>
                <c:pt idx="58">
                  <c:v>414.24324324324323</c:v>
                </c:pt>
                <c:pt idx="59">
                  <c:v>308.15384615384613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B-4AA9-8339-86D0EC264167}"/>
            </c:ext>
          </c:extLst>
        </c:ser>
        <c:ser>
          <c:idx val="1"/>
          <c:order val="1"/>
          <c:tx>
            <c:strRef>
              <c:f>'Group Totals'!$BD$3</c:f>
              <c:strCache>
                <c:ptCount val="1"/>
                <c:pt idx="0">
                  <c:v>Units to FG per total team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Totals'!$BD$82:$BD$144</c:f>
              <c:numCache>
                <c:formatCode>_-* #,##0_-;\-* #,##0_-;_-* "-"??_-;_-@_-</c:formatCode>
                <c:ptCount val="63"/>
                <c:pt idx="0">
                  <c:v>286.60655737704917</c:v>
                </c:pt>
                <c:pt idx="1">
                  <c:v>235.04958677685951</c:v>
                </c:pt>
                <c:pt idx="2">
                  <c:v>287.75206611570246</c:v>
                </c:pt>
                <c:pt idx="3">
                  <c:v>260.14285714285717</c:v>
                </c:pt>
                <c:pt idx="4">
                  <c:v>272.890625</c:v>
                </c:pt>
                <c:pt idx="5">
                  <c:v>336.42519685039372</c:v>
                </c:pt>
                <c:pt idx="6">
                  <c:v>350.24806201550388</c:v>
                </c:pt>
                <c:pt idx="7">
                  <c:v>204.62962962962962</c:v>
                </c:pt>
                <c:pt idx="8">
                  <c:v>234.52307692307693</c:v>
                </c:pt>
                <c:pt idx="9">
                  <c:v>299.109375</c:v>
                </c:pt>
                <c:pt idx="10">
                  <c:v>277.43650793650795</c:v>
                </c:pt>
                <c:pt idx="11">
                  <c:v>233.00787401574803</c:v>
                </c:pt>
                <c:pt idx="12">
                  <c:v>288.39694656488547</c:v>
                </c:pt>
                <c:pt idx="13">
                  <c:v>249.5114503816794</c:v>
                </c:pt>
                <c:pt idx="14">
                  <c:v>271.25563909774434</c:v>
                </c:pt>
                <c:pt idx="15">
                  <c:v>295.00757575757575</c:v>
                </c:pt>
                <c:pt idx="16">
                  <c:v>296.5078125</c:v>
                </c:pt>
                <c:pt idx="17">
                  <c:v>282.109375</c:v>
                </c:pt>
                <c:pt idx="18">
                  <c:v>268.203125</c:v>
                </c:pt>
                <c:pt idx="19">
                  <c:v>245.75806451612902</c:v>
                </c:pt>
                <c:pt idx="20">
                  <c:v>309.97619047619048</c:v>
                </c:pt>
                <c:pt idx="21">
                  <c:v>276.9917355371901</c:v>
                </c:pt>
                <c:pt idx="22">
                  <c:v>258.23529411764707</c:v>
                </c:pt>
                <c:pt idx="23">
                  <c:v>71.709401709401703</c:v>
                </c:pt>
                <c:pt idx="24">
                  <c:v>312.88983050847457</c:v>
                </c:pt>
                <c:pt idx="25">
                  <c:v>373.6953125</c:v>
                </c:pt>
                <c:pt idx="26">
                  <c:v>355.18518518518516</c:v>
                </c:pt>
                <c:pt idx="27">
                  <c:v>321.37121212121212</c:v>
                </c:pt>
                <c:pt idx="28">
                  <c:v>315.84444444444443</c:v>
                </c:pt>
                <c:pt idx="29">
                  <c:v>277.2340425531915</c:v>
                </c:pt>
                <c:pt idx="30">
                  <c:v>333.85106382978722</c:v>
                </c:pt>
                <c:pt idx="31">
                  <c:v>238.63309352517985</c:v>
                </c:pt>
                <c:pt idx="32">
                  <c:v>246.63235294117646</c:v>
                </c:pt>
                <c:pt idx="33">
                  <c:v>238.49242424242425</c:v>
                </c:pt>
                <c:pt idx="34">
                  <c:v>366.17391304347825</c:v>
                </c:pt>
                <c:pt idx="35">
                  <c:v>263.875</c:v>
                </c:pt>
                <c:pt idx="36">
                  <c:v>359.17857142857144</c:v>
                </c:pt>
                <c:pt idx="37">
                  <c:v>286.86956521739131</c:v>
                </c:pt>
                <c:pt idx="38">
                  <c:v>307.07482993197277</c:v>
                </c:pt>
                <c:pt idx="39">
                  <c:v>302.69736842105266</c:v>
                </c:pt>
                <c:pt idx="40">
                  <c:v>405.99350649350652</c:v>
                </c:pt>
                <c:pt idx="41">
                  <c:v>357.01734104046244</c:v>
                </c:pt>
                <c:pt idx="42">
                  <c:v>369.32972972972971</c:v>
                </c:pt>
                <c:pt idx="43">
                  <c:v>325.21465968586386</c:v>
                </c:pt>
                <c:pt idx="44">
                  <c:v>213.81</c:v>
                </c:pt>
                <c:pt idx="45">
                  <c:v>262.23115577889445</c:v>
                </c:pt>
                <c:pt idx="46">
                  <c:v>341.69948186528495</c:v>
                </c:pt>
                <c:pt idx="47">
                  <c:v>320.66666666666669</c:v>
                </c:pt>
                <c:pt idx="48">
                  <c:v>304.38502673796791</c:v>
                </c:pt>
                <c:pt idx="49">
                  <c:v>327.06666666666666</c:v>
                </c:pt>
                <c:pt idx="50">
                  <c:v>256.91443850267382</c:v>
                </c:pt>
                <c:pt idx="51">
                  <c:v>265.82722513089004</c:v>
                </c:pt>
                <c:pt idx="52">
                  <c:v>321.5527638190955</c:v>
                </c:pt>
                <c:pt idx="53">
                  <c:v>267.07035175879395</c:v>
                </c:pt>
                <c:pt idx="54">
                  <c:v>212.81656804733728</c:v>
                </c:pt>
                <c:pt idx="55">
                  <c:v>130.90849673202615</c:v>
                </c:pt>
                <c:pt idx="56">
                  <c:v>118.18367346938776</c:v>
                </c:pt>
                <c:pt idx="57">
                  <c:v>195.04225352112675</c:v>
                </c:pt>
                <c:pt idx="58">
                  <c:v>223.75182481751824</c:v>
                </c:pt>
                <c:pt idx="59">
                  <c:v>176.73529411764707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B-4AA9-8339-86D0EC264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15823"/>
        <c:axId val="223618719"/>
      </c:lineChart>
      <c:dateAx>
        <c:axId val="1774158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18719"/>
        <c:crosses val="autoZero"/>
        <c:auto val="0"/>
        <c:lblOffset val="100"/>
        <c:baseTimeUnit val="months"/>
      </c:dateAx>
      <c:valAx>
        <c:axId val="22361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Totals'!$I$3</c:f>
              <c:strCache>
                <c:ptCount val="1"/>
                <c:pt idx="0">
                  <c:v>$ Transfer to FG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Totals'!$I$82:$I$144</c:f>
              <c:numCache>
                <c:formatCode>_-"$"* #,##0_-;\-"$"* #,##0_-;_-"$"* "-"??_-;_-@_-</c:formatCode>
                <c:ptCount val="63"/>
                <c:pt idx="0">
                  <c:v>4635382.55</c:v>
                </c:pt>
                <c:pt idx="1">
                  <c:v>4695293.38</c:v>
                </c:pt>
                <c:pt idx="2">
                  <c:v>5173418.8499999996</c:v>
                </c:pt>
                <c:pt idx="3">
                  <c:v>6032358.25</c:v>
                </c:pt>
                <c:pt idx="4">
                  <c:v>5549339.4800000004</c:v>
                </c:pt>
                <c:pt idx="5">
                  <c:v>5670790.04</c:v>
                </c:pt>
                <c:pt idx="6">
                  <c:v>6463959.3300000001</c:v>
                </c:pt>
                <c:pt idx="7">
                  <c:v>3456165.31</c:v>
                </c:pt>
                <c:pt idx="8">
                  <c:v>4410960.1100000003</c:v>
                </c:pt>
                <c:pt idx="9">
                  <c:v>4759440.4000000004</c:v>
                </c:pt>
                <c:pt idx="10">
                  <c:v>5541973.9800000004</c:v>
                </c:pt>
                <c:pt idx="11">
                  <c:v>3712412.31</c:v>
                </c:pt>
                <c:pt idx="12">
                  <c:v>5567479.9299999997</c:v>
                </c:pt>
                <c:pt idx="13">
                  <c:v>4504290.1900000004</c:v>
                </c:pt>
                <c:pt idx="14">
                  <c:v>5013074.53</c:v>
                </c:pt>
                <c:pt idx="15">
                  <c:v>5510141.6299999999</c:v>
                </c:pt>
                <c:pt idx="16">
                  <c:v>5463230.4400000004</c:v>
                </c:pt>
                <c:pt idx="17">
                  <c:v>5494825.4500000002</c:v>
                </c:pt>
                <c:pt idx="18">
                  <c:v>5484324.0700000003</c:v>
                </c:pt>
                <c:pt idx="19">
                  <c:v>3832569.98</c:v>
                </c:pt>
                <c:pt idx="20">
                  <c:v>5219122.3</c:v>
                </c:pt>
                <c:pt idx="21">
                  <c:v>4998390.04</c:v>
                </c:pt>
                <c:pt idx="22">
                  <c:v>3853416.1</c:v>
                </c:pt>
                <c:pt idx="23">
                  <c:v>2311650.86</c:v>
                </c:pt>
                <c:pt idx="24">
                  <c:v>6138751.7400000002</c:v>
                </c:pt>
                <c:pt idx="25">
                  <c:v>6430948</c:v>
                </c:pt>
                <c:pt idx="26">
                  <c:v>7451275</c:v>
                </c:pt>
                <c:pt idx="27">
                  <c:v>5621755</c:v>
                </c:pt>
                <c:pt idx="28">
                  <c:v>5924969</c:v>
                </c:pt>
                <c:pt idx="29">
                  <c:v>5648569</c:v>
                </c:pt>
                <c:pt idx="30">
                  <c:v>6154335</c:v>
                </c:pt>
                <c:pt idx="31">
                  <c:v>4568308</c:v>
                </c:pt>
                <c:pt idx="32">
                  <c:v>4840134</c:v>
                </c:pt>
                <c:pt idx="33">
                  <c:v>4600143</c:v>
                </c:pt>
                <c:pt idx="34">
                  <c:v>5568012</c:v>
                </c:pt>
                <c:pt idx="35">
                  <c:v>4844169</c:v>
                </c:pt>
                <c:pt idx="36">
                  <c:v>5464720</c:v>
                </c:pt>
                <c:pt idx="37">
                  <c:v>5464721</c:v>
                </c:pt>
                <c:pt idx="38">
                  <c:v>6986771</c:v>
                </c:pt>
                <c:pt idx="39">
                  <c:v>10143380</c:v>
                </c:pt>
                <c:pt idx="40">
                  <c:v>16448447</c:v>
                </c:pt>
                <c:pt idx="41">
                  <c:v>17127174</c:v>
                </c:pt>
                <c:pt idx="42">
                  <c:v>15363040</c:v>
                </c:pt>
                <c:pt idx="43">
                  <c:v>11226330</c:v>
                </c:pt>
                <c:pt idx="44">
                  <c:v>9733117</c:v>
                </c:pt>
                <c:pt idx="45">
                  <c:v>10406780</c:v>
                </c:pt>
                <c:pt idx="46">
                  <c:v>10658832</c:v>
                </c:pt>
                <c:pt idx="47">
                  <c:v>8970290</c:v>
                </c:pt>
                <c:pt idx="48">
                  <c:v>9434352</c:v>
                </c:pt>
                <c:pt idx="49">
                  <c:v>9335502</c:v>
                </c:pt>
                <c:pt idx="50">
                  <c:v>8608730</c:v>
                </c:pt>
                <c:pt idx="51">
                  <c:v>10343667</c:v>
                </c:pt>
                <c:pt idx="52">
                  <c:v>10066416</c:v>
                </c:pt>
                <c:pt idx="53">
                  <c:v>9729746</c:v>
                </c:pt>
                <c:pt idx="54">
                  <c:v>7428029</c:v>
                </c:pt>
                <c:pt idx="55">
                  <c:v>4104662</c:v>
                </c:pt>
                <c:pt idx="56">
                  <c:v>2924488</c:v>
                </c:pt>
                <c:pt idx="57">
                  <c:v>4442152</c:v>
                </c:pt>
                <c:pt idx="58">
                  <c:v>5123044</c:v>
                </c:pt>
                <c:pt idx="59">
                  <c:v>4202804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F-488F-8C60-CE867665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35167"/>
        <c:axId val="299824927"/>
      </c:lineChart>
      <c:dateAx>
        <c:axId val="473035167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24927"/>
        <c:crosses val="autoZero"/>
        <c:auto val="1"/>
        <c:lblOffset val="100"/>
        <c:baseTimeUnit val="months"/>
      </c:dateAx>
      <c:valAx>
        <c:axId val="299824927"/>
        <c:scaling>
          <c:orientation val="minMax"/>
          <c:min val="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3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Totals'!$K$3</c:f>
              <c:strCache>
                <c:ptCount val="1"/>
                <c:pt idx="0">
                  <c:v>Total Finished Goods Units (SEC&amp;AM)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Totals'!$K$4:$K$144</c:f>
              <c:numCache>
                <c:formatCode>_-* #,##0_-;\-* #,##0_-;_-* "-"??_-;_-@_-</c:formatCode>
                <c:ptCount val="141"/>
                <c:pt idx="0">
                  <c:v>28128</c:v>
                </c:pt>
                <c:pt idx="1">
                  <c:v>23350</c:v>
                </c:pt>
                <c:pt idx="2">
                  <c:v>21991</c:v>
                </c:pt>
                <c:pt idx="3">
                  <c:v>33777</c:v>
                </c:pt>
                <c:pt idx="4">
                  <c:v>41233</c:v>
                </c:pt>
                <c:pt idx="5">
                  <c:v>36339</c:v>
                </c:pt>
                <c:pt idx="6">
                  <c:v>34359</c:v>
                </c:pt>
                <c:pt idx="7">
                  <c:v>34609</c:v>
                </c:pt>
                <c:pt idx="8">
                  <c:v>31616</c:v>
                </c:pt>
                <c:pt idx="9">
                  <c:v>25948</c:v>
                </c:pt>
                <c:pt idx="10">
                  <c:v>25083</c:v>
                </c:pt>
                <c:pt idx="11">
                  <c:v>26991</c:v>
                </c:pt>
                <c:pt idx="12">
                  <c:v>23531</c:v>
                </c:pt>
                <c:pt idx="13">
                  <c:v>18951</c:v>
                </c:pt>
                <c:pt idx="14">
                  <c:v>20549</c:v>
                </c:pt>
                <c:pt idx="15">
                  <c:v>25691</c:v>
                </c:pt>
                <c:pt idx="16">
                  <c:v>29280</c:v>
                </c:pt>
                <c:pt idx="17">
                  <c:v>31196</c:v>
                </c:pt>
                <c:pt idx="18">
                  <c:v>35649</c:v>
                </c:pt>
                <c:pt idx="19">
                  <c:v>21345</c:v>
                </c:pt>
                <c:pt idx="20">
                  <c:v>32091</c:v>
                </c:pt>
                <c:pt idx="21">
                  <c:v>22295</c:v>
                </c:pt>
                <c:pt idx="22">
                  <c:v>24245</c:v>
                </c:pt>
                <c:pt idx="23">
                  <c:v>23074</c:v>
                </c:pt>
                <c:pt idx="24">
                  <c:v>26348</c:v>
                </c:pt>
                <c:pt idx="25">
                  <c:v>21029</c:v>
                </c:pt>
                <c:pt idx="26">
                  <c:v>23137</c:v>
                </c:pt>
                <c:pt idx="27">
                  <c:v>26175</c:v>
                </c:pt>
                <c:pt idx="28">
                  <c:v>36342</c:v>
                </c:pt>
                <c:pt idx="29">
                  <c:v>29124</c:v>
                </c:pt>
                <c:pt idx="30">
                  <c:v>30773</c:v>
                </c:pt>
                <c:pt idx="31">
                  <c:v>29256</c:v>
                </c:pt>
                <c:pt idx="32">
                  <c:v>33141</c:v>
                </c:pt>
                <c:pt idx="33">
                  <c:v>28932</c:v>
                </c:pt>
                <c:pt idx="34">
                  <c:v>33981</c:v>
                </c:pt>
                <c:pt idx="35">
                  <c:v>29060</c:v>
                </c:pt>
                <c:pt idx="36">
                  <c:v>29813</c:v>
                </c:pt>
                <c:pt idx="37">
                  <c:v>27720</c:v>
                </c:pt>
                <c:pt idx="38">
                  <c:v>17781</c:v>
                </c:pt>
                <c:pt idx="39">
                  <c:v>30635</c:v>
                </c:pt>
                <c:pt idx="40">
                  <c:v>36500</c:v>
                </c:pt>
                <c:pt idx="41">
                  <c:v>27404</c:v>
                </c:pt>
                <c:pt idx="42">
                  <c:v>28530</c:v>
                </c:pt>
                <c:pt idx="43">
                  <c:v>29009</c:v>
                </c:pt>
                <c:pt idx="44">
                  <c:v>27468</c:v>
                </c:pt>
                <c:pt idx="45">
                  <c:v>26543</c:v>
                </c:pt>
                <c:pt idx="46">
                  <c:v>28583</c:v>
                </c:pt>
                <c:pt idx="47">
                  <c:v>27675</c:v>
                </c:pt>
                <c:pt idx="48">
                  <c:v>31347</c:v>
                </c:pt>
                <c:pt idx="49">
                  <c:v>21715</c:v>
                </c:pt>
                <c:pt idx="50">
                  <c:v>23193</c:v>
                </c:pt>
                <c:pt idx="51">
                  <c:v>24546</c:v>
                </c:pt>
                <c:pt idx="52">
                  <c:v>26140</c:v>
                </c:pt>
                <c:pt idx="53">
                  <c:v>22012</c:v>
                </c:pt>
                <c:pt idx="54">
                  <c:v>21868</c:v>
                </c:pt>
                <c:pt idx="55">
                  <c:v>20533</c:v>
                </c:pt>
                <c:pt idx="56">
                  <c:v>25126</c:v>
                </c:pt>
                <c:pt idx="57">
                  <c:v>24732</c:v>
                </c:pt>
                <c:pt idx="58">
                  <c:v>21681</c:v>
                </c:pt>
                <c:pt idx="59">
                  <c:v>29219</c:v>
                </c:pt>
                <c:pt idx="60">
                  <c:v>28484</c:v>
                </c:pt>
                <c:pt idx="61">
                  <c:v>21276</c:v>
                </c:pt>
                <c:pt idx="62">
                  <c:v>22014</c:v>
                </c:pt>
                <c:pt idx="63">
                  <c:v>28194</c:v>
                </c:pt>
                <c:pt idx="64">
                  <c:v>33697</c:v>
                </c:pt>
                <c:pt idx="65">
                  <c:v>25538</c:v>
                </c:pt>
                <c:pt idx="66">
                  <c:v>38817</c:v>
                </c:pt>
                <c:pt idx="67">
                  <c:v>34929</c:v>
                </c:pt>
                <c:pt idx="68">
                  <c:v>43591</c:v>
                </c:pt>
                <c:pt idx="69">
                  <c:v>39520</c:v>
                </c:pt>
                <c:pt idx="70">
                  <c:v>43633</c:v>
                </c:pt>
                <c:pt idx="71">
                  <c:v>42874</c:v>
                </c:pt>
                <c:pt idx="72">
                  <c:v>40351</c:v>
                </c:pt>
                <c:pt idx="73">
                  <c:v>28812</c:v>
                </c:pt>
                <c:pt idx="74">
                  <c:v>26796</c:v>
                </c:pt>
                <c:pt idx="75">
                  <c:v>31207</c:v>
                </c:pt>
                <c:pt idx="76">
                  <c:v>39311</c:v>
                </c:pt>
                <c:pt idx="77">
                  <c:v>33146</c:v>
                </c:pt>
                <c:pt idx="78">
                  <c:v>34966</c:v>
                </c:pt>
                <c:pt idx="79">
                  <c:v>28441</c:v>
                </c:pt>
                <c:pt idx="80">
                  <c:v>34818</c:v>
                </c:pt>
                <c:pt idx="81">
                  <c:v>32778</c:v>
                </c:pt>
                <c:pt idx="82">
                  <c:v>34930</c:v>
                </c:pt>
                <c:pt idx="83">
                  <c:v>42726</c:v>
                </c:pt>
                <c:pt idx="84">
                  <c:v>45182</c:v>
                </c:pt>
                <c:pt idx="85">
                  <c:v>27625</c:v>
                </c:pt>
                <c:pt idx="86">
                  <c:v>30488</c:v>
                </c:pt>
                <c:pt idx="87">
                  <c:v>38286</c:v>
                </c:pt>
                <c:pt idx="88">
                  <c:v>34957</c:v>
                </c:pt>
                <c:pt idx="89">
                  <c:v>29592</c:v>
                </c:pt>
                <c:pt idx="90">
                  <c:v>37780</c:v>
                </c:pt>
                <c:pt idx="91">
                  <c:v>32686</c:v>
                </c:pt>
                <c:pt idx="92">
                  <c:v>36077</c:v>
                </c:pt>
                <c:pt idx="93">
                  <c:v>38941</c:v>
                </c:pt>
                <c:pt idx="94">
                  <c:v>37953</c:v>
                </c:pt>
                <c:pt idx="95">
                  <c:v>36110</c:v>
                </c:pt>
                <c:pt idx="96">
                  <c:v>34330</c:v>
                </c:pt>
                <c:pt idx="97">
                  <c:v>30474</c:v>
                </c:pt>
                <c:pt idx="98">
                  <c:v>39057</c:v>
                </c:pt>
                <c:pt idx="99">
                  <c:v>33516</c:v>
                </c:pt>
                <c:pt idx="100">
                  <c:v>30730</c:v>
                </c:pt>
                <c:pt idx="101">
                  <c:v>8390</c:v>
                </c:pt>
                <c:pt idx="102">
                  <c:v>36921</c:v>
                </c:pt>
                <c:pt idx="103">
                  <c:v>47833</c:v>
                </c:pt>
                <c:pt idx="104">
                  <c:v>47950</c:v>
                </c:pt>
                <c:pt idx="105">
                  <c:v>42421</c:v>
                </c:pt>
                <c:pt idx="106">
                  <c:v>42639</c:v>
                </c:pt>
                <c:pt idx="107">
                  <c:v>39090</c:v>
                </c:pt>
                <c:pt idx="108">
                  <c:v>47073</c:v>
                </c:pt>
                <c:pt idx="109">
                  <c:v>33170</c:v>
                </c:pt>
                <c:pt idx="110">
                  <c:v>33542</c:v>
                </c:pt>
                <c:pt idx="111">
                  <c:v>31481</c:v>
                </c:pt>
                <c:pt idx="112">
                  <c:v>50532</c:v>
                </c:pt>
                <c:pt idx="113">
                  <c:v>35887</c:v>
                </c:pt>
                <c:pt idx="114">
                  <c:v>50285</c:v>
                </c:pt>
                <c:pt idx="115">
                  <c:v>39588</c:v>
                </c:pt>
                <c:pt idx="116">
                  <c:v>45140</c:v>
                </c:pt>
                <c:pt idx="117">
                  <c:v>46010</c:v>
                </c:pt>
                <c:pt idx="118">
                  <c:v>62523</c:v>
                </c:pt>
                <c:pt idx="119">
                  <c:v>61764</c:v>
                </c:pt>
                <c:pt idx="120">
                  <c:v>68326</c:v>
                </c:pt>
                <c:pt idx="121">
                  <c:v>62116</c:v>
                </c:pt>
                <c:pt idx="122">
                  <c:v>42762</c:v>
                </c:pt>
                <c:pt idx="123">
                  <c:v>52184</c:v>
                </c:pt>
                <c:pt idx="124">
                  <c:v>65948</c:v>
                </c:pt>
                <c:pt idx="125">
                  <c:v>58682</c:v>
                </c:pt>
                <c:pt idx="126">
                  <c:v>56920</c:v>
                </c:pt>
                <c:pt idx="127">
                  <c:v>58872</c:v>
                </c:pt>
                <c:pt idx="128">
                  <c:v>48043</c:v>
                </c:pt>
                <c:pt idx="129">
                  <c:v>50773</c:v>
                </c:pt>
                <c:pt idx="130">
                  <c:v>63989</c:v>
                </c:pt>
                <c:pt idx="131">
                  <c:v>53147</c:v>
                </c:pt>
                <c:pt idx="132">
                  <c:v>35966</c:v>
                </c:pt>
                <c:pt idx="133">
                  <c:v>20029</c:v>
                </c:pt>
                <c:pt idx="134">
                  <c:v>17373</c:v>
                </c:pt>
                <c:pt idx="135">
                  <c:v>27696</c:v>
                </c:pt>
                <c:pt idx="136">
                  <c:v>30654</c:v>
                </c:pt>
                <c:pt idx="137">
                  <c:v>24036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7-408D-A34E-9DE4C8088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61343"/>
        <c:axId val="299827839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'Group Totals'!$M$3</c15:sqref>
                        </c15:formulaRef>
                      </c:ext>
                    </c:extLst>
                    <c:strCache>
                      <c:ptCount val="1"/>
                      <c:pt idx="0">
                        <c:v>Total FG's W/O's (SEC&amp;AM)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Totals'!$M$4:$M$144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0">
                        <c:v>308</c:v>
                      </c:pt>
                      <c:pt idx="1">
                        <c:v>242</c:v>
                      </c:pt>
                      <c:pt idx="2">
                        <c:v>241</c:v>
                      </c:pt>
                      <c:pt idx="3">
                        <c:v>326</c:v>
                      </c:pt>
                      <c:pt idx="4">
                        <c:v>341</c:v>
                      </c:pt>
                      <c:pt idx="5">
                        <c:v>353</c:v>
                      </c:pt>
                      <c:pt idx="6">
                        <c:v>365</c:v>
                      </c:pt>
                      <c:pt idx="7">
                        <c:v>356</c:v>
                      </c:pt>
                      <c:pt idx="8">
                        <c:v>391</c:v>
                      </c:pt>
                      <c:pt idx="9">
                        <c:v>358</c:v>
                      </c:pt>
                      <c:pt idx="10">
                        <c:v>316</c:v>
                      </c:pt>
                      <c:pt idx="11">
                        <c:v>337</c:v>
                      </c:pt>
                      <c:pt idx="12">
                        <c:v>319</c:v>
                      </c:pt>
                      <c:pt idx="13">
                        <c:v>225</c:v>
                      </c:pt>
                      <c:pt idx="14">
                        <c:v>211</c:v>
                      </c:pt>
                      <c:pt idx="15">
                        <c:v>307</c:v>
                      </c:pt>
                      <c:pt idx="16">
                        <c:v>287</c:v>
                      </c:pt>
                      <c:pt idx="17">
                        <c:v>320</c:v>
                      </c:pt>
                      <c:pt idx="18">
                        <c:v>370</c:v>
                      </c:pt>
                      <c:pt idx="19">
                        <c:v>250</c:v>
                      </c:pt>
                      <c:pt idx="20">
                        <c:v>385</c:v>
                      </c:pt>
                      <c:pt idx="21">
                        <c:v>281</c:v>
                      </c:pt>
                      <c:pt idx="22">
                        <c:v>336</c:v>
                      </c:pt>
                      <c:pt idx="23">
                        <c:v>297</c:v>
                      </c:pt>
                      <c:pt idx="24">
                        <c:v>327</c:v>
                      </c:pt>
                      <c:pt idx="25">
                        <c:v>239</c:v>
                      </c:pt>
                      <c:pt idx="26">
                        <c:v>231</c:v>
                      </c:pt>
                      <c:pt idx="27">
                        <c:v>277</c:v>
                      </c:pt>
                      <c:pt idx="28">
                        <c:v>357</c:v>
                      </c:pt>
                      <c:pt idx="29">
                        <c:v>318</c:v>
                      </c:pt>
                      <c:pt idx="30">
                        <c:v>334</c:v>
                      </c:pt>
                      <c:pt idx="31">
                        <c:v>362</c:v>
                      </c:pt>
                      <c:pt idx="32">
                        <c:v>426</c:v>
                      </c:pt>
                      <c:pt idx="33">
                        <c:v>386</c:v>
                      </c:pt>
                      <c:pt idx="34">
                        <c:v>395</c:v>
                      </c:pt>
                      <c:pt idx="35">
                        <c:v>338</c:v>
                      </c:pt>
                      <c:pt idx="36">
                        <c:v>336</c:v>
                      </c:pt>
                      <c:pt idx="37">
                        <c:v>337</c:v>
                      </c:pt>
                      <c:pt idx="38">
                        <c:v>177</c:v>
                      </c:pt>
                      <c:pt idx="39">
                        <c:v>305</c:v>
                      </c:pt>
                      <c:pt idx="40">
                        <c:v>397</c:v>
                      </c:pt>
                      <c:pt idx="41">
                        <c:v>320</c:v>
                      </c:pt>
                      <c:pt idx="42">
                        <c:v>341</c:v>
                      </c:pt>
                      <c:pt idx="43">
                        <c:v>337</c:v>
                      </c:pt>
                      <c:pt idx="44">
                        <c:v>358</c:v>
                      </c:pt>
                      <c:pt idx="45">
                        <c:v>315</c:v>
                      </c:pt>
                      <c:pt idx="46">
                        <c:v>289</c:v>
                      </c:pt>
                      <c:pt idx="47">
                        <c:v>292</c:v>
                      </c:pt>
                      <c:pt idx="48">
                        <c:v>314</c:v>
                      </c:pt>
                      <c:pt idx="49">
                        <c:v>216</c:v>
                      </c:pt>
                      <c:pt idx="50">
                        <c:v>235</c:v>
                      </c:pt>
                      <c:pt idx="51">
                        <c:v>289</c:v>
                      </c:pt>
                      <c:pt idx="52">
                        <c:v>303</c:v>
                      </c:pt>
                      <c:pt idx="53">
                        <c:v>265</c:v>
                      </c:pt>
                      <c:pt idx="54">
                        <c:v>282</c:v>
                      </c:pt>
                      <c:pt idx="55">
                        <c:v>279</c:v>
                      </c:pt>
                      <c:pt idx="56">
                        <c:v>304</c:v>
                      </c:pt>
                      <c:pt idx="57">
                        <c:v>360</c:v>
                      </c:pt>
                      <c:pt idx="58">
                        <c:v>319</c:v>
                      </c:pt>
                      <c:pt idx="59">
                        <c:v>323</c:v>
                      </c:pt>
                      <c:pt idx="60">
                        <c:v>283</c:v>
                      </c:pt>
                      <c:pt idx="61">
                        <c:v>222</c:v>
                      </c:pt>
                      <c:pt idx="62">
                        <c:v>225</c:v>
                      </c:pt>
                      <c:pt idx="63">
                        <c:v>334</c:v>
                      </c:pt>
                      <c:pt idx="64">
                        <c:v>380</c:v>
                      </c:pt>
                      <c:pt idx="65">
                        <c:v>297</c:v>
                      </c:pt>
                      <c:pt idx="66">
                        <c:v>418</c:v>
                      </c:pt>
                      <c:pt idx="67">
                        <c:v>378</c:v>
                      </c:pt>
                      <c:pt idx="68">
                        <c:v>439</c:v>
                      </c:pt>
                      <c:pt idx="69">
                        <c:v>421</c:v>
                      </c:pt>
                      <c:pt idx="70">
                        <c:v>383</c:v>
                      </c:pt>
                      <c:pt idx="71">
                        <c:v>406</c:v>
                      </c:pt>
                      <c:pt idx="72">
                        <c:v>390</c:v>
                      </c:pt>
                      <c:pt idx="73">
                        <c:v>284</c:v>
                      </c:pt>
                      <c:pt idx="74">
                        <c:v>275</c:v>
                      </c:pt>
                      <c:pt idx="75">
                        <c:v>311</c:v>
                      </c:pt>
                      <c:pt idx="76">
                        <c:v>397</c:v>
                      </c:pt>
                      <c:pt idx="77">
                        <c:v>411</c:v>
                      </c:pt>
                      <c:pt idx="78">
                        <c:v>406</c:v>
                      </c:pt>
                      <c:pt idx="79">
                        <c:v>355</c:v>
                      </c:pt>
                      <c:pt idx="80">
                        <c:v>431</c:v>
                      </c:pt>
                      <c:pt idx="81">
                        <c:v>440</c:v>
                      </c:pt>
                      <c:pt idx="82">
                        <c:v>365</c:v>
                      </c:pt>
                      <c:pt idx="83">
                        <c:v>432</c:v>
                      </c:pt>
                      <c:pt idx="84">
                        <c:v>388</c:v>
                      </c:pt>
                      <c:pt idx="85">
                        <c:v>241</c:v>
                      </c:pt>
                      <c:pt idx="86">
                        <c:v>253</c:v>
                      </c:pt>
                      <c:pt idx="87">
                        <c:v>301</c:v>
                      </c:pt>
                      <c:pt idx="88">
                        <c:v>348</c:v>
                      </c:pt>
                      <c:pt idx="89">
                        <c:v>329</c:v>
                      </c:pt>
                      <c:pt idx="90">
                        <c:v>389</c:v>
                      </c:pt>
                      <c:pt idx="91">
                        <c:v>350</c:v>
                      </c:pt>
                      <c:pt idx="92">
                        <c:v>349</c:v>
                      </c:pt>
                      <c:pt idx="93">
                        <c:v>360</c:v>
                      </c:pt>
                      <c:pt idx="94">
                        <c:v>326</c:v>
                      </c:pt>
                      <c:pt idx="95">
                        <c:v>337</c:v>
                      </c:pt>
                      <c:pt idx="96">
                        <c:v>302</c:v>
                      </c:pt>
                      <c:pt idx="97">
                        <c:v>224</c:v>
                      </c:pt>
                      <c:pt idx="98">
                        <c:v>293</c:v>
                      </c:pt>
                      <c:pt idx="99">
                        <c:v>303</c:v>
                      </c:pt>
                      <c:pt idx="100">
                        <c:v>281</c:v>
                      </c:pt>
                      <c:pt idx="101">
                        <c:v>56</c:v>
                      </c:pt>
                      <c:pt idx="102">
                        <c:v>290</c:v>
                      </c:pt>
                      <c:pt idx="103">
                        <c:v>348</c:v>
                      </c:pt>
                      <c:pt idx="104">
                        <c:v>355</c:v>
                      </c:pt>
                      <c:pt idx="105">
                        <c:v>345</c:v>
                      </c:pt>
                      <c:pt idx="106">
                        <c:v>358</c:v>
                      </c:pt>
                      <c:pt idx="107">
                        <c:v>344</c:v>
                      </c:pt>
                      <c:pt idx="108">
                        <c:v>312</c:v>
                      </c:pt>
                      <c:pt idx="109">
                        <c:v>287</c:v>
                      </c:pt>
                      <c:pt idx="110">
                        <c:v>282</c:v>
                      </c:pt>
                      <c:pt idx="111">
                        <c:v>319</c:v>
                      </c:pt>
                      <c:pt idx="112">
                        <c:v>343</c:v>
                      </c:pt>
                      <c:pt idx="113">
                        <c:v>285</c:v>
                      </c:pt>
                      <c:pt idx="114">
                        <c:v>355</c:v>
                      </c:pt>
                      <c:pt idx="115">
                        <c:v>355</c:v>
                      </c:pt>
                      <c:pt idx="116">
                        <c:v>361</c:v>
                      </c:pt>
                      <c:pt idx="117">
                        <c:v>320</c:v>
                      </c:pt>
                      <c:pt idx="118">
                        <c:v>352</c:v>
                      </c:pt>
                      <c:pt idx="119">
                        <c:v>314</c:v>
                      </c:pt>
                      <c:pt idx="120">
                        <c:v>411</c:v>
                      </c:pt>
                      <c:pt idx="121">
                        <c:v>316</c:v>
                      </c:pt>
                      <c:pt idx="122">
                        <c:v>310</c:v>
                      </c:pt>
                      <c:pt idx="123">
                        <c:v>369</c:v>
                      </c:pt>
                      <c:pt idx="124">
                        <c:v>342</c:v>
                      </c:pt>
                      <c:pt idx="125">
                        <c:v>260</c:v>
                      </c:pt>
                      <c:pt idx="126">
                        <c:v>360</c:v>
                      </c:pt>
                      <c:pt idx="127">
                        <c:v>319</c:v>
                      </c:pt>
                      <c:pt idx="128">
                        <c:v>290</c:v>
                      </c:pt>
                      <c:pt idx="129">
                        <c:v>381</c:v>
                      </c:pt>
                      <c:pt idx="130">
                        <c:v>352</c:v>
                      </c:pt>
                      <c:pt idx="131">
                        <c:v>351</c:v>
                      </c:pt>
                      <c:pt idx="132">
                        <c:v>280</c:v>
                      </c:pt>
                      <c:pt idx="133">
                        <c:v>155</c:v>
                      </c:pt>
                      <c:pt idx="134">
                        <c:v>122</c:v>
                      </c:pt>
                      <c:pt idx="135">
                        <c:v>237</c:v>
                      </c:pt>
                      <c:pt idx="136">
                        <c:v>244</c:v>
                      </c:pt>
                      <c:pt idx="137">
                        <c:v>186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267-408D-A34E-9DE4C8088D2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Totals'!$O$3</c15:sqref>
                        </c15:formulaRef>
                      </c:ext>
                    </c:extLst>
                    <c:strCache>
                      <c:ptCount val="1"/>
                      <c:pt idx="0">
                        <c:v>Total FG's SKU's (SEC&amp;AM)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Totals'!$O$4:$O$144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77">
                        <c:v>204</c:v>
                      </c:pt>
                      <c:pt idx="78">
                        <c:v>208</c:v>
                      </c:pt>
                      <c:pt idx="79">
                        <c:v>181</c:v>
                      </c:pt>
                      <c:pt idx="80">
                        <c:v>209</c:v>
                      </c:pt>
                      <c:pt idx="81">
                        <c:v>217</c:v>
                      </c:pt>
                      <c:pt idx="82">
                        <c:v>179</c:v>
                      </c:pt>
                      <c:pt idx="83">
                        <c:v>199</c:v>
                      </c:pt>
                      <c:pt idx="84">
                        <c:v>207</c:v>
                      </c:pt>
                      <c:pt idx="85">
                        <c:v>142</c:v>
                      </c:pt>
                      <c:pt idx="86">
                        <c:v>148</c:v>
                      </c:pt>
                      <c:pt idx="87">
                        <c:v>173</c:v>
                      </c:pt>
                      <c:pt idx="88">
                        <c:v>184</c:v>
                      </c:pt>
                      <c:pt idx="89">
                        <c:v>173</c:v>
                      </c:pt>
                      <c:pt idx="90">
                        <c:v>196</c:v>
                      </c:pt>
                      <c:pt idx="91">
                        <c:v>174</c:v>
                      </c:pt>
                      <c:pt idx="92">
                        <c:v>188</c:v>
                      </c:pt>
                      <c:pt idx="93">
                        <c:v>211</c:v>
                      </c:pt>
                      <c:pt idx="94">
                        <c:v>169</c:v>
                      </c:pt>
                      <c:pt idx="95">
                        <c:v>190</c:v>
                      </c:pt>
                      <c:pt idx="96">
                        <c:v>181</c:v>
                      </c:pt>
                      <c:pt idx="97">
                        <c:v>129</c:v>
                      </c:pt>
                      <c:pt idx="98">
                        <c:v>151</c:v>
                      </c:pt>
                      <c:pt idx="99">
                        <c:v>173</c:v>
                      </c:pt>
                      <c:pt idx="100">
                        <c:v>154</c:v>
                      </c:pt>
                      <c:pt idx="101">
                        <c:v>41</c:v>
                      </c:pt>
                      <c:pt idx="102">
                        <c:v>163</c:v>
                      </c:pt>
                      <c:pt idx="103">
                        <c:v>188</c:v>
                      </c:pt>
                      <c:pt idx="104">
                        <c:v>181</c:v>
                      </c:pt>
                      <c:pt idx="105">
                        <c:v>198</c:v>
                      </c:pt>
                      <c:pt idx="106">
                        <c:v>199</c:v>
                      </c:pt>
                      <c:pt idx="107">
                        <c:v>189</c:v>
                      </c:pt>
                      <c:pt idx="108">
                        <c:v>185</c:v>
                      </c:pt>
                      <c:pt idx="109">
                        <c:v>183</c:v>
                      </c:pt>
                      <c:pt idx="110">
                        <c:v>174</c:v>
                      </c:pt>
                      <c:pt idx="111">
                        <c:v>196</c:v>
                      </c:pt>
                      <c:pt idx="112">
                        <c:v>200</c:v>
                      </c:pt>
                      <c:pt idx="113">
                        <c:v>163</c:v>
                      </c:pt>
                      <c:pt idx="114">
                        <c:v>185</c:v>
                      </c:pt>
                      <c:pt idx="115">
                        <c:v>197</c:v>
                      </c:pt>
                      <c:pt idx="116">
                        <c:v>183</c:v>
                      </c:pt>
                      <c:pt idx="117">
                        <c:v>178</c:v>
                      </c:pt>
                      <c:pt idx="118">
                        <c:v>199</c:v>
                      </c:pt>
                      <c:pt idx="119">
                        <c:v>169</c:v>
                      </c:pt>
                      <c:pt idx="120">
                        <c:v>233</c:v>
                      </c:pt>
                      <c:pt idx="121">
                        <c:v>206</c:v>
                      </c:pt>
                      <c:pt idx="122">
                        <c:v>191</c:v>
                      </c:pt>
                      <c:pt idx="123">
                        <c:v>220</c:v>
                      </c:pt>
                      <c:pt idx="124">
                        <c:v>181</c:v>
                      </c:pt>
                      <c:pt idx="125">
                        <c:v>150</c:v>
                      </c:pt>
                      <c:pt idx="126">
                        <c:v>212</c:v>
                      </c:pt>
                      <c:pt idx="127">
                        <c:v>183</c:v>
                      </c:pt>
                      <c:pt idx="128">
                        <c:v>180</c:v>
                      </c:pt>
                      <c:pt idx="129">
                        <c:v>214</c:v>
                      </c:pt>
                      <c:pt idx="130">
                        <c:v>200</c:v>
                      </c:pt>
                      <c:pt idx="131">
                        <c:v>220</c:v>
                      </c:pt>
                      <c:pt idx="132">
                        <c:v>182</c:v>
                      </c:pt>
                      <c:pt idx="133">
                        <c:v>112</c:v>
                      </c:pt>
                      <c:pt idx="134">
                        <c:v>101</c:v>
                      </c:pt>
                      <c:pt idx="135">
                        <c:v>162</c:v>
                      </c:pt>
                      <c:pt idx="136">
                        <c:v>169</c:v>
                      </c:pt>
                      <c:pt idx="137">
                        <c:v>127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267-408D-A34E-9DE4C8088D27}"/>
                  </c:ext>
                </c:extLst>
              </c15:ser>
            </c15:filteredLineSeries>
          </c:ext>
        </c:extLst>
      </c:lineChart>
      <c:dateAx>
        <c:axId val="17746134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27839"/>
        <c:crosses val="autoZero"/>
        <c:auto val="1"/>
        <c:lblOffset val="100"/>
        <c:baseTimeUnit val="months"/>
      </c:dateAx>
      <c:valAx>
        <c:axId val="29982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Total FG's</a:t>
            </a:r>
            <a:r>
              <a:rPr lang="en-NZ" baseline="0"/>
              <a:t> W/O's and SKU's Made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'Group Totals'!$M$3</c:f>
              <c:strCache>
                <c:ptCount val="1"/>
                <c:pt idx="0">
                  <c:v>Total FG's W/O's (SEC&amp;AM)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Totals'!$M$4:$M$144</c:f>
              <c:numCache>
                <c:formatCode>_-* #,##0_-;\-* #,##0_-;_-* "-"??_-;_-@_-</c:formatCode>
                <c:ptCount val="141"/>
                <c:pt idx="0">
                  <c:v>308</c:v>
                </c:pt>
                <c:pt idx="1">
                  <c:v>242</c:v>
                </c:pt>
                <c:pt idx="2">
                  <c:v>241</c:v>
                </c:pt>
                <c:pt idx="3">
                  <c:v>326</c:v>
                </c:pt>
                <c:pt idx="4">
                  <c:v>341</c:v>
                </c:pt>
                <c:pt idx="5">
                  <c:v>353</c:v>
                </c:pt>
                <c:pt idx="6">
                  <c:v>365</c:v>
                </c:pt>
                <c:pt idx="7">
                  <c:v>356</c:v>
                </c:pt>
                <c:pt idx="8">
                  <c:v>391</c:v>
                </c:pt>
                <c:pt idx="9">
                  <c:v>358</c:v>
                </c:pt>
                <c:pt idx="10">
                  <c:v>316</c:v>
                </c:pt>
                <c:pt idx="11">
                  <c:v>337</c:v>
                </c:pt>
                <c:pt idx="12">
                  <c:v>319</c:v>
                </c:pt>
                <c:pt idx="13">
                  <c:v>225</c:v>
                </c:pt>
                <c:pt idx="14">
                  <c:v>211</c:v>
                </c:pt>
                <c:pt idx="15">
                  <c:v>307</c:v>
                </c:pt>
                <c:pt idx="16">
                  <c:v>287</c:v>
                </c:pt>
                <c:pt idx="17">
                  <c:v>320</c:v>
                </c:pt>
                <c:pt idx="18">
                  <c:v>370</c:v>
                </c:pt>
                <c:pt idx="19">
                  <c:v>250</c:v>
                </c:pt>
                <c:pt idx="20">
                  <c:v>385</c:v>
                </c:pt>
                <c:pt idx="21">
                  <c:v>281</c:v>
                </c:pt>
                <c:pt idx="22">
                  <c:v>336</c:v>
                </c:pt>
                <c:pt idx="23">
                  <c:v>297</c:v>
                </c:pt>
                <c:pt idx="24">
                  <c:v>327</c:v>
                </c:pt>
                <c:pt idx="25">
                  <c:v>239</c:v>
                </c:pt>
                <c:pt idx="26">
                  <c:v>231</c:v>
                </c:pt>
                <c:pt idx="27">
                  <c:v>277</c:v>
                </c:pt>
                <c:pt idx="28">
                  <c:v>357</c:v>
                </c:pt>
                <c:pt idx="29">
                  <c:v>318</c:v>
                </c:pt>
                <c:pt idx="30">
                  <c:v>334</c:v>
                </c:pt>
                <c:pt idx="31">
                  <c:v>362</c:v>
                </c:pt>
                <c:pt idx="32">
                  <c:v>426</c:v>
                </c:pt>
                <c:pt idx="33">
                  <c:v>386</c:v>
                </c:pt>
                <c:pt idx="34">
                  <c:v>395</c:v>
                </c:pt>
                <c:pt idx="35">
                  <c:v>338</c:v>
                </c:pt>
                <c:pt idx="36">
                  <c:v>336</c:v>
                </c:pt>
                <c:pt idx="37">
                  <c:v>337</c:v>
                </c:pt>
                <c:pt idx="38">
                  <c:v>177</c:v>
                </c:pt>
                <c:pt idx="39">
                  <c:v>305</c:v>
                </c:pt>
                <c:pt idx="40">
                  <c:v>397</c:v>
                </c:pt>
                <c:pt idx="41">
                  <c:v>320</c:v>
                </c:pt>
                <c:pt idx="42">
                  <c:v>341</c:v>
                </c:pt>
                <c:pt idx="43">
                  <c:v>337</c:v>
                </c:pt>
                <c:pt idx="44">
                  <c:v>358</c:v>
                </c:pt>
                <c:pt idx="45">
                  <c:v>315</c:v>
                </c:pt>
                <c:pt idx="46">
                  <c:v>289</c:v>
                </c:pt>
                <c:pt idx="47">
                  <c:v>292</c:v>
                </c:pt>
                <c:pt idx="48">
                  <c:v>314</c:v>
                </c:pt>
                <c:pt idx="49">
                  <c:v>216</c:v>
                </c:pt>
                <c:pt idx="50">
                  <c:v>235</c:v>
                </c:pt>
                <c:pt idx="51">
                  <c:v>289</c:v>
                </c:pt>
                <c:pt idx="52">
                  <c:v>303</c:v>
                </c:pt>
                <c:pt idx="53">
                  <c:v>265</c:v>
                </c:pt>
                <c:pt idx="54">
                  <c:v>282</c:v>
                </c:pt>
                <c:pt idx="55">
                  <c:v>279</c:v>
                </c:pt>
                <c:pt idx="56">
                  <c:v>304</c:v>
                </c:pt>
                <c:pt idx="57">
                  <c:v>360</c:v>
                </c:pt>
                <c:pt idx="58">
                  <c:v>319</c:v>
                </c:pt>
                <c:pt idx="59">
                  <c:v>323</c:v>
                </c:pt>
                <c:pt idx="60">
                  <c:v>283</c:v>
                </c:pt>
                <c:pt idx="61">
                  <c:v>222</c:v>
                </c:pt>
                <c:pt idx="62">
                  <c:v>225</c:v>
                </c:pt>
                <c:pt idx="63">
                  <c:v>334</c:v>
                </c:pt>
                <c:pt idx="64">
                  <c:v>380</c:v>
                </c:pt>
                <c:pt idx="65">
                  <c:v>297</c:v>
                </c:pt>
                <c:pt idx="66">
                  <c:v>418</c:v>
                </c:pt>
                <c:pt idx="67">
                  <c:v>378</c:v>
                </c:pt>
                <c:pt idx="68">
                  <c:v>439</c:v>
                </c:pt>
                <c:pt idx="69">
                  <c:v>421</c:v>
                </c:pt>
                <c:pt idx="70">
                  <c:v>383</c:v>
                </c:pt>
                <c:pt idx="71">
                  <c:v>406</c:v>
                </c:pt>
                <c:pt idx="72">
                  <c:v>390</c:v>
                </c:pt>
                <c:pt idx="73">
                  <c:v>284</c:v>
                </c:pt>
                <c:pt idx="74">
                  <c:v>275</c:v>
                </c:pt>
                <c:pt idx="75">
                  <c:v>311</c:v>
                </c:pt>
                <c:pt idx="76">
                  <c:v>397</c:v>
                </c:pt>
                <c:pt idx="77">
                  <c:v>411</c:v>
                </c:pt>
                <c:pt idx="78">
                  <c:v>406</c:v>
                </c:pt>
                <c:pt idx="79">
                  <c:v>355</c:v>
                </c:pt>
                <c:pt idx="80">
                  <c:v>431</c:v>
                </c:pt>
                <c:pt idx="81">
                  <c:v>440</c:v>
                </c:pt>
                <c:pt idx="82">
                  <c:v>365</c:v>
                </c:pt>
                <c:pt idx="83">
                  <c:v>432</c:v>
                </c:pt>
                <c:pt idx="84">
                  <c:v>388</c:v>
                </c:pt>
                <c:pt idx="85">
                  <c:v>241</c:v>
                </c:pt>
                <c:pt idx="86">
                  <c:v>253</c:v>
                </c:pt>
                <c:pt idx="87">
                  <c:v>301</c:v>
                </c:pt>
                <c:pt idx="88">
                  <c:v>348</c:v>
                </c:pt>
                <c:pt idx="89">
                  <c:v>329</c:v>
                </c:pt>
                <c:pt idx="90">
                  <c:v>389</c:v>
                </c:pt>
                <c:pt idx="91">
                  <c:v>350</c:v>
                </c:pt>
                <c:pt idx="92">
                  <c:v>349</c:v>
                </c:pt>
                <c:pt idx="93">
                  <c:v>360</c:v>
                </c:pt>
                <c:pt idx="94">
                  <c:v>326</c:v>
                </c:pt>
                <c:pt idx="95">
                  <c:v>337</c:v>
                </c:pt>
                <c:pt idx="96">
                  <c:v>302</c:v>
                </c:pt>
                <c:pt idx="97">
                  <c:v>224</c:v>
                </c:pt>
                <c:pt idx="98">
                  <c:v>293</c:v>
                </c:pt>
                <c:pt idx="99">
                  <c:v>303</c:v>
                </c:pt>
                <c:pt idx="100">
                  <c:v>281</c:v>
                </c:pt>
                <c:pt idx="101">
                  <c:v>56</c:v>
                </c:pt>
                <c:pt idx="102">
                  <c:v>290</c:v>
                </c:pt>
                <c:pt idx="103">
                  <c:v>348</c:v>
                </c:pt>
                <c:pt idx="104">
                  <c:v>355</c:v>
                </c:pt>
                <c:pt idx="105">
                  <c:v>345</c:v>
                </c:pt>
                <c:pt idx="106">
                  <c:v>358</c:v>
                </c:pt>
                <c:pt idx="107">
                  <c:v>344</c:v>
                </c:pt>
                <c:pt idx="108">
                  <c:v>312</c:v>
                </c:pt>
                <c:pt idx="109">
                  <c:v>287</c:v>
                </c:pt>
                <c:pt idx="110">
                  <c:v>282</c:v>
                </c:pt>
                <c:pt idx="111">
                  <c:v>319</c:v>
                </c:pt>
                <c:pt idx="112">
                  <c:v>343</c:v>
                </c:pt>
                <c:pt idx="113">
                  <c:v>285</c:v>
                </c:pt>
                <c:pt idx="114">
                  <c:v>355</c:v>
                </c:pt>
                <c:pt idx="115">
                  <c:v>355</c:v>
                </c:pt>
                <c:pt idx="116">
                  <c:v>361</c:v>
                </c:pt>
                <c:pt idx="117">
                  <c:v>320</c:v>
                </c:pt>
                <c:pt idx="118">
                  <c:v>352</c:v>
                </c:pt>
                <c:pt idx="119">
                  <c:v>314</c:v>
                </c:pt>
                <c:pt idx="120">
                  <c:v>411</c:v>
                </c:pt>
                <c:pt idx="121">
                  <c:v>316</c:v>
                </c:pt>
                <c:pt idx="122">
                  <c:v>310</c:v>
                </c:pt>
                <c:pt idx="123">
                  <c:v>369</c:v>
                </c:pt>
                <c:pt idx="124">
                  <c:v>342</c:v>
                </c:pt>
                <c:pt idx="125">
                  <c:v>260</c:v>
                </c:pt>
                <c:pt idx="126">
                  <c:v>360</c:v>
                </c:pt>
                <c:pt idx="127">
                  <c:v>319</c:v>
                </c:pt>
                <c:pt idx="128">
                  <c:v>290</c:v>
                </c:pt>
                <c:pt idx="129">
                  <c:v>381</c:v>
                </c:pt>
                <c:pt idx="130">
                  <c:v>352</c:v>
                </c:pt>
                <c:pt idx="131">
                  <c:v>351</c:v>
                </c:pt>
                <c:pt idx="132">
                  <c:v>280</c:v>
                </c:pt>
                <c:pt idx="133">
                  <c:v>155</c:v>
                </c:pt>
                <c:pt idx="134">
                  <c:v>122</c:v>
                </c:pt>
                <c:pt idx="135">
                  <c:v>237</c:v>
                </c:pt>
                <c:pt idx="136">
                  <c:v>244</c:v>
                </c:pt>
                <c:pt idx="137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C-4FF1-AC32-BCAD585CCA60}"/>
            </c:ext>
          </c:extLst>
        </c:ser>
        <c:ser>
          <c:idx val="2"/>
          <c:order val="2"/>
          <c:tx>
            <c:strRef>
              <c:f>'Group Totals'!$O$3</c:f>
              <c:strCache>
                <c:ptCount val="1"/>
                <c:pt idx="0">
                  <c:v>Total FG's SKU's (SEC&amp;AM)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Totals'!$O$4:$O$144</c:f>
              <c:numCache>
                <c:formatCode>_-* #,##0_-;\-* #,##0_-;_-* "-"??_-;_-@_-</c:formatCode>
                <c:ptCount val="141"/>
                <c:pt idx="77">
                  <c:v>204</c:v>
                </c:pt>
                <c:pt idx="78">
                  <c:v>208</c:v>
                </c:pt>
                <c:pt idx="79">
                  <c:v>181</c:v>
                </c:pt>
                <c:pt idx="80">
                  <c:v>209</c:v>
                </c:pt>
                <c:pt idx="81">
                  <c:v>217</c:v>
                </c:pt>
                <c:pt idx="82">
                  <c:v>179</c:v>
                </c:pt>
                <c:pt idx="83">
                  <c:v>199</c:v>
                </c:pt>
                <c:pt idx="84">
                  <c:v>207</c:v>
                </c:pt>
                <c:pt idx="85">
                  <c:v>142</c:v>
                </c:pt>
                <c:pt idx="86">
                  <c:v>148</c:v>
                </c:pt>
                <c:pt idx="87">
                  <c:v>173</c:v>
                </c:pt>
                <c:pt idx="88">
                  <c:v>184</c:v>
                </c:pt>
                <c:pt idx="89">
                  <c:v>173</c:v>
                </c:pt>
                <c:pt idx="90">
                  <c:v>196</c:v>
                </c:pt>
                <c:pt idx="91">
                  <c:v>174</c:v>
                </c:pt>
                <c:pt idx="92">
                  <c:v>188</c:v>
                </c:pt>
                <c:pt idx="93">
                  <c:v>211</c:v>
                </c:pt>
                <c:pt idx="94">
                  <c:v>169</c:v>
                </c:pt>
                <c:pt idx="95">
                  <c:v>190</c:v>
                </c:pt>
                <c:pt idx="96">
                  <c:v>181</c:v>
                </c:pt>
                <c:pt idx="97">
                  <c:v>129</c:v>
                </c:pt>
                <c:pt idx="98">
                  <c:v>151</c:v>
                </c:pt>
                <c:pt idx="99">
                  <c:v>173</c:v>
                </c:pt>
                <c:pt idx="100">
                  <c:v>154</c:v>
                </c:pt>
                <c:pt idx="101">
                  <c:v>41</c:v>
                </c:pt>
                <c:pt idx="102">
                  <c:v>163</c:v>
                </c:pt>
                <c:pt idx="103">
                  <c:v>188</c:v>
                </c:pt>
                <c:pt idx="104">
                  <c:v>181</c:v>
                </c:pt>
                <c:pt idx="105">
                  <c:v>198</c:v>
                </c:pt>
                <c:pt idx="106">
                  <c:v>199</c:v>
                </c:pt>
                <c:pt idx="107">
                  <c:v>189</c:v>
                </c:pt>
                <c:pt idx="108">
                  <c:v>185</c:v>
                </c:pt>
                <c:pt idx="109">
                  <c:v>183</c:v>
                </c:pt>
                <c:pt idx="110">
                  <c:v>174</c:v>
                </c:pt>
                <c:pt idx="111">
                  <c:v>196</c:v>
                </c:pt>
                <c:pt idx="112">
                  <c:v>200</c:v>
                </c:pt>
                <c:pt idx="113">
                  <c:v>163</c:v>
                </c:pt>
                <c:pt idx="114">
                  <c:v>185</c:v>
                </c:pt>
                <c:pt idx="115">
                  <c:v>197</c:v>
                </c:pt>
                <c:pt idx="116">
                  <c:v>183</c:v>
                </c:pt>
                <c:pt idx="117">
                  <c:v>178</c:v>
                </c:pt>
                <c:pt idx="118">
                  <c:v>199</c:v>
                </c:pt>
                <c:pt idx="119">
                  <c:v>169</c:v>
                </c:pt>
                <c:pt idx="120">
                  <c:v>233</c:v>
                </c:pt>
                <c:pt idx="121">
                  <c:v>206</c:v>
                </c:pt>
                <c:pt idx="122">
                  <c:v>191</c:v>
                </c:pt>
                <c:pt idx="123">
                  <c:v>220</c:v>
                </c:pt>
                <c:pt idx="124">
                  <c:v>181</c:v>
                </c:pt>
                <c:pt idx="125">
                  <c:v>150</c:v>
                </c:pt>
                <c:pt idx="126">
                  <c:v>212</c:v>
                </c:pt>
                <c:pt idx="127">
                  <c:v>183</c:v>
                </c:pt>
                <c:pt idx="128">
                  <c:v>180</c:v>
                </c:pt>
                <c:pt idx="129">
                  <c:v>214</c:v>
                </c:pt>
                <c:pt idx="130">
                  <c:v>200</c:v>
                </c:pt>
                <c:pt idx="131">
                  <c:v>220</c:v>
                </c:pt>
                <c:pt idx="132">
                  <c:v>182</c:v>
                </c:pt>
                <c:pt idx="133">
                  <c:v>112</c:v>
                </c:pt>
                <c:pt idx="134">
                  <c:v>101</c:v>
                </c:pt>
                <c:pt idx="135">
                  <c:v>162</c:v>
                </c:pt>
                <c:pt idx="136">
                  <c:v>169</c:v>
                </c:pt>
                <c:pt idx="137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C-4FF1-AC32-BCAD585CC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61343"/>
        <c:axId val="2998278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Totals'!$K$3</c15:sqref>
                        </c15:formulaRef>
                      </c:ext>
                    </c:extLst>
                    <c:strCache>
                      <c:ptCount val="1"/>
                      <c:pt idx="0">
                        <c:v>Total Finished Goods Units (SEC&amp;AM)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Totals'!$K$4:$K$144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0">
                        <c:v>28128</c:v>
                      </c:pt>
                      <c:pt idx="1">
                        <c:v>23350</c:v>
                      </c:pt>
                      <c:pt idx="2">
                        <c:v>21991</c:v>
                      </c:pt>
                      <c:pt idx="3">
                        <c:v>33777</c:v>
                      </c:pt>
                      <c:pt idx="4">
                        <c:v>41233</c:v>
                      </c:pt>
                      <c:pt idx="5">
                        <c:v>36339</c:v>
                      </c:pt>
                      <c:pt idx="6">
                        <c:v>34359</c:v>
                      </c:pt>
                      <c:pt idx="7">
                        <c:v>34609</c:v>
                      </c:pt>
                      <c:pt idx="8">
                        <c:v>31616</c:v>
                      </c:pt>
                      <c:pt idx="9">
                        <c:v>25948</c:v>
                      </c:pt>
                      <c:pt idx="10">
                        <c:v>25083</c:v>
                      </c:pt>
                      <c:pt idx="11">
                        <c:v>26991</c:v>
                      </c:pt>
                      <c:pt idx="12">
                        <c:v>23531</c:v>
                      </c:pt>
                      <c:pt idx="13">
                        <c:v>18951</c:v>
                      </c:pt>
                      <c:pt idx="14">
                        <c:v>20549</c:v>
                      </c:pt>
                      <c:pt idx="15">
                        <c:v>25691</c:v>
                      </c:pt>
                      <c:pt idx="16">
                        <c:v>29280</c:v>
                      </c:pt>
                      <c:pt idx="17">
                        <c:v>31196</c:v>
                      </c:pt>
                      <c:pt idx="18">
                        <c:v>35649</c:v>
                      </c:pt>
                      <c:pt idx="19">
                        <c:v>21345</c:v>
                      </c:pt>
                      <c:pt idx="20">
                        <c:v>32091</c:v>
                      </c:pt>
                      <c:pt idx="21">
                        <c:v>22295</c:v>
                      </c:pt>
                      <c:pt idx="22">
                        <c:v>24245</c:v>
                      </c:pt>
                      <c:pt idx="23">
                        <c:v>23074</c:v>
                      </c:pt>
                      <c:pt idx="24">
                        <c:v>26348</c:v>
                      </c:pt>
                      <c:pt idx="25">
                        <c:v>21029</c:v>
                      </c:pt>
                      <c:pt idx="26">
                        <c:v>23137</c:v>
                      </c:pt>
                      <c:pt idx="27">
                        <c:v>26175</c:v>
                      </c:pt>
                      <c:pt idx="28">
                        <c:v>36342</c:v>
                      </c:pt>
                      <c:pt idx="29">
                        <c:v>29124</c:v>
                      </c:pt>
                      <c:pt idx="30">
                        <c:v>30773</c:v>
                      </c:pt>
                      <c:pt idx="31">
                        <c:v>29256</c:v>
                      </c:pt>
                      <c:pt idx="32">
                        <c:v>33141</c:v>
                      </c:pt>
                      <c:pt idx="33">
                        <c:v>28932</c:v>
                      </c:pt>
                      <c:pt idx="34">
                        <c:v>33981</c:v>
                      </c:pt>
                      <c:pt idx="35">
                        <c:v>29060</c:v>
                      </c:pt>
                      <c:pt idx="36">
                        <c:v>29813</c:v>
                      </c:pt>
                      <c:pt idx="37">
                        <c:v>27720</c:v>
                      </c:pt>
                      <c:pt idx="38">
                        <c:v>17781</c:v>
                      </c:pt>
                      <c:pt idx="39">
                        <c:v>30635</c:v>
                      </c:pt>
                      <c:pt idx="40">
                        <c:v>36500</c:v>
                      </c:pt>
                      <c:pt idx="41">
                        <c:v>27404</c:v>
                      </c:pt>
                      <c:pt idx="42">
                        <c:v>28530</c:v>
                      </c:pt>
                      <c:pt idx="43">
                        <c:v>29009</c:v>
                      </c:pt>
                      <c:pt idx="44">
                        <c:v>27468</c:v>
                      </c:pt>
                      <c:pt idx="45">
                        <c:v>26543</c:v>
                      </c:pt>
                      <c:pt idx="46">
                        <c:v>28583</c:v>
                      </c:pt>
                      <c:pt idx="47">
                        <c:v>27675</c:v>
                      </c:pt>
                      <c:pt idx="48">
                        <c:v>31347</c:v>
                      </c:pt>
                      <c:pt idx="49">
                        <c:v>21715</c:v>
                      </c:pt>
                      <c:pt idx="50">
                        <c:v>23193</c:v>
                      </c:pt>
                      <c:pt idx="51">
                        <c:v>24546</c:v>
                      </c:pt>
                      <c:pt idx="52">
                        <c:v>26140</c:v>
                      </c:pt>
                      <c:pt idx="53">
                        <c:v>22012</c:v>
                      </c:pt>
                      <c:pt idx="54">
                        <c:v>21868</c:v>
                      </c:pt>
                      <c:pt idx="55">
                        <c:v>20533</c:v>
                      </c:pt>
                      <c:pt idx="56">
                        <c:v>25126</c:v>
                      </c:pt>
                      <c:pt idx="57">
                        <c:v>24732</c:v>
                      </c:pt>
                      <c:pt idx="58">
                        <c:v>21681</c:v>
                      </c:pt>
                      <c:pt idx="59">
                        <c:v>29219</c:v>
                      </c:pt>
                      <c:pt idx="60">
                        <c:v>28484</c:v>
                      </c:pt>
                      <c:pt idx="61">
                        <c:v>21276</c:v>
                      </c:pt>
                      <c:pt idx="62">
                        <c:v>22014</c:v>
                      </c:pt>
                      <c:pt idx="63">
                        <c:v>28194</c:v>
                      </c:pt>
                      <c:pt idx="64">
                        <c:v>33697</c:v>
                      </c:pt>
                      <c:pt idx="65">
                        <c:v>25538</c:v>
                      </c:pt>
                      <c:pt idx="66">
                        <c:v>38817</c:v>
                      </c:pt>
                      <c:pt idx="67">
                        <c:v>34929</c:v>
                      </c:pt>
                      <c:pt idx="68">
                        <c:v>43591</c:v>
                      </c:pt>
                      <c:pt idx="69">
                        <c:v>39520</c:v>
                      </c:pt>
                      <c:pt idx="70">
                        <c:v>43633</c:v>
                      </c:pt>
                      <c:pt idx="71">
                        <c:v>42874</c:v>
                      </c:pt>
                      <c:pt idx="72">
                        <c:v>40351</c:v>
                      </c:pt>
                      <c:pt idx="73">
                        <c:v>28812</c:v>
                      </c:pt>
                      <c:pt idx="74">
                        <c:v>26796</c:v>
                      </c:pt>
                      <c:pt idx="75">
                        <c:v>31207</c:v>
                      </c:pt>
                      <c:pt idx="76">
                        <c:v>39311</c:v>
                      </c:pt>
                      <c:pt idx="77">
                        <c:v>33146</c:v>
                      </c:pt>
                      <c:pt idx="78">
                        <c:v>34966</c:v>
                      </c:pt>
                      <c:pt idx="79">
                        <c:v>28441</c:v>
                      </c:pt>
                      <c:pt idx="80">
                        <c:v>34818</c:v>
                      </c:pt>
                      <c:pt idx="81">
                        <c:v>32778</c:v>
                      </c:pt>
                      <c:pt idx="82">
                        <c:v>34930</c:v>
                      </c:pt>
                      <c:pt idx="83">
                        <c:v>42726</c:v>
                      </c:pt>
                      <c:pt idx="84">
                        <c:v>45182</c:v>
                      </c:pt>
                      <c:pt idx="85">
                        <c:v>27625</c:v>
                      </c:pt>
                      <c:pt idx="86">
                        <c:v>30488</c:v>
                      </c:pt>
                      <c:pt idx="87">
                        <c:v>38286</c:v>
                      </c:pt>
                      <c:pt idx="88">
                        <c:v>34957</c:v>
                      </c:pt>
                      <c:pt idx="89">
                        <c:v>29592</c:v>
                      </c:pt>
                      <c:pt idx="90">
                        <c:v>37780</c:v>
                      </c:pt>
                      <c:pt idx="91">
                        <c:v>32686</c:v>
                      </c:pt>
                      <c:pt idx="92">
                        <c:v>36077</c:v>
                      </c:pt>
                      <c:pt idx="93">
                        <c:v>38941</c:v>
                      </c:pt>
                      <c:pt idx="94">
                        <c:v>37953</c:v>
                      </c:pt>
                      <c:pt idx="95">
                        <c:v>36110</c:v>
                      </c:pt>
                      <c:pt idx="96">
                        <c:v>34330</c:v>
                      </c:pt>
                      <c:pt idx="97">
                        <c:v>30474</c:v>
                      </c:pt>
                      <c:pt idx="98">
                        <c:v>39057</c:v>
                      </c:pt>
                      <c:pt idx="99">
                        <c:v>33516</c:v>
                      </c:pt>
                      <c:pt idx="100">
                        <c:v>30730</c:v>
                      </c:pt>
                      <c:pt idx="101">
                        <c:v>8390</c:v>
                      </c:pt>
                      <c:pt idx="102">
                        <c:v>36921</c:v>
                      </c:pt>
                      <c:pt idx="103">
                        <c:v>47833</c:v>
                      </c:pt>
                      <c:pt idx="104">
                        <c:v>47950</c:v>
                      </c:pt>
                      <c:pt idx="105">
                        <c:v>42421</c:v>
                      </c:pt>
                      <c:pt idx="106">
                        <c:v>42639</c:v>
                      </c:pt>
                      <c:pt idx="107">
                        <c:v>39090</c:v>
                      </c:pt>
                      <c:pt idx="108">
                        <c:v>47073</c:v>
                      </c:pt>
                      <c:pt idx="109">
                        <c:v>33170</c:v>
                      </c:pt>
                      <c:pt idx="110">
                        <c:v>33542</c:v>
                      </c:pt>
                      <c:pt idx="111">
                        <c:v>31481</c:v>
                      </c:pt>
                      <c:pt idx="112">
                        <c:v>50532</c:v>
                      </c:pt>
                      <c:pt idx="113">
                        <c:v>35887</c:v>
                      </c:pt>
                      <c:pt idx="114">
                        <c:v>50285</c:v>
                      </c:pt>
                      <c:pt idx="115">
                        <c:v>39588</c:v>
                      </c:pt>
                      <c:pt idx="116">
                        <c:v>45140</c:v>
                      </c:pt>
                      <c:pt idx="117">
                        <c:v>46010</c:v>
                      </c:pt>
                      <c:pt idx="118">
                        <c:v>62523</c:v>
                      </c:pt>
                      <c:pt idx="119">
                        <c:v>61764</c:v>
                      </c:pt>
                      <c:pt idx="120">
                        <c:v>68326</c:v>
                      </c:pt>
                      <c:pt idx="121">
                        <c:v>62116</c:v>
                      </c:pt>
                      <c:pt idx="122">
                        <c:v>42762</c:v>
                      </c:pt>
                      <c:pt idx="123">
                        <c:v>52184</c:v>
                      </c:pt>
                      <c:pt idx="124">
                        <c:v>65948</c:v>
                      </c:pt>
                      <c:pt idx="125">
                        <c:v>58682</c:v>
                      </c:pt>
                      <c:pt idx="126">
                        <c:v>56920</c:v>
                      </c:pt>
                      <c:pt idx="127">
                        <c:v>58872</c:v>
                      </c:pt>
                      <c:pt idx="128">
                        <c:v>48043</c:v>
                      </c:pt>
                      <c:pt idx="129">
                        <c:v>50773</c:v>
                      </c:pt>
                      <c:pt idx="130">
                        <c:v>63989</c:v>
                      </c:pt>
                      <c:pt idx="131">
                        <c:v>53147</c:v>
                      </c:pt>
                      <c:pt idx="132">
                        <c:v>35966</c:v>
                      </c:pt>
                      <c:pt idx="133">
                        <c:v>20029</c:v>
                      </c:pt>
                      <c:pt idx="134">
                        <c:v>17373</c:v>
                      </c:pt>
                      <c:pt idx="135">
                        <c:v>27696</c:v>
                      </c:pt>
                      <c:pt idx="136">
                        <c:v>30654</c:v>
                      </c:pt>
                      <c:pt idx="137">
                        <c:v>24036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22C-4FF1-AC32-BCAD585CCA60}"/>
                  </c:ext>
                </c:extLst>
              </c15:ser>
            </c15:filteredLineSeries>
          </c:ext>
        </c:extLst>
      </c:lineChart>
      <c:dateAx>
        <c:axId val="17746134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27839"/>
        <c:crosses val="autoZero"/>
        <c:auto val="1"/>
        <c:lblOffset val="100"/>
        <c:baseTimeUnit val="months"/>
      </c:dateAx>
      <c:valAx>
        <c:axId val="29982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Total Finished</a:t>
            </a:r>
            <a:r>
              <a:rPr lang="en-NZ" baseline="0"/>
              <a:t> Goods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Totals'!$Q$3</c:f>
              <c:strCache>
                <c:ptCount val="1"/>
                <c:pt idx="0">
                  <c:v>SEC Completed Units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Totals'!$Q$4:$Q$144</c:f>
              <c:numCache>
                <c:formatCode>_-* #,##0_-;\-* #,##0_-;_-* "-"??_-;_-@_-</c:formatCode>
                <c:ptCount val="141"/>
                <c:pt idx="0">
                  <c:v>11273</c:v>
                </c:pt>
                <c:pt idx="1">
                  <c:v>6609</c:v>
                </c:pt>
                <c:pt idx="2">
                  <c:v>4929</c:v>
                </c:pt>
                <c:pt idx="3">
                  <c:v>5199</c:v>
                </c:pt>
                <c:pt idx="4">
                  <c:v>7178</c:v>
                </c:pt>
                <c:pt idx="5">
                  <c:v>6802</c:v>
                </c:pt>
                <c:pt idx="6">
                  <c:v>6297</c:v>
                </c:pt>
                <c:pt idx="7">
                  <c:v>7326</c:v>
                </c:pt>
                <c:pt idx="8">
                  <c:v>9335</c:v>
                </c:pt>
                <c:pt idx="9">
                  <c:v>7473</c:v>
                </c:pt>
                <c:pt idx="10">
                  <c:v>8059</c:v>
                </c:pt>
                <c:pt idx="11">
                  <c:v>7137</c:v>
                </c:pt>
                <c:pt idx="12">
                  <c:v>6454</c:v>
                </c:pt>
                <c:pt idx="13">
                  <c:v>5070</c:v>
                </c:pt>
                <c:pt idx="14">
                  <c:v>3659</c:v>
                </c:pt>
                <c:pt idx="15">
                  <c:v>5707</c:v>
                </c:pt>
                <c:pt idx="16">
                  <c:v>5219</c:v>
                </c:pt>
                <c:pt idx="17">
                  <c:v>5946</c:v>
                </c:pt>
                <c:pt idx="18">
                  <c:v>5823</c:v>
                </c:pt>
                <c:pt idx="19">
                  <c:v>5710</c:v>
                </c:pt>
                <c:pt idx="20">
                  <c:v>8707</c:v>
                </c:pt>
                <c:pt idx="21">
                  <c:v>7474</c:v>
                </c:pt>
                <c:pt idx="22">
                  <c:v>9721</c:v>
                </c:pt>
                <c:pt idx="23">
                  <c:v>7762</c:v>
                </c:pt>
                <c:pt idx="24">
                  <c:v>7811</c:v>
                </c:pt>
                <c:pt idx="25">
                  <c:v>6813</c:v>
                </c:pt>
                <c:pt idx="26">
                  <c:v>7401</c:v>
                </c:pt>
                <c:pt idx="27">
                  <c:v>7749</c:v>
                </c:pt>
                <c:pt idx="28">
                  <c:v>10664</c:v>
                </c:pt>
                <c:pt idx="29">
                  <c:v>6020</c:v>
                </c:pt>
                <c:pt idx="30">
                  <c:v>7584</c:v>
                </c:pt>
                <c:pt idx="31">
                  <c:v>8342</c:v>
                </c:pt>
                <c:pt idx="32">
                  <c:v>8072</c:v>
                </c:pt>
                <c:pt idx="33">
                  <c:v>8169</c:v>
                </c:pt>
                <c:pt idx="34">
                  <c:v>11567</c:v>
                </c:pt>
                <c:pt idx="35">
                  <c:v>9726</c:v>
                </c:pt>
                <c:pt idx="36">
                  <c:v>9499</c:v>
                </c:pt>
                <c:pt idx="37">
                  <c:v>10661</c:v>
                </c:pt>
                <c:pt idx="38">
                  <c:v>4736</c:v>
                </c:pt>
                <c:pt idx="39">
                  <c:v>8288</c:v>
                </c:pt>
                <c:pt idx="40">
                  <c:v>10106</c:v>
                </c:pt>
                <c:pt idx="41">
                  <c:v>7568</c:v>
                </c:pt>
                <c:pt idx="42">
                  <c:v>8272</c:v>
                </c:pt>
                <c:pt idx="43">
                  <c:v>9757</c:v>
                </c:pt>
                <c:pt idx="44">
                  <c:v>7863</c:v>
                </c:pt>
                <c:pt idx="45">
                  <c:v>9407</c:v>
                </c:pt>
                <c:pt idx="46">
                  <c:v>10698</c:v>
                </c:pt>
                <c:pt idx="47">
                  <c:v>10659</c:v>
                </c:pt>
                <c:pt idx="48">
                  <c:v>14024</c:v>
                </c:pt>
                <c:pt idx="49">
                  <c:v>8676</c:v>
                </c:pt>
                <c:pt idx="50">
                  <c:v>6426</c:v>
                </c:pt>
                <c:pt idx="51">
                  <c:v>8482</c:v>
                </c:pt>
                <c:pt idx="52">
                  <c:v>9057</c:v>
                </c:pt>
                <c:pt idx="53">
                  <c:v>6515</c:v>
                </c:pt>
                <c:pt idx="54">
                  <c:v>6415</c:v>
                </c:pt>
                <c:pt idx="55">
                  <c:v>5291</c:v>
                </c:pt>
                <c:pt idx="56">
                  <c:v>8242</c:v>
                </c:pt>
                <c:pt idx="57">
                  <c:v>11506</c:v>
                </c:pt>
                <c:pt idx="58">
                  <c:v>8829</c:v>
                </c:pt>
                <c:pt idx="59">
                  <c:v>13416</c:v>
                </c:pt>
                <c:pt idx="60">
                  <c:v>10255</c:v>
                </c:pt>
                <c:pt idx="61">
                  <c:v>7566</c:v>
                </c:pt>
                <c:pt idx="62">
                  <c:v>10985</c:v>
                </c:pt>
                <c:pt idx="63">
                  <c:v>12644</c:v>
                </c:pt>
                <c:pt idx="64">
                  <c:v>13909</c:v>
                </c:pt>
                <c:pt idx="65">
                  <c:v>11388</c:v>
                </c:pt>
                <c:pt idx="66">
                  <c:v>16170</c:v>
                </c:pt>
                <c:pt idx="67">
                  <c:v>12617</c:v>
                </c:pt>
                <c:pt idx="68">
                  <c:v>16163</c:v>
                </c:pt>
                <c:pt idx="69">
                  <c:v>11758</c:v>
                </c:pt>
                <c:pt idx="70">
                  <c:v>14743</c:v>
                </c:pt>
                <c:pt idx="71">
                  <c:v>14271</c:v>
                </c:pt>
                <c:pt idx="72">
                  <c:v>13164</c:v>
                </c:pt>
                <c:pt idx="73">
                  <c:v>9374</c:v>
                </c:pt>
                <c:pt idx="74">
                  <c:v>8530</c:v>
                </c:pt>
                <c:pt idx="75">
                  <c:v>8729</c:v>
                </c:pt>
                <c:pt idx="76">
                  <c:v>11302</c:v>
                </c:pt>
                <c:pt idx="77">
                  <c:v>12245</c:v>
                </c:pt>
                <c:pt idx="78">
                  <c:v>11890</c:v>
                </c:pt>
                <c:pt idx="79">
                  <c:v>12296</c:v>
                </c:pt>
                <c:pt idx="80">
                  <c:v>14150</c:v>
                </c:pt>
                <c:pt idx="81">
                  <c:v>13703</c:v>
                </c:pt>
                <c:pt idx="82">
                  <c:v>15542</c:v>
                </c:pt>
                <c:pt idx="83">
                  <c:v>19987</c:v>
                </c:pt>
                <c:pt idx="84">
                  <c:v>17834</c:v>
                </c:pt>
                <c:pt idx="85">
                  <c:v>12768</c:v>
                </c:pt>
                <c:pt idx="86">
                  <c:v>11865</c:v>
                </c:pt>
                <c:pt idx="87">
                  <c:v>15780</c:v>
                </c:pt>
                <c:pt idx="88">
                  <c:v>11380</c:v>
                </c:pt>
                <c:pt idx="89">
                  <c:v>11960</c:v>
                </c:pt>
                <c:pt idx="90">
                  <c:v>12625</c:v>
                </c:pt>
                <c:pt idx="91">
                  <c:v>12902</c:v>
                </c:pt>
                <c:pt idx="92">
                  <c:v>15477</c:v>
                </c:pt>
                <c:pt idx="93">
                  <c:v>16558</c:v>
                </c:pt>
                <c:pt idx="94">
                  <c:v>19241</c:v>
                </c:pt>
                <c:pt idx="95">
                  <c:v>15291</c:v>
                </c:pt>
                <c:pt idx="96">
                  <c:v>15252</c:v>
                </c:pt>
                <c:pt idx="97">
                  <c:v>14238</c:v>
                </c:pt>
                <c:pt idx="98">
                  <c:v>18241</c:v>
                </c:pt>
                <c:pt idx="99">
                  <c:v>15062</c:v>
                </c:pt>
                <c:pt idx="100">
                  <c:v>16484</c:v>
                </c:pt>
                <c:pt idx="101">
                  <c:v>5724</c:v>
                </c:pt>
                <c:pt idx="102">
                  <c:v>16868</c:v>
                </c:pt>
                <c:pt idx="103">
                  <c:v>26657</c:v>
                </c:pt>
                <c:pt idx="104">
                  <c:v>24139</c:v>
                </c:pt>
                <c:pt idx="105">
                  <c:v>17912</c:v>
                </c:pt>
                <c:pt idx="106">
                  <c:v>14201</c:v>
                </c:pt>
                <c:pt idx="107">
                  <c:v>14917</c:v>
                </c:pt>
                <c:pt idx="108">
                  <c:v>16963</c:v>
                </c:pt>
                <c:pt idx="109">
                  <c:v>7905</c:v>
                </c:pt>
                <c:pt idx="110">
                  <c:v>12451</c:v>
                </c:pt>
                <c:pt idx="111">
                  <c:v>10428</c:v>
                </c:pt>
                <c:pt idx="112">
                  <c:v>19813</c:v>
                </c:pt>
                <c:pt idx="113">
                  <c:v>10844</c:v>
                </c:pt>
                <c:pt idx="114">
                  <c:v>18263</c:v>
                </c:pt>
                <c:pt idx="115">
                  <c:v>13628</c:v>
                </c:pt>
                <c:pt idx="116">
                  <c:v>19866</c:v>
                </c:pt>
                <c:pt idx="117">
                  <c:v>23942</c:v>
                </c:pt>
                <c:pt idx="118">
                  <c:v>34318</c:v>
                </c:pt>
                <c:pt idx="119">
                  <c:v>36138</c:v>
                </c:pt>
                <c:pt idx="120">
                  <c:v>38980</c:v>
                </c:pt>
                <c:pt idx="121">
                  <c:v>30630</c:v>
                </c:pt>
                <c:pt idx="122">
                  <c:v>19268</c:v>
                </c:pt>
                <c:pt idx="123">
                  <c:v>21795</c:v>
                </c:pt>
                <c:pt idx="124">
                  <c:v>29526</c:v>
                </c:pt>
                <c:pt idx="125">
                  <c:v>27593</c:v>
                </c:pt>
                <c:pt idx="126">
                  <c:v>25682</c:v>
                </c:pt>
                <c:pt idx="127">
                  <c:v>35456</c:v>
                </c:pt>
                <c:pt idx="128">
                  <c:v>28740</c:v>
                </c:pt>
                <c:pt idx="129">
                  <c:v>28978</c:v>
                </c:pt>
                <c:pt idx="130">
                  <c:v>39831</c:v>
                </c:pt>
                <c:pt idx="131">
                  <c:v>33172</c:v>
                </c:pt>
                <c:pt idx="132">
                  <c:v>21077</c:v>
                </c:pt>
                <c:pt idx="133">
                  <c:v>10987</c:v>
                </c:pt>
                <c:pt idx="134">
                  <c:v>8384</c:v>
                </c:pt>
                <c:pt idx="135">
                  <c:v>11346</c:v>
                </c:pt>
                <c:pt idx="136">
                  <c:v>9991</c:v>
                </c:pt>
                <c:pt idx="137">
                  <c:v>9543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3-4DA6-9668-359737E80AB4}"/>
            </c:ext>
          </c:extLst>
        </c:ser>
        <c:ser>
          <c:idx val="3"/>
          <c:order val="3"/>
          <c:tx>
            <c:strRef>
              <c:f>'Group Totals'!$W$3</c:f>
              <c:strCache>
                <c:ptCount val="1"/>
                <c:pt idx="0">
                  <c:v>AM Completed Units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Totals'!$W$4:$W$144</c:f>
              <c:numCache>
                <c:formatCode>_-* #,##0_-;\-* #,##0_-;_-* "-"??_-;_-@_-</c:formatCode>
                <c:ptCount val="141"/>
                <c:pt idx="0">
                  <c:v>16855</c:v>
                </c:pt>
                <c:pt idx="1">
                  <c:v>16741</c:v>
                </c:pt>
                <c:pt idx="2">
                  <c:v>17062</c:v>
                </c:pt>
                <c:pt idx="3">
                  <c:v>28578</c:v>
                </c:pt>
                <c:pt idx="4">
                  <c:v>34055</c:v>
                </c:pt>
                <c:pt idx="5">
                  <c:v>29537</c:v>
                </c:pt>
                <c:pt idx="6">
                  <c:v>28062</c:v>
                </c:pt>
                <c:pt idx="7">
                  <c:v>27283</c:v>
                </c:pt>
                <c:pt idx="8">
                  <c:v>22281</c:v>
                </c:pt>
                <c:pt idx="9">
                  <c:v>18475</c:v>
                </c:pt>
                <c:pt idx="10">
                  <c:v>17024</c:v>
                </c:pt>
                <c:pt idx="11">
                  <c:v>19854</c:v>
                </c:pt>
                <c:pt idx="12">
                  <c:v>17077</c:v>
                </c:pt>
                <c:pt idx="13">
                  <c:v>13881</c:v>
                </c:pt>
                <c:pt idx="14">
                  <c:v>16890</c:v>
                </c:pt>
                <c:pt idx="15">
                  <c:v>19984</c:v>
                </c:pt>
                <c:pt idx="16">
                  <c:v>24061</c:v>
                </c:pt>
                <c:pt idx="17">
                  <c:v>25250</c:v>
                </c:pt>
                <c:pt idx="18">
                  <c:v>29826</c:v>
                </c:pt>
                <c:pt idx="19">
                  <c:v>15635</c:v>
                </c:pt>
                <c:pt idx="20">
                  <c:v>23384</c:v>
                </c:pt>
                <c:pt idx="21">
                  <c:v>14821</c:v>
                </c:pt>
                <c:pt idx="22">
                  <c:v>14524</c:v>
                </c:pt>
                <c:pt idx="23">
                  <c:v>15312</c:v>
                </c:pt>
                <c:pt idx="24">
                  <c:v>18537</c:v>
                </c:pt>
                <c:pt idx="25">
                  <c:v>14216</c:v>
                </c:pt>
                <c:pt idx="26">
                  <c:v>15736</c:v>
                </c:pt>
                <c:pt idx="27">
                  <c:v>18426</c:v>
                </c:pt>
                <c:pt idx="28">
                  <c:v>25678</c:v>
                </c:pt>
                <c:pt idx="29">
                  <c:v>23104</c:v>
                </c:pt>
                <c:pt idx="30">
                  <c:v>23189</c:v>
                </c:pt>
                <c:pt idx="31">
                  <c:v>20914</c:v>
                </c:pt>
                <c:pt idx="32">
                  <c:v>25069</c:v>
                </c:pt>
                <c:pt idx="33">
                  <c:v>20763</c:v>
                </c:pt>
                <c:pt idx="34">
                  <c:v>22414</c:v>
                </c:pt>
                <c:pt idx="35">
                  <c:v>19334</c:v>
                </c:pt>
                <c:pt idx="36">
                  <c:v>20314</c:v>
                </c:pt>
                <c:pt idx="37">
                  <c:v>17059</c:v>
                </c:pt>
                <c:pt idx="38">
                  <c:v>13045</c:v>
                </c:pt>
                <c:pt idx="39">
                  <c:v>22347</c:v>
                </c:pt>
                <c:pt idx="40">
                  <c:v>26394</c:v>
                </c:pt>
                <c:pt idx="41">
                  <c:v>19836</c:v>
                </c:pt>
                <c:pt idx="42">
                  <c:v>20258</c:v>
                </c:pt>
                <c:pt idx="43">
                  <c:v>19252</c:v>
                </c:pt>
                <c:pt idx="44">
                  <c:v>19605</c:v>
                </c:pt>
                <c:pt idx="45">
                  <c:v>17136</c:v>
                </c:pt>
                <c:pt idx="46">
                  <c:v>17885</c:v>
                </c:pt>
                <c:pt idx="47">
                  <c:v>17016</c:v>
                </c:pt>
                <c:pt idx="48">
                  <c:v>17323</c:v>
                </c:pt>
                <c:pt idx="49">
                  <c:v>13039</c:v>
                </c:pt>
                <c:pt idx="50">
                  <c:v>16767</c:v>
                </c:pt>
                <c:pt idx="51">
                  <c:v>16064</c:v>
                </c:pt>
                <c:pt idx="52">
                  <c:v>17083</c:v>
                </c:pt>
                <c:pt idx="53">
                  <c:v>15497</c:v>
                </c:pt>
                <c:pt idx="54">
                  <c:v>15453</c:v>
                </c:pt>
                <c:pt idx="55">
                  <c:v>15242</c:v>
                </c:pt>
                <c:pt idx="56">
                  <c:v>16884</c:v>
                </c:pt>
                <c:pt idx="57">
                  <c:v>13226</c:v>
                </c:pt>
                <c:pt idx="58">
                  <c:v>12852</c:v>
                </c:pt>
                <c:pt idx="59">
                  <c:v>15803</c:v>
                </c:pt>
                <c:pt idx="60">
                  <c:v>18229</c:v>
                </c:pt>
                <c:pt idx="61">
                  <c:v>13710</c:v>
                </c:pt>
                <c:pt idx="62">
                  <c:v>11029</c:v>
                </c:pt>
                <c:pt idx="63">
                  <c:v>15550</c:v>
                </c:pt>
                <c:pt idx="64">
                  <c:v>19788</c:v>
                </c:pt>
                <c:pt idx="65">
                  <c:v>14150</c:v>
                </c:pt>
                <c:pt idx="66">
                  <c:v>22647</c:v>
                </c:pt>
                <c:pt idx="67">
                  <c:v>22312</c:v>
                </c:pt>
                <c:pt idx="68">
                  <c:v>27428</c:v>
                </c:pt>
                <c:pt idx="69">
                  <c:v>27762</c:v>
                </c:pt>
                <c:pt idx="70">
                  <c:v>28890</c:v>
                </c:pt>
                <c:pt idx="71">
                  <c:v>28603</c:v>
                </c:pt>
                <c:pt idx="72">
                  <c:v>27187</c:v>
                </c:pt>
                <c:pt idx="73">
                  <c:v>19438</c:v>
                </c:pt>
                <c:pt idx="74">
                  <c:v>18266</c:v>
                </c:pt>
                <c:pt idx="75">
                  <c:v>22478</c:v>
                </c:pt>
                <c:pt idx="76">
                  <c:v>28009</c:v>
                </c:pt>
                <c:pt idx="77">
                  <c:v>20901</c:v>
                </c:pt>
                <c:pt idx="78">
                  <c:v>23076</c:v>
                </c:pt>
                <c:pt idx="79">
                  <c:v>16145</c:v>
                </c:pt>
                <c:pt idx="80">
                  <c:v>20668</c:v>
                </c:pt>
                <c:pt idx="81">
                  <c:v>19075</c:v>
                </c:pt>
                <c:pt idx="82">
                  <c:v>19388</c:v>
                </c:pt>
                <c:pt idx="83">
                  <c:v>22739</c:v>
                </c:pt>
                <c:pt idx="84">
                  <c:v>27348</c:v>
                </c:pt>
                <c:pt idx="85">
                  <c:v>14857</c:v>
                </c:pt>
                <c:pt idx="86">
                  <c:v>18623</c:v>
                </c:pt>
                <c:pt idx="87">
                  <c:v>22506</c:v>
                </c:pt>
                <c:pt idx="88">
                  <c:v>23577</c:v>
                </c:pt>
                <c:pt idx="89">
                  <c:v>17632</c:v>
                </c:pt>
                <c:pt idx="90">
                  <c:v>25155</c:v>
                </c:pt>
                <c:pt idx="91">
                  <c:v>19784</c:v>
                </c:pt>
                <c:pt idx="92">
                  <c:v>20600</c:v>
                </c:pt>
                <c:pt idx="93">
                  <c:v>22383</c:v>
                </c:pt>
                <c:pt idx="94">
                  <c:v>18712</c:v>
                </c:pt>
                <c:pt idx="95">
                  <c:v>20819</c:v>
                </c:pt>
                <c:pt idx="96">
                  <c:v>19078</c:v>
                </c:pt>
                <c:pt idx="97">
                  <c:v>16236</c:v>
                </c:pt>
                <c:pt idx="98">
                  <c:v>20816</c:v>
                </c:pt>
                <c:pt idx="99">
                  <c:v>18454</c:v>
                </c:pt>
                <c:pt idx="100">
                  <c:v>14246</c:v>
                </c:pt>
                <c:pt idx="101">
                  <c:v>2666</c:v>
                </c:pt>
                <c:pt idx="102">
                  <c:v>20053</c:v>
                </c:pt>
                <c:pt idx="103">
                  <c:v>21176</c:v>
                </c:pt>
                <c:pt idx="104">
                  <c:v>23811</c:v>
                </c:pt>
                <c:pt idx="105">
                  <c:v>24509</c:v>
                </c:pt>
                <c:pt idx="106">
                  <c:v>28438</c:v>
                </c:pt>
                <c:pt idx="107">
                  <c:v>24173</c:v>
                </c:pt>
                <c:pt idx="108">
                  <c:v>30110</c:v>
                </c:pt>
                <c:pt idx="109">
                  <c:v>25265</c:v>
                </c:pt>
                <c:pt idx="110">
                  <c:v>21091</c:v>
                </c:pt>
                <c:pt idx="111">
                  <c:v>21053</c:v>
                </c:pt>
                <c:pt idx="112">
                  <c:v>30719</c:v>
                </c:pt>
                <c:pt idx="113">
                  <c:v>25043</c:v>
                </c:pt>
                <c:pt idx="114">
                  <c:v>32022</c:v>
                </c:pt>
                <c:pt idx="115">
                  <c:v>25960</c:v>
                </c:pt>
                <c:pt idx="116">
                  <c:v>25274</c:v>
                </c:pt>
                <c:pt idx="117">
                  <c:v>22068</c:v>
                </c:pt>
                <c:pt idx="118">
                  <c:v>28205</c:v>
                </c:pt>
                <c:pt idx="119">
                  <c:v>25626</c:v>
                </c:pt>
                <c:pt idx="120">
                  <c:v>29346</c:v>
                </c:pt>
                <c:pt idx="121">
                  <c:v>31486</c:v>
                </c:pt>
                <c:pt idx="122">
                  <c:v>23494</c:v>
                </c:pt>
                <c:pt idx="123">
                  <c:v>30389</c:v>
                </c:pt>
                <c:pt idx="124">
                  <c:v>36422</c:v>
                </c:pt>
                <c:pt idx="125">
                  <c:v>31089</c:v>
                </c:pt>
                <c:pt idx="126">
                  <c:v>31238</c:v>
                </c:pt>
                <c:pt idx="127">
                  <c:v>23416</c:v>
                </c:pt>
                <c:pt idx="128">
                  <c:v>19303</c:v>
                </c:pt>
                <c:pt idx="129">
                  <c:v>21795</c:v>
                </c:pt>
                <c:pt idx="130">
                  <c:v>24158</c:v>
                </c:pt>
                <c:pt idx="131">
                  <c:v>19975</c:v>
                </c:pt>
                <c:pt idx="132">
                  <c:v>14889</c:v>
                </c:pt>
                <c:pt idx="133">
                  <c:v>9042</c:v>
                </c:pt>
                <c:pt idx="134">
                  <c:v>8989</c:v>
                </c:pt>
                <c:pt idx="135">
                  <c:v>16350</c:v>
                </c:pt>
                <c:pt idx="136">
                  <c:v>20663</c:v>
                </c:pt>
                <c:pt idx="137">
                  <c:v>14493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3-4DA6-9668-359737E80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183679"/>
        <c:axId val="29985945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'Group Totals'!$S$3</c15:sqref>
                        </c15:formulaRef>
                      </c:ext>
                    </c:extLst>
                    <c:strCache>
                      <c:ptCount val="1"/>
                      <c:pt idx="0">
                        <c:v>SEC W/O's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Totals'!$S$4:$S$144</c15:sqref>
                        </c15:formulaRef>
                      </c:ext>
                    </c:extLst>
                    <c:numCache>
                      <c:formatCode>General</c:formatCode>
                      <c:ptCount val="141"/>
                      <c:pt idx="0">
                        <c:v>142</c:v>
                      </c:pt>
                      <c:pt idx="1">
                        <c:v>95</c:v>
                      </c:pt>
                      <c:pt idx="2">
                        <c:v>94</c:v>
                      </c:pt>
                      <c:pt idx="3">
                        <c:v>106</c:v>
                      </c:pt>
                      <c:pt idx="4">
                        <c:v>98</c:v>
                      </c:pt>
                      <c:pt idx="5">
                        <c:v>135</c:v>
                      </c:pt>
                      <c:pt idx="6">
                        <c:v>125</c:v>
                      </c:pt>
                      <c:pt idx="7">
                        <c:v>114</c:v>
                      </c:pt>
                      <c:pt idx="8">
                        <c:v>156</c:v>
                      </c:pt>
                      <c:pt idx="9">
                        <c:v>121</c:v>
                      </c:pt>
                      <c:pt idx="10">
                        <c:v>125</c:v>
                      </c:pt>
                      <c:pt idx="11">
                        <c:v>142</c:v>
                      </c:pt>
                      <c:pt idx="12">
                        <c:v>144</c:v>
                      </c:pt>
                      <c:pt idx="13">
                        <c:v>95</c:v>
                      </c:pt>
                      <c:pt idx="14">
                        <c:v>75</c:v>
                      </c:pt>
                      <c:pt idx="15">
                        <c:v>114</c:v>
                      </c:pt>
                      <c:pt idx="16">
                        <c:v>103</c:v>
                      </c:pt>
                      <c:pt idx="17">
                        <c:v>116</c:v>
                      </c:pt>
                      <c:pt idx="18">
                        <c:v>108</c:v>
                      </c:pt>
                      <c:pt idx="19">
                        <c:v>95</c:v>
                      </c:pt>
                      <c:pt idx="20">
                        <c:v>160</c:v>
                      </c:pt>
                      <c:pt idx="21">
                        <c:v>109</c:v>
                      </c:pt>
                      <c:pt idx="22">
                        <c:v>145</c:v>
                      </c:pt>
                      <c:pt idx="23">
                        <c:v>109</c:v>
                      </c:pt>
                      <c:pt idx="24">
                        <c:v>109</c:v>
                      </c:pt>
                      <c:pt idx="25">
                        <c:v>88</c:v>
                      </c:pt>
                      <c:pt idx="26">
                        <c:v>78</c:v>
                      </c:pt>
                      <c:pt idx="27">
                        <c:v>90</c:v>
                      </c:pt>
                      <c:pt idx="28">
                        <c:v>125</c:v>
                      </c:pt>
                      <c:pt idx="29">
                        <c:v>77</c:v>
                      </c:pt>
                      <c:pt idx="30">
                        <c:v>95</c:v>
                      </c:pt>
                      <c:pt idx="31">
                        <c:v>119</c:v>
                      </c:pt>
                      <c:pt idx="32">
                        <c:v>108</c:v>
                      </c:pt>
                      <c:pt idx="33">
                        <c:v>110</c:v>
                      </c:pt>
                      <c:pt idx="34">
                        <c:v>145</c:v>
                      </c:pt>
                      <c:pt idx="35">
                        <c:v>124</c:v>
                      </c:pt>
                      <c:pt idx="36">
                        <c:v>106</c:v>
                      </c:pt>
                      <c:pt idx="37">
                        <c:v>117</c:v>
                      </c:pt>
                      <c:pt idx="38">
                        <c:v>52</c:v>
                      </c:pt>
                      <c:pt idx="39">
                        <c:v>98</c:v>
                      </c:pt>
                      <c:pt idx="40">
                        <c:v>110</c:v>
                      </c:pt>
                      <c:pt idx="41">
                        <c:v>91</c:v>
                      </c:pt>
                      <c:pt idx="42">
                        <c:v>103</c:v>
                      </c:pt>
                      <c:pt idx="43">
                        <c:v>117</c:v>
                      </c:pt>
                      <c:pt idx="44">
                        <c:v>101</c:v>
                      </c:pt>
                      <c:pt idx="45">
                        <c:v>133</c:v>
                      </c:pt>
                      <c:pt idx="46">
                        <c:v>107</c:v>
                      </c:pt>
                      <c:pt idx="47">
                        <c:v>116</c:v>
                      </c:pt>
                      <c:pt idx="48">
                        <c:v>132</c:v>
                      </c:pt>
                      <c:pt idx="49">
                        <c:v>79</c:v>
                      </c:pt>
                      <c:pt idx="50">
                        <c:v>55</c:v>
                      </c:pt>
                      <c:pt idx="51">
                        <c:v>88</c:v>
                      </c:pt>
                      <c:pt idx="52">
                        <c:v>82</c:v>
                      </c:pt>
                      <c:pt idx="53">
                        <c:v>62</c:v>
                      </c:pt>
                      <c:pt idx="54">
                        <c:v>62</c:v>
                      </c:pt>
                      <c:pt idx="55">
                        <c:v>69</c:v>
                      </c:pt>
                      <c:pt idx="56">
                        <c:v>80</c:v>
                      </c:pt>
                      <c:pt idx="57">
                        <c:v>113</c:v>
                      </c:pt>
                      <c:pt idx="58">
                        <c:v>118</c:v>
                      </c:pt>
                      <c:pt idx="59">
                        <c:v>132</c:v>
                      </c:pt>
                      <c:pt idx="60">
                        <c:v>79</c:v>
                      </c:pt>
                      <c:pt idx="61">
                        <c:v>60</c:v>
                      </c:pt>
                      <c:pt idx="62">
                        <c:v>99</c:v>
                      </c:pt>
                      <c:pt idx="63">
                        <c:v>115</c:v>
                      </c:pt>
                      <c:pt idx="64">
                        <c:v>128</c:v>
                      </c:pt>
                      <c:pt idx="65">
                        <c:v>103</c:v>
                      </c:pt>
                      <c:pt idx="66">
                        <c:v>129</c:v>
                      </c:pt>
                      <c:pt idx="67">
                        <c:v>95</c:v>
                      </c:pt>
                      <c:pt idx="68">
                        <c:v>125</c:v>
                      </c:pt>
                      <c:pt idx="69">
                        <c:v>110</c:v>
                      </c:pt>
                      <c:pt idx="70">
                        <c:v>106</c:v>
                      </c:pt>
                      <c:pt idx="71">
                        <c:v>106</c:v>
                      </c:pt>
                      <c:pt idx="72">
                        <c:v>90</c:v>
                      </c:pt>
                      <c:pt idx="73">
                        <c:v>88</c:v>
                      </c:pt>
                      <c:pt idx="74">
                        <c:v>69</c:v>
                      </c:pt>
                      <c:pt idx="75">
                        <c:v>77</c:v>
                      </c:pt>
                      <c:pt idx="76">
                        <c:v>93</c:v>
                      </c:pt>
                      <c:pt idx="77">
                        <c:v>97</c:v>
                      </c:pt>
                      <c:pt idx="78">
                        <c:v>97</c:v>
                      </c:pt>
                      <c:pt idx="79">
                        <c:v>101</c:v>
                      </c:pt>
                      <c:pt idx="80">
                        <c:v>147</c:v>
                      </c:pt>
                      <c:pt idx="81">
                        <c:v>117</c:v>
                      </c:pt>
                      <c:pt idx="82">
                        <c:v>123</c:v>
                      </c:pt>
                      <c:pt idx="83">
                        <c:v>139</c:v>
                      </c:pt>
                      <c:pt idx="84">
                        <c:v>119</c:v>
                      </c:pt>
                      <c:pt idx="85">
                        <c:v>86</c:v>
                      </c:pt>
                      <c:pt idx="86">
                        <c:v>69</c:v>
                      </c:pt>
                      <c:pt idx="87">
                        <c:v>93</c:v>
                      </c:pt>
                      <c:pt idx="88">
                        <c:v>79</c:v>
                      </c:pt>
                      <c:pt idx="89">
                        <c:v>78</c:v>
                      </c:pt>
                      <c:pt idx="90">
                        <c:v>71</c:v>
                      </c:pt>
                      <c:pt idx="91">
                        <c:v>70</c:v>
                      </c:pt>
                      <c:pt idx="92">
                        <c:v>93</c:v>
                      </c:pt>
                      <c:pt idx="93">
                        <c:v>87</c:v>
                      </c:pt>
                      <c:pt idx="94">
                        <c:v>110</c:v>
                      </c:pt>
                      <c:pt idx="95">
                        <c:v>84</c:v>
                      </c:pt>
                      <c:pt idx="96">
                        <c:v>93</c:v>
                      </c:pt>
                      <c:pt idx="97">
                        <c:v>64</c:v>
                      </c:pt>
                      <c:pt idx="98">
                        <c:v>67</c:v>
                      </c:pt>
                      <c:pt idx="99">
                        <c:v>62</c:v>
                      </c:pt>
                      <c:pt idx="100">
                        <c:v>68</c:v>
                      </c:pt>
                      <c:pt idx="101">
                        <c:v>28</c:v>
                      </c:pt>
                      <c:pt idx="102">
                        <c:v>82</c:v>
                      </c:pt>
                      <c:pt idx="103">
                        <c:v>109</c:v>
                      </c:pt>
                      <c:pt idx="104">
                        <c:v>93</c:v>
                      </c:pt>
                      <c:pt idx="105">
                        <c:v>74</c:v>
                      </c:pt>
                      <c:pt idx="106">
                        <c:v>62</c:v>
                      </c:pt>
                      <c:pt idx="107">
                        <c:v>72</c:v>
                      </c:pt>
                      <c:pt idx="108">
                        <c:v>75</c:v>
                      </c:pt>
                      <c:pt idx="109">
                        <c:v>57</c:v>
                      </c:pt>
                      <c:pt idx="110">
                        <c:v>55</c:v>
                      </c:pt>
                      <c:pt idx="111">
                        <c:v>72</c:v>
                      </c:pt>
                      <c:pt idx="112">
                        <c:v>75</c:v>
                      </c:pt>
                      <c:pt idx="113">
                        <c:v>54</c:v>
                      </c:pt>
                      <c:pt idx="114">
                        <c:v>84</c:v>
                      </c:pt>
                      <c:pt idx="115">
                        <c:v>76</c:v>
                      </c:pt>
                      <c:pt idx="116">
                        <c:v>84</c:v>
                      </c:pt>
                      <c:pt idx="117">
                        <c:v>95</c:v>
                      </c:pt>
                      <c:pt idx="118">
                        <c:v>107</c:v>
                      </c:pt>
                      <c:pt idx="119">
                        <c:v>91</c:v>
                      </c:pt>
                      <c:pt idx="120">
                        <c:v>142</c:v>
                      </c:pt>
                      <c:pt idx="121">
                        <c:v>93</c:v>
                      </c:pt>
                      <c:pt idx="122">
                        <c:v>90</c:v>
                      </c:pt>
                      <c:pt idx="123">
                        <c:v>108</c:v>
                      </c:pt>
                      <c:pt idx="124">
                        <c:v>98</c:v>
                      </c:pt>
                      <c:pt idx="125">
                        <c:v>71</c:v>
                      </c:pt>
                      <c:pt idx="126">
                        <c:v>92</c:v>
                      </c:pt>
                      <c:pt idx="127">
                        <c:v>89</c:v>
                      </c:pt>
                      <c:pt idx="128">
                        <c:v>78</c:v>
                      </c:pt>
                      <c:pt idx="129">
                        <c:v>112</c:v>
                      </c:pt>
                      <c:pt idx="130">
                        <c:v>122</c:v>
                      </c:pt>
                      <c:pt idx="131">
                        <c:v>122</c:v>
                      </c:pt>
                      <c:pt idx="132">
                        <c:v>80</c:v>
                      </c:pt>
                      <c:pt idx="133">
                        <c:v>52</c:v>
                      </c:pt>
                      <c:pt idx="134">
                        <c:v>34</c:v>
                      </c:pt>
                      <c:pt idx="135">
                        <c:v>50</c:v>
                      </c:pt>
                      <c:pt idx="136">
                        <c:v>47</c:v>
                      </c:pt>
                      <c:pt idx="137">
                        <c:v>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CE3-4DA6-9668-359737E80A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Totals'!$U$3</c15:sqref>
                        </c15:formulaRef>
                      </c:ext>
                    </c:extLst>
                    <c:strCache>
                      <c:ptCount val="1"/>
                      <c:pt idx="0">
                        <c:v>SEC SKU's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Totals'!$U$4:$U$144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77">
                        <c:v>50</c:v>
                      </c:pt>
                      <c:pt idx="78">
                        <c:v>63</c:v>
                      </c:pt>
                      <c:pt idx="79">
                        <c:v>68</c:v>
                      </c:pt>
                      <c:pt idx="80">
                        <c:v>75</c:v>
                      </c:pt>
                      <c:pt idx="81">
                        <c:v>63</c:v>
                      </c:pt>
                      <c:pt idx="82">
                        <c:v>64</c:v>
                      </c:pt>
                      <c:pt idx="83">
                        <c:v>67</c:v>
                      </c:pt>
                      <c:pt idx="84">
                        <c:v>68</c:v>
                      </c:pt>
                      <c:pt idx="85">
                        <c:v>57</c:v>
                      </c:pt>
                      <c:pt idx="86">
                        <c:v>46</c:v>
                      </c:pt>
                      <c:pt idx="87">
                        <c:v>58</c:v>
                      </c:pt>
                      <c:pt idx="88">
                        <c:v>52</c:v>
                      </c:pt>
                      <c:pt idx="89">
                        <c:v>47</c:v>
                      </c:pt>
                      <c:pt idx="90">
                        <c:v>48</c:v>
                      </c:pt>
                      <c:pt idx="91">
                        <c:v>41</c:v>
                      </c:pt>
                      <c:pt idx="92">
                        <c:v>49</c:v>
                      </c:pt>
                      <c:pt idx="93">
                        <c:v>57</c:v>
                      </c:pt>
                      <c:pt idx="94">
                        <c:v>58</c:v>
                      </c:pt>
                      <c:pt idx="95">
                        <c:v>51</c:v>
                      </c:pt>
                      <c:pt idx="96">
                        <c:v>58</c:v>
                      </c:pt>
                      <c:pt idx="97">
                        <c:v>43</c:v>
                      </c:pt>
                      <c:pt idx="98">
                        <c:v>39</c:v>
                      </c:pt>
                      <c:pt idx="99">
                        <c:v>41</c:v>
                      </c:pt>
                      <c:pt idx="100">
                        <c:v>42</c:v>
                      </c:pt>
                      <c:pt idx="101">
                        <c:v>23</c:v>
                      </c:pt>
                      <c:pt idx="102">
                        <c:v>51</c:v>
                      </c:pt>
                      <c:pt idx="103">
                        <c:v>59</c:v>
                      </c:pt>
                      <c:pt idx="104">
                        <c:v>58</c:v>
                      </c:pt>
                      <c:pt idx="105">
                        <c:v>53</c:v>
                      </c:pt>
                      <c:pt idx="106">
                        <c:v>44</c:v>
                      </c:pt>
                      <c:pt idx="107">
                        <c:v>52</c:v>
                      </c:pt>
                      <c:pt idx="108">
                        <c:v>52</c:v>
                      </c:pt>
                      <c:pt idx="109">
                        <c:v>49</c:v>
                      </c:pt>
                      <c:pt idx="110">
                        <c:v>42</c:v>
                      </c:pt>
                      <c:pt idx="111">
                        <c:v>51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56</c:v>
                      </c:pt>
                      <c:pt idx="115">
                        <c:v>56</c:v>
                      </c:pt>
                      <c:pt idx="116">
                        <c:v>59</c:v>
                      </c:pt>
                      <c:pt idx="117">
                        <c:v>59</c:v>
                      </c:pt>
                      <c:pt idx="118">
                        <c:v>68</c:v>
                      </c:pt>
                      <c:pt idx="119">
                        <c:v>57</c:v>
                      </c:pt>
                      <c:pt idx="120">
                        <c:v>82</c:v>
                      </c:pt>
                      <c:pt idx="121">
                        <c:v>71</c:v>
                      </c:pt>
                      <c:pt idx="122">
                        <c:v>60</c:v>
                      </c:pt>
                      <c:pt idx="123">
                        <c:v>77</c:v>
                      </c:pt>
                      <c:pt idx="124">
                        <c:v>66</c:v>
                      </c:pt>
                      <c:pt idx="125">
                        <c:v>53</c:v>
                      </c:pt>
                      <c:pt idx="126">
                        <c:v>67</c:v>
                      </c:pt>
                      <c:pt idx="127">
                        <c:v>55</c:v>
                      </c:pt>
                      <c:pt idx="128">
                        <c:v>52</c:v>
                      </c:pt>
                      <c:pt idx="129">
                        <c:v>73</c:v>
                      </c:pt>
                      <c:pt idx="130">
                        <c:v>62</c:v>
                      </c:pt>
                      <c:pt idx="131">
                        <c:v>88</c:v>
                      </c:pt>
                      <c:pt idx="132">
                        <c:v>55</c:v>
                      </c:pt>
                      <c:pt idx="133">
                        <c:v>39</c:v>
                      </c:pt>
                      <c:pt idx="134">
                        <c:v>32</c:v>
                      </c:pt>
                      <c:pt idx="135">
                        <c:v>37</c:v>
                      </c:pt>
                      <c:pt idx="136">
                        <c:v>39</c:v>
                      </c:pt>
                      <c:pt idx="137">
                        <c:v>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CE3-4DA6-9668-359737E80AB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Totals'!$Y$3</c15:sqref>
                        </c15:formulaRef>
                      </c:ext>
                    </c:extLst>
                    <c:strCache>
                      <c:ptCount val="1"/>
                      <c:pt idx="0">
                        <c:v>AM W/O's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Totals'!$Y$4:$Y$144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0">
                        <c:v>166</c:v>
                      </c:pt>
                      <c:pt idx="1">
                        <c:v>147</c:v>
                      </c:pt>
                      <c:pt idx="2">
                        <c:v>147</c:v>
                      </c:pt>
                      <c:pt idx="3">
                        <c:v>220</c:v>
                      </c:pt>
                      <c:pt idx="4">
                        <c:v>243</c:v>
                      </c:pt>
                      <c:pt idx="5">
                        <c:v>218</c:v>
                      </c:pt>
                      <c:pt idx="6">
                        <c:v>240</c:v>
                      </c:pt>
                      <c:pt idx="7">
                        <c:v>242</c:v>
                      </c:pt>
                      <c:pt idx="8">
                        <c:v>235</c:v>
                      </c:pt>
                      <c:pt idx="9">
                        <c:v>237</c:v>
                      </c:pt>
                      <c:pt idx="10">
                        <c:v>191</c:v>
                      </c:pt>
                      <c:pt idx="11">
                        <c:v>195</c:v>
                      </c:pt>
                      <c:pt idx="12">
                        <c:v>175</c:v>
                      </c:pt>
                      <c:pt idx="13">
                        <c:v>130</c:v>
                      </c:pt>
                      <c:pt idx="14">
                        <c:v>136</c:v>
                      </c:pt>
                      <c:pt idx="15">
                        <c:v>193</c:v>
                      </c:pt>
                      <c:pt idx="16">
                        <c:v>184</c:v>
                      </c:pt>
                      <c:pt idx="17">
                        <c:v>204</c:v>
                      </c:pt>
                      <c:pt idx="18">
                        <c:v>262</c:v>
                      </c:pt>
                      <c:pt idx="19">
                        <c:v>155</c:v>
                      </c:pt>
                      <c:pt idx="20">
                        <c:v>225</c:v>
                      </c:pt>
                      <c:pt idx="21">
                        <c:v>172</c:v>
                      </c:pt>
                      <c:pt idx="22">
                        <c:v>191</c:v>
                      </c:pt>
                      <c:pt idx="23">
                        <c:v>188</c:v>
                      </c:pt>
                      <c:pt idx="24">
                        <c:v>218</c:v>
                      </c:pt>
                      <c:pt idx="25">
                        <c:v>151</c:v>
                      </c:pt>
                      <c:pt idx="26">
                        <c:v>153</c:v>
                      </c:pt>
                      <c:pt idx="27">
                        <c:v>187</c:v>
                      </c:pt>
                      <c:pt idx="28">
                        <c:v>232</c:v>
                      </c:pt>
                      <c:pt idx="29">
                        <c:v>241</c:v>
                      </c:pt>
                      <c:pt idx="30">
                        <c:v>239</c:v>
                      </c:pt>
                      <c:pt idx="31">
                        <c:v>243</c:v>
                      </c:pt>
                      <c:pt idx="32">
                        <c:v>318</c:v>
                      </c:pt>
                      <c:pt idx="33">
                        <c:v>276</c:v>
                      </c:pt>
                      <c:pt idx="34">
                        <c:v>250</c:v>
                      </c:pt>
                      <c:pt idx="35">
                        <c:v>214</c:v>
                      </c:pt>
                      <c:pt idx="36">
                        <c:v>230</c:v>
                      </c:pt>
                      <c:pt idx="37">
                        <c:v>220</c:v>
                      </c:pt>
                      <c:pt idx="38">
                        <c:v>125</c:v>
                      </c:pt>
                      <c:pt idx="39">
                        <c:v>207</c:v>
                      </c:pt>
                      <c:pt idx="40">
                        <c:v>287</c:v>
                      </c:pt>
                      <c:pt idx="41">
                        <c:v>229</c:v>
                      </c:pt>
                      <c:pt idx="42">
                        <c:v>238</c:v>
                      </c:pt>
                      <c:pt idx="43">
                        <c:v>220</c:v>
                      </c:pt>
                      <c:pt idx="44">
                        <c:v>257</c:v>
                      </c:pt>
                      <c:pt idx="45">
                        <c:v>182</c:v>
                      </c:pt>
                      <c:pt idx="46">
                        <c:v>182</c:v>
                      </c:pt>
                      <c:pt idx="47">
                        <c:v>176</c:v>
                      </c:pt>
                      <c:pt idx="48">
                        <c:v>182</c:v>
                      </c:pt>
                      <c:pt idx="49">
                        <c:v>137</c:v>
                      </c:pt>
                      <c:pt idx="50">
                        <c:v>180</c:v>
                      </c:pt>
                      <c:pt idx="51">
                        <c:v>201</c:v>
                      </c:pt>
                      <c:pt idx="52">
                        <c:v>221</c:v>
                      </c:pt>
                      <c:pt idx="53">
                        <c:v>203</c:v>
                      </c:pt>
                      <c:pt idx="54">
                        <c:v>220</c:v>
                      </c:pt>
                      <c:pt idx="55">
                        <c:v>210</c:v>
                      </c:pt>
                      <c:pt idx="56">
                        <c:v>224</c:v>
                      </c:pt>
                      <c:pt idx="57">
                        <c:v>247</c:v>
                      </c:pt>
                      <c:pt idx="58">
                        <c:v>201</c:v>
                      </c:pt>
                      <c:pt idx="59">
                        <c:v>191</c:v>
                      </c:pt>
                      <c:pt idx="60">
                        <c:v>204</c:v>
                      </c:pt>
                      <c:pt idx="61">
                        <c:v>162</c:v>
                      </c:pt>
                      <c:pt idx="62">
                        <c:v>126</c:v>
                      </c:pt>
                      <c:pt idx="63">
                        <c:v>219</c:v>
                      </c:pt>
                      <c:pt idx="64">
                        <c:v>252</c:v>
                      </c:pt>
                      <c:pt idx="65">
                        <c:v>194</c:v>
                      </c:pt>
                      <c:pt idx="66">
                        <c:v>289</c:v>
                      </c:pt>
                      <c:pt idx="67">
                        <c:v>283</c:v>
                      </c:pt>
                      <c:pt idx="68">
                        <c:v>314</c:v>
                      </c:pt>
                      <c:pt idx="69">
                        <c:v>311</c:v>
                      </c:pt>
                      <c:pt idx="70">
                        <c:v>277</c:v>
                      </c:pt>
                      <c:pt idx="71">
                        <c:v>300</c:v>
                      </c:pt>
                      <c:pt idx="72">
                        <c:v>300</c:v>
                      </c:pt>
                      <c:pt idx="73">
                        <c:v>196</c:v>
                      </c:pt>
                      <c:pt idx="74">
                        <c:v>206</c:v>
                      </c:pt>
                      <c:pt idx="75">
                        <c:v>234</c:v>
                      </c:pt>
                      <c:pt idx="76">
                        <c:v>304</c:v>
                      </c:pt>
                      <c:pt idx="77">
                        <c:v>314</c:v>
                      </c:pt>
                      <c:pt idx="78">
                        <c:v>309</c:v>
                      </c:pt>
                      <c:pt idx="79">
                        <c:v>254</c:v>
                      </c:pt>
                      <c:pt idx="80">
                        <c:v>284</c:v>
                      </c:pt>
                      <c:pt idx="81">
                        <c:v>323</c:v>
                      </c:pt>
                      <c:pt idx="82">
                        <c:v>242</c:v>
                      </c:pt>
                      <c:pt idx="83">
                        <c:v>293</c:v>
                      </c:pt>
                      <c:pt idx="84">
                        <c:v>269</c:v>
                      </c:pt>
                      <c:pt idx="85">
                        <c:v>155</c:v>
                      </c:pt>
                      <c:pt idx="86">
                        <c:v>184</c:v>
                      </c:pt>
                      <c:pt idx="87">
                        <c:v>208</c:v>
                      </c:pt>
                      <c:pt idx="88">
                        <c:v>269</c:v>
                      </c:pt>
                      <c:pt idx="89">
                        <c:v>251</c:v>
                      </c:pt>
                      <c:pt idx="90">
                        <c:v>318</c:v>
                      </c:pt>
                      <c:pt idx="91">
                        <c:v>280</c:v>
                      </c:pt>
                      <c:pt idx="92">
                        <c:v>256</c:v>
                      </c:pt>
                      <c:pt idx="93">
                        <c:v>273</c:v>
                      </c:pt>
                      <c:pt idx="94">
                        <c:v>216</c:v>
                      </c:pt>
                      <c:pt idx="95">
                        <c:v>253</c:v>
                      </c:pt>
                      <c:pt idx="96">
                        <c:v>209</c:v>
                      </c:pt>
                      <c:pt idx="97">
                        <c:v>160</c:v>
                      </c:pt>
                      <c:pt idx="98">
                        <c:v>226</c:v>
                      </c:pt>
                      <c:pt idx="99">
                        <c:v>241</c:v>
                      </c:pt>
                      <c:pt idx="100">
                        <c:v>213</c:v>
                      </c:pt>
                      <c:pt idx="101">
                        <c:v>28</c:v>
                      </c:pt>
                      <c:pt idx="102">
                        <c:v>208</c:v>
                      </c:pt>
                      <c:pt idx="103">
                        <c:v>239</c:v>
                      </c:pt>
                      <c:pt idx="104">
                        <c:v>262</c:v>
                      </c:pt>
                      <c:pt idx="105">
                        <c:v>271</c:v>
                      </c:pt>
                      <c:pt idx="106">
                        <c:v>296</c:v>
                      </c:pt>
                      <c:pt idx="107">
                        <c:v>272</c:v>
                      </c:pt>
                      <c:pt idx="108">
                        <c:v>237</c:v>
                      </c:pt>
                      <c:pt idx="109">
                        <c:v>230</c:v>
                      </c:pt>
                      <c:pt idx="110">
                        <c:v>227</c:v>
                      </c:pt>
                      <c:pt idx="111">
                        <c:v>247</c:v>
                      </c:pt>
                      <c:pt idx="112">
                        <c:v>268</c:v>
                      </c:pt>
                      <c:pt idx="113">
                        <c:v>231</c:v>
                      </c:pt>
                      <c:pt idx="114">
                        <c:v>271</c:v>
                      </c:pt>
                      <c:pt idx="115">
                        <c:v>279</c:v>
                      </c:pt>
                      <c:pt idx="116">
                        <c:v>277</c:v>
                      </c:pt>
                      <c:pt idx="117">
                        <c:v>225</c:v>
                      </c:pt>
                      <c:pt idx="118">
                        <c:v>245</c:v>
                      </c:pt>
                      <c:pt idx="119">
                        <c:v>223</c:v>
                      </c:pt>
                      <c:pt idx="120">
                        <c:v>269</c:v>
                      </c:pt>
                      <c:pt idx="121">
                        <c:v>223</c:v>
                      </c:pt>
                      <c:pt idx="122">
                        <c:v>220</c:v>
                      </c:pt>
                      <c:pt idx="123">
                        <c:v>261</c:v>
                      </c:pt>
                      <c:pt idx="124">
                        <c:v>244</c:v>
                      </c:pt>
                      <c:pt idx="125">
                        <c:v>189</c:v>
                      </c:pt>
                      <c:pt idx="126">
                        <c:v>268</c:v>
                      </c:pt>
                      <c:pt idx="127">
                        <c:v>230</c:v>
                      </c:pt>
                      <c:pt idx="128">
                        <c:v>212</c:v>
                      </c:pt>
                      <c:pt idx="129">
                        <c:v>269</c:v>
                      </c:pt>
                      <c:pt idx="130">
                        <c:v>230</c:v>
                      </c:pt>
                      <c:pt idx="131">
                        <c:v>229</c:v>
                      </c:pt>
                      <c:pt idx="132">
                        <c:v>200</c:v>
                      </c:pt>
                      <c:pt idx="133">
                        <c:v>103</c:v>
                      </c:pt>
                      <c:pt idx="134">
                        <c:v>88</c:v>
                      </c:pt>
                      <c:pt idx="135">
                        <c:v>187</c:v>
                      </c:pt>
                      <c:pt idx="136">
                        <c:v>197</c:v>
                      </c:pt>
                      <c:pt idx="137">
                        <c:v>147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CE3-4DA6-9668-359737E80AB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Totals'!$AA$3</c15:sqref>
                        </c15:formulaRef>
                      </c:ext>
                    </c:extLst>
                    <c:strCache>
                      <c:ptCount val="1"/>
                      <c:pt idx="0">
                        <c:v>AM SKU's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Totals'!$AA$4:$AA$144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77">
                        <c:v>154</c:v>
                      </c:pt>
                      <c:pt idx="78">
                        <c:v>145</c:v>
                      </c:pt>
                      <c:pt idx="79">
                        <c:v>113</c:v>
                      </c:pt>
                      <c:pt idx="80">
                        <c:v>134</c:v>
                      </c:pt>
                      <c:pt idx="81">
                        <c:v>154</c:v>
                      </c:pt>
                      <c:pt idx="82">
                        <c:v>115</c:v>
                      </c:pt>
                      <c:pt idx="83">
                        <c:v>132</c:v>
                      </c:pt>
                      <c:pt idx="84">
                        <c:v>139</c:v>
                      </c:pt>
                      <c:pt idx="85">
                        <c:v>85</c:v>
                      </c:pt>
                      <c:pt idx="86">
                        <c:v>102</c:v>
                      </c:pt>
                      <c:pt idx="87">
                        <c:v>115</c:v>
                      </c:pt>
                      <c:pt idx="88">
                        <c:v>132</c:v>
                      </c:pt>
                      <c:pt idx="89">
                        <c:v>126</c:v>
                      </c:pt>
                      <c:pt idx="90">
                        <c:v>148</c:v>
                      </c:pt>
                      <c:pt idx="91">
                        <c:v>133</c:v>
                      </c:pt>
                      <c:pt idx="92">
                        <c:v>139</c:v>
                      </c:pt>
                      <c:pt idx="93">
                        <c:v>154</c:v>
                      </c:pt>
                      <c:pt idx="94">
                        <c:v>111</c:v>
                      </c:pt>
                      <c:pt idx="95">
                        <c:v>139</c:v>
                      </c:pt>
                      <c:pt idx="96">
                        <c:v>123</c:v>
                      </c:pt>
                      <c:pt idx="97">
                        <c:v>86</c:v>
                      </c:pt>
                      <c:pt idx="98">
                        <c:v>112</c:v>
                      </c:pt>
                      <c:pt idx="99">
                        <c:v>132</c:v>
                      </c:pt>
                      <c:pt idx="100">
                        <c:v>112</c:v>
                      </c:pt>
                      <c:pt idx="101">
                        <c:v>18</c:v>
                      </c:pt>
                      <c:pt idx="102">
                        <c:v>112</c:v>
                      </c:pt>
                      <c:pt idx="103">
                        <c:v>129</c:v>
                      </c:pt>
                      <c:pt idx="104">
                        <c:v>123</c:v>
                      </c:pt>
                      <c:pt idx="105">
                        <c:v>145</c:v>
                      </c:pt>
                      <c:pt idx="106">
                        <c:v>155</c:v>
                      </c:pt>
                      <c:pt idx="107">
                        <c:v>137</c:v>
                      </c:pt>
                      <c:pt idx="108">
                        <c:v>133</c:v>
                      </c:pt>
                      <c:pt idx="109">
                        <c:v>134</c:v>
                      </c:pt>
                      <c:pt idx="110">
                        <c:v>132</c:v>
                      </c:pt>
                      <c:pt idx="111">
                        <c:v>145</c:v>
                      </c:pt>
                      <c:pt idx="112">
                        <c:v>151</c:v>
                      </c:pt>
                      <c:pt idx="113">
                        <c:v>126</c:v>
                      </c:pt>
                      <c:pt idx="114">
                        <c:v>129</c:v>
                      </c:pt>
                      <c:pt idx="115">
                        <c:v>141</c:v>
                      </c:pt>
                      <c:pt idx="116">
                        <c:v>124</c:v>
                      </c:pt>
                      <c:pt idx="117">
                        <c:v>119</c:v>
                      </c:pt>
                      <c:pt idx="118">
                        <c:v>131</c:v>
                      </c:pt>
                      <c:pt idx="119">
                        <c:v>112</c:v>
                      </c:pt>
                      <c:pt idx="120">
                        <c:v>151</c:v>
                      </c:pt>
                      <c:pt idx="121">
                        <c:v>135</c:v>
                      </c:pt>
                      <c:pt idx="122">
                        <c:v>131</c:v>
                      </c:pt>
                      <c:pt idx="123">
                        <c:v>143</c:v>
                      </c:pt>
                      <c:pt idx="124">
                        <c:v>115</c:v>
                      </c:pt>
                      <c:pt idx="125">
                        <c:v>97</c:v>
                      </c:pt>
                      <c:pt idx="126">
                        <c:v>145</c:v>
                      </c:pt>
                      <c:pt idx="127">
                        <c:v>128</c:v>
                      </c:pt>
                      <c:pt idx="128">
                        <c:v>128</c:v>
                      </c:pt>
                      <c:pt idx="129">
                        <c:v>141</c:v>
                      </c:pt>
                      <c:pt idx="130">
                        <c:v>138</c:v>
                      </c:pt>
                      <c:pt idx="131">
                        <c:v>132</c:v>
                      </c:pt>
                      <c:pt idx="132">
                        <c:v>127</c:v>
                      </c:pt>
                      <c:pt idx="133">
                        <c:v>73</c:v>
                      </c:pt>
                      <c:pt idx="134">
                        <c:v>69</c:v>
                      </c:pt>
                      <c:pt idx="135">
                        <c:v>125</c:v>
                      </c:pt>
                      <c:pt idx="136">
                        <c:v>130</c:v>
                      </c:pt>
                      <c:pt idx="137">
                        <c:v>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CE3-4DA6-9668-359737E80AB4}"/>
                  </c:ext>
                </c:extLst>
              </c15:ser>
            </c15:filteredLineSeries>
          </c:ext>
        </c:extLst>
      </c:lineChart>
      <c:dateAx>
        <c:axId val="45618367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455"/>
        <c:crosses val="autoZero"/>
        <c:auto val="1"/>
        <c:lblOffset val="100"/>
        <c:baseTimeUnit val="months"/>
      </c:dateAx>
      <c:valAx>
        <c:axId val="2998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8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AM W/O's and SKU's</a:t>
            </a:r>
            <a:r>
              <a:rPr lang="en-NZ" baseline="0"/>
              <a:t> Made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'Group Totals'!$Y$3</c:f>
              <c:strCache>
                <c:ptCount val="1"/>
                <c:pt idx="0">
                  <c:v>AM W/O's (excludes 2A's)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Totals'!$Y$4:$Y$144</c:f>
              <c:numCache>
                <c:formatCode>_-* #,##0_-;\-* #,##0_-;_-* "-"??_-;_-@_-</c:formatCode>
                <c:ptCount val="141"/>
                <c:pt idx="0">
                  <c:v>166</c:v>
                </c:pt>
                <c:pt idx="1">
                  <c:v>147</c:v>
                </c:pt>
                <c:pt idx="2">
                  <c:v>147</c:v>
                </c:pt>
                <c:pt idx="3">
                  <c:v>220</c:v>
                </c:pt>
                <c:pt idx="4">
                  <c:v>243</c:v>
                </c:pt>
                <c:pt idx="5">
                  <c:v>218</c:v>
                </c:pt>
                <c:pt idx="6">
                  <c:v>240</c:v>
                </c:pt>
                <c:pt idx="7">
                  <c:v>242</c:v>
                </c:pt>
                <c:pt idx="8">
                  <c:v>235</c:v>
                </c:pt>
                <c:pt idx="9">
                  <c:v>237</c:v>
                </c:pt>
                <c:pt idx="10">
                  <c:v>191</c:v>
                </c:pt>
                <c:pt idx="11">
                  <c:v>195</c:v>
                </c:pt>
                <c:pt idx="12">
                  <c:v>175</c:v>
                </c:pt>
                <c:pt idx="13">
                  <c:v>130</c:v>
                </c:pt>
                <c:pt idx="14">
                  <c:v>136</c:v>
                </c:pt>
                <c:pt idx="15">
                  <c:v>193</c:v>
                </c:pt>
                <c:pt idx="16">
                  <c:v>184</c:v>
                </c:pt>
                <c:pt idx="17">
                  <c:v>204</c:v>
                </c:pt>
                <c:pt idx="18">
                  <c:v>262</c:v>
                </c:pt>
                <c:pt idx="19">
                  <c:v>155</c:v>
                </c:pt>
                <c:pt idx="20">
                  <c:v>225</c:v>
                </c:pt>
                <c:pt idx="21">
                  <c:v>172</c:v>
                </c:pt>
                <c:pt idx="22">
                  <c:v>191</c:v>
                </c:pt>
                <c:pt idx="23">
                  <c:v>188</c:v>
                </c:pt>
                <c:pt idx="24">
                  <c:v>218</c:v>
                </c:pt>
                <c:pt idx="25">
                  <c:v>151</c:v>
                </c:pt>
                <c:pt idx="26">
                  <c:v>153</c:v>
                </c:pt>
                <c:pt idx="27">
                  <c:v>187</c:v>
                </c:pt>
                <c:pt idx="28">
                  <c:v>232</c:v>
                </c:pt>
                <c:pt idx="29">
                  <c:v>241</c:v>
                </c:pt>
                <c:pt idx="30">
                  <c:v>239</c:v>
                </c:pt>
                <c:pt idx="31">
                  <c:v>243</c:v>
                </c:pt>
                <c:pt idx="32">
                  <c:v>318</c:v>
                </c:pt>
                <c:pt idx="33">
                  <c:v>276</c:v>
                </c:pt>
                <c:pt idx="34">
                  <c:v>250</c:v>
                </c:pt>
                <c:pt idx="35">
                  <c:v>214</c:v>
                </c:pt>
                <c:pt idx="36">
                  <c:v>230</c:v>
                </c:pt>
                <c:pt idx="37">
                  <c:v>220</c:v>
                </c:pt>
                <c:pt idx="38">
                  <c:v>125</c:v>
                </c:pt>
                <c:pt idx="39">
                  <c:v>207</c:v>
                </c:pt>
                <c:pt idx="40">
                  <c:v>287</c:v>
                </c:pt>
                <c:pt idx="41">
                  <c:v>229</c:v>
                </c:pt>
                <c:pt idx="42">
                  <c:v>238</c:v>
                </c:pt>
                <c:pt idx="43">
                  <c:v>220</c:v>
                </c:pt>
                <c:pt idx="44">
                  <c:v>257</c:v>
                </c:pt>
                <c:pt idx="45">
                  <c:v>182</c:v>
                </c:pt>
                <c:pt idx="46">
                  <c:v>182</c:v>
                </c:pt>
                <c:pt idx="47">
                  <c:v>176</c:v>
                </c:pt>
                <c:pt idx="48">
                  <c:v>182</c:v>
                </c:pt>
                <c:pt idx="49">
                  <c:v>137</c:v>
                </c:pt>
                <c:pt idx="50">
                  <c:v>180</c:v>
                </c:pt>
                <c:pt idx="51">
                  <c:v>201</c:v>
                </c:pt>
                <c:pt idx="52">
                  <c:v>221</c:v>
                </c:pt>
                <c:pt idx="53">
                  <c:v>203</c:v>
                </c:pt>
                <c:pt idx="54">
                  <c:v>220</c:v>
                </c:pt>
                <c:pt idx="55">
                  <c:v>210</c:v>
                </c:pt>
                <c:pt idx="56">
                  <c:v>224</c:v>
                </c:pt>
                <c:pt idx="57">
                  <c:v>247</c:v>
                </c:pt>
                <c:pt idx="58">
                  <c:v>201</c:v>
                </c:pt>
                <c:pt idx="59">
                  <c:v>191</c:v>
                </c:pt>
                <c:pt idx="60">
                  <c:v>204</c:v>
                </c:pt>
                <c:pt idx="61">
                  <c:v>162</c:v>
                </c:pt>
                <c:pt idx="62">
                  <c:v>126</c:v>
                </c:pt>
                <c:pt idx="63">
                  <c:v>219</c:v>
                </c:pt>
                <c:pt idx="64">
                  <c:v>252</c:v>
                </c:pt>
                <c:pt idx="65">
                  <c:v>194</c:v>
                </c:pt>
                <c:pt idx="66">
                  <c:v>289</c:v>
                </c:pt>
                <c:pt idx="67">
                  <c:v>283</c:v>
                </c:pt>
                <c:pt idx="68">
                  <c:v>314</c:v>
                </c:pt>
                <c:pt idx="69">
                  <c:v>311</c:v>
                </c:pt>
                <c:pt idx="70">
                  <c:v>277</c:v>
                </c:pt>
                <c:pt idx="71">
                  <c:v>300</c:v>
                </c:pt>
                <c:pt idx="72">
                  <c:v>300</c:v>
                </c:pt>
                <c:pt idx="73">
                  <c:v>196</c:v>
                </c:pt>
                <c:pt idx="74">
                  <c:v>206</c:v>
                </c:pt>
                <c:pt idx="75">
                  <c:v>234</c:v>
                </c:pt>
                <c:pt idx="76">
                  <c:v>304</c:v>
                </c:pt>
                <c:pt idx="77">
                  <c:v>314</c:v>
                </c:pt>
                <c:pt idx="78">
                  <c:v>309</c:v>
                </c:pt>
                <c:pt idx="79">
                  <c:v>254</c:v>
                </c:pt>
                <c:pt idx="80">
                  <c:v>284</c:v>
                </c:pt>
                <c:pt idx="81">
                  <c:v>323</c:v>
                </c:pt>
                <c:pt idx="82">
                  <c:v>242</c:v>
                </c:pt>
                <c:pt idx="83">
                  <c:v>293</c:v>
                </c:pt>
                <c:pt idx="84">
                  <c:v>269</c:v>
                </c:pt>
                <c:pt idx="85">
                  <c:v>155</c:v>
                </c:pt>
                <c:pt idx="86">
                  <c:v>184</c:v>
                </c:pt>
                <c:pt idx="87">
                  <c:v>208</c:v>
                </c:pt>
                <c:pt idx="88">
                  <c:v>269</c:v>
                </c:pt>
                <c:pt idx="89">
                  <c:v>251</c:v>
                </c:pt>
                <c:pt idx="90">
                  <c:v>318</c:v>
                </c:pt>
                <c:pt idx="91">
                  <c:v>280</c:v>
                </c:pt>
                <c:pt idx="92">
                  <c:v>256</c:v>
                </c:pt>
                <c:pt idx="93">
                  <c:v>273</c:v>
                </c:pt>
                <c:pt idx="94">
                  <c:v>216</c:v>
                </c:pt>
                <c:pt idx="95">
                  <c:v>253</c:v>
                </c:pt>
                <c:pt idx="96">
                  <c:v>209</c:v>
                </c:pt>
                <c:pt idx="97">
                  <c:v>160</c:v>
                </c:pt>
                <c:pt idx="98">
                  <c:v>226</c:v>
                </c:pt>
                <c:pt idx="99">
                  <c:v>241</c:v>
                </c:pt>
                <c:pt idx="100">
                  <c:v>213</c:v>
                </c:pt>
                <c:pt idx="101">
                  <c:v>28</c:v>
                </c:pt>
                <c:pt idx="102">
                  <c:v>208</c:v>
                </c:pt>
                <c:pt idx="103">
                  <c:v>239</c:v>
                </c:pt>
                <c:pt idx="104">
                  <c:v>262</c:v>
                </c:pt>
                <c:pt idx="105">
                  <c:v>271</c:v>
                </c:pt>
                <c:pt idx="106">
                  <c:v>296</c:v>
                </c:pt>
                <c:pt idx="107">
                  <c:v>272</c:v>
                </c:pt>
                <c:pt idx="108">
                  <c:v>237</c:v>
                </c:pt>
                <c:pt idx="109">
                  <c:v>230</c:v>
                </c:pt>
                <c:pt idx="110">
                  <c:v>227</c:v>
                </c:pt>
                <c:pt idx="111">
                  <c:v>247</c:v>
                </c:pt>
                <c:pt idx="112">
                  <c:v>268</c:v>
                </c:pt>
                <c:pt idx="113">
                  <c:v>231</c:v>
                </c:pt>
                <c:pt idx="114">
                  <c:v>271</c:v>
                </c:pt>
                <c:pt idx="115">
                  <c:v>279</c:v>
                </c:pt>
                <c:pt idx="116">
                  <c:v>277</c:v>
                </c:pt>
                <c:pt idx="117">
                  <c:v>225</c:v>
                </c:pt>
                <c:pt idx="118">
                  <c:v>245</c:v>
                </c:pt>
                <c:pt idx="119">
                  <c:v>223</c:v>
                </c:pt>
                <c:pt idx="120">
                  <c:v>269</c:v>
                </c:pt>
                <c:pt idx="121">
                  <c:v>223</c:v>
                </c:pt>
                <c:pt idx="122">
                  <c:v>220</c:v>
                </c:pt>
                <c:pt idx="123">
                  <c:v>261</c:v>
                </c:pt>
                <c:pt idx="124">
                  <c:v>244</c:v>
                </c:pt>
                <c:pt idx="125">
                  <c:v>189</c:v>
                </c:pt>
                <c:pt idx="126">
                  <c:v>268</c:v>
                </c:pt>
                <c:pt idx="127">
                  <c:v>230</c:v>
                </c:pt>
                <c:pt idx="128">
                  <c:v>212</c:v>
                </c:pt>
                <c:pt idx="129">
                  <c:v>269</c:v>
                </c:pt>
                <c:pt idx="130">
                  <c:v>230</c:v>
                </c:pt>
                <c:pt idx="131">
                  <c:v>229</c:v>
                </c:pt>
                <c:pt idx="132">
                  <c:v>200</c:v>
                </c:pt>
                <c:pt idx="133">
                  <c:v>103</c:v>
                </c:pt>
                <c:pt idx="134">
                  <c:v>88</c:v>
                </c:pt>
                <c:pt idx="135">
                  <c:v>187</c:v>
                </c:pt>
                <c:pt idx="136">
                  <c:v>197</c:v>
                </c:pt>
                <c:pt idx="137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DE-407F-8301-891D36AF46BA}"/>
            </c:ext>
          </c:extLst>
        </c:ser>
        <c:ser>
          <c:idx val="5"/>
          <c:order val="5"/>
          <c:tx>
            <c:strRef>
              <c:f>'Group Totals'!$AA$3</c:f>
              <c:strCache>
                <c:ptCount val="1"/>
                <c:pt idx="0">
                  <c:v>AM SKU's (excludes 2A's)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Totals'!$AA$4:$AA$144</c:f>
              <c:numCache>
                <c:formatCode>_-* #,##0_-;\-* #,##0_-;_-* "-"??_-;_-@_-</c:formatCode>
                <c:ptCount val="141"/>
                <c:pt idx="77">
                  <c:v>154</c:v>
                </c:pt>
                <c:pt idx="78">
                  <c:v>145</c:v>
                </c:pt>
                <c:pt idx="79">
                  <c:v>113</c:v>
                </c:pt>
                <c:pt idx="80">
                  <c:v>134</c:v>
                </c:pt>
                <c:pt idx="81">
                  <c:v>154</c:v>
                </c:pt>
                <c:pt idx="82">
                  <c:v>115</c:v>
                </c:pt>
                <c:pt idx="83">
                  <c:v>132</c:v>
                </c:pt>
                <c:pt idx="84">
                  <c:v>139</c:v>
                </c:pt>
                <c:pt idx="85">
                  <c:v>85</c:v>
                </c:pt>
                <c:pt idx="86">
                  <c:v>102</c:v>
                </c:pt>
                <c:pt idx="87">
                  <c:v>115</c:v>
                </c:pt>
                <c:pt idx="88">
                  <c:v>132</c:v>
                </c:pt>
                <c:pt idx="89">
                  <c:v>126</c:v>
                </c:pt>
                <c:pt idx="90">
                  <c:v>148</c:v>
                </c:pt>
                <c:pt idx="91">
                  <c:v>133</c:v>
                </c:pt>
                <c:pt idx="92">
                  <c:v>139</c:v>
                </c:pt>
                <c:pt idx="93">
                  <c:v>154</c:v>
                </c:pt>
                <c:pt idx="94">
                  <c:v>111</c:v>
                </c:pt>
                <c:pt idx="95">
                  <c:v>139</c:v>
                </c:pt>
                <c:pt idx="96">
                  <c:v>123</c:v>
                </c:pt>
                <c:pt idx="97">
                  <c:v>86</c:v>
                </c:pt>
                <c:pt idx="98">
                  <c:v>112</c:v>
                </c:pt>
                <c:pt idx="99">
                  <c:v>132</c:v>
                </c:pt>
                <c:pt idx="100">
                  <c:v>112</c:v>
                </c:pt>
                <c:pt idx="101">
                  <c:v>18</c:v>
                </c:pt>
                <c:pt idx="102">
                  <c:v>112</c:v>
                </c:pt>
                <c:pt idx="103">
                  <c:v>129</c:v>
                </c:pt>
                <c:pt idx="104">
                  <c:v>123</c:v>
                </c:pt>
                <c:pt idx="105">
                  <c:v>145</c:v>
                </c:pt>
                <c:pt idx="106">
                  <c:v>155</c:v>
                </c:pt>
                <c:pt idx="107">
                  <c:v>137</c:v>
                </c:pt>
                <c:pt idx="108">
                  <c:v>133</c:v>
                </c:pt>
                <c:pt idx="109">
                  <c:v>134</c:v>
                </c:pt>
                <c:pt idx="110">
                  <c:v>132</c:v>
                </c:pt>
                <c:pt idx="111">
                  <c:v>145</c:v>
                </c:pt>
                <c:pt idx="112">
                  <c:v>151</c:v>
                </c:pt>
                <c:pt idx="113">
                  <c:v>126</c:v>
                </c:pt>
                <c:pt idx="114">
                  <c:v>129</c:v>
                </c:pt>
                <c:pt idx="115">
                  <c:v>141</c:v>
                </c:pt>
                <c:pt idx="116">
                  <c:v>124</c:v>
                </c:pt>
                <c:pt idx="117">
                  <c:v>119</c:v>
                </c:pt>
                <c:pt idx="118">
                  <c:v>131</c:v>
                </c:pt>
                <c:pt idx="119">
                  <c:v>112</c:v>
                </c:pt>
                <c:pt idx="120">
                  <c:v>151</c:v>
                </c:pt>
                <c:pt idx="121">
                  <c:v>135</c:v>
                </c:pt>
                <c:pt idx="122">
                  <c:v>131</c:v>
                </c:pt>
                <c:pt idx="123">
                  <c:v>143</c:v>
                </c:pt>
                <c:pt idx="124">
                  <c:v>115</c:v>
                </c:pt>
                <c:pt idx="125">
                  <c:v>97</c:v>
                </c:pt>
                <c:pt idx="126">
                  <c:v>145</c:v>
                </c:pt>
                <c:pt idx="127">
                  <c:v>128</c:v>
                </c:pt>
                <c:pt idx="128">
                  <c:v>128</c:v>
                </c:pt>
                <c:pt idx="129">
                  <c:v>141</c:v>
                </c:pt>
                <c:pt idx="130">
                  <c:v>138</c:v>
                </c:pt>
                <c:pt idx="131">
                  <c:v>132</c:v>
                </c:pt>
                <c:pt idx="132">
                  <c:v>127</c:v>
                </c:pt>
                <c:pt idx="133">
                  <c:v>73</c:v>
                </c:pt>
                <c:pt idx="134">
                  <c:v>69</c:v>
                </c:pt>
                <c:pt idx="135">
                  <c:v>125</c:v>
                </c:pt>
                <c:pt idx="136">
                  <c:v>130</c:v>
                </c:pt>
                <c:pt idx="137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DE-407F-8301-891D36AF4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183679"/>
        <c:axId val="299859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Totals'!$Q$3</c15:sqref>
                        </c15:formulaRef>
                      </c:ext>
                    </c:extLst>
                    <c:strCache>
                      <c:ptCount val="1"/>
                      <c:pt idx="0">
                        <c:v>SEC Completed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Totals'!$Q$4:$Q$144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0">
                        <c:v>11273</c:v>
                      </c:pt>
                      <c:pt idx="1">
                        <c:v>6609</c:v>
                      </c:pt>
                      <c:pt idx="2">
                        <c:v>4929</c:v>
                      </c:pt>
                      <c:pt idx="3">
                        <c:v>5199</c:v>
                      </c:pt>
                      <c:pt idx="4">
                        <c:v>7178</c:v>
                      </c:pt>
                      <c:pt idx="5">
                        <c:v>6802</c:v>
                      </c:pt>
                      <c:pt idx="6">
                        <c:v>6297</c:v>
                      </c:pt>
                      <c:pt idx="7">
                        <c:v>7326</c:v>
                      </c:pt>
                      <c:pt idx="8">
                        <c:v>9335</c:v>
                      </c:pt>
                      <c:pt idx="9">
                        <c:v>7473</c:v>
                      </c:pt>
                      <c:pt idx="10">
                        <c:v>8059</c:v>
                      </c:pt>
                      <c:pt idx="11">
                        <c:v>7137</c:v>
                      </c:pt>
                      <c:pt idx="12">
                        <c:v>6454</c:v>
                      </c:pt>
                      <c:pt idx="13">
                        <c:v>5070</c:v>
                      </c:pt>
                      <c:pt idx="14">
                        <c:v>3659</c:v>
                      </c:pt>
                      <c:pt idx="15">
                        <c:v>5707</c:v>
                      </c:pt>
                      <c:pt idx="16">
                        <c:v>5219</c:v>
                      </c:pt>
                      <c:pt idx="17">
                        <c:v>5946</c:v>
                      </c:pt>
                      <c:pt idx="18">
                        <c:v>5823</c:v>
                      </c:pt>
                      <c:pt idx="19">
                        <c:v>5710</c:v>
                      </c:pt>
                      <c:pt idx="20">
                        <c:v>8707</c:v>
                      </c:pt>
                      <c:pt idx="21">
                        <c:v>7474</c:v>
                      </c:pt>
                      <c:pt idx="22">
                        <c:v>9721</c:v>
                      </c:pt>
                      <c:pt idx="23">
                        <c:v>7762</c:v>
                      </c:pt>
                      <c:pt idx="24">
                        <c:v>7811</c:v>
                      </c:pt>
                      <c:pt idx="25">
                        <c:v>6813</c:v>
                      </c:pt>
                      <c:pt idx="26">
                        <c:v>7401</c:v>
                      </c:pt>
                      <c:pt idx="27">
                        <c:v>7749</c:v>
                      </c:pt>
                      <c:pt idx="28">
                        <c:v>10664</c:v>
                      </c:pt>
                      <c:pt idx="29">
                        <c:v>6020</c:v>
                      </c:pt>
                      <c:pt idx="30">
                        <c:v>7584</c:v>
                      </c:pt>
                      <c:pt idx="31">
                        <c:v>8342</c:v>
                      </c:pt>
                      <c:pt idx="32">
                        <c:v>8072</c:v>
                      </c:pt>
                      <c:pt idx="33">
                        <c:v>8169</c:v>
                      </c:pt>
                      <c:pt idx="34">
                        <c:v>11567</c:v>
                      </c:pt>
                      <c:pt idx="35">
                        <c:v>9726</c:v>
                      </c:pt>
                      <c:pt idx="36">
                        <c:v>9499</c:v>
                      </c:pt>
                      <c:pt idx="37">
                        <c:v>10661</c:v>
                      </c:pt>
                      <c:pt idx="38">
                        <c:v>4736</c:v>
                      </c:pt>
                      <c:pt idx="39">
                        <c:v>8288</c:v>
                      </c:pt>
                      <c:pt idx="40">
                        <c:v>10106</c:v>
                      </c:pt>
                      <c:pt idx="41">
                        <c:v>7568</c:v>
                      </c:pt>
                      <c:pt idx="42">
                        <c:v>8272</c:v>
                      </c:pt>
                      <c:pt idx="43">
                        <c:v>9757</c:v>
                      </c:pt>
                      <c:pt idx="44">
                        <c:v>7863</c:v>
                      </c:pt>
                      <c:pt idx="45">
                        <c:v>9407</c:v>
                      </c:pt>
                      <c:pt idx="46">
                        <c:v>10698</c:v>
                      </c:pt>
                      <c:pt idx="47">
                        <c:v>10659</c:v>
                      </c:pt>
                      <c:pt idx="48">
                        <c:v>14024</c:v>
                      </c:pt>
                      <c:pt idx="49">
                        <c:v>8676</c:v>
                      </c:pt>
                      <c:pt idx="50">
                        <c:v>6426</c:v>
                      </c:pt>
                      <c:pt idx="51">
                        <c:v>8482</c:v>
                      </c:pt>
                      <c:pt idx="52">
                        <c:v>9057</c:v>
                      </c:pt>
                      <c:pt idx="53">
                        <c:v>6515</c:v>
                      </c:pt>
                      <c:pt idx="54">
                        <c:v>6415</c:v>
                      </c:pt>
                      <c:pt idx="55">
                        <c:v>5291</c:v>
                      </c:pt>
                      <c:pt idx="56">
                        <c:v>8242</c:v>
                      </c:pt>
                      <c:pt idx="57">
                        <c:v>11506</c:v>
                      </c:pt>
                      <c:pt idx="58">
                        <c:v>8829</c:v>
                      </c:pt>
                      <c:pt idx="59">
                        <c:v>13416</c:v>
                      </c:pt>
                      <c:pt idx="60">
                        <c:v>10255</c:v>
                      </c:pt>
                      <c:pt idx="61">
                        <c:v>7566</c:v>
                      </c:pt>
                      <c:pt idx="62">
                        <c:v>10985</c:v>
                      </c:pt>
                      <c:pt idx="63">
                        <c:v>12644</c:v>
                      </c:pt>
                      <c:pt idx="64">
                        <c:v>13909</c:v>
                      </c:pt>
                      <c:pt idx="65">
                        <c:v>11388</c:v>
                      </c:pt>
                      <c:pt idx="66">
                        <c:v>16170</c:v>
                      </c:pt>
                      <c:pt idx="67">
                        <c:v>12617</c:v>
                      </c:pt>
                      <c:pt idx="68">
                        <c:v>16163</c:v>
                      </c:pt>
                      <c:pt idx="69">
                        <c:v>11758</c:v>
                      </c:pt>
                      <c:pt idx="70">
                        <c:v>14743</c:v>
                      </c:pt>
                      <c:pt idx="71">
                        <c:v>14271</c:v>
                      </c:pt>
                      <c:pt idx="72">
                        <c:v>13164</c:v>
                      </c:pt>
                      <c:pt idx="73">
                        <c:v>9374</c:v>
                      </c:pt>
                      <c:pt idx="74">
                        <c:v>8530</c:v>
                      </c:pt>
                      <c:pt idx="75">
                        <c:v>8729</c:v>
                      </c:pt>
                      <c:pt idx="76">
                        <c:v>11302</c:v>
                      </c:pt>
                      <c:pt idx="77">
                        <c:v>12245</c:v>
                      </c:pt>
                      <c:pt idx="78">
                        <c:v>11890</c:v>
                      </c:pt>
                      <c:pt idx="79">
                        <c:v>12296</c:v>
                      </c:pt>
                      <c:pt idx="80">
                        <c:v>14150</c:v>
                      </c:pt>
                      <c:pt idx="81">
                        <c:v>13703</c:v>
                      </c:pt>
                      <c:pt idx="82">
                        <c:v>15542</c:v>
                      </c:pt>
                      <c:pt idx="83">
                        <c:v>19987</c:v>
                      </c:pt>
                      <c:pt idx="84">
                        <c:v>17834</c:v>
                      </c:pt>
                      <c:pt idx="85">
                        <c:v>12768</c:v>
                      </c:pt>
                      <c:pt idx="86">
                        <c:v>11865</c:v>
                      </c:pt>
                      <c:pt idx="87">
                        <c:v>15780</c:v>
                      </c:pt>
                      <c:pt idx="88">
                        <c:v>11380</c:v>
                      </c:pt>
                      <c:pt idx="89">
                        <c:v>11960</c:v>
                      </c:pt>
                      <c:pt idx="90">
                        <c:v>12625</c:v>
                      </c:pt>
                      <c:pt idx="91">
                        <c:v>12902</c:v>
                      </c:pt>
                      <c:pt idx="92">
                        <c:v>15477</c:v>
                      </c:pt>
                      <c:pt idx="93">
                        <c:v>16558</c:v>
                      </c:pt>
                      <c:pt idx="94">
                        <c:v>19241</c:v>
                      </c:pt>
                      <c:pt idx="95">
                        <c:v>15291</c:v>
                      </c:pt>
                      <c:pt idx="96">
                        <c:v>15252</c:v>
                      </c:pt>
                      <c:pt idx="97">
                        <c:v>14238</c:v>
                      </c:pt>
                      <c:pt idx="98">
                        <c:v>18241</c:v>
                      </c:pt>
                      <c:pt idx="99">
                        <c:v>15062</c:v>
                      </c:pt>
                      <c:pt idx="100">
                        <c:v>16484</c:v>
                      </c:pt>
                      <c:pt idx="101">
                        <c:v>5724</c:v>
                      </c:pt>
                      <c:pt idx="102">
                        <c:v>16868</c:v>
                      </c:pt>
                      <c:pt idx="103">
                        <c:v>26657</c:v>
                      </c:pt>
                      <c:pt idx="104">
                        <c:v>24139</c:v>
                      </c:pt>
                      <c:pt idx="105">
                        <c:v>17912</c:v>
                      </c:pt>
                      <c:pt idx="106">
                        <c:v>14201</c:v>
                      </c:pt>
                      <c:pt idx="107">
                        <c:v>14917</c:v>
                      </c:pt>
                      <c:pt idx="108">
                        <c:v>16963</c:v>
                      </c:pt>
                      <c:pt idx="109">
                        <c:v>7905</c:v>
                      </c:pt>
                      <c:pt idx="110">
                        <c:v>12451</c:v>
                      </c:pt>
                      <c:pt idx="111">
                        <c:v>10428</c:v>
                      </c:pt>
                      <c:pt idx="112">
                        <c:v>19813</c:v>
                      </c:pt>
                      <c:pt idx="113">
                        <c:v>10844</c:v>
                      </c:pt>
                      <c:pt idx="114">
                        <c:v>18263</c:v>
                      </c:pt>
                      <c:pt idx="115">
                        <c:v>13628</c:v>
                      </c:pt>
                      <c:pt idx="116">
                        <c:v>19866</c:v>
                      </c:pt>
                      <c:pt idx="117">
                        <c:v>23942</c:v>
                      </c:pt>
                      <c:pt idx="118">
                        <c:v>34318</c:v>
                      </c:pt>
                      <c:pt idx="119">
                        <c:v>36138</c:v>
                      </c:pt>
                      <c:pt idx="120">
                        <c:v>38980</c:v>
                      </c:pt>
                      <c:pt idx="121">
                        <c:v>30630</c:v>
                      </c:pt>
                      <c:pt idx="122">
                        <c:v>19268</c:v>
                      </c:pt>
                      <c:pt idx="123">
                        <c:v>21795</c:v>
                      </c:pt>
                      <c:pt idx="124">
                        <c:v>29526</c:v>
                      </c:pt>
                      <c:pt idx="125">
                        <c:v>27593</c:v>
                      </c:pt>
                      <c:pt idx="126">
                        <c:v>25682</c:v>
                      </c:pt>
                      <c:pt idx="127">
                        <c:v>35456</c:v>
                      </c:pt>
                      <c:pt idx="128">
                        <c:v>28740</c:v>
                      </c:pt>
                      <c:pt idx="129">
                        <c:v>28978</c:v>
                      </c:pt>
                      <c:pt idx="130">
                        <c:v>39831</c:v>
                      </c:pt>
                      <c:pt idx="131">
                        <c:v>33172</c:v>
                      </c:pt>
                      <c:pt idx="132">
                        <c:v>21077</c:v>
                      </c:pt>
                      <c:pt idx="133">
                        <c:v>10987</c:v>
                      </c:pt>
                      <c:pt idx="134">
                        <c:v>8384</c:v>
                      </c:pt>
                      <c:pt idx="135">
                        <c:v>11346</c:v>
                      </c:pt>
                      <c:pt idx="136">
                        <c:v>9991</c:v>
                      </c:pt>
                      <c:pt idx="137">
                        <c:v>9543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BDE-407F-8301-891D36AF46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Totals'!$S$3</c15:sqref>
                        </c15:formulaRef>
                      </c:ext>
                    </c:extLst>
                    <c:strCache>
                      <c:ptCount val="1"/>
                      <c:pt idx="0">
                        <c:v>SEC W/O's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Totals'!$S$4:$S$144</c15:sqref>
                        </c15:formulaRef>
                      </c:ext>
                    </c:extLst>
                    <c:numCache>
                      <c:formatCode>General</c:formatCode>
                      <c:ptCount val="141"/>
                      <c:pt idx="0">
                        <c:v>142</c:v>
                      </c:pt>
                      <c:pt idx="1">
                        <c:v>95</c:v>
                      </c:pt>
                      <c:pt idx="2">
                        <c:v>94</c:v>
                      </c:pt>
                      <c:pt idx="3">
                        <c:v>106</c:v>
                      </c:pt>
                      <c:pt idx="4">
                        <c:v>98</c:v>
                      </c:pt>
                      <c:pt idx="5">
                        <c:v>135</c:v>
                      </c:pt>
                      <c:pt idx="6">
                        <c:v>125</c:v>
                      </c:pt>
                      <c:pt idx="7">
                        <c:v>114</c:v>
                      </c:pt>
                      <c:pt idx="8">
                        <c:v>156</c:v>
                      </c:pt>
                      <c:pt idx="9">
                        <c:v>121</c:v>
                      </c:pt>
                      <c:pt idx="10">
                        <c:v>125</c:v>
                      </c:pt>
                      <c:pt idx="11">
                        <c:v>142</c:v>
                      </c:pt>
                      <c:pt idx="12">
                        <c:v>144</c:v>
                      </c:pt>
                      <c:pt idx="13">
                        <c:v>95</c:v>
                      </c:pt>
                      <c:pt idx="14">
                        <c:v>75</c:v>
                      </c:pt>
                      <c:pt idx="15">
                        <c:v>114</c:v>
                      </c:pt>
                      <c:pt idx="16">
                        <c:v>103</c:v>
                      </c:pt>
                      <c:pt idx="17">
                        <c:v>116</c:v>
                      </c:pt>
                      <c:pt idx="18">
                        <c:v>108</c:v>
                      </c:pt>
                      <c:pt idx="19">
                        <c:v>95</c:v>
                      </c:pt>
                      <c:pt idx="20">
                        <c:v>160</c:v>
                      </c:pt>
                      <c:pt idx="21">
                        <c:v>109</c:v>
                      </c:pt>
                      <c:pt idx="22">
                        <c:v>145</c:v>
                      </c:pt>
                      <c:pt idx="23">
                        <c:v>109</c:v>
                      </c:pt>
                      <c:pt idx="24">
                        <c:v>109</c:v>
                      </c:pt>
                      <c:pt idx="25">
                        <c:v>88</c:v>
                      </c:pt>
                      <c:pt idx="26">
                        <c:v>78</c:v>
                      </c:pt>
                      <c:pt idx="27">
                        <c:v>90</c:v>
                      </c:pt>
                      <c:pt idx="28">
                        <c:v>125</c:v>
                      </c:pt>
                      <c:pt idx="29">
                        <c:v>77</c:v>
                      </c:pt>
                      <c:pt idx="30">
                        <c:v>95</c:v>
                      </c:pt>
                      <c:pt idx="31">
                        <c:v>119</c:v>
                      </c:pt>
                      <c:pt idx="32">
                        <c:v>108</c:v>
                      </c:pt>
                      <c:pt idx="33">
                        <c:v>110</c:v>
                      </c:pt>
                      <c:pt idx="34">
                        <c:v>145</c:v>
                      </c:pt>
                      <c:pt idx="35">
                        <c:v>124</c:v>
                      </c:pt>
                      <c:pt idx="36">
                        <c:v>106</c:v>
                      </c:pt>
                      <c:pt idx="37">
                        <c:v>117</c:v>
                      </c:pt>
                      <c:pt idx="38">
                        <c:v>52</c:v>
                      </c:pt>
                      <c:pt idx="39">
                        <c:v>98</c:v>
                      </c:pt>
                      <c:pt idx="40">
                        <c:v>110</c:v>
                      </c:pt>
                      <c:pt idx="41">
                        <c:v>91</c:v>
                      </c:pt>
                      <c:pt idx="42">
                        <c:v>103</c:v>
                      </c:pt>
                      <c:pt idx="43">
                        <c:v>117</c:v>
                      </c:pt>
                      <c:pt idx="44">
                        <c:v>101</c:v>
                      </c:pt>
                      <c:pt idx="45">
                        <c:v>133</c:v>
                      </c:pt>
                      <c:pt idx="46">
                        <c:v>107</c:v>
                      </c:pt>
                      <c:pt idx="47">
                        <c:v>116</c:v>
                      </c:pt>
                      <c:pt idx="48">
                        <c:v>132</c:v>
                      </c:pt>
                      <c:pt idx="49">
                        <c:v>79</c:v>
                      </c:pt>
                      <c:pt idx="50">
                        <c:v>55</c:v>
                      </c:pt>
                      <c:pt idx="51">
                        <c:v>88</c:v>
                      </c:pt>
                      <c:pt idx="52">
                        <c:v>82</c:v>
                      </c:pt>
                      <c:pt idx="53">
                        <c:v>62</c:v>
                      </c:pt>
                      <c:pt idx="54">
                        <c:v>62</c:v>
                      </c:pt>
                      <c:pt idx="55">
                        <c:v>69</c:v>
                      </c:pt>
                      <c:pt idx="56">
                        <c:v>80</c:v>
                      </c:pt>
                      <c:pt idx="57">
                        <c:v>113</c:v>
                      </c:pt>
                      <c:pt idx="58">
                        <c:v>118</c:v>
                      </c:pt>
                      <c:pt idx="59">
                        <c:v>132</c:v>
                      </c:pt>
                      <c:pt idx="60">
                        <c:v>79</c:v>
                      </c:pt>
                      <c:pt idx="61">
                        <c:v>60</c:v>
                      </c:pt>
                      <c:pt idx="62">
                        <c:v>99</c:v>
                      </c:pt>
                      <c:pt idx="63">
                        <c:v>115</c:v>
                      </c:pt>
                      <c:pt idx="64">
                        <c:v>128</c:v>
                      </c:pt>
                      <c:pt idx="65">
                        <c:v>103</c:v>
                      </c:pt>
                      <c:pt idx="66">
                        <c:v>129</c:v>
                      </c:pt>
                      <c:pt idx="67">
                        <c:v>95</c:v>
                      </c:pt>
                      <c:pt idx="68">
                        <c:v>125</c:v>
                      </c:pt>
                      <c:pt idx="69">
                        <c:v>110</c:v>
                      </c:pt>
                      <c:pt idx="70">
                        <c:v>106</c:v>
                      </c:pt>
                      <c:pt idx="71">
                        <c:v>106</c:v>
                      </c:pt>
                      <c:pt idx="72">
                        <c:v>90</c:v>
                      </c:pt>
                      <c:pt idx="73">
                        <c:v>88</c:v>
                      </c:pt>
                      <c:pt idx="74">
                        <c:v>69</c:v>
                      </c:pt>
                      <c:pt idx="75">
                        <c:v>77</c:v>
                      </c:pt>
                      <c:pt idx="76">
                        <c:v>93</c:v>
                      </c:pt>
                      <c:pt idx="77">
                        <c:v>97</c:v>
                      </c:pt>
                      <c:pt idx="78">
                        <c:v>97</c:v>
                      </c:pt>
                      <c:pt idx="79">
                        <c:v>101</c:v>
                      </c:pt>
                      <c:pt idx="80">
                        <c:v>147</c:v>
                      </c:pt>
                      <c:pt idx="81">
                        <c:v>117</c:v>
                      </c:pt>
                      <c:pt idx="82">
                        <c:v>123</c:v>
                      </c:pt>
                      <c:pt idx="83">
                        <c:v>139</c:v>
                      </c:pt>
                      <c:pt idx="84">
                        <c:v>119</c:v>
                      </c:pt>
                      <c:pt idx="85">
                        <c:v>86</c:v>
                      </c:pt>
                      <c:pt idx="86">
                        <c:v>69</c:v>
                      </c:pt>
                      <c:pt idx="87">
                        <c:v>93</c:v>
                      </c:pt>
                      <c:pt idx="88">
                        <c:v>79</c:v>
                      </c:pt>
                      <c:pt idx="89">
                        <c:v>78</c:v>
                      </c:pt>
                      <c:pt idx="90">
                        <c:v>71</c:v>
                      </c:pt>
                      <c:pt idx="91">
                        <c:v>70</c:v>
                      </c:pt>
                      <c:pt idx="92">
                        <c:v>93</c:v>
                      </c:pt>
                      <c:pt idx="93">
                        <c:v>87</c:v>
                      </c:pt>
                      <c:pt idx="94">
                        <c:v>110</c:v>
                      </c:pt>
                      <c:pt idx="95">
                        <c:v>84</c:v>
                      </c:pt>
                      <c:pt idx="96">
                        <c:v>93</c:v>
                      </c:pt>
                      <c:pt idx="97">
                        <c:v>64</c:v>
                      </c:pt>
                      <c:pt idx="98">
                        <c:v>67</c:v>
                      </c:pt>
                      <c:pt idx="99">
                        <c:v>62</c:v>
                      </c:pt>
                      <c:pt idx="100">
                        <c:v>68</c:v>
                      </c:pt>
                      <c:pt idx="101">
                        <c:v>28</c:v>
                      </c:pt>
                      <c:pt idx="102">
                        <c:v>82</c:v>
                      </c:pt>
                      <c:pt idx="103">
                        <c:v>109</c:v>
                      </c:pt>
                      <c:pt idx="104">
                        <c:v>93</c:v>
                      </c:pt>
                      <c:pt idx="105">
                        <c:v>74</c:v>
                      </c:pt>
                      <c:pt idx="106">
                        <c:v>62</c:v>
                      </c:pt>
                      <c:pt idx="107">
                        <c:v>72</c:v>
                      </c:pt>
                      <c:pt idx="108">
                        <c:v>75</c:v>
                      </c:pt>
                      <c:pt idx="109">
                        <c:v>57</c:v>
                      </c:pt>
                      <c:pt idx="110">
                        <c:v>55</c:v>
                      </c:pt>
                      <c:pt idx="111">
                        <c:v>72</c:v>
                      </c:pt>
                      <c:pt idx="112">
                        <c:v>75</c:v>
                      </c:pt>
                      <c:pt idx="113">
                        <c:v>54</c:v>
                      </c:pt>
                      <c:pt idx="114">
                        <c:v>84</c:v>
                      </c:pt>
                      <c:pt idx="115">
                        <c:v>76</c:v>
                      </c:pt>
                      <c:pt idx="116">
                        <c:v>84</c:v>
                      </c:pt>
                      <c:pt idx="117">
                        <c:v>95</c:v>
                      </c:pt>
                      <c:pt idx="118">
                        <c:v>107</c:v>
                      </c:pt>
                      <c:pt idx="119">
                        <c:v>91</c:v>
                      </c:pt>
                      <c:pt idx="120">
                        <c:v>142</c:v>
                      </c:pt>
                      <c:pt idx="121">
                        <c:v>93</c:v>
                      </c:pt>
                      <c:pt idx="122">
                        <c:v>90</c:v>
                      </c:pt>
                      <c:pt idx="123">
                        <c:v>108</c:v>
                      </c:pt>
                      <c:pt idx="124">
                        <c:v>98</c:v>
                      </c:pt>
                      <c:pt idx="125">
                        <c:v>71</c:v>
                      </c:pt>
                      <c:pt idx="126">
                        <c:v>92</c:v>
                      </c:pt>
                      <c:pt idx="127">
                        <c:v>89</c:v>
                      </c:pt>
                      <c:pt idx="128">
                        <c:v>78</c:v>
                      </c:pt>
                      <c:pt idx="129">
                        <c:v>112</c:v>
                      </c:pt>
                      <c:pt idx="130">
                        <c:v>122</c:v>
                      </c:pt>
                      <c:pt idx="131">
                        <c:v>122</c:v>
                      </c:pt>
                      <c:pt idx="132">
                        <c:v>80</c:v>
                      </c:pt>
                      <c:pt idx="133">
                        <c:v>52</c:v>
                      </c:pt>
                      <c:pt idx="134">
                        <c:v>34</c:v>
                      </c:pt>
                      <c:pt idx="135">
                        <c:v>50</c:v>
                      </c:pt>
                      <c:pt idx="136">
                        <c:v>47</c:v>
                      </c:pt>
                      <c:pt idx="137">
                        <c:v>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BDE-407F-8301-891D36AF46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Totals'!$U$3</c15:sqref>
                        </c15:formulaRef>
                      </c:ext>
                    </c:extLst>
                    <c:strCache>
                      <c:ptCount val="1"/>
                      <c:pt idx="0">
                        <c:v>SEC SKU's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Totals'!$U$4:$U$144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77">
                        <c:v>50</c:v>
                      </c:pt>
                      <c:pt idx="78">
                        <c:v>63</c:v>
                      </c:pt>
                      <c:pt idx="79">
                        <c:v>68</c:v>
                      </c:pt>
                      <c:pt idx="80">
                        <c:v>75</c:v>
                      </c:pt>
                      <c:pt idx="81">
                        <c:v>63</c:v>
                      </c:pt>
                      <c:pt idx="82">
                        <c:v>64</c:v>
                      </c:pt>
                      <c:pt idx="83">
                        <c:v>67</c:v>
                      </c:pt>
                      <c:pt idx="84">
                        <c:v>68</c:v>
                      </c:pt>
                      <c:pt idx="85">
                        <c:v>57</c:v>
                      </c:pt>
                      <c:pt idx="86">
                        <c:v>46</c:v>
                      </c:pt>
                      <c:pt idx="87">
                        <c:v>58</c:v>
                      </c:pt>
                      <c:pt idx="88">
                        <c:v>52</c:v>
                      </c:pt>
                      <c:pt idx="89">
                        <c:v>47</c:v>
                      </c:pt>
                      <c:pt idx="90">
                        <c:v>48</c:v>
                      </c:pt>
                      <c:pt idx="91">
                        <c:v>41</c:v>
                      </c:pt>
                      <c:pt idx="92">
                        <c:v>49</c:v>
                      </c:pt>
                      <c:pt idx="93">
                        <c:v>57</c:v>
                      </c:pt>
                      <c:pt idx="94">
                        <c:v>58</c:v>
                      </c:pt>
                      <c:pt idx="95">
                        <c:v>51</c:v>
                      </c:pt>
                      <c:pt idx="96">
                        <c:v>58</c:v>
                      </c:pt>
                      <c:pt idx="97">
                        <c:v>43</c:v>
                      </c:pt>
                      <c:pt idx="98">
                        <c:v>39</c:v>
                      </c:pt>
                      <c:pt idx="99">
                        <c:v>41</c:v>
                      </c:pt>
                      <c:pt idx="100">
                        <c:v>42</c:v>
                      </c:pt>
                      <c:pt idx="101">
                        <c:v>23</c:v>
                      </c:pt>
                      <c:pt idx="102">
                        <c:v>51</c:v>
                      </c:pt>
                      <c:pt idx="103">
                        <c:v>59</c:v>
                      </c:pt>
                      <c:pt idx="104">
                        <c:v>58</c:v>
                      </c:pt>
                      <c:pt idx="105">
                        <c:v>53</c:v>
                      </c:pt>
                      <c:pt idx="106">
                        <c:v>44</c:v>
                      </c:pt>
                      <c:pt idx="107">
                        <c:v>52</c:v>
                      </c:pt>
                      <c:pt idx="108">
                        <c:v>52</c:v>
                      </c:pt>
                      <c:pt idx="109">
                        <c:v>49</c:v>
                      </c:pt>
                      <c:pt idx="110">
                        <c:v>42</c:v>
                      </c:pt>
                      <c:pt idx="111">
                        <c:v>51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56</c:v>
                      </c:pt>
                      <c:pt idx="115">
                        <c:v>56</c:v>
                      </c:pt>
                      <c:pt idx="116">
                        <c:v>59</c:v>
                      </c:pt>
                      <c:pt idx="117">
                        <c:v>59</c:v>
                      </c:pt>
                      <c:pt idx="118">
                        <c:v>68</c:v>
                      </c:pt>
                      <c:pt idx="119">
                        <c:v>57</c:v>
                      </c:pt>
                      <c:pt idx="120">
                        <c:v>82</c:v>
                      </c:pt>
                      <c:pt idx="121">
                        <c:v>71</c:v>
                      </c:pt>
                      <c:pt idx="122">
                        <c:v>60</c:v>
                      </c:pt>
                      <c:pt idx="123">
                        <c:v>77</c:v>
                      </c:pt>
                      <c:pt idx="124">
                        <c:v>66</c:v>
                      </c:pt>
                      <c:pt idx="125">
                        <c:v>53</c:v>
                      </c:pt>
                      <c:pt idx="126">
                        <c:v>67</c:v>
                      </c:pt>
                      <c:pt idx="127">
                        <c:v>55</c:v>
                      </c:pt>
                      <c:pt idx="128">
                        <c:v>52</c:v>
                      </c:pt>
                      <c:pt idx="129">
                        <c:v>73</c:v>
                      </c:pt>
                      <c:pt idx="130">
                        <c:v>62</c:v>
                      </c:pt>
                      <c:pt idx="131">
                        <c:v>88</c:v>
                      </c:pt>
                      <c:pt idx="132">
                        <c:v>55</c:v>
                      </c:pt>
                      <c:pt idx="133">
                        <c:v>39</c:v>
                      </c:pt>
                      <c:pt idx="134">
                        <c:v>32</c:v>
                      </c:pt>
                      <c:pt idx="135">
                        <c:v>37</c:v>
                      </c:pt>
                      <c:pt idx="136">
                        <c:v>39</c:v>
                      </c:pt>
                      <c:pt idx="137">
                        <c:v>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BDE-407F-8301-891D36AF46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Totals'!$W$3</c15:sqref>
                        </c15:formulaRef>
                      </c:ext>
                    </c:extLst>
                    <c:strCache>
                      <c:ptCount val="1"/>
                      <c:pt idx="0">
                        <c:v>AM Completed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Totals'!$W$4:$W$144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0">
                        <c:v>16855</c:v>
                      </c:pt>
                      <c:pt idx="1">
                        <c:v>16741</c:v>
                      </c:pt>
                      <c:pt idx="2">
                        <c:v>17062</c:v>
                      </c:pt>
                      <c:pt idx="3">
                        <c:v>28578</c:v>
                      </c:pt>
                      <c:pt idx="4">
                        <c:v>34055</c:v>
                      </c:pt>
                      <c:pt idx="5">
                        <c:v>29537</c:v>
                      </c:pt>
                      <c:pt idx="6">
                        <c:v>28062</c:v>
                      </c:pt>
                      <c:pt idx="7">
                        <c:v>27283</c:v>
                      </c:pt>
                      <c:pt idx="8">
                        <c:v>22281</c:v>
                      </c:pt>
                      <c:pt idx="9">
                        <c:v>18475</c:v>
                      </c:pt>
                      <c:pt idx="10">
                        <c:v>17024</c:v>
                      </c:pt>
                      <c:pt idx="11">
                        <c:v>19854</c:v>
                      </c:pt>
                      <c:pt idx="12">
                        <c:v>17077</c:v>
                      </c:pt>
                      <c:pt idx="13">
                        <c:v>13881</c:v>
                      </c:pt>
                      <c:pt idx="14">
                        <c:v>16890</c:v>
                      </c:pt>
                      <c:pt idx="15">
                        <c:v>19984</c:v>
                      </c:pt>
                      <c:pt idx="16">
                        <c:v>24061</c:v>
                      </c:pt>
                      <c:pt idx="17">
                        <c:v>25250</c:v>
                      </c:pt>
                      <c:pt idx="18">
                        <c:v>29826</c:v>
                      </c:pt>
                      <c:pt idx="19">
                        <c:v>15635</c:v>
                      </c:pt>
                      <c:pt idx="20">
                        <c:v>23384</c:v>
                      </c:pt>
                      <c:pt idx="21">
                        <c:v>14821</c:v>
                      </c:pt>
                      <c:pt idx="22">
                        <c:v>14524</c:v>
                      </c:pt>
                      <c:pt idx="23">
                        <c:v>15312</c:v>
                      </c:pt>
                      <c:pt idx="24">
                        <c:v>18537</c:v>
                      </c:pt>
                      <c:pt idx="25">
                        <c:v>14216</c:v>
                      </c:pt>
                      <c:pt idx="26">
                        <c:v>15736</c:v>
                      </c:pt>
                      <c:pt idx="27">
                        <c:v>18426</c:v>
                      </c:pt>
                      <c:pt idx="28">
                        <c:v>25678</c:v>
                      </c:pt>
                      <c:pt idx="29">
                        <c:v>23104</c:v>
                      </c:pt>
                      <c:pt idx="30">
                        <c:v>23189</c:v>
                      </c:pt>
                      <c:pt idx="31">
                        <c:v>20914</c:v>
                      </c:pt>
                      <c:pt idx="32">
                        <c:v>25069</c:v>
                      </c:pt>
                      <c:pt idx="33">
                        <c:v>20763</c:v>
                      </c:pt>
                      <c:pt idx="34">
                        <c:v>22414</c:v>
                      </c:pt>
                      <c:pt idx="35">
                        <c:v>19334</c:v>
                      </c:pt>
                      <c:pt idx="36">
                        <c:v>20314</c:v>
                      </c:pt>
                      <c:pt idx="37">
                        <c:v>17059</c:v>
                      </c:pt>
                      <c:pt idx="38">
                        <c:v>13045</c:v>
                      </c:pt>
                      <c:pt idx="39">
                        <c:v>22347</c:v>
                      </c:pt>
                      <c:pt idx="40">
                        <c:v>26394</c:v>
                      </c:pt>
                      <c:pt idx="41">
                        <c:v>19836</c:v>
                      </c:pt>
                      <c:pt idx="42">
                        <c:v>20258</c:v>
                      </c:pt>
                      <c:pt idx="43">
                        <c:v>19252</c:v>
                      </c:pt>
                      <c:pt idx="44">
                        <c:v>19605</c:v>
                      </c:pt>
                      <c:pt idx="45">
                        <c:v>17136</c:v>
                      </c:pt>
                      <c:pt idx="46">
                        <c:v>17885</c:v>
                      </c:pt>
                      <c:pt idx="47">
                        <c:v>17016</c:v>
                      </c:pt>
                      <c:pt idx="48">
                        <c:v>17323</c:v>
                      </c:pt>
                      <c:pt idx="49">
                        <c:v>13039</c:v>
                      </c:pt>
                      <c:pt idx="50">
                        <c:v>16767</c:v>
                      </c:pt>
                      <c:pt idx="51">
                        <c:v>16064</c:v>
                      </c:pt>
                      <c:pt idx="52">
                        <c:v>17083</c:v>
                      </c:pt>
                      <c:pt idx="53">
                        <c:v>15497</c:v>
                      </c:pt>
                      <c:pt idx="54">
                        <c:v>15453</c:v>
                      </c:pt>
                      <c:pt idx="55">
                        <c:v>15242</c:v>
                      </c:pt>
                      <c:pt idx="56">
                        <c:v>16884</c:v>
                      </c:pt>
                      <c:pt idx="57">
                        <c:v>13226</c:v>
                      </c:pt>
                      <c:pt idx="58">
                        <c:v>12852</c:v>
                      </c:pt>
                      <c:pt idx="59">
                        <c:v>15803</c:v>
                      </c:pt>
                      <c:pt idx="60">
                        <c:v>18229</c:v>
                      </c:pt>
                      <c:pt idx="61">
                        <c:v>13710</c:v>
                      </c:pt>
                      <c:pt idx="62">
                        <c:v>11029</c:v>
                      </c:pt>
                      <c:pt idx="63">
                        <c:v>15550</c:v>
                      </c:pt>
                      <c:pt idx="64">
                        <c:v>19788</c:v>
                      </c:pt>
                      <c:pt idx="65">
                        <c:v>14150</c:v>
                      </c:pt>
                      <c:pt idx="66">
                        <c:v>22647</c:v>
                      </c:pt>
                      <c:pt idx="67">
                        <c:v>22312</c:v>
                      </c:pt>
                      <c:pt idx="68">
                        <c:v>27428</c:v>
                      </c:pt>
                      <c:pt idx="69">
                        <c:v>27762</c:v>
                      </c:pt>
                      <c:pt idx="70">
                        <c:v>28890</c:v>
                      </c:pt>
                      <c:pt idx="71">
                        <c:v>28603</c:v>
                      </c:pt>
                      <c:pt idx="72">
                        <c:v>27187</c:v>
                      </c:pt>
                      <c:pt idx="73">
                        <c:v>19438</c:v>
                      </c:pt>
                      <c:pt idx="74">
                        <c:v>18266</c:v>
                      </c:pt>
                      <c:pt idx="75">
                        <c:v>22478</c:v>
                      </c:pt>
                      <c:pt idx="76">
                        <c:v>28009</c:v>
                      </c:pt>
                      <c:pt idx="77">
                        <c:v>20901</c:v>
                      </c:pt>
                      <c:pt idx="78">
                        <c:v>23076</c:v>
                      </c:pt>
                      <c:pt idx="79">
                        <c:v>16145</c:v>
                      </c:pt>
                      <c:pt idx="80">
                        <c:v>20668</c:v>
                      </c:pt>
                      <c:pt idx="81">
                        <c:v>19075</c:v>
                      </c:pt>
                      <c:pt idx="82">
                        <c:v>19388</c:v>
                      </c:pt>
                      <c:pt idx="83">
                        <c:v>22739</c:v>
                      </c:pt>
                      <c:pt idx="84">
                        <c:v>27348</c:v>
                      </c:pt>
                      <c:pt idx="85">
                        <c:v>14857</c:v>
                      </c:pt>
                      <c:pt idx="86">
                        <c:v>18623</c:v>
                      </c:pt>
                      <c:pt idx="87">
                        <c:v>22506</c:v>
                      </c:pt>
                      <c:pt idx="88">
                        <c:v>23577</c:v>
                      </c:pt>
                      <c:pt idx="89">
                        <c:v>17632</c:v>
                      </c:pt>
                      <c:pt idx="90">
                        <c:v>25155</c:v>
                      </c:pt>
                      <c:pt idx="91">
                        <c:v>19784</c:v>
                      </c:pt>
                      <c:pt idx="92">
                        <c:v>20600</c:v>
                      </c:pt>
                      <c:pt idx="93">
                        <c:v>22383</c:v>
                      </c:pt>
                      <c:pt idx="94">
                        <c:v>18712</c:v>
                      </c:pt>
                      <c:pt idx="95">
                        <c:v>20819</c:v>
                      </c:pt>
                      <c:pt idx="96">
                        <c:v>19078</c:v>
                      </c:pt>
                      <c:pt idx="97">
                        <c:v>16236</c:v>
                      </c:pt>
                      <c:pt idx="98">
                        <c:v>20816</c:v>
                      </c:pt>
                      <c:pt idx="99">
                        <c:v>18454</c:v>
                      </c:pt>
                      <c:pt idx="100">
                        <c:v>14246</c:v>
                      </c:pt>
                      <c:pt idx="101">
                        <c:v>2666</c:v>
                      </c:pt>
                      <c:pt idx="102">
                        <c:v>20053</c:v>
                      </c:pt>
                      <c:pt idx="103">
                        <c:v>21176</c:v>
                      </c:pt>
                      <c:pt idx="104">
                        <c:v>23811</c:v>
                      </c:pt>
                      <c:pt idx="105">
                        <c:v>24509</c:v>
                      </c:pt>
                      <c:pt idx="106">
                        <c:v>28438</c:v>
                      </c:pt>
                      <c:pt idx="107">
                        <c:v>24173</c:v>
                      </c:pt>
                      <c:pt idx="108">
                        <c:v>30110</c:v>
                      </c:pt>
                      <c:pt idx="109">
                        <c:v>25265</c:v>
                      </c:pt>
                      <c:pt idx="110">
                        <c:v>21091</c:v>
                      </c:pt>
                      <c:pt idx="111">
                        <c:v>21053</c:v>
                      </c:pt>
                      <c:pt idx="112">
                        <c:v>30719</c:v>
                      </c:pt>
                      <c:pt idx="113">
                        <c:v>25043</c:v>
                      </c:pt>
                      <c:pt idx="114">
                        <c:v>32022</c:v>
                      </c:pt>
                      <c:pt idx="115">
                        <c:v>25960</c:v>
                      </c:pt>
                      <c:pt idx="116">
                        <c:v>25274</c:v>
                      </c:pt>
                      <c:pt idx="117">
                        <c:v>22068</c:v>
                      </c:pt>
                      <c:pt idx="118">
                        <c:v>28205</c:v>
                      </c:pt>
                      <c:pt idx="119">
                        <c:v>25626</c:v>
                      </c:pt>
                      <c:pt idx="120">
                        <c:v>29346</c:v>
                      </c:pt>
                      <c:pt idx="121">
                        <c:v>31486</c:v>
                      </c:pt>
                      <c:pt idx="122">
                        <c:v>23494</c:v>
                      </c:pt>
                      <c:pt idx="123">
                        <c:v>30389</c:v>
                      </c:pt>
                      <c:pt idx="124">
                        <c:v>36422</c:v>
                      </c:pt>
                      <c:pt idx="125">
                        <c:v>31089</c:v>
                      </c:pt>
                      <c:pt idx="126">
                        <c:v>31238</c:v>
                      </c:pt>
                      <c:pt idx="127">
                        <c:v>23416</c:v>
                      </c:pt>
                      <c:pt idx="128">
                        <c:v>19303</c:v>
                      </c:pt>
                      <c:pt idx="129">
                        <c:v>21795</c:v>
                      </c:pt>
                      <c:pt idx="130">
                        <c:v>24158</c:v>
                      </c:pt>
                      <c:pt idx="131">
                        <c:v>19975</c:v>
                      </c:pt>
                      <c:pt idx="132">
                        <c:v>14889</c:v>
                      </c:pt>
                      <c:pt idx="133">
                        <c:v>9042</c:v>
                      </c:pt>
                      <c:pt idx="134">
                        <c:v>8989</c:v>
                      </c:pt>
                      <c:pt idx="135">
                        <c:v>16350</c:v>
                      </c:pt>
                      <c:pt idx="136">
                        <c:v>20663</c:v>
                      </c:pt>
                      <c:pt idx="137">
                        <c:v>14493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BDE-407F-8301-891D36AF46BA}"/>
                  </c:ext>
                </c:extLst>
              </c15:ser>
            </c15:filteredLineSeries>
          </c:ext>
        </c:extLst>
      </c:lineChart>
      <c:dateAx>
        <c:axId val="45618367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455"/>
        <c:crosses val="autoZero"/>
        <c:auto val="1"/>
        <c:lblOffset val="100"/>
        <c:baseTimeUnit val="months"/>
      </c:dateAx>
      <c:valAx>
        <c:axId val="2998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8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SEC</a:t>
            </a:r>
            <a:r>
              <a:rPr lang="en-NZ" baseline="0"/>
              <a:t> W/O's and SKU's Made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'Group Totals'!$S$3</c:f>
              <c:strCache>
                <c:ptCount val="1"/>
                <c:pt idx="0">
                  <c:v>SEC W/O's (excludes 2A's)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Totals'!$S$4:$S$144</c:f>
              <c:numCache>
                <c:formatCode>General</c:formatCode>
                <c:ptCount val="141"/>
                <c:pt idx="0">
                  <c:v>142</c:v>
                </c:pt>
                <c:pt idx="1">
                  <c:v>95</c:v>
                </c:pt>
                <c:pt idx="2">
                  <c:v>94</c:v>
                </c:pt>
                <c:pt idx="3">
                  <c:v>106</c:v>
                </c:pt>
                <c:pt idx="4">
                  <c:v>98</c:v>
                </c:pt>
                <c:pt idx="5">
                  <c:v>135</c:v>
                </c:pt>
                <c:pt idx="6">
                  <c:v>125</c:v>
                </c:pt>
                <c:pt idx="7">
                  <c:v>114</c:v>
                </c:pt>
                <c:pt idx="8">
                  <c:v>156</c:v>
                </c:pt>
                <c:pt idx="9">
                  <c:v>121</c:v>
                </c:pt>
                <c:pt idx="10">
                  <c:v>125</c:v>
                </c:pt>
                <c:pt idx="11">
                  <c:v>142</c:v>
                </c:pt>
                <c:pt idx="12">
                  <c:v>144</c:v>
                </c:pt>
                <c:pt idx="13">
                  <c:v>95</c:v>
                </c:pt>
                <c:pt idx="14">
                  <c:v>75</c:v>
                </c:pt>
                <c:pt idx="15">
                  <c:v>114</c:v>
                </c:pt>
                <c:pt idx="16">
                  <c:v>103</c:v>
                </c:pt>
                <c:pt idx="17">
                  <c:v>116</c:v>
                </c:pt>
                <c:pt idx="18">
                  <c:v>108</c:v>
                </c:pt>
                <c:pt idx="19">
                  <c:v>95</c:v>
                </c:pt>
                <c:pt idx="20">
                  <c:v>160</c:v>
                </c:pt>
                <c:pt idx="21">
                  <c:v>109</c:v>
                </c:pt>
                <c:pt idx="22">
                  <c:v>145</c:v>
                </c:pt>
                <c:pt idx="23">
                  <c:v>109</c:v>
                </c:pt>
                <c:pt idx="24">
                  <c:v>109</c:v>
                </c:pt>
                <c:pt idx="25">
                  <c:v>88</c:v>
                </c:pt>
                <c:pt idx="26">
                  <c:v>78</c:v>
                </c:pt>
                <c:pt idx="27">
                  <c:v>90</c:v>
                </c:pt>
                <c:pt idx="28">
                  <c:v>125</c:v>
                </c:pt>
                <c:pt idx="29">
                  <c:v>77</c:v>
                </c:pt>
                <c:pt idx="30">
                  <c:v>95</c:v>
                </c:pt>
                <c:pt idx="31">
                  <c:v>119</c:v>
                </c:pt>
                <c:pt idx="32">
                  <c:v>108</c:v>
                </c:pt>
                <c:pt idx="33">
                  <c:v>110</c:v>
                </c:pt>
                <c:pt idx="34">
                  <c:v>145</c:v>
                </c:pt>
                <c:pt idx="35">
                  <c:v>124</c:v>
                </c:pt>
                <c:pt idx="36">
                  <c:v>106</c:v>
                </c:pt>
                <c:pt idx="37">
                  <c:v>117</c:v>
                </c:pt>
                <c:pt idx="38">
                  <c:v>52</c:v>
                </c:pt>
                <c:pt idx="39">
                  <c:v>98</c:v>
                </c:pt>
                <c:pt idx="40">
                  <c:v>110</c:v>
                </c:pt>
                <c:pt idx="41">
                  <c:v>91</c:v>
                </c:pt>
                <c:pt idx="42">
                  <c:v>103</c:v>
                </c:pt>
                <c:pt idx="43">
                  <c:v>117</c:v>
                </c:pt>
                <c:pt idx="44">
                  <c:v>101</c:v>
                </c:pt>
                <c:pt idx="45">
                  <c:v>133</c:v>
                </c:pt>
                <c:pt idx="46">
                  <c:v>107</c:v>
                </c:pt>
                <c:pt idx="47">
                  <c:v>116</c:v>
                </c:pt>
                <c:pt idx="48">
                  <c:v>132</c:v>
                </c:pt>
                <c:pt idx="49">
                  <c:v>79</c:v>
                </c:pt>
                <c:pt idx="50">
                  <c:v>55</c:v>
                </c:pt>
                <c:pt idx="51">
                  <c:v>88</c:v>
                </c:pt>
                <c:pt idx="52">
                  <c:v>82</c:v>
                </c:pt>
                <c:pt idx="53">
                  <c:v>62</c:v>
                </c:pt>
                <c:pt idx="54">
                  <c:v>62</c:v>
                </c:pt>
                <c:pt idx="55">
                  <c:v>69</c:v>
                </c:pt>
                <c:pt idx="56">
                  <c:v>80</c:v>
                </c:pt>
                <c:pt idx="57">
                  <c:v>113</c:v>
                </c:pt>
                <c:pt idx="58">
                  <c:v>118</c:v>
                </c:pt>
                <c:pt idx="59">
                  <c:v>132</c:v>
                </c:pt>
                <c:pt idx="60">
                  <c:v>79</c:v>
                </c:pt>
                <c:pt idx="61">
                  <c:v>60</c:v>
                </c:pt>
                <c:pt idx="62">
                  <c:v>99</c:v>
                </c:pt>
                <c:pt idx="63">
                  <c:v>115</c:v>
                </c:pt>
                <c:pt idx="64">
                  <c:v>128</c:v>
                </c:pt>
                <c:pt idx="65">
                  <c:v>103</c:v>
                </c:pt>
                <c:pt idx="66">
                  <c:v>129</c:v>
                </c:pt>
                <c:pt idx="67">
                  <c:v>95</c:v>
                </c:pt>
                <c:pt idx="68">
                  <c:v>125</c:v>
                </c:pt>
                <c:pt idx="69">
                  <c:v>110</c:v>
                </c:pt>
                <c:pt idx="70">
                  <c:v>106</c:v>
                </c:pt>
                <c:pt idx="71">
                  <c:v>106</c:v>
                </c:pt>
                <c:pt idx="72">
                  <c:v>90</c:v>
                </c:pt>
                <c:pt idx="73">
                  <c:v>88</c:v>
                </c:pt>
                <c:pt idx="74">
                  <c:v>69</c:v>
                </c:pt>
                <c:pt idx="75">
                  <c:v>77</c:v>
                </c:pt>
                <c:pt idx="76">
                  <c:v>93</c:v>
                </c:pt>
                <c:pt idx="77">
                  <c:v>97</c:v>
                </c:pt>
                <c:pt idx="78">
                  <c:v>97</c:v>
                </c:pt>
                <c:pt idx="79">
                  <c:v>101</c:v>
                </c:pt>
                <c:pt idx="80">
                  <c:v>147</c:v>
                </c:pt>
                <c:pt idx="81">
                  <c:v>117</c:v>
                </c:pt>
                <c:pt idx="82">
                  <c:v>123</c:v>
                </c:pt>
                <c:pt idx="83">
                  <c:v>139</c:v>
                </c:pt>
                <c:pt idx="84">
                  <c:v>119</c:v>
                </c:pt>
                <c:pt idx="85">
                  <c:v>86</c:v>
                </c:pt>
                <c:pt idx="86">
                  <c:v>69</c:v>
                </c:pt>
                <c:pt idx="87">
                  <c:v>93</c:v>
                </c:pt>
                <c:pt idx="88">
                  <c:v>79</c:v>
                </c:pt>
                <c:pt idx="89">
                  <c:v>78</c:v>
                </c:pt>
                <c:pt idx="90">
                  <c:v>71</c:v>
                </c:pt>
                <c:pt idx="91">
                  <c:v>70</c:v>
                </c:pt>
                <c:pt idx="92">
                  <c:v>93</c:v>
                </c:pt>
                <c:pt idx="93">
                  <c:v>87</c:v>
                </c:pt>
                <c:pt idx="94">
                  <c:v>110</c:v>
                </c:pt>
                <c:pt idx="95">
                  <c:v>84</c:v>
                </c:pt>
                <c:pt idx="96">
                  <c:v>93</c:v>
                </c:pt>
                <c:pt idx="97">
                  <c:v>64</c:v>
                </c:pt>
                <c:pt idx="98">
                  <c:v>67</c:v>
                </c:pt>
                <c:pt idx="99">
                  <c:v>62</c:v>
                </c:pt>
                <c:pt idx="100">
                  <c:v>68</c:v>
                </c:pt>
                <c:pt idx="101">
                  <c:v>28</c:v>
                </c:pt>
                <c:pt idx="102">
                  <c:v>82</c:v>
                </c:pt>
                <c:pt idx="103">
                  <c:v>109</c:v>
                </c:pt>
                <c:pt idx="104">
                  <c:v>93</c:v>
                </c:pt>
                <c:pt idx="105">
                  <c:v>74</c:v>
                </c:pt>
                <c:pt idx="106">
                  <c:v>62</c:v>
                </c:pt>
                <c:pt idx="107">
                  <c:v>72</c:v>
                </c:pt>
                <c:pt idx="108">
                  <c:v>75</c:v>
                </c:pt>
                <c:pt idx="109">
                  <c:v>57</c:v>
                </c:pt>
                <c:pt idx="110">
                  <c:v>55</c:v>
                </c:pt>
                <c:pt idx="111">
                  <c:v>72</c:v>
                </c:pt>
                <c:pt idx="112">
                  <c:v>75</c:v>
                </c:pt>
                <c:pt idx="113">
                  <c:v>54</c:v>
                </c:pt>
                <c:pt idx="114">
                  <c:v>84</c:v>
                </c:pt>
                <c:pt idx="115">
                  <c:v>76</c:v>
                </c:pt>
                <c:pt idx="116">
                  <c:v>84</c:v>
                </c:pt>
                <c:pt idx="117">
                  <c:v>95</c:v>
                </c:pt>
                <c:pt idx="118">
                  <c:v>107</c:v>
                </c:pt>
                <c:pt idx="119">
                  <c:v>91</c:v>
                </c:pt>
                <c:pt idx="120">
                  <c:v>142</c:v>
                </c:pt>
                <c:pt idx="121">
                  <c:v>93</c:v>
                </c:pt>
                <c:pt idx="122">
                  <c:v>90</c:v>
                </c:pt>
                <c:pt idx="123">
                  <c:v>108</c:v>
                </c:pt>
                <c:pt idx="124">
                  <c:v>98</c:v>
                </c:pt>
                <c:pt idx="125">
                  <c:v>71</c:v>
                </c:pt>
                <c:pt idx="126">
                  <c:v>92</c:v>
                </c:pt>
                <c:pt idx="127">
                  <c:v>89</c:v>
                </c:pt>
                <c:pt idx="128">
                  <c:v>78</c:v>
                </c:pt>
                <c:pt idx="129">
                  <c:v>112</c:v>
                </c:pt>
                <c:pt idx="130">
                  <c:v>122</c:v>
                </c:pt>
                <c:pt idx="131">
                  <c:v>122</c:v>
                </c:pt>
                <c:pt idx="132">
                  <c:v>80</c:v>
                </c:pt>
                <c:pt idx="133">
                  <c:v>52</c:v>
                </c:pt>
                <c:pt idx="134">
                  <c:v>34</c:v>
                </c:pt>
                <c:pt idx="135">
                  <c:v>50</c:v>
                </c:pt>
                <c:pt idx="136">
                  <c:v>47</c:v>
                </c:pt>
                <c:pt idx="137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E-4EE5-A74E-B3F41272F931}"/>
            </c:ext>
          </c:extLst>
        </c:ser>
        <c:ser>
          <c:idx val="2"/>
          <c:order val="2"/>
          <c:tx>
            <c:strRef>
              <c:f>'Group Totals'!$U$3</c:f>
              <c:strCache>
                <c:ptCount val="1"/>
                <c:pt idx="0">
                  <c:v>SEC SKU's (excludes 2A's)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Totals'!$U$4:$U$144</c:f>
              <c:numCache>
                <c:formatCode>_-* #,##0_-;\-* #,##0_-;_-* "-"??_-;_-@_-</c:formatCode>
                <c:ptCount val="141"/>
                <c:pt idx="77">
                  <c:v>50</c:v>
                </c:pt>
                <c:pt idx="78">
                  <c:v>63</c:v>
                </c:pt>
                <c:pt idx="79">
                  <c:v>68</c:v>
                </c:pt>
                <c:pt idx="80">
                  <c:v>75</c:v>
                </c:pt>
                <c:pt idx="81">
                  <c:v>63</c:v>
                </c:pt>
                <c:pt idx="82">
                  <c:v>64</c:v>
                </c:pt>
                <c:pt idx="83">
                  <c:v>67</c:v>
                </c:pt>
                <c:pt idx="84">
                  <c:v>68</c:v>
                </c:pt>
                <c:pt idx="85">
                  <c:v>57</c:v>
                </c:pt>
                <c:pt idx="86">
                  <c:v>46</c:v>
                </c:pt>
                <c:pt idx="87">
                  <c:v>58</c:v>
                </c:pt>
                <c:pt idx="88">
                  <c:v>52</c:v>
                </c:pt>
                <c:pt idx="89">
                  <c:v>47</c:v>
                </c:pt>
                <c:pt idx="90">
                  <c:v>48</c:v>
                </c:pt>
                <c:pt idx="91">
                  <c:v>41</c:v>
                </c:pt>
                <c:pt idx="92">
                  <c:v>49</c:v>
                </c:pt>
                <c:pt idx="93">
                  <c:v>57</c:v>
                </c:pt>
                <c:pt idx="94">
                  <c:v>58</c:v>
                </c:pt>
                <c:pt idx="95">
                  <c:v>51</c:v>
                </c:pt>
                <c:pt idx="96">
                  <c:v>58</c:v>
                </c:pt>
                <c:pt idx="97">
                  <c:v>43</c:v>
                </c:pt>
                <c:pt idx="98">
                  <c:v>39</c:v>
                </c:pt>
                <c:pt idx="99">
                  <c:v>41</c:v>
                </c:pt>
                <c:pt idx="100">
                  <c:v>42</c:v>
                </c:pt>
                <c:pt idx="101">
                  <c:v>23</c:v>
                </c:pt>
                <c:pt idx="102">
                  <c:v>51</c:v>
                </c:pt>
                <c:pt idx="103">
                  <c:v>59</c:v>
                </c:pt>
                <c:pt idx="104">
                  <c:v>58</c:v>
                </c:pt>
                <c:pt idx="105">
                  <c:v>53</c:v>
                </c:pt>
                <c:pt idx="106">
                  <c:v>44</c:v>
                </c:pt>
                <c:pt idx="107">
                  <c:v>52</c:v>
                </c:pt>
                <c:pt idx="108">
                  <c:v>52</c:v>
                </c:pt>
                <c:pt idx="109">
                  <c:v>49</c:v>
                </c:pt>
                <c:pt idx="110">
                  <c:v>42</c:v>
                </c:pt>
                <c:pt idx="111">
                  <c:v>51</c:v>
                </c:pt>
                <c:pt idx="112">
                  <c:v>49</c:v>
                </c:pt>
                <c:pt idx="113">
                  <c:v>37</c:v>
                </c:pt>
                <c:pt idx="114">
                  <c:v>56</c:v>
                </c:pt>
                <c:pt idx="115">
                  <c:v>56</c:v>
                </c:pt>
                <c:pt idx="116">
                  <c:v>59</c:v>
                </c:pt>
                <c:pt idx="117">
                  <c:v>59</c:v>
                </c:pt>
                <c:pt idx="118">
                  <c:v>68</c:v>
                </c:pt>
                <c:pt idx="119">
                  <c:v>57</c:v>
                </c:pt>
                <c:pt idx="120">
                  <c:v>82</c:v>
                </c:pt>
                <c:pt idx="121">
                  <c:v>71</c:v>
                </c:pt>
                <c:pt idx="122">
                  <c:v>60</c:v>
                </c:pt>
                <c:pt idx="123">
                  <c:v>77</c:v>
                </c:pt>
                <c:pt idx="124">
                  <c:v>66</c:v>
                </c:pt>
                <c:pt idx="125">
                  <c:v>53</c:v>
                </c:pt>
                <c:pt idx="126">
                  <c:v>67</c:v>
                </c:pt>
                <c:pt idx="127">
                  <c:v>55</c:v>
                </c:pt>
                <c:pt idx="128">
                  <c:v>52</c:v>
                </c:pt>
                <c:pt idx="129">
                  <c:v>73</c:v>
                </c:pt>
                <c:pt idx="130">
                  <c:v>62</c:v>
                </c:pt>
                <c:pt idx="131">
                  <c:v>88</c:v>
                </c:pt>
                <c:pt idx="132">
                  <c:v>55</c:v>
                </c:pt>
                <c:pt idx="133">
                  <c:v>39</c:v>
                </c:pt>
                <c:pt idx="134">
                  <c:v>32</c:v>
                </c:pt>
                <c:pt idx="135">
                  <c:v>37</c:v>
                </c:pt>
                <c:pt idx="136">
                  <c:v>39</c:v>
                </c:pt>
                <c:pt idx="137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E-4EE5-A74E-B3F41272F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183679"/>
        <c:axId val="299859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Totals'!$Q$3</c15:sqref>
                        </c15:formulaRef>
                      </c:ext>
                    </c:extLst>
                    <c:strCache>
                      <c:ptCount val="1"/>
                      <c:pt idx="0">
                        <c:v>SEC Completed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Totals'!$Q$4:$Q$144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0">
                        <c:v>11273</c:v>
                      </c:pt>
                      <c:pt idx="1">
                        <c:v>6609</c:v>
                      </c:pt>
                      <c:pt idx="2">
                        <c:v>4929</c:v>
                      </c:pt>
                      <c:pt idx="3">
                        <c:v>5199</c:v>
                      </c:pt>
                      <c:pt idx="4">
                        <c:v>7178</c:v>
                      </c:pt>
                      <c:pt idx="5">
                        <c:v>6802</c:v>
                      </c:pt>
                      <c:pt idx="6">
                        <c:v>6297</c:v>
                      </c:pt>
                      <c:pt idx="7">
                        <c:v>7326</c:v>
                      </c:pt>
                      <c:pt idx="8">
                        <c:v>9335</c:v>
                      </c:pt>
                      <c:pt idx="9">
                        <c:v>7473</c:v>
                      </c:pt>
                      <c:pt idx="10">
                        <c:v>8059</c:v>
                      </c:pt>
                      <c:pt idx="11">
                        <c:v>7137</c:v>
                      </c:pt>
                      <c:pt idx="12">
                        <c:v>6454</c:v>
                      </c:pt>
                      <c:pt idx="13">
                        <c:v>5070</c:v>
                      </c:pt>
                      <c:pt idx="14">
                        <c:v>3659</c:v>
                      </c:pt>
                      <c:pt idx="15">
                        <c:v>5707</c:v>
                      </c:pt>
                      <c:pt idx="16">
                        <c:v>5219</c:v>
                      </c:pt>
                      <c:pt idx="17">
                        <c:v>5946</c:v>
                      </c:pt>
                      <c:pt idx="18">
                        <c:v>5823</c:v>
                      </c:pt>
                      <c:pt idx="19">
                        <c:v>5710</c:v>
                      </c:pt>
                      <c:pt idx="20">
                        <c:v>8707</c:v>
                      </c:pt>
                      <c:pt idx="21">
                        <c:v>7474</c:v>
                      </c:pt>
                      <c:pt idx="22">
                        <c:v>9721</c:v>
                      </c:pt>
                      <c:pt idx="23">
                        <c:v>7762</c:v>
                      </c:pt>
                      <c:pt idx="24">
                        <c:v>7811</c:v>
                      </c:pt>
                      <c:pt idx="25">
                        <c:v>6813</c:v>
                      </c:pt>
                      <c:pt idx="26">
                        <c:v>7401</c:v>
                      </c:pt>
                      <c:pt idx="27">
                        <c:v>7749</c:v>
                      </c:pt>
                      <c:pt idx="28">
                        <c:v>10664</c:v>
                      </c:pt>
                      <c:pt idx="29">
                        <c:v>6020</c:v>
                      </c:pt>
                      <c:pt idx="30">
                        <c:v>7584</c:v>
                      </c:pt>
                      <c:pt idx="31">
                        <c:v>8342</c:v>
                      </c:pt>
                      <c:pt idx="32">
                        <c:v>8072</c:v>
                      </c:pt>
                      <c:pt idx="33">
                        <c:v>8169</c:v>
                      </c:pt>
                      <c:pt idx="34">
                        <c:v>11567</c:v>
                      </c:pt>
                      <c:pt idx="35">
                        <c:v>9726</c:v>
                      </c:pt>
                      <c:pt idx="36">
                        <c:v>9499</c:v>
                      </c:pt>
                      <c:pt idx="37">
                        <c:v>10661</c:v>
                      </c:pt>
                      <c:pt idx="38">
                        <c:v>4736</c:v>
                      </c:pt>
                      <c:pt idx="39">
                        <c:v>8288</c:v>
                      </c:pt>
                      <c:pt idx="40">
                        <c:v>10106</c:v>
                      </c:pt>
                      <c:pt idx="41">
                        <c:v>7568</c:v>
                      </c:pt>
                      <c:pt idx="42">
                        <c:v>8272</c:v>
                      </c:pt>
                      <c:pt idx="43">
                        <c:v>9757</c:v>
                      </c:pt>
                      <c:pt idx="44">
                        <c:v>7863</c:v>
                      </c:pt>
                      <c:pt idx="45">
                        <c:v>9407</c:v>
                      </c:pt>
                      <c:pt idx="46">
                        <c:v>10698</c:v>
                      </c:pt>
                      <c:pt idx="47">
                        <c:v>10659</c:v>
                      </c:pt>
                      <c:pt idx="48">
                        <c:v>14024</c:v>
                      </c:pt>
                      <c:pt idx="49">
                        <c:v>8676</c:v>
                      </c:pt>
                      <c:pt idx="50">
                        <c:v>6426</c:v>
                      </c:pt>
                      <c:pt idx="51">
                        <c:v>8482</c:v>
                      </c:pt>
                      <c:pt idx="52">
                        <c:v>9057</c:v>
                      </c:pt>
                      <c:pt idx="53">
                        <c:v>6515</c:v>
                      </c:pt>
                      <c:pt idx="54">
                        <c:v>6415</c:v>
                      </c:pt>
                      <c:pt idx="55">
                        <c:v>5291</c:v>
                      </c:pt>
                      <c:pt idx="56">
                        <c:v>8242</c:v>
                      </c:pt>
                      <c:pt idx="57">
                        <c:v>11506</c:v>
                      </c:pt>
                      <c:pt idx="58">
                        <c:v>8829</c:v>
                      </c:pt>
                      <c:pt idx="59">
                        <c:v>13416</c:v>
                      </c:pt>
                      <c:pt idx="60">
                        <c:v>10255</c:v>
                      </c:pt>
                      <c:pt idx="61">
                        <c:v>7566</c:v>
                      </c:pt>
                      <c:pt idx="62">
                        <c:v>10985</c:v>
                      </c:pt>
                      <c:pt idx="63">
                        <c:v>12644</c:v>
                      </c:pt>
                      <c:pt idx="64">
                        <c:v>13909</c:v>
                      </c:pt>
                      <c:pt idx="65">
                        <c:v>11388</c:v>
                      </c:pt>
                      <c:pt idx="66">
                        <c:v>16170</c:v>
                      </c:pt>
                      <c:pt idx="67">
                        <c:v>12617</c:v>
                      </c:pt>
                      <c:pt idx="68">
                        <c:v>16163</c:v>
                      </c:pt>
                      <c:pt idx="69">
                        <c:v>11758</c:v>
                      </c:pt>
                      <c:pt idx="70">
                        <c:v>14743</c:v>
                      </c:pt>
                      <c:pt idx="71">
                        <c:v>14271</c:v>
                      </c:pt>
                      <c:pt idx="72">
                        <c:v>13164</c:v>
                      </c:pt>
                      <c:pt idx="73">
                        <c:v>9374</c:v>
                      </c:pt>
                      <c:pt idx="74">
                        <c:v>8530</c:v>
                      </c:pt>
                      <c:pt idx="75">
                        <c:v>8729</c:v>
                      </c:pt>
                      <c:pt idx="76">
                        <c:v>11302</c:v>
                      </c:pt>
                      <c:pt idx="77">
                        <c:v>12245</c:v>
                      </c:pt>
                      <c:pt idx="78">
                        <c:v>11890</c:v>
                      </c:pt>
                      <c:pt idx="79">
                        <c:v>12296</c:v>
                      </c:pt>
                      <c:pt idx="80">
                        <c:v>14150</c:v>
                      </c:pt>
                      <c:pt idx="81">
                        <c:v>13703</c:v>
                      </c:pt>
                      <c:pt idx="82">
                        <c:v>15542</c:v>
                      </c:pt>
                      <c:pt idx="83">
                        <c:v>19987</c:v>
                      </c:pt>
                      <c:pt idx="84">
                        <c:v>17834</c:v>
                      </c:pt>
                      <c:pt idx="85">
                        <c:v>12768</c:v>
                      </c:pt>
                      <c:pt idx="86">
                        <c:v>11865</c:v>
                      </c:pt>
                      <c:pt idx="87">
                        <c:v>15780</c:v>
                      </c:pt>
                      <c:pt idx="88">
                        <c:v>11380</c:v>
                      </c:pt>
                      <c:pt idx="89">
                        <c:v>11960</c:v>
                      </c:pt>
                      <c:pt idx="90">
                        <c:v>12625</c:v>
                      </c:pt>
                      <c:pt idx="91">
                        <c:v>12902</c:v>
                      </c:pt>
                      <c:pt idx="92">
                        <c:v>15477</c:v>
                      </c:pt>
                      <c:pt idx="93">
                        <c:v>16558</c:v>
                      </c:pt>
                      <c:pt idx="94">
                        <c:v>19241</c:v>
                      </c:pt>
                      <c:pt idx="95">
                        <c:v>15291</c:v>
                      </c:pt>
                      <c:pt idx="96">
                        <c:v>15252</c:v>
                      </c:pt>
                      <c:pt idx="97">
                        <c:v>14238</c:v>
                      </c:pt>
                      <c:pt idx="98">
                        <c:v>18241</c:v>
                      </c:pt>
                      <c:pt idx="99">
                        <c:v>15062</c:v>
                      </c:pt>
                      <c:pt idx="100">
                        <c:v>16484</c:v>
                      </c:pt>
                      <c:pt idx="101">
                        <c:v>5724</c:v>
                      </c:pt>
                      <c:pt idx="102">
                        <c:v>16868</c:v>
                      </c:pt>
                      <c:pt idx="103">
                        <c:v>26657</c:v>
                      </c:pt>
                      <c:pt idx="104">
                        <c:v>24139</c:v>
                      </c:pt>
                      <c:pt idx="105">
                        <c:v>17912</c:v>
                      </c:pt>
                      <c:pt idx="106">
                        <c:v>14201</c:v>
                      </c:pt>
                      <c:pt idx="107">
                        <c:v>14917</c:v>
                      </c:pt>
                      <c:pt idx="108">
                        <c:v>16963</c:v>
                      </c:pt>
                      <c:pt idx="109">
                        <c:v>7905</c:v>
                      </c:pt>
                      <c:pt idx="110">
                        <c:v>12451</c:v>
                      </c:pt>
                      <c:pt idx="111">
                        <c:v>10428</c:v>
                      </c:pt>
                      <c:pt idx="112">
                        <c:v>19813</c:v>
                      </c:pt>
                      <c:pt idx="113">
                        <c:v>10844</c:v>
                      </c:pt>
                      <c:pt idx="114">
                        <c:v>18263</c:v>
                      </c:pt>
                      <c:pt idx="115">
                        <c:v>13628</c:v>
                      </c:pt>
                      <c:pt idx="116">
                        <c:v>19866</c:v>
                      </c:pt>
                      <c:pt idx="117">
                        <c:v>23942</c:v>
                      </c:pt>
                      <c:pt idx="118">
                        <c:v>34318</c:v>
                      </c:pt>
                      <c:pt idx="119">
                        <c:v>36138</c:v>
                      </c:pt>
                      <c:pt idx="120">
                        <c:v>38980</c:v>
                      </c:pt>
                      <c:pt idx="121">
                        <c:v>30630</c:v>
                      </c:pt>
                      <c:pt idx="122">
                        <c:v>19268</c:v>
                      </c:pt>
                      <c:pt idx="123">
                        <c:v>21795</c:v>
                      </c:pt>
                      <c:pt idx="124">
                        <c:v>29526</c:v>
                      </c:pt>
                      <c:pt idx="125">
                        <c:v>27593</c:v>
                      </c:pt>
                      <c:pt idx="126">
                        <c:v>25682</c:v>
                      </c:pt>
                      <c:pt idx="127">
                        <c:v>35456</c:v>
                      </c:pt>
                      <c:pt idx="128">
                        <c:v>28740</c:v>
                      </c:pt>
                      <c:pt idx="129">
                        <c:v>28978</c:v>
                      </c:pt>
                      <c:pt idx="130">
                        <c:v>39831</c:v>
                      </c:pt>
                      <c:pt idx="131">
                        <c:v>33172</c:v>
                      </c:pt>
                      <c:pt idx="132">
                        <c:v>21077</c:v>
                      </c:pt>
                      <c:pt idx="133">
                        <c:v>10987</c:v>
                      </c:pt>
                      <c:pt idx="134">
                        <c:v>8384</c:v>
                      </c:pt>
                      <c:pt idx="135">
                        <c:v>11346</c:v>
                      </c:pt>
                      <c:pt idx="136">
                        <c:v>9991</c:v>
                      </c:pt>
                      <c:pt idx="137">
                        <c:v>9543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A9E-4EE5-A74E-B3F41272F93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Totals'!$W$3</c15:sqref>
                        </c15:formulaRef>
                      </c:ext>
                    </c:extLst>
                    <c:strCache>
                      <c:ptCount val="1"/>
                      <c:pt idx="0">
                        <c:v>AM Completed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Totals'!$W$4:$W$144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0">
                        <c:v>16855</c:v>
                      </c:pt>
                      <c:pt idx="1">
                        <c:v>16741</c:v>
                      </c:pt>
                      <c:pt idx="2">
                        <c:v>17062</c:v>
                      </c:pt>
                      <c:pt idx="3">
                        <c:v>28578</c:v>
                      </c:pt>
                      <c:pt idx="4">
                        <c:v>34055</c:v>
                      </c:pt>
                      <c:pt idx="5">
                        <c:v>29537</c:v>
                      </c:pt>
                      <c:pt idx="6">
                        <c:v>28062</c:v>
                      </c:pt>
                      <c:pt idx="7">
                        <c:v>27283</c:v>
                      </c:pt>
                      <c:pt idx="8">
                        <c:v>22281</c:v>
                      </c:pt>
                      <c:pt idx="9">
                        <c:v>18475</c:v>
                      </c:pt>
                      <c:pt idx="10">
                        <c:v>17024</c:v>
                      </c:pt>
                      <c:pt idx="11">
                        <c:v>19854</c:v>
                      </c:pt>
                      <c:pt idx="12">
                        <c:v>17077</c:v>
                      </c:pt>
                      <c:pt idx="13">
                        <c:v>13881</c:v>
                      </c:pt>
                      <c:pt idx="14">
                        <c:v>16890</c:v>
                      </c:pt>
                      <c:pt idx="15">
                        <c:v>19984</c:v>
                      </c:pt>
                      <c:pt idx="16">
                        <c:v>24061</c:v>
                      </c:pt>
                      <c:pt idx="17">
                        <c:v>25250</c:v>
                      </c:pt>
                      <c:pt idx="18">
                        <c:v>29826</c:v>
                      </c:pt>
                      <c:pt idx="19">
                        <c:v>15635</c:v>
                      </c:pt>
                      <c:pt idx="20">
                        <c:v>23384</c:v>
                      </c:pt>
                      <c:pt idx="21">
                        <c:v>14821</c:v>
                      </c:pt>
                      <c:pt idx="22">
                        <c:v>14524</c:v>
                      </c:pt>
                      <c:pt idx="23">
                        <c:v>15312</c:v>
                      </c:pt>
                      <c:pt idx="24">
                        <c:v>18537</c:v>
                      </c:pt>
                      <c:pt idx="25">
                        <c:v>14216</c:v>
                      </c:pt>
                      <c:pt idx="26">
                        <c:v>15736</c:v>
                      </c:pt>
                      <c:pt idx="27">
                        <c:v>18426</c:v>
                      </c:pt>
                      <c:pt idx="28">
                        <c:v>25678</c:v>
                      </c:pt>
                      <c:pt idx="29">
                        <c:v>23104</c:v>
                      </c:pt>
                      <c:pt idx="30">
                        <c:v>23189</c:v>
                      </c:pt>
                      <c:pt idx="31">
                        <c:v>20914</c:v>
                      </c:pt>
                      <c:pt idx="32">
                        <c:v>25069</c:v>
                      </c:pt>
                      <c:pt idx="33">
                        <c:v>20763</c:v>
                      </c:pt>
                      <c:pt idx="34">
                        <c:v>22414</c:v>
                      </c:pt>
                      <c:pt idx="35">
                        <c:v>19334</c:v>
                      </c:pt>
                      <c:pt idx="36">
                        <c:v>20314</c:v>
                      </c:pt>
                      <c:pt idx="37">
                        <c:v>17059</c:v>
                      </c:pt>
                      <c:pt idx="38">
                        <c:v>13045</c:v>
                      </c:pt>
                      <c:pt idx="39">
                        <c:v>22347</c:v>
                      </c:pt>
                      <c:pt idx="40">
                        <c:v>26394</c:v>
                      </c:pt>
                      <c:pt idx="41">
                        <c:v>19836</c:v>
                      </c:pt>
                      <c:pt idx="42">
                        <c:v>20258</c:v>
                      </c:pt>
                      <c:pt idx="43">
                        <c:v>19252</c:v>
                      </c:pt>
                      <c:pt idx="44">
                        <c:v>19605</c:v>
                      </c:pt>
                      <c:pt idx="45">
                        <c:v>17136</c:v>
                      </c:pt>
                      <c:pt idx="46">
                        <c:v>17885</c:v>
                      </c:pt>
                      <c:pt idx="47">
                        <c:v>17016</c:v>
                      </c:pt>
                      <c:pt idx="48">
                        <c:v>17323</c:v>
                      </c:pt>
                      <c:pt idx="49">
                        <c:v>13039</c:v>
                      </c:pt>
                      <c:pt idx="50">
                        <c:v>16767</c:v>
                      </c:pt>
                      <c:pt idx="51">
                        <c:v>16064</c:v>
                      </c:pt>
                      <c:pt idx="52">
                        <c:v>17083</c:v>
                      </c:pt>
                      <c:pt idx="53">
                        <c:v>15497</c:v>
                      </c:pt>
                      <c:pt idx="54">
                        <c:v>15453</c:v>
                      </c:pt>
                      <c:pt idx="55">
                        <c:v>15242</c:v>
                      </c:pt>
                      <c:pt idx="56">
                        <c:v>16884</c:v>
                      </c:pt>
                      <c:pt idx="57">
                        <c:v>13226</c:v>
                      </c:pt>
                      <c:pt idx="58">
                        <c:v>12852</c:v>
                      </c:pt>
                      <c:pt idx="59">
                        <c:v>15803</c:v>
                      </c:pt>
                      <c:pt idx="60">
                        <c:v>18229</c:v>
                      </c:pt>
                      <c:pt idx="61">
                        <c:v>13710</c:v>
                      </c:pt>
                      <c:pt idx="62">
                        <c:v>11029</c:v>
                      </c:pt>
                      <c:pt idx="63">
                        <c:v>15550</c:v>
                      </c:pt>
                      <c:pt idx="64">
                        <c:v>19788</c:v>
                      </c:pt>
                      <c:pt idx="65">
                        <c:v>14150</c:v>
                      </c:pt>
                      <c:pt idx="66">
                        <c:v>22647</c:v>
                      </c:pt>
                      <c:pt idx="67">
                        <c:v>22312</c:v>
                      </c:pt>
                      <c:pt idx="68">
                        <c:v>27428</c:v>
                      </c:pt>
                      <c:pt idx="69">
                        <c:v>27762</c:v>
                      </c:pt>
                      <c:pt idx="70">
                        <c:v>28890</c:v>
                      </c:pt>
                      <c:pt idx="71">
                        <c:v>28603</c:v>
                      </c:pt>
                      <c:pt idx="72">
                        <c:v>27187</c:v>
                      </c:pt>
                      <c:pt idx="73">
                        <c:v>19438</c:v>
                      </c:pt>
                      <c:pt idx="74">
                        <c:v>18266</c:v>
                      </c:pt>
                      <c:pt idx="75">
                        <c:v>22478</c:v>
                      </c:pt>
                      <c:pt idx="76">
                        <c:v>28009</c:v>
                      </c:pt>
                      <c:pt idx="77">
                        <c:v>20901</c:v>
                      </c:pt>
                      <c:pt idx="78">
                        <c:v>23076</c:v>
                      </c:pt>
                      <c:pt idx="79">
                        <c:v>16145</c:v>
                      </c:pt>
                      <c:pt idx="80">
                        <c:v>20668</c:v>
                      </c:pt>
                      <c:pt idx="81">
                        <c:v>19075</c:v>
                      </c:pt>
                      <c:pt idx="82">
                        <c:v>19388</c:v>
                      </c:pt>
                      <c:pt idx="83">
                        <c:v>22739</c:v>
                      </c:pt>
                      <c:pt idx="84">
                        <c:v>27348</c:v>
                      </c:pt>
                      <c:pt idx="85">
                        <c:v>14857</c:v>
                      </c:pt>
                      <c:pt idx="86">
                        <c:v>18623</c:v>
                      </c:pt>
                      <c:pt idx="87">
                        <c:v>22506</c:v>
                      </c:pt>
                      <c:pt idx="88">
                        <c:v>23577</c:v>
                      </c:pt>
                      <c:pt idx="89">
                        <c:v>17632</c:v>
                      </c:pt>
                      <c:pt idx="90">
                        <c:v>25155</c:v>
                      </c:pt>
                      <c:pt idx="91">
                        <c:v>19784</c:v>
                      </c:pt>
                      <c:pt idx="92">
                        <c:v>20600</c:v>
                      </c:pt>
                      <c:pt idx="93">
                        <c:v>22383</c:v>
                      </c:pt>
                      <c:pt idx="94">
                        <c:v>18712</c:v>
                      </c:pt>
                      <c:pt idx="95">
                        <c:v>20819</c:v>
                      </c:pt>
                      <c:pt idx="96">
                        <c:v>19078</c:v>
                      </c:pt>
                      <c:pt idx="97">
                        <c:v>16236</c:v>
                      </c:pt>
                      <c:pt idx="98">
                        <c:v>20816</c:v>
                      </c:pt>
                      <c:pt idx="99">
                        <c:v>18454</c:v>
                      </c:pt>
                      <c:pt idx="100">
                        <c:v>14246</c:v>
                      </c:pt>
                      <c:pt idx="101">
                        <c:v>2666</c:v>
                      </c:pt>
                      <c:pt idx="102">
                        <c:v>20053</c:v>
                      </c:pt>
                      <c:pt idx="103">
                        <c:v>21176</c:v>
                      </c:pt>
                      <c:pt idx="104">
                        <c:v>23811</c:v>
                      </c:pt>
                      <c:pt idx="105">
                        <c:v>24509</c:v>
                      </c:pt>
                      <c:pt idx="106">
                        <c:v>28438</c:v>
                      </c:pt>
                      <c:pt idx="107">
                        <c:v>24173</c:v>
                      </c:pt>
                      <c:pt idx="108">
                        <c:v>30110</c:v>
                      </c:pt>
                      <c:pt idx="109">
                        <c:v>25265</c:v>
                      </c:pt>
                      <c:pt idx="110">
                        <c:v>21091</c:v>
                      </c:pt>
                      <c:pt idx="111">
                        <c:v>21053</c:v>
                      </c:pt>
                      <c:pt idx="112">
                        <c:v>30719</c:v>
                      </c:pt>
                      <c:pt idx="113">
                        <c:v>25043</c:v>
                      </c:pt>
                      <c:pt idx="114">
                        <c:v>32022</c:v>
                      </c:pt>
                      <c:pt idx="115">
                        <c:v>25960</c:v>
                      </c:pt>
                      <c:pt idx="116">
                        <c:v>25274</c:v>
                      </c:pt>
                      <c:pt idx="117">
                        <c:v>22068</c:v>
                      </c:pt>
                      <c:pt idx="118">
                        <c:v>28205</c:v>
                      </c:pt>
                      <c:pt idx="119">
                        <c:v>25626</c:v>
                      </c:pt>
                      <c:pt idx="120">
                        <c:v>29346</c:v>
                      </c:pt>
                      <c:pt idx="121">
                        <c:v>31486</c:v>
                      </c:pt>
                      <c:pt idx="122">
                        <c:v>23494</c:v>
                      </c:pt>
                      <c:pt idx="123">
                        <c:v>30389</c:v>
                      </c:pt>
                      <c:pt idx="124">
                        <c:v>36422</c:v>
                      </c:pt>
                      <c:pt idx="125">
                        <c:v>31089</c:v>
                      </c:pt>
                      <c:pt idx="126">
                        <c:v>31238</c:v>
                      </c:pt>
                      <c:pt idx="127">
                        <c:v>23416</c:v>
                      </c:pt>
                      <c:pt idx="128">
                        <c:v>19303</c:v>
                      </c:pt>
                      <c:pt idx="129">
                        <c:v>21795</c:v>
                      </c:pt>
                      <c:pt idx="130">
                        <c:v>24158</c:v>
                      </c:pt>
                      <c:pt idx="131">
                        <c:v>19975</c:v>
                      </c:pt>
                      <c:pt idx="132">
                        <c:v>14889</c:v>
                      </c:pt>
                      <c:pt idx="133">
                        <c:v>9042</c:v>
                      </c:pt>
                      <c:pt idx="134">
                        <c:v>8989</c:v>
                      </c:pt>
                      <c:pt idx="135">
                        <c:v>16350</c:v>
                      </c:pt>
                      <c:pt idx="136">
                        <c:v>20663</c:v>
                      </c:pt>
                      <c:pt idx="137">
                        <c:v>14493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A9E-4EE5-A74E-B3F41272F93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Totals'!$Y$3</c15:sqref>
                        </c15:formulaRef>
                      </c:ext>
                    </c:extLst>
                    <c:strCache>
                      <c:ptCount val="1"/>
                      <c:pt idx="0">
                        <c:v>AM W/O's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Totals'!$Y$4:$Y$144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0">
                        <c:v>166</c:v>
                      </c:pt>
                      <c:pt idx="1">
                        <c:v>147</c:v>
                      </c:pt>
                      <c:pt idx="2">
                        <c:v>147</c:v>
                      </c:pt>
                      <c:pt idx="3">
                        <c:v>220</c:v>
                      </c:pt>
                      <c:pt idx="4">
                        <c:v>243</c:v>
                      </c:pt>
                      <c:pt idx="5">
                        <c:v>218</c:v>
                      </c:pt>
                      <c:pt idx="6">
                        <c:v>240</c:v>
                      </c:pt>
                      <c:pt idx="7">
                        <c:v>242</c:v>
                      </c:pt>
                      <c:pt idx="8">
                        <c:v>235</c:v>
                      </c:pt>
                      <c:pt idx="9">
                        <c:v>237</c:v>
                      </c:pt>
                      <c:pt idx="10">
                        <c:v>191</c:v>
                      </c:pt>
                      <c:pt idx="11">
                        <c:v>195</c:v>
                      </c:pt>
                      <c:pt idx="12">
                        <c:v>175</c:v>
                      </c:pt>
                      <c:pt idx="13">
                        <c:v>130</c:v>
                      </c:pt>
                      <c:pt idx="14">
                        <c:v>136</c:v>
                      </c:pt>
                      <c:pt idx="15">
                        <c:v>193</c:v>
                      </c:pt>
                      <c:pt idx="16">
                        <c:v>184</c:v>
                      </c:pt>
                      <c:pt idx="17">
                        <c:v>204</c:v>
                      </c:pt>
                      <c:pt idx="18">
                        <c:v>262</c:v>
                      </c:pt>
                      <c:pt idx="19">
                        <c:v>155</c:v>
                      </c:pt>
                      <c:pt idx="20">
                        <c:v>225</c:v>
                      </c:pt>
                      <c:pt idx="21">
                        <c:v>172</c:v>
                      </c:pt>
                      <c:pt idx="22">
                        <c:v>191</c:v>
                      </c:pt>
                      <c:pt idx="23">
                        <c:v>188</c:v>
                      </c:pt>
                      <c:pt idx="24">
                        <c:v>218</c:v>
                      </c:pt>
                      <c:pt idx="25">
                        <c:v>151</c:v>
                      </c:pt>
                      <c:pt idx="26">
                        <c:v>153</c:v>
                      </c:pt>
                      <c:pt idx="27">
                        <c:v>187</c:v>
                      </c:pt>
                      <c:pt idx="28">
                        <c:v>232</c:v>
                      </c:pt>
                      <c:pt idx="29">
                        <c:v>241</c:v>
                      </c:pt>
                      <c:pt idx="30">
                        <c:v>239</c:v>
                      </c:pt>
                      <c:pt idx="31">
                        <c:v>243</c:v>
                      </c:pt>
                      <c:pt idx="32">
                        <c:v>318</c:v>
                      </c:pt>
                      <c:pt idx="33">
                        <c:v>276</c:v>
                      </c:pt>
                      <c:pt idx="34">
                        <c:v>250</c:v>
                      </c:pt>
                      <c:pt idx="35">
                        <c:v>214</c:v>
                      </c:pt>
                      <c:pt idx="36">
                        <c:v>230</c:v>
                      </c:pt>
                      <c:pt idx="37">
                        <c:v>220</c:v>
                      </c:pt>
                      <c:pt idx="38">
                        <c:v>125</c:v>
                      </c:pt>
                      <c:pt idx="39">
                        <c:v>207</c:v>
                      </c:pt>
                      <c:pt idx="40">
                        <c:v>287</c:v>
                      </c:pt>
                      <c:pt idx="41">
                        <c:v>229</c:v>
                      </c:pt>
                      <c:pt idx="42">
                        <c:v>238</c:v>
                      </c:pt>
                      <c:pt idx="43">
                        <c:v>220</c:v>
                      </c:pt>
                      <c:pt idx="44">
                        <c:v>257</c:v>
                      </c:pt>
                      <c:pt idx="45">
                        <c:v>182</c:v>
                      </c:pt>
                      <c:pt idx="46">
                        <c:v>182</c:v>
                      </c:pt>
                      <c:pt idx="47">
                        <c:v>176</c:v>
                      </c:pt>
                      <c:pt idx="48">
                        <c:v>182</c:v>
                      </c:pt>
                      <c:pt idx="49">
                        <c:v>137</c:v>
                      </c:pt>
                      <c:pt idx="50">
                        <c:v>180</c:v>
                      </c:pt>
                      <c:pt idx="51">
                        <c:v>201</c:v>
                      </c:pt>
                      <c:pt idx="52">
                        <c:v>221</c:v>
                      </c:pt>
                      <c:pt idx="53">
                        <c:v>203</c:v>
                      </c:pt>
                      <c:pt idx="54">
                        <c:v>220</c:v>
                      </c:pt>
                      <c:pt idx="55">
                        <c:v>210</c:v>
                      </c:pt>
                      <c:pt idx="56">
                        <c:v>224</c:v>
                      </c:pt>
                      <c:pt idx="57">
                        <c:v>247</c:v>
                      </c:pt>
                      <c:pt idx="58">
                        <c:v>201</c:v>
                      </c:pt>
                      <c:pt idx="59">
                        <c:v>191</c:v>
                      </c:pt>
                      <c:pt idx="60">
                        <c:v>204</c:v>
                      </c:pt>
                      <c:pt idx="61">
                        <c:v>162</c:v>
                      </c:pt>
                      <c:pt idx="62">
                        <c:v>126</c:v>
                      </c:pt>
                      <c:pt idx="63">
                        <c:v>219</c:v>
                      </c:pt>
                      <c:pt idx="64">
                        <c:v>252</c:v>
                      </c:pt>
                      <c:pt idx="65">
                        <c:v>194</c:v>
                      </c:pt>
                      <c:pt idx="66">
                        <c:v>289</c:v>
                      </c:pt>
                      <c:pt idx="67">
                        <c:v>283</c:v>
                      </c:pt>
                      <c:pt idx="68">
                        <c:v>314</c:v>
                      </c:pt>
                      <c:pt idx="69">
                        <c:v>311</c:v>
                      </c:pt>
                      <c:pt idx="70">
                        <c:v>277</c:v>
                      </c:pt>
                      <c:pt idx="71">
                        <c:v>300</c:v>
                      </c:pt>
                      <c:pt idx="72">
                        <c:v>300</c:v>
                      </c:pt>
                      <c:pt idx="73">
                        <c:v>196</c:v>
                      </c:pt>
                      <c:pt idx="74">
                        <c:v>206</c:v>
                      </c:pt>
                      <c:pt idx="75">
                        <c:v>234</c:v>
                      </c:pt>
                      <c:pt idx="76">
                        <c:v>304</c:v>
                      </c:pt>
                      <c:pt idx="77">
                        <c:v>314</c:v>
                      </c:pt>
                      <c:pt idx="78">
                        <c:v>309</c:v>
                      </c:pt>
                      <c:pt idx="79">
                        <c:v>254</c:v>
                      </c:pt>
                      <c:pt idx="80">
                        <c:v>284</c:v>
                      </c:pt>
                      <c:pt idx="81">
                        <c:v>323</c:v>
                      </c:pt>
                      <c:pt idx="82">
                        <c:v>242</c:v>
                      </c:pt>
                      <c:pt idx="83">
                        <c:v>293</c:v>
                      </c:pt>
                      <c:pt idx="84">
                        <c:v>269</c:v>
                      </c:pt>
                      <c:pt idx="85">
                        <c:v>155</c:v>
                      </c:pt>
                      <c:pt idx="86">
                        <c:v>184</c:v>
                      </c:pt>
                      <c:pt idx="87">
                        <c:v>208</c:v>
                      </c:pt>
                      <c:pt idx="88">
                        <c:v>269</c:v>
                      </c:pt>
                      <c:pt idx="89">
                        <c:v>251</c:v>
                      </c:pt>
                      <c:pt idx="90">
                        <c:v>318</c:v>
                      </c:pt>
                      <c:pt idx="91">
                        <c:v>280</c:v>
                      </c:pt>
                      <c:pt idx="92">
                        <c:v>256</c:v>
                      </c:pt>
                      <c:pt idx="93">
                        <c:v>273</c:v>
                      </c:pt>
                      <c:pt idx="94">
                        <c:v>216</c:v>
                      </c:pt>
                      <c:pt idx="95">
                        <c:v>253</c:v>
                      </c:pt>
                      <c:pt idx="96">
                        <c:v>209</c:v>
                      </c:pt>
                      <c:pt idx="97">
                        <c:v>160</c:v>
                      </c:pt>
                      <c:pt idx="98">
                        <c:v>226</c:v>
                      </c:pt>
                      <c:pt idx="99">
                        <c:v>241</c:v>
                      </c:pt>
                      <c:pt idx="100">
                        <c:v>213</c:v>
                      </c:pt>
                      <c:pt idx="101">
                        <c:v>28</c:v>
                      </c:pt>
                      <c:pt idx="102">
                        <c:v>208</c:v>
                      </c:pt>
                      <c:pt idx="103">
                        <c:v>239</c:v>
                      </c:pt>
                      <c:pt idx="104">
                        <c:v>262</c:v>
                      </c:pt>
                      <c:pt idx="105">
                        <c:v>271</c:v>
                      </c:pt>
                      <c:pt idx="106">
                        <c:v>296</c:v>
                      </c:pt>
                      <c:pt idx="107">
                        <c:v>272</c:v>
                      </c:pt>
                      <c:pt idx="108">
                        <c:v>237</c:v>
                      </c:pt>
                      <c:pt idx="109">
                        <c:v>230</c:v>
                      </c:pt>
                      <c:pt idx="110">
                        <c:v>227</c:v>
                      </c:pt>
                      <c:pt idx="111">
                        <c:v>247</c:v>
                      </c:pt>
                      <c:pt idx="112">
                        <c:v>268</c:v>
                      </c:pt>
                      <c:pt idx="113">
                        <c:v>231</c:v>
                      </c:pt>
                      <c:pt idx="114">
                        <c:v>271</c:v>
                      </c:pt>
                      <c:pt idx="115">
                        <c:v>279</c:v>
                      </c:pt>
                      <c:pt idx="116">
                        <c:v>277</c:v>
                      </c:pt>
                      <c:pt idx="117">
                        <c:v>225</c:v>
                      </c:pt>
                      <c:pt idx="118">
                        <c:v>245</c:v>
                      </c:pt>
                      <c:pt idx="119">
                        <c:v>223</c:v>
                      </c:pt>
                      <c:pt idx="120">
                        <c:v>269</c:v>
                      </c:pt>
                      <c:pt idx="121">
                        <c:v>223</c:v>
                      </c:pt>
                      <c:pt idx="122">
                        <c:v>220</c:v>
                      </c:pt>
                      <c:pt idx="123">
                        <c:v>261</c:v>
                      </c:pt>
                      <c:pt idx="124">
                        <c:v>244</c:v>
                      </c:pt>
                      <c:pt idx="125">
                        <c:v>189</c:v>
                      </c:pt>
                      <c:pt idx="126">
                        <c:v>268</c:v>
                      </c:pt>
                      <c:pt idx="127">
                        <c:v>230</c:v>
                      </c:pt>
                      <c:pt idx="128">
                        <c:v>212</c:v>
                      </c:pt>
                      <c:pt idx="129">
                        <c:v>269</c:v>
                      </c:pt>
                      <c:pt idx="130">
                        <c:v>230</c:v>
                      </c:pt>
                      <c:pt idx="131">
                        <c:v>229</c:v>
                      </c:pt>
                      <c:pt idx="132">
                        <c:v>200</c:v>
                      </c:pt>
                      <c:pt idx="133">
                        <c:v>103</c:v>
                      </c:pt>
                      <c:pt idx="134">
                        <c:v>88</c:v>
                      </c:pt>
                      <c:pt idx="135">
                        <c:v>187</c:v>
                      </c:pt>
                      <c:pt idx="136">
                        <c:v>197</c:v>
                      </c:pt>
                      <c:pt idx="137">
                        <c:v>147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A9E-4EE5-A74E-B3F41272F93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Totals'!$AA$3</c15:sqref>
                        </c15:formulaRef>
                      </c:ext>
                    </c:extLst>
                    <c:strCache>
                      <c:ptCount val="1"/>
                      <c:pt idx="0">
                        <c:v>AM SKU's (excludes 2A's)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Totals'!$A$4:$A$144</c15:sqref>
                        </c15:formulaRef>
                      </c:ext>
                    </c:extLst>
                    <c:numCache>
                      <c:formatCode>mmm\-yy</c:formatCode>
                      <c:ptCount val="141"/>
                      <c:pt idx="0">
                        <c:v>40848</c:v>
                      </c:pt>
                      <c:pt idx="1">
                        <c:v>40878</c:v>
                      </c:pt>
                      <c:pt idx="2">
                        <c:v>40909</c:v>
                      </c:pt>
                      <c:pt idx="3">
                        <c:v>40940</c:v>
                      </c:pt>
                      <c:pt idx="4">
                        <c:v>40969</c:v>
                      </c:pt>
                      <c:pt idx="5">
                        <c:v>41000</c:v>
                      </c:pt>
                      <c:pt idx="6">
                        <c:v>41030</c:v>
                      </c:pt>
                      <c:pt idx="7">
                        <c:v>41061</c:v>
                      </c:pt>
                      <c:pt idx="8">
                        <c:v>41091</c:v>
                      </c:pt>
                      <c:pt idx="9">
                        <c:v>41122</c:v>
                      </c:pt>
                      <c:pt idx="10">
                        <c:v>41153</c:v>
                      </c:pt>
                      <c:pt idx="11">
                        <c:v>41183</c:v>
                      </c:pt>
                      <c:pt idx="12">
                        <c:v>41214</c:v>
                      </c:pt>
                      <c:pt idx="13">
                        <c:v>41244</c:v>
                      </c:pt>
                      <c:pt idx="14">
                        <c:v>41275</c:v>
                      </c:pt>
                      <c:pt idx="15">
                        <c:v>41306</c:v>
                      </c:pt>
                      <c:pt idx="16">
                        <c:v>41334</c:v>
                      </c:pt>
                      <c:pt idx="17">
                        <c:v>41365</c:v>
                      </c:pt>
                      <c:pt idx="18">
                        <c:v>41395</c:v>
                      </c:pt>
                      <c:pt idx="19">
                        <c:v>41426</c:v>
                      </c:pt>
                      <c:pt idx="20">
                        <c:v>41456</c:v>
                      </c:pt>
                      <c:pt idx="21">
                        <c:v>41487</c:v>
                      </c:pt>
                      <c:pt idx="22">
                        <c:v>41518</c:v>
                      </c:pt>
                      <c:pt idx="23">
                        <c:v>41548</c:v>
                      </c:pt>
                      <c:pt idx="24">
                        <c:v>41579</c:v>
                      </c:pt>
                      <c:pt idx="25">
                        <c:v>41609</c:v>
                      </c:pt>
                      <c:pt idx="26">
                        <c:v>41640</c:v>
                      </c:pt>
                      <c:pt idx="27">
                        <c:v>41671</c:v>
                      </c:pt>
                      <c:pt idx="28">
                        <c:v>41699</c:v>
                      </c:pt>
                      <c:pt idx="29">
                        <c:v>41730</c:v>
                      </c:pt>
                      <c:pt idx="30">
                        <c:v>41760</c:v>
                      </c:pt>
                      <c:pt idx="31">
                        <c:v>41791</c:v>
                      </c:pt>
                      <c:pt idx="32">
                        <c:v>41821</c:v>
                      </c:pt>
                      <c:pt idx="33">
                        <c:v>41852</c:v>
                      </c:pt>
                      <c:pt idx="34">
                        <c:v>41883</c:v>
                      </c:pt>
                      <c:pt idx="35">
                        <c:v>41913</c:v>
                      </c:pt>
                      <c:pt idx="36">
                        <c:v>41944</c:v>
                      </c:pt>
                      <c:pt idx="37">
                        <c:v>41974</c:v>
                      </c:pt>
                      <c:pt idx="38">
                        <c:v>42005</c:v>
                      </c:pt>
                      <c:pt idx="39">
                        <c:v>42036</c:v>
                      </c:pt>
                      <c:pt idx="40">
                        <c:v>42064</c:v>
                      </c:pt>
                      <c:pt idx="41">
                        <c:v>42095</c:v>
                      </c:pt>
                      <c:pt idx="42">
                        <c:v>42125</c:v>
                      </c:pt>
                      <c:pt idx="43">
                        <c:v>42156</c:v>
                      </c:pt>
                      <c:pt idx="44">
                        <c:v>42186</c:v>
                      </c:pt>
                      <c:pt idx="45">
                        <c:v>42217</c:v>
                      </c:pt>
                      <c:pt idx="46">
                        <c:v>42248</c:v>
                      </c:pt>
                      <c:pt idx="47">
                        <c:v>42278</c:v>
                      </c:pt>
                      <c:pt idx="48">
                        <c:v>42309</c:v>
                      </c:pt>
                      <c:pt idx="49">
                        <c:v>42339</c:v>
                      </c:pt>
                      <c:pt idx="50">
                        <c:v>42370</c:v>
                      </c:pt>
                      <c:pt idx="51">
                        <c:v>42401</c:v>
                      </c:pt>
                      <c:pt idx="52">
                        <c:v>42430</c:v>
                      </c:pt>
                      <c:pt idx="53">
                        <c:v>42461</c:v>
                      </c:pt>
                      <c:pt idx="54">
                        <c:v>42491</c:v>
                      </c:pt>
                      <c:pt idx="55">
                        <c:v>42522</c:v>
                      </c:pt>
                      <c:pt idx="56">
                        <c:v>42552</c:v>
                      </c:pt>
                      <c:pt idx="57">
                        <c:v>42583</c:v>
                      </c:pt>
                      <c:pt idx="58">
                        <c:v>42614</c:v>
                      </c:pt>
                      <c:pt idx="59">
                        <c:v>42644</c:v>
                      </c:pt>
                      <c:pt idx="60">
                        <c:v>42675</c:v>
                      </c:pt>
                      <c:pt idx="61">
                        <c:v>42705</c:v>
                      </c:pt>
                      <c:pt idx="62">
                        <c:v>42736</c:v>
                      </c:pt>
                      <c:pt idx="63">
                        <c:v>42767</c:v>
                      </c:pt>
                      <c:pt idx="64">
                        <c:v>42795</c:v>
                      </c:pt>
                      <c:pt idx="65">
                        <c:v>42826</c:v>
                      </c:pt>
                      <c:pt idx="66">
                        <c:v>42856</c:v>
                      </c:pt>
                      <c:pt idx="67">
                        <c:v>42887</c:v>
                      </c:pt>
                      <c:pt idx="68">
                        <c:v>42917</c:v>
                      </c:pt>
                      <c:pt idx="69">
                        <c:v>42948</c:v>
                      </c:pt>
                      <c:pt idx="70">
                        <c:v>42979</c:v>
                      </c:pt>
                      <c:pt idx="71">
                        <c:v>43009</c:v>
                      </c:pt>
                      <c:pt idx="72">
                        <c:v>43040</c:v>
                      </c:pt>
                      <c:pt idx="73">
                        <c:v>43070</c:v>
                      </c:pt>
                      <c:pt idx="74">
                        <c:v>43101</c:v>
                      </c:pt>
                      <c:pt idx="75">
                        <c:v>43132</c:v>
                      </c:pt>
                      <c:pt idx="76">
                        <c:v>43160</c:v>
                      </c:pt>
                      <c:pt idx="77">
                        <c:v>43191</c:v>
                      </c:pt>
                      <c:pt idx="78">
                        <c:v>43221</c:v>
                      </c:pt>
                      <c:pt idx="79">
                        <c:v>43252</c:v>
                      </c:pt>
                      <c:pt idx="80">
                        <c:v>43282</c:v>
                      </c:pt>
                      <c:pt idx="81">
                        <c:v>43313</c:v>
                      </c:pt>
                      <c:pt idx="82">
                        <c:v>43344</c:v>
                      </c:pt>
                      <c:pt idx="83">
                        <c:v>43374</c:v>
                      </c:pt>
                      <c:pt idx="84">
                        <c:v>43405</c:v>
                      </c:pt>
                      <c:pt idx="85">
                        <c:v>43435</c:v>
                      </c:pt>
                      <c:pt idx="86">
                        <c:v>43466</c:v>
                      </c:pt>
                      <c:pt idx="87">
                        <c:v>43497</c:v>
                      </c:pt>
                      <c:pt idx="88">
                        <c:v>43525</c:v>
                      </c:pt>
                      <c:pt idx="89">
                        <c:v>43556</c:v>
                      </c:pt>
                      <c:pt idx="90">
                        <c:v>43586</c:v>
                      </c:pt>
                      <c:pt idx="91">
                        <c:v>43617</c:v>
                      </c:pt>
                      <c:pt idx="92">
                        <c:v>43647</c:v>
                      </c:pt>
                      <c:pt idx="93">
                        <c:v>43678</c:v>
                      </c:pt>
                      <c:pt idx="94">
                        <c:v>43709</c:v>
                      </c:pt>
                      <c:pt idx="95">
                        <c:v>43739</c:v>
                      </c:pt>
                      <c:pt idx="96">
                        <c:v>43770</c:v>
                      </c:pt>
                      <c:pt idx="97">
                        <c:v>43800</c:v>
                      </c:pt>
                      <c:pt idx="98">
                        <c:v>43831</c:v>
                      </c:pt>
                      <c:pt idx="99">
                        <c:v>43862</c:v>
                      </c:pt>
                      <c:pt idx="100">
                        <c:v>43891</c:v>
                      </c:pt>
                      <c:pt idx="101">
                        <c:v>43922</c:v>
                      </c:pt>
                      <c:pt idx="102">
                        <c:v>43952</c:v>
                      </c:pt>
                      <c:pt idx="103">
                        <c:v>43983</c:v>
                      </c:pt>
                      <c:pt idx="104">
                        <c:v>44013</c:v>
                      </c:pt>
                      <c:pt idx="105">
                        <c:v>44044</c:v>
                      </c:pt>
                      <c:pt idx="106">
                        <c:v>44075</c:v>
                      </c:pt>
                      <c:pt idx="107">
                        <c:v>44105</c:v>
                      </c:pt>
                      <c:pt idx="108">
                        <c:v>44136</c:v>
                      </c:pt>
                      <c:pt idx="109">
                        <c:v>44166</c:v>
                      </c:pt>
                      <c:pt idx="110">
                        <c:v>44197</c:v>
                      </c:pt>
                      <c:pt idx="111">
                        <c:v>44228</c:v>
                      </c:pt>
                      <c:pt idx="112">
                        <c:v>44256</c:v>
                      </c:pt>
                      <c:pt idx="113">
                        <c:v>44287</c:v>
                      </c:pt>
                      <c:pt idx="114">
                        <c:v>44317</c:v>
                      </c:pt>
                      <c:pt idx="115">
                        <c:v>44348</c:v>
                      </c:pt>
                      <c:pt idx="116">
                        <c:v>44378</c:v>
                      </c:pt>
                      <c:pt idx="117">
                        <c:v>44409</c:v>
                      </c:pt>
                      <c:pt idx="118">
                        <c:v>44440</c:v>
                      </c:pt>
                      <c:pt idx="119">
                        <c:v>44470</c:v>
                      </c:pt>
                      <c:pt idx="120">
                        <c:v>44501</c:v>
                      </c:pt>
                      <c:pt idx="121">
                        <c:v>44531</c:v>
                      </c:pt>
                      <c:pt idx="122">
                        <c:v>44562</c:v>
                      </c:pt>
                      <c:pt idx="123">
                        <c:v>44593</c:v>
                      </c:pt>
                      <c:pt idx="124">
                        <c:v>44621</c:v>
                      </c:pt>
                      <c:pt idx="125">
                        <c:v>44652</c:v>
                      </c:pt>
                      <c:pt idx="126">
                        <c:v>44682</c:v>
                      </c:pt>
                      <c:pt idx="127">
                        <c:v>44713</c:v>
                      </c:pt>
                      <c:pt idx="128">
                        <c:v>44743</c:v>
                      </c:pt>
                      <c:pt idx="129">
                        <c:v>44774</c:v>
                      </c:pt>
                      <c:pt idx="130">
                        <c:v>44805</c:v>
                      </c:pt>
                      <c:pt idx="131">
                        <c:v>44835</c:v>
                      </c:pt>
                      <c:pt idx="132">
                        <c:v>44866</c:v>
                      </c:pt>
                      <c:pt idx="133">
                        <c:v>44896</c:v>
                      </c:pt>
                      <c:pt idx="134">
                        <c:v>44927</c:v>
                      </c:pt>
                      <c:pt idx="135">
                        <c:v>44958</c:v>
                      </c:pt>
                      <c:pt idx="136">
                        <c:v>44986</c:v>
                      </c:pt>
                      <c:pt idx="137">
                        <c:v>45017</c:v>
                      </c:pt>
                      <c:pt idx="138">
                        <c:v>45047</c:v>
                      </c:pt>
                      <c:pt idx="139">
                        <c:v>45078</c:v>
                      </c:pt>
                      <c:pt idx="140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Totals'!$AA$4:$AA$144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41"/>
                      <c:pt idx="77">
                        <c:v>154</c:v>
                      </c:pt>
                      <c:pt idx="78">
                        <c:v>145</c:v>
                      </c:pt>
                      <c:pt idx="79">
                        <c:v>113</c:v>
                      </c:pt>
                      <c:pt idx="80">
                        <c:v>134</c:v>
                      </c:pt>
                      <c:pt idx="81">
                        <c:v>154</c:v>
                      </c:pt>
                      <c:pt idx="82">
                        <c:v>115</c:v>
                      </c:pt>
                      <c:pt idx="83">
                        <c:v>132</c:v>
                      </c:pt>
                      <c:pt idx="84">
                        <c:v>139</c:v>
                      </c:pt>
                      <c:pt idx="85">
                        <c:v>85</c:v>
                      </c:pt>
                      <c:pt idx="86">
                        <c:v>102</c:v>
                      </c:pt>
                      <c:pt idx="87">
                        <c:v>115</c:v>
                      </c:pt>
                      <c:pt idx="88">
                        <c:v>132</c:v>
                      </c:pt>
                      <c:pt idx="89">
                        <c:v>126</c:v>
                      </c:pt>
                      <c:pt idx="90">
                        <c:v>148</c:v>
                      </c:pt>
                      <c:pt idx="91">
                        <c:v>133</c:v>
                      </c:pt>
                      <c:pt idx="92">
                        <c:v>139</c:v>
                      </c:pt>
                      <c:pt idx="93">
                        <c:v>154</c:v>
                      </c:pt>
                      <c:pt idx="94">
                        <c:v>111</c:v>
                      </c:pt>
                      <c:pt idx="95">
                        <c:v>139</c:v>
                      </c:pt>
                      <c:pt idx="96">
                        <c:v>123</c:v>
                      </c:pt>
                      <c:pt idx="97">
                        <c:v>86</c:v>
                      </c:pt>
                      <c:pt idx="98">
                        <c:v>112</c:v>
                      </c:pt>
                      <c:pt idx="99">
                        <c:v>132</c:v>
                      </c:pt>
                      <c:pt idx="100">
                        <c:v>112</c:v>
                      </c:pt>
                      <c:pt idx="101">
                        <c:v>18</c:v>
                      </c:pt>
                      <c:pt idx="102">
                        <c:v>112</c:v>
                      </c:pt>
                      <c:pt idx="103">
                        <c:v>129</c:v>
                      </c:pt>
                      <c:pt idx="104">
                        <c:v>123</c:v>
                      </c:pt>
                      <c:pt idx="105">
                        <c:v>145</c:v>
                      </c:pt>
                      <c:pt idx="106">
                        <c:v>155</c:v>
                      </c:pt>
                      <c:pt idx="107">
                        <c:v>137</c:v>
                      </c:pt>
                      <c:pt idx="108">
                        <c:v>133</c:v>
                      </c:pt>
                      <c:pt idx="109">
                        <c:v>134</c:v>
                      </c:pt>
                      <c:pt idx="110">
                        <c:v>132</c:v>
                      </c:pt>
                      <c:pt idx="111">
                        <c:v>145</c:v>
                      </c:pt>
                      <c:pt idx="112">
                        <c:v>151</c:v>
                      </c:pt>
                      <c:pt idx="113">
                        <c:v>126</c:v>
                      </c:pt>
                      <c:pt idx="114">
                        <c:v>129</c:v>
                      </c:pt>
                      <c:pt idx="115">
                        <c:v>141</c:v>
                      </c:pt>
                      <c:pt idx="116">
                        <c:v>124</c:v>
                      </c:pt>
                      <c:pt idx="117">
                        <c:v>119</c:v>
                      </c:pt>
                      <c:pt idx="118">
                        <c:v>131</c:v>
                      </c:pt>
                      <c:pt idx="119">
                        <c:v>112</c:v>
                      </c:pt>
                      <c:pt idx="120">
                        <c:v>151</c:v>
                      </c:pt>
                      <c:pt idx="121">
                        <c:v>135</c:v>
                      </c:pt>
                      <c:pt idx="122">
                        <c:v>131</c:v>
                      </c:pt>
                      <c:pt idx="123">
                        <c:v>143</c:v>
                      </c:pt>
                      <c:pt idx="124">
                        <c:v>115</c:v>
                      </c:pt>
                      <c:pt idx="125">
                        <c:v>97</c:v>
                      </c:pt>
                      <c:pt idx="126">
                        <c:v>145</c:v>
                      </c:pt>
                      <c:pt idx="127">
                        <c:v>128</c:v>
                      </c:pt>
                      <c:pt idx="128">
                        <c:v>128</c:v>
                      </c:pt>
                      <c:pt idx="129">
                        <c:v>141</c:v>
                      </c:pt>
                      <c:pt idx="130">
                        <c:v>138</c:v>
                      </c:pt>
                      <c:pt idx="131">
                        <c:v>132</c:v>
                      </c:pt>
                      <c:pt idx="132">
                        <c:v>127</c:v>
                      </c:pt>
                      <c:pt idx="133">
                        <c:v>73</c:v>
                      </c:pt>
                      <c:pt idx="134">
                        <c:v>69</c:v>
                      </c:pt>
                      <c:pt idx="135">
                        <c:v>125</c:v>
                      </c:pt>
                      <c:pt idx="136">
                        <c:v>130</c:v>
                      </c:pt>
                      <c:pt idx="137">
                        <c:v>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A9E-4EE5-A74E-B3F41272F931}"/>
                  </c:ext>
                </c:extLst>
              </c15:ser>
            </c15:filteredLineSeries>
          </c:ext>
        </c:extLst>
      </c:lineChart>
      <c:dateAx>
        <c:axId val="45618367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455"/>
        <c:crosses val="autoZero"/>
        <c:auto val="1"/>
        <c:lblOffset val="100"/>
        <c:baseTimeUnit val="months"/>
      </c:dateAx>
      <c:valAx>
        <c:axId val="2998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8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Units Made</a:t>
            </a:r>
            <a:r>
              <a:rPr lang="en-NZ" baseline="0"/>
              <a:t> PCB/XFMRs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Totals'!$AC$3</c:f>
              <c:strCache>
                <c:ptCount val="1"/>
                <c:pt idx="0">
                  <c:v>Modules PCB's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Totals'!$AC$4:$AC$144</c:f>
              <c:numCache>
                <c:formatCode>_-* #,##0_-;\-* #,##0_-;_-* "-"??_-;_-@_-</c:formatCode>
                <c:ptCount val="141"/>
                <c:pt idx="0">
                  <c:v>33535</c:v>
                </c:pt>
                <c:pt idx="1">
                  <c:v>24467</c:v>
                </c:pt>
                <c:pt idx="2">
                  <c:v>31484</c:v>
                </c:pt>
                <c:pt idx="3">
                  <c:v>32651</c:v>
                </c:pt>
                <c:pt idx="4">
                  <c:v>36444</c:v>
                </c:pt>
                <c:pt idx="5">
                  <c:v>36853</c:v>
                </c:pt>
                <c:pt idx="6">
                  <c:v>33983</c:v>
                </c:pt>
                <c:pt idx="7">
                  <c:v>29250</c:v>
                </c:pt>
                <c:pt idx="8">
                  <c:v>36694</c:v>
                </c:pt>
                <c:pt idx="9">
                  <c:v>28996</c:v>
                </c:pt>
                <c:pt idx="10">
                  <c:v>32303</c:v>
                </c:pt>
                <c:pt idx="11">
                  <c:v>30241</c:v>
                </c:pt>
                <c:pt idx="12">
                  <c:v>32527</c:v>
                </c:pt>
                <c:pt idx="13">
                  <c:v>22586</c:v>
                </c:pt>
                <c:pt idx="14">
                  <c:v>17710</c:v>
                </c:pt>
                <c:pt idx="15">
                  <c:v>29768</c:v>
                </c:pt>
                <c:pt idx="16">
                  <c:v>35856</c:v>
                </c:pt>
                <c:pt idx="17">
                  <c:v>37309</c:v>
                </c:pt>
                <c:pt idx="18">
                  <c:v>34075</c:v>
                </c:pt>
                <c:pt idx="19">
                  <c:v>30584</c:v>
                </c:pt>
                <c:pt idx="20">
                  <c:v>33525</c:v>
                </c:pt>
                <c:pt idx="21">
                  <c:v>22249</c:v>
                </c:pt>
                <c:pt idx="22">
                  <c:v>25564</c:v>
                </c:pt>
                <c:pt idx="23">
                  <c:v>30297</c:v>
                </c:pt>
                <c:pt idx="24">
                  <c:v>31605</c:v>
                </c:pt>
                <c:pt idx="25">
                  <c:v>24957</c:v>
                </c:pt>
                <c:pt idx="26">
                  <c:v>28779</c:v>
                </c:pt>
                <c:pt idx="27">
                  <c:v>27233</c:v>
                </c:pt>
                <c:pt idx="28">
                  <c:v>39842</c:v>
                </c:pt>
                <c:pt idx="29">
                  <c:v>24245</c:v>
                </c:pt>
                <c:pt idx="30">
                  <c:v>34148</c:v>
                </c:pt>
                <c:pt idx="31">
                  <c:v>39607</c:v>
                </c:pt>
                <c:pt idx="32">
                  <c:v>31017</c:v>
                </c:pt>
                <c:pt idx="33">
                  <c:v>35217</c:v>
                </c:pt>
                <c:pt idx="34">
                  <c:v>47299</c:v>
                </c:pt>
                <c:pt idx="35">
                  <c:v>38249</c:v>
                </c:pt>
                <c:pt idx="36">
                  <c:v>36920</c:v>
                </c:pt>
                <c:pt idx="37">
                  <c:v>36740</c:v>
                </c:pt>
                <c:pt idx="38">
                  <c:v>12695</c:v>
                </c:pt>
                <c:pt idx="39">
                  <c:v>24534</c:v>
                </c:pt>
                <c:pt idx="40">
                  <c:v>35818</c:v>
                </c:pt>
                <c:pt idx="41">
                  <c:v>27206</c:v>
                </c:pt>
                <c:pt idx="42">
                  <c:v>26719</c:v>
                </c:pt>
                <c:pt idx="43">
                  <c:v>39952</c:v>
                </c:pt>
                <c:pt idx="44">
                  <c:v>34863</c:v>
                </c:pt>
                <c:pt idx="45">
                  <c:v>42626</c:v>
                </c:pt>
                <c:pt idx="46">
                  <c:v>34417</c:v>
                </c:pt>
                <c:pt idx="47">
                  <c:v>35287</c:v>
                </c:pt>
                <c:pt idx="48">
                  <c:v>43002</c:v>
                </c:pt>
                <c:pt idx="49">
                  <c:v>28170</c:v>
                </c:pt>
                <c:pt idx="50">
                  <c:v>22716</c:v>
                </c:pt>
                <c:pt idx="51">
                  <c:v>39204</c:v>
                </c:pt>
                <c:pt idx="52">
                  <c:v>27354</c:v>
                </c:pt>
                <c:pt idx="53">
                  <c:v>24138</c:v>
                </c:pt>
                <c:pt idx="54">
                  <c:v>27123</c:v>
                </c:pt>
                <c:pt idx="55">
                  <c:v>25646</c:v>
                </c:pt>
                <c:pt idx="56">
                  <c:v>27047</c:v>
                </c:pt>
                <c:pt idx="57">
                  <c:v>29459</c:v>
                </c:pt>
                <c:pt idx="58">
                  <c:v>31209</c:v>
                </c:pt>
                <c:pt idx="59">
                  <c:v>43022</c:v>
                </c:pt>
                <c:pt idx="60">
                  <c:v>33259</c:v>
                </c:pt>
                <c:pt idx="61">
                  <c:v>29928</c:v>
                </c:pt>
                <c:pt idx="62">
                  <c:v>38897</c:v>
                </c:pt>
                <c:pt idx="63">
                  <c:v>34499</c:v>
                </c:pt>
                <c:pt idx="64">
                  <c:v>31159</c:v>
                </c:pt>
                <c:pt idx="65">
                  <c:v>28229</c:v>
                </c:pt>
                <c:pt idx="66">
                  <c:v>45914</c:v>
                </c:pt>
                <c:pt idx="67">
                  <c:v>42676</c:v>
                </c:pt>
                <c:pt idx="68">
                  <c:v>56141</c:v>
                </c:pt>
                <c:pt idx="69">
                  <c:v>43361</c:v>
                </c:pt>
                <c:pt idx="70">
                  <c:v>44947</c:v>
                </c:pt>
                <c:pt idx="71">
                  <c:v>58413</c:v>
                </c:pt>
                <c:pt idx="72">
                  <c:v>46531</c:v>
                </c:pt>
                <c:pt idx="73">
                  <c:v>28444</c:v>
                </c:pt>
                <c:pt idx="74">
                  <c:v>39857</c:v>
                </c:pt>
                <c:pt idx="75">
                  <c:v>38455</c:v>
                </c:pt>
                <c:pt idx="76">
                  <c:v>42566</c:v>
                </c:pt>
                <c:pt idx="77">
                  <c:v>43329</c:v>
                </c:pt>
                <c:pt idx="78">
                  <c:v>36292</c:v>
                </c:pt>
                <c:pt idx="79">
                  <c:v>31555</c:v>
                </c:pt>
                <c:pt idx="80">
                  <c:v>48803</c:v>
                </c:pt>
                <c:pt idx="81">
                  <c:v>47529</c:v>
                </c:pt>
                <c:pt idx="82">
                  <c:v>46660</c:v>
                </c:pt>
                <c:pt idx="83">
                  <c:v>56609</c:v>
                </c:pt>
                <c:pt idx="84">
                  <c:v>44085</c:v>
                </c:pt>
                <c:pt idx="85">
                  <c:v>29618</c:v>
                </c:pt>
                <c:pt idx="86">
                  <c:v>32500</c:v>
                </c:pt>
                <c:pt idx="87">
                  <c:v>33054</c:v>
                </c:pt>
                <c:pt idx="88">
                  <c:v>40036</c:v>
                </c:pt>
                <c:pt idx="89">
                  <c:v>31642</c:v>
                </c:pt>
                <c:pt idx="90">
                  <c:v>42571</c:v>
                </c:pt>
                <c:pt idx="91">
                  <c:v>42661</c:v>
                </c:pt>
                <c:pt idx="92">
                  <c:v>62701</c:v>
                </c:pt>
                <c:pt idx="93">
                  <c:v>47148</c:v>
                </c:pt>
                <c:pt idx="94">
                  <c:v>52455</c:v>
                </c:pt>
                <c:pt idx="95">
                  <c:v>55404</c:v>
                </c:pt>
                <c:pt idx="96">
                  <c:v>44484</c:v>
                </c:pt>
                <c:pt idx="97">
                  <c:v>42262</c:v>
                </c:pt>
                <c:pt idx="98">
                  <c:v>50058</c:v>
                </c:pt>
                <c:pt idx="99">
                  <c:v>46023</c:v>
                </c:pt>
                <c:pt idx="100">
                  <c:v>54126</c:v>
                </c:pt>
                <c:pt idx="101">
                  <c:v>7734</c:v>
                </c:pt>
                <c:pt idx="102">
                  <c:v>46990</c:v>
                </c:pt>
                <c:pt idx="103">
                  <c:v>61357</c:v>
                </c:pt>
                <c:pt idx="104">
                  <c:v>52884</c:v>
                </c:pt>
                <c:pt idx="105">
                  <c:v>55544</c:v>
                </c:pt>
                <c:pt idx="106">
                  <c:v>45106</c:v>
                </c:pt>
                <c:pt idx="107">
                  <c:v>51740</c:v>
                </c:pt>
                <c:pt idx="108">
                  <c:v>65536</c:v>
                </c:pt>
                <c:pt idx="109">
                  <c:v>32406</c:v>
                </c:pt>
                <c:pt idx="110">
                  <c:v>34378</c:v>
                </c:pt>
                <c:pt idx="111">
                  <c:v>40800</c:v>
                </c:pt>
                <c:pt idx="112">
                  <c:v>56926</c:v>
                </c:pt>
                <c:pt idx="113">
                  <c:v>44560</c:v>
                </c:pt>
                <c:pt idx="114">
                  <c:v>49588</c:v>
                </c:pt>
                <c:pt idx="115">
                  <c:v>48437</c:v>
                </c:pt>
                <c:pt idx="116">
                  <c:v>47168</c:v>
                </c:pt>
                <c:pt idx="117">
                  <c:v>76959</c:v>
                </c:pt>
                <c:pt idx="118">
                  <c:v>79466</c:v>
                </c:pt>
                <c:pt idx="119">
                  <c:v>75159</c:v>
                </c:pt>
                <c:pt idx="120">
                  <c:v>84812</c:v>
                </c:pt>
                <c:pt idx="121">
                  <c:v>64750</c:v>
                </c:pt>
                <c:pt idx="122">
                  <c:v>56660</c:v>
                </c:pt>
                <c:pt idx="123">
                  <c:v>58263</c:v>
                </c:pt>
                <c:pt idx="124">
                  <c:v>75368</c:v>
                </c:pt>
                <c:pt idx="125">
                  <c:v>64025</c:v>
                </c:pt>
                <c:pt idx="126">
                  <c:v>74483</c:v>
                </c:pt>
                <c:pt idx="127">
                  <c:v>73221</c:v>
                </c:pt>
                <c:pt idx="128">
                  <c:v>62066</c:v>
                </c:pt>
                <c:pt idx="129">
                  <c:v>66539</c:v>
                </c:pt>
                <c:pt idx="130">
                  <c:v>55611</c:v>
                </c:pt>
                <c:pt idx="131">
                  <c:v>62739</c:v>
                </c:pt>
                <c:pt idx="132">
                  <c:v>60004</c:v>
                </c:pt>
                <c:pt idx="133">
                  <c:v>41200</c:v>
                </c:pt>
                <c:pt idx="134">
                  <c:v>18898</c:v>
                </c:pt>
                <c:pt idx="135">
                  <c:v>26205</c:v>
                </c:pt>
                <c:pt idx="136">
                  <c:v>35024</c:v>
                </c:pt>
                <c:pt idx="137">
                  <c:v>25705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6-47A3-92A0-99068992FA69}"/>
            </c:ext>
          </c:extLst>
        </c:ser>
        <c:ser>
          <c:idx val="1"/>
          <c:order val="1"/>
          <c:tx>
            <c:strRef>
              <c:f>'Group Totals'!$AD$3</c:f>
              <c:strCache>
                <c:ptCount val="1"/>
                <c:pt idx="0">
                  <c:v>XFMR's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Totals'!$A$4:$A$144</c:f>
              <c:numCache>
                <c:formatCode>mmm\-yy</c:formatCode>
                <c:ptCount val="141"/>
                <c:pt idx="0">
                  <c:v>40848</c:v>
                </c:pt>
                <c:pt idx="1">
                  <c:v>40878</c:v>
                </c:pt>
                <c:pt idx="2">
                  <c:v>40909</c:v>
                </c:pt>
                <c:pt idx="3">
                  <c:v>40940</c:v>
                </c:pt>
                <c:pt idx="4">
                  <c:v>40969</c:v>
                </c:pt>
                <c:pt idx="5">
                  <c:v>41000</c:v>
                </c:pt>
                <c:pt idx="6">
                  <c:v>41030</c:v>
                </c:pt>
                <c:pt idx="7">
                  <c:v>41061</c:v>
                </c:pt>
                <c:pt idx="8">
                  <c:v>41091</c:v>
                </c:pt>
                <c:pt idx="9">
                  <c:v>41122</c:v>
                </c:pt>
                <c:pt idx="10">
                  <c:v>41153</c:v>
                </c:pt>
                <c:pt idx="11">
                  <c:v>41183</c:v>
                </c:pt>
                <c:pt idx="12">
                  <c:v>41214</c:v>
                </c:pt>
                <c:pt idx="13">
                  <c:v>41244</c:v>
                </c:pt>
                <c:pt idx="14">
                  <c:v>41275</c:v>
                </c:pt>
                <c:pt idx="15">
                  <c:v>41306</c:v>
                </c:pt>
                <c:pt idx="16">
                  <c:v>41334</c:v>
                </c:pt>
                <c:pt idx="17">
                  <c:v>41365</c:v>
                </c:pt>
                <c:pt idx="18">
                  <c:v>41395</c:v>
                </c:pt>
                <c:pt idx="19">
                  <c:v>41426</c:v>
                </c:pt>
                <c:pt idx="20">
                  <c:v>41456</c:v>
                </c:pt>
                <c:pt idx="21">
                  <c:v>41487</c:v>
                </c:pt>
                <c:pt idx="22">
                  <c:v>41518</c:v>
                </c:pt>
                <c:pt idx="23">
                  <c:v>41548</c:v>
                </c:pt>
                <c:pt idx="24">
                  <c:v>41579</c:v>
                </c:pt>
                <c:pt idx="25">
                  <c:v>41609</c:v>
                </c:pt>
                <c:pt idx="26">
                  <c:v>41640</c:v>
                </c:pt>
                <c:pt idx="27">
                  <c:v>41671</c:v>
                </c:pt>
                <c:pt idx="28">
                  <c:v>41699</c:v>
                </c:pt>
                <c:pt idx="29">
                  <c:v>41730</c:v>
                </c:pt>
                <c:pt idx="30">
                  <c:v>41760</c:v>
                </c:pt>
                <c:pt idx="31">
                  <c:v>41791</c:v>
                </c:pt>
                <c:pt idx="32">
                  <c:v>41821</c:v>
                </c:pt>
                <c:pt idx="33">
                  <c:v>41852</c:v>
                </c:pt>
                <c:pt idx="34">
                  <c:v>41883</c:v>
                </c:pt>
                <c:pt idx="35">
                  <c:v>41913</c:v>
                </c:pt>
                <c:pt idx="36">
                  <c:v>41944</c:v>
                </c:pt>
                <c:pt idx="37">
                  <c:v>41974</c:v>
                </c:pt>
                <c:pt idx="38">
                  <c:v>42005</c:v>
                </c:pt>
                <c:pt idx="39">
                  <c:v>42036</c:v>
                </c:pt>
                <c:pt idx="40">
                  <c:v>42064</c:v>
                </c:pt>
                <c:pt idx="41">
                  <c:v>42095</c:v>
                </c:pt>
                <c:pt idx="42">
                  <c:v>42125</c:v>
                </c:pt>
                <c:pt idx="43">
                  <c:v>42156</c:v>
                </c:pt>
                <c:pt idx="44">
                  <c:v>42186</c:v>
                </c:pt>
                <c:pt idx="45">
                  <c:v>42217</c:v>
                </c:pt>
                <c:pt idx="46">
                  <c:v>42248</c:v>
                </c:pt>
                <c:pt idx="47">
                  <c:v>42278</c:v>
                </c:pt>
                <c:pt idx="48">
                  <c:v>42309</c:v>
                </c:pt>
                <c:pt idx="49">
                  <c:v>42339</c:v>
                </c:pt>
                <c:pt idx="50">
                  <c:v>42370</c:v>
                </c:pt>
                <c:pt idx="51">
                  <c:v>42401</c:v>
                </c:pt>
                <c:pt idx="52">
                  <c:v>42430</c:v>
                </c:pt>
                <c:pt idx="53">
                  <c:v>42461</c:v>
                </c:pt>
                <c:pt idx="54">
                  <c:v>42491</c:v>
                </c:pt>
                <c:pt idx="55">
                  <c:v>42522</c:v>
                </c:pt>
                <c:pt idx="56">
                  <c:v>42552</c:v>
                </c:pt>
                <c:pt idx="57">
                  <c:v>42583</c:v>
                </c:pt>
                <c:pt idx="58">
                  <c:v>42614</c:v>
                </c:pt>
                <c:pt idx="59">
                  <c:v>42644</c:v>
                </c:pt>
                <c:pt idx="60">
                  <c:v>42675</c:v>
                </c:pt>
                <c:pt idx="61">
                  <c:v>42705</c:v>
                </c:pt>
                <c:pt idx="62">
                  <c:v>42736</c:v>
                </c:pt>
                <c:pt idx="63">
                  <c:v>42767</c:v>
                </c:pt>
                <c:pt idx="64">
                  <c:v>42795</c:v>
                </c:pt>
                <c:pt idx="65">
                  <c:v>42826</c:v>
                </c:pt>
                <c:pt idx="66">
                  <c:v>42856</c:v>
                </c:pt>
                <c:pt idx="67">
                  <c:v>42887</c:v>
                </c:pt>
                <c:pt idx="68">
                  <c:v>42917</c:v>
                </c:pt>
                <c:pt idx="69">
                  <c:v>42948</c:v>
                </c:pt>
                <c:pt idx="70">
                  <c:v>42979</c:v>
                </c:pt>
                <c:pt idx="71">
                  <c:v>43009</c:v>
                </c:pt>
                <c:pt idx="72">
                  <c:v>43040</c:v>
                </c:pt>
                <c:pt idx="73">
                  <c:v>43070</c:v>
                </c:pt>
                <c:pt idx="74">
                  <c:v>43101</c:v>
                </c:pt>
                <c:pt idx="75">
                  <c:v>43132</c:v>
                </c:pt>
                <c:pt idx="76">
                  <c:v>43160</c:v>
                </c:pt>
                <c:pt idx="77">
                  <c:v>43191</c:v>
                </c:pt>
                <c:pt idx="78">
                  <c:v>43221</c:v>
                </c:pt>
                <c:pt idx="79">
                  <c:v>43252</c:v>
                </c:pt>
                <c:pt idx="80">
                  <c:v>43282</c:v>
                </c:pt>
                <c:pt idx="81">
                  <c:v>43313</c:v>
                </c:pt>
                <c:pt idx="82">
                  <c:v>43344</c:v>
                </c:pt>
                <c:pt idx="83">
                  <c:v>43374</c:v>
                </c:pt>
                <c:pt idx="84">
                  <c:v>43405</c:v>
                </c:pt>
                <c:pt idx="85">
                  <c:v>43435</c:v>
                </c:pt>
                <c:pt idx="86">
                  <c:v>43466</c:v>
                </c:pt>
                <c:pt idx="87">
                  <c:v>43497</c:v>
                </c:pt>
                <c:pt idx="88">
                  <c:v>43525</c:v>
                </c:pt>
                <c:pt idx="89">
                  <c:v>43556</c:v>
                </c:pt>
                <c:pt idx="90">
                  <c:v>43586</c:v>
                </c:pt>
                <c:pt idx="91">
                  <c:v>43617</c:v>
                </c:pt>
                <c:pt idx="92">
                  <c:v>43647</c:v>
                </c:pt>
                <c:pt idx="93">
                  <c:v>43678</c:v>
                </c:pt>
                <c:pt idx="94">
                  <c:v>43709</c:v>
                </c:pt>
                <c:pt idx="95">
                  <c:v>43739</c:v>
                </c:pt>
                <c:pt idx="96">
                  <c:v>43770</c:v>
                </c:pt>
                <c:pt idx="97">
                  <c:v>43800</c:v>
                </c:pt>
                <c:pt idx="98">
                  <c:v>43831</c:v>
                </c:pt>
                <c:pt idx="99">
                  <c:v>43862</c:v>
                </c:pt>
                <c:pt idx="100">
                  <c:v>43891</c:v>
                </c:pt>
                <c:pt idx="101">
                  <c:v>43922</c:v>
                </c:pt>
                <c:pt idx="102">
                  <c:v>43952</c:v>
                </c:pt>
                <c:pt idx="103">
                  <c:v>43983</c:v>
                </c:pt>
                <c:pt idx="104">
                  <c:v>44013</c:v>
                </c:pt>
                <c:pt idx="105">
                  <c:v>44044</c:v>
                </c:pt>
                <c:pt idx="106">
                  <c:v>44075</c:v>
                </c:pt>
                <c:pt idx="107">
                  <c:v>44105</c:v>
                </c:pt>
                <c:pt idx="108">
                  <c:v>44136</c:v>
                </c:pt>
                <c:pt idx="109">
                  <c:v>44166</c:v>
                </c:pt>
                <c:pt idx="110">
                  <c:v>44197</c:v>
                </c:pt>
                <c:pt idx="111">
                  <c:v>44228</c:v>
                </c:pt>
                <c:pt idx="112">
                  <c:v>44256</c:v>
                </c:pt>
                <c:pt idx="113">
                  <c:v>44287</c:v>
                </c:pt>
                <c:pt idx="114">
                  <c:v>44317</c:v>
                </c:pt>
                <c:pt idx="115">
                  <c:v>44348</c:v>
                </c:pt>
                <c:pt idx="116">
                  <c:v>44378</c:v>
                </c:pt>
                <c:pt idx="117">
                  <c:v>44409</c:v>
                </c:pt>
                <c:pt idx="118">
                  <c:v>44440</c:v>
                </c:pt>
                <c:pt idx="119">
                  <c:v>44470</c:v>
                </c:pt>
                <c:pt idx="120">
                  <c:v>44501</c:v>
                </c:pt>
                <c:pt idx="121">
                  <c:v>44531</c:v>
                </c:pt>
                <c:pt idx="122">
                  <c:v>44562</c:v>
                </c:pt>
                <c:pt idx="123">
                  <c:v>44593</c:v>
                </c:pt>
                <c:pt idx="124">
                  <c:v>44621</c:v>
                </c:pt>
                <c:pt idx="125">
                  <c:v>44652</c:v>
                </c:pt>
                <c:pt idx="126">
                  <c:v>44682</c:v>
                </c:pt>
                <c:pt idx="127">
                  <c:v>44713</c:v>
                </c:pt>
                <c:pt idx="128">
                  <c:v>44743</c:v>
                </c:pt>
                <c:pt idx="129">
                  <c:v>44774</c:v>
                </c:pt>
                <c:pt idx="130">
                  <c:v>44805</c:v>
                </c:pt>
                <c:pt idx="131">
                  <c:v>44835</c:v>
                </c:pt>
                <c:pt idx="132">
                  <c:v>44866</c:v>
                </c:pt>
                <c:pt idx="133">
                  <c:v>44896</c:v>
                </c:pt>
                <c:pt idx="134">
                  <c:v>44927</c:v>
                </c:pt>
                <c:pt idx="135">
                  <c:v>44958</c:v>
                </c:pt>
                <c:pt idx="136">
                  <c:v>44986</c:v>
                </c:pt>
                <c:pt idx="137">
                  <c:v>45017</c:v>
                </c:pt>
                <c:pt idx="138">
                  <c:v>45047</c:v>
                </c:pt>
                <c:pt idx="139">
                  <c:v>45078</c:v>
                </c:pt>
                <c:pt idx="140">
                  <c:v>45108</c:v>
                </c:pt>
              </c:numCache>
            </c:numRef>
          </c:cat>
          <c:val>
            <c:numRef>
              <c:f>'Group Totals'!$AD$4:$AD$144</c:f>
              <c:numCache>
                <c:formatCode>_-* #,##0_-;\-* #,##0_-;_-* "-"??_-;_-@_-</c:formatCode>
                <c:ptCount val="141"/>
                <c:pt idx="0">
                  <c:v>23530</c:v>
                </c:pt>
                <c:pt idx="1">
                  <c:v>15871</c:v>
                </c:pt>
                <c:pt idx="2">
                  <c:v>15056</c:v>
                </c:pt>
                <c:pt idx="3">
                  <c:v>20463</c:v>
                </c:pt>
                <c:pt idx="4">
                  <c:v>25210</c:v>
                </c:pt>
                <c:pt idx="5">
                  <c:v>27372</c:v>
                </c:pt>
                <c:pt idx="6">
                  <c:v>26029</c:v>
                </c:pt>
                <c:pt idx="7">
                  <c:v>20235</c:v>
                </c:pt>
                <c:pt idx="8">
                  <c:v>26773</c:v>
                </c:pt>
                <c:pt idx="9">
                  <c:v>18016</c:v>
                </c:pt>
                <c:pt idx="10">
                  <c:v>17719</c:v>
                </c:pt>
                <c:pt idx="11">
                  <c:v>30657</c:v>
                </c:pt>
                <c:pt idx="12">
                  <c:v>23828</c:v>
                </c:pt>
                <c:pt idx="13">
                  <c:v>21264</c:v>
                </c:pt>
                <c:pt idx="14">
                  <c:v>15316</c:v>
                </c:pt>
                <c:pt idx="15">
                  <c:v>20129</c:v>
                </c:pt>
                <c:pt idx="16">
                  <c:v>21009</c:v>
                </c:pt>
                <c:pt idx="17">
                  <c:v>21969</c:v>
                </c:pt>
                <c:pt idx="18">
                  <c:v>19506</c:v>
                </c:pt>
                <c:pt idx="19">
                  <c:v>15636</c:v>
                </c:pt>
                <c:pt idx="20">
                  <c:v>19447</c:v>
                </c:pt>
                <c:pt idx="21">
                  <c:v>14995</c:v>
                </c:pt>
                <c:pt idx="22">
                  <c:v>16010</c:v>
                </c:pt>
                <c:pt idx="23">
                  <c:v>18075</c:v>
                </c:pt>
                <c:pt idx="24">
                  <c:v>16662</c:v>
                </c:pt>
                <c:pt idx="25">
                  <c:v>14224</c:v>
                </c:pt>
                <c:pt idx="26">
                  <c:v>15346</c:v>
                </c:pt>
                <c:pt idx="27">
                  <c:v>17261</c:v>
                </c:pt>
                <c:pt idx="28">
                  <c:v>21458</c:v>
                </c:pt>
                <c:pt idx="29">
                  <c:v>13717</c:v>
                </c:pt>
                <c:pt idx="30">
                  <c:v>17172</c:v>
                </c:pt>
                <c:pt idx="31">
                  <c:v>17788</c:v>
                </c:pt>
                <c:pt idx="32">
                  <c:v>21415</c:v>
                </c:pt>
                <c:pt idx="33">
                  <c:v>24623</c:v>
                </c:pt>
                <c:pt idx="34">
                  <c:v>27334</c:v>
                </c:pt>
                <c:pt idx="35">
                  <c:v>22160</c:v>
                </c:pt>
                <c:pt idx="36">
                  <c:v>23749</c:v>
                </c:pt>
                <c:pt idx="37">
                  <c:v>16775</c:v>
                </c:pt>
                <c:pt idx="38">
                  <c:v>7769</c:v>
                </c:pt>
                <c:pt idx="39">
                  <c:v>14698</c:v>
                </c:pt>
                <c:pt idx="40">
                  <c:v>21611</c:v>
                </c:pt>
                <c:pt idx="41">
                  <c:v>18635</c:v>
                </c:pt>
                <c:pt idx="42">
                  <c:v>16993</c:v>
                </c:pt>
                <c:pt idx="43">
                  <c:v>21420</c:v>
                </c:pt>
                <c:pt idx="44">
                  <c:v>33106</c:v>
                </c:pt>
                <c:pt idx="45">
                  <c:v>30823</c:v>
                </c:pt>
                <c:pt idx="46">
                  <c:v>21820</c:v>
                </c:pt>
                <c:pt idx="47">
                  <c:v>20516</c:v>
                </c:pt>
                <c:pt idx="48">
                  <c:v>23639</c:v>
                </c:pt>
                <c:pt idx="49">
                  <c:v>11155</c:v>
                </c:pt>
                <c:pt idx="50">
                  <c:v>12351</c:v>
                </c:pt>
                <c:pt idx="51">
                  <c:v>18704</c:v>
                </c:pt>
                <c:pt idx="52">
                  <c:v>14141</c:v>
                </c:pt>
                <c:pt idx="53">
                  <c:v>14863</c:v>
                </c:pt>
                <c:pt idx="54">
                  <c:v>17617</c:v>
                </c:pt>
                <c:pt idx="55">
                  <c:v>13158</c:v>
                </c:pt>
                <c:pt idx="56">
                  <c:v>12138</c:v>
                </c:pt>
                <c:pt idx="57">
                  <c:v>17289</c:v>
                </c:pt>
                <c:pt idx="58">
                  <c:v>14871</c:v>
                </c:pt>
                <c:pt idx="59">
                  <c:v>18809</c:v>
                </c:pt>
                <c:pt idx="60">
                  <c:v>18851</c:v>
                </c:pt>
                <c:pt idx="61">
                  <c:v>15066</c:v>
                </c:pt>
                <c:pt idx="62">
                  <c:v>14369</c:v>
                </c:pt>
                <c:pt idx="63">
                  <c:v>17302</c:v>
                </c:pt>
                <c:pt idx="64">
                  <c:v>17086</c:v>
                </c:pt>
                <c:pt idx="65">
                  <c:v>12038</c:v>
                </c:pt>
                <c:pt idx="66">
                  <c:v>17672</c:v>
                </c:pt>
                <c:pt idx="67">
                  <c:v>14194</c:v>
                </c:pt>
                <c:pt idx="68">
                  <c:v>22100</c:v>
                </c:pt>
                <c:pt idx="69">
                  <c:v>20013</c:v>
                </c:pt>
                <c:pt idx="70">
                  <c:v>14881</c:v>
                </c:pt>
                <c:pt idx="71">
                  <c:v>18597</c:v>
                </c:pt>
                <c:pt idx="72">
                  <c:v>18197</c:v>
                </c:pt>
                <c:pt idx="73">
                  <c:v>13504</c:v>
                </c:pt>
                <c:pt idx="74">
                  <c:v>15690</c:v>
                </c:pt>
                <c:pt idx="75">
                  <c:v>15589</c:v>
                </c:pt>
                <c:pt idx="76">
                  <c:v>20579</c:v>
                </c:pt>
                <c:pt idx="77">
                  <c:v>20420</c:v>
                </c:pt>
                <c:pt idx="78">
                  <c:v>15988</c:v>
                </c:pt>
                <c:pt idx="79">
                  <c:v>11828</c:v>
                </c:pt>
                <c:pt idx="80">
                  <c:v>15815</c:v>
                </c:pt>
                <c:pt idx="81">
                  <c:v>13214</c:v>
                </c:pt>
                <c:pt idx="82">
                  <c:v>18050</c:v>
                </c:pt>
                <c:pt idx="83">
                  <c:v>20984</c:v>
                </c:pt>
                <c:pt idx="84">
                  <c:v>20087</c:v>
                </c:pt>
                <c:pt idx="85">
                  <c:v>14973</c:v>
                </c:pt>
                <c:pt idx="86">
                  <c:v>18112</c:v>
                </c:pt>
                <c:pt idx="87">
                  <c:v>16132</c:v>
                </c:pt>
                <c:pt idx="88">
                  <c:v>17603</c:v>
                </c:pt>
                <c:pt idx="89">
                  <c:v>15554</c:v>
                </c:pt>
                <c:pt idx="90">
                  <c:v>18571</c:v>
                </c:pt>
                <c:pt idx="91">
                  <c:v>15706</c:v>
                </c:pt>
                <c:pt idx="92">
                  <c:v>22787</c:v>
                </c:pt>
                <c:pt idx="93">
                  <c:v>16384</c:v>
                </c:pt>
                <c:pt idx="94">
                  <c:v>20194</c:v>
                </c:pt>
                <c:pt idx="95">
                  <c:v>16317</c:v>
                </c:pt>
                <c:pt idx="96">
                  <c:v>14217</c:v>
                </c:pt>
                <c:pt idx="97">
                  <c:v>12514</c:v>
                </c:pt>
                <c:pt idx="98">
                  <c:v>16445</c:v>
                </c:pt>
                <c:pt idx="99">
                  <c:v>13516</c:v>
                </c:pt>
                <c:pt idx="100">
                  <c:v>21103</c:v>
                </c:pt>
                <c:pt idx="101">
                  <c:v>3349</c:v>
                </c:pt>
                <c:pt idx="102">
                  <c:v>18279</c:v>
                </c:pt>
                <c:pt idx="103">
                  <c:v>21124</c:v>
                </c:pt>
                <c:pt idx="104">
                  <c:v>15318</c:v>
                </c:pt>
                <c:pt idx="105">
                  <c:v>26131</c:v>
                </c:pt>
                <c:pt idx="106">
                  <c:v>27003</c:v>
                </c:pt>
                <c:pt idx="107">
                  <c:v>26659</c:v>
                </c:pt>
                <c:pt idx="108">
                  <c:v>31529</c:v>
                </c:pt>
                <c:pt idx="109">
                  <c:v>11482</c:v>
                </c:pt>
                <c:pt idx="110">
                  <c:v>21182</c:v>
                </c:pt>
                <c:pt idx="111">
                  <c:v>18744</c:v>
                </c:pt>
                <c:pt idx="112">
                  <c:v>25138</c:v>
                </c:pt>
                <c:pt idx="113">
                  <c:v>18272</c:v>
                </c:pt>
                <c:pt idx="114">
                  <c:v>23730</c:v>
                </c:pt>
                <c:pt idx="115">
                  <c:v>20702</c:v>
                </c:pt>
                <c:pt idx="116">
                  <c:v>21659</c:v>
                </c:pt>
                <c:pt idx="117">
                  <c:v>25562</c:v>
                </c:pt>
                <c:pt idx="118">
                  <c:v>22259</c:v>
                </c:pt>
                <c:pt idx="119">
                  <c:v>24389</c:v>
                </c:pt>
                <c:pt idx="120">
                  <c:v>28636</c:v>
                </c:pt>
                <c:pt idx="121">
                  <c:v>17991</c:v>
                </c:pt>
                <c:pt idx="122">
                  <c:v>21366</c:v>
                </c:pt>
                <c:pt idx="123">
                  <c:v>28277</c:v>
                </c:pt>
                <c:pt idx="124">
                  <c:v>32072</c:v>
                </c:pt>
                <c:pt idx="125">
                  <c:v>20194</c:v>
                </c:pt>
                <c:pt idx="126">
                  <c:v>19509</c:v>
                </c:pt>
                <c:pt idx="127">
                  <c:v>19549</c:v>
                </c:pt>
                <c:pt idx="128">
                  <c:v>13790</c:v>
                </c:pt>
                <c:pt idx="129">
                  <c:v>12866</c:v>
                </c:pt>
                <c:pt idx="130">
                  <c:v>13565</c:v>
                </c:pt>
                <c:pt idx="131">
                  <c:v>12484</c:v>
                </c:pt>
                <c:pt idx="132">
                  <c:v>8667</c:v>
                </c:pt>
                <c:pt idx="133">
                  <c:v>11704</c:v>
                </c:pt>
                <c:pt idx="134">
                  <c:v>6174</c:v>
                </c:pt>
                <c:pt idx="135">
                  <c:v>9476</c:v>
                </c:pt>
                <c:pt idx="136">
                  <c:v>14175</c:v>
                </c:pt>
                <c:pt idx="137">
                  <c:v>12422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6-47A3-92A0-99068992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498975"/>
        <c:axId val="299854047"/>
      </c:lineChart>
      <c:dateAx>
        <c:axId val="46749897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4047"/>
        <c:crosses val="autoZero"/>
        <c:auto val="1"/>
        <c:lblOffset val="100"/>
        <c:baseTimeUnit val="months"/>
      </c:dateAx>
      <c:valAx>
        <c:axId val="2998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49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Expenses per FG Unit</a:t>
            </a:r>
            <a:r>
              <a:rPr lang="en-NZ" baseline="0"/>
              <a:t> &amp; All Units (includes PCB/XFMR) 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22003499562554"/>
          <c:y val="0.25083333333333335"/>
          <c:w val="0.85983880139982505"/>
          <c:h val="0.46792359288422281"/>
        </c:manualLayout>
      </c:layout>
      <c:lineChart>
        <c:grouping val="standard"/>
        <c:varyColors val="0"/>
        <c:ser>
          <c:idx val="0"/>
          <c:order val="0"/>
          <c:tx>
            <c:strRef>
              <c:f>'Group Totals'!$AT$3</c:f>
              <c:strCache>
                <c:ptCount val="1"/>
                <c:pt idx="0">
                  <c:v>Expenses / FG unit produced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Totals'!$AT$82:$AT$144</c:f>
              <c:numCache>
                <c:formatCode>_-"$"* #,##0_-;\-"$"* #,##0_-;_-"$"* "-"??_-;_-@_-</c:formatCode>
                <c:ptCount val="63"/>
                <c:pt idx="0">
                  <c:v>26.424698278327519</c:v>
                </c:pt>
                <c:pt idx="1">
                  <c:v>36.66077142153933</c:v>
                </c:pt>
                <c:pt idx="2">
                  <c:v>28.225888908036072</c:v>
                </c:pt>
                <c:pt idx="3">
                  <c:v>34.969156141314294</c:v>
                </c:pt>
                <c:pt idx="4">
                  <c:v>28.975694245634127</c:v>
                </c:pt>
                <c:pt idx="5">
                  <c:v>25.099049758928988</c:v>
                </c:pt>
                <c:pt idx="6">
                  <c:v>24.821588243105662</c:v>
                </c:pt>
                <c:pt idx="7">
                  <c:v>33.303638009049777</c:v>
                </c:pt>
                <c:pt idx="8">
                  <c:v>26.958081868276043</c:v>
                </c:pt>
                <c:pt idx="9">
                  <c:v>27.092435877344197</c:v>
                </c:pt>
                <c:pt idx="10">
                  <c:v>29.984924335612323</c:v>
                </c:pt>
                <c:pt idx="11">
                  <c:v>33.395410921870777</c:v>
                </c:pt>
                <c:pt idx="12">
                  <c:v>30.385203811540496</c:v>
                </c:pt>
                <c:pt idx="13">
                  <c:v>31.863183014134492</c:v>
                </c:pt>
                <c:pt idx="14">
                  <c:v>35.70119466696233</c:v>
                </c:pt>
                <c:pt idx="15">
                  <c:v>28.378007755322155</c:v>
                </c:pt>
                <c:pt idx="16">
                  <c:v>28.514346691961109</c:v>
                </c:pt>
                <c:pt idx="17">
                  <c:v>31.034893381334811</c:v>
                </c:pt>
                <c:pt idx="18">
                  <c:v>32.25091756481212</c:v>
                </c:pt>
                <c:pt idx="19">
                  <c:v>31.961737874909758</c:v>
                </c:pt>
                <c:pt idx="20">
                  <c:v>27.425685536523542</c:v>
                </c:pt>
                <c:pt idx="21">
                  <c:v>31.585451724549468</c:v>
                </c:pt>
                <c:pt idx="22">
                  <c:v>35.854441913439636</c:v>
                </c:pt>
                <c:pt idx="23">
                  <c:v>122.1057210965435</c:v>
                </c:pt>
                <c:pt idx="24">
                  <c:v>26.450069066384984</c:v>
                </c:pt>
                <c:pt idx="25">
                  <c:v>25.243430267806744</c:v>
                </c:pt>
                <c:pt idx="26">
                  <c:v>25.906861313868614</c:v>
                </c:pt>
                <c:pt idx="27">
                  <c:v>27.248886164871173</c:v>
                </c:pt>
                <c:pt idx="28">
                  <c:v>29.869532587537233</c:v>
                </c:pt>
                <c:pt idx="29">
                  <c:v>31.896546431312355</c:v>
                </c:pt>
                <c:pt idx="30">
                  <c:v>26.648036029146219</c:v>
                </c:pt>
                <c:pt idx="31">
                  <c:v>37.007175158275551</c:v>
                </c:pt>
                <c:pt idx="32">
                  <c:v>32.821775684216803</c:v>
                </c:pt>
                <c:pt idx="33">
                  <c:v>37.418474635494427</c:v>
                </c:pt>
                <c:pt idx="34">
                  <c:v>24.440235890129028</c:v>
                </c:pt>
                <c:pt idx="35">
                  <c:v>27.994454816507371</c:v>
                </c:pt>
                <c:pt idx="36">
                  <c:v>19.978860495177489</c:v>
                </c:pt>
                <c:pt idx="37">
                  <c:v>35.928741032636154</c:v>
                </c:pt>
                <c:pt idx="38">
                  <c:v>33.575675675675676</c:v>
                </c:pt>
                <c:pt idx="39">
                  <c:v>30.4814605520539</c:v>
                </c:pt>
                <c:pt idx="40">
                  <c:v>24.12171520880316</c:v>
                </c:pt>
                <c:pt idx="41">
                  <c:v>25.232773136454892</c:v>
                </c:pt>
                <c:pt idx="42">
                  <c:v>25.652650528349383</c:v>
                </c:pt>
                <c:pt idx="43">
                  <c:v>25.883347285723485</c:v>
                </c:pt>
                <c:pt idx="44">
                  <c:v>30.846803236518404</c:v>
                </c:pt>
                <c:pt idx="45">
                  <c:v>34.56049747048904</c:v>
                </c:pt>
                <c:pt idx="46">
                  <c:v>21.685449141748045</c:v>
                </c:pt>
                <c:pt idx="47">
                  <c:v>26.925701237176646</c:v>
                </c:pt>
                <c:pt idx="48">
                  <c:v>28.746293042867183</c:v>
                </c:pt>
                <c:pt idx="49">
                  <c:v>28.765372333197444</c:v>
                </c:pt>
                <c:pt idx="50">
                  <c:v>36.826384697042236</c:v>
                </c:pt>
                <c:pt idx="51">
                  <c:v>41.104898272703998</c:v>
                </c:pt>
                <c:pt idx="52">
                  <c:v>28.700948600540716</c:v>
                </c:pt>
                <c:pt idx="53">
                  <c:v>34.433382881442036</c:v>
                </c:pt>
                <c:pt idx="54">
                  <c:v>54.126814213423792</c:v>
                </c:pt>
                <c:pt idx="55">
                  <c:v>66.284687203554839</c:v>
                </c:pt>
                <c:pt idx="56">
                  <c:v>65.72169458354918</c:v>
                </c:pt>
                <c:pt idx="57">
                  <c:v>43.687319468515312</c:v>
                </c:pt>
                <c:pt idx="58">
                  <c:v>32.246949827102497</c:v>
                </c:pt>
                <c:pt idx="59">
                  <c:v>53.37980529206191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D-4F2D-AC3E-F9E02D834D85}"/>
            </c:ext>
          </c:extLst>
        </c:ser>
        <c:ser>
          <c:idx val="1"/>
          <c:order val="1"/>
          <c:tx>
            <c:strRef>
              <c:f>'Group Totals'!$AU$3</c:f>
              <c:strCache>
                <c:ptCount val="1"/>
                <c:pt idx="0">
                  <c:v>Expenses per total units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Totals'!$AU$82:$AU$144</c:f>
              <c:numCache>
                <c:formatCode>_-"$"* #,##0.0_-;\-"$"* #,##0.0_-;_-"$"* "-"??_-;_-@_-</c:formatCode>
                <c:ptCount val="63"/>
                <c:pt idx="0">
                  <c:v>7.3896145702329132</c:v>
                </c:pt>
                <c:pt idx="1">
                  <c:v>9.5671018444462455</c:v>
                </c:pt>
                <c:pt idx="2">
                  <c:v>7.2277351389349382</c:v>
                </c:pt>
                <c:pt idx="3">
                  <c:v>8.8499524772687437</c:v>
                </c:pt>
                <c:pt idx="4">
                  <c:v>7.5087570053879285</c:v>
                </c:pt>
                <c:pt idx="5">
                  <c:v>6.8942270624628765</c:v>
                </c:pt>
                <c:pt idx="6">
                  <c:v>7.73706595715079</c:v>
                </c:pt>
                <c:pt idx="7">
                  <c:v>8.558963759812821</c:v>
                </c:pt>
                <c:pt idx="8">
                  <c:v>7.0431657388872129</c:v>
                </c:pt>
                <c:pt idx="9">
                  <c:v>8.3834657230119856</c:v>
                </c:pt>
                <c:pt idx="10">
                  <c:v>8.1544167556455385</c:v>
                </c:pt>
                <c:pt idx="11">
                  <c:v>8.7922875373115517</c:v>
                </c:pt>
                <c:pt idx="12">
                  <c:v>8.5129878436527253</c:v>
                </c:pt>
                <c:pt idx="13">
                  <c:v>8.1832324978392386</c:v>
                </c:pt>
                <c:pt idx="14">
                  <c:v>8.1574585052166668</c:v>
                </c:pt>
                <c:pt idx="15">
                  <c:v>7.9307448161777243</c:v>
                </c:pt>
                <c:pt idx="16">
                  <c:v>7.3299967770830863</c:v>
                </c:pt>
                <c:pt idx="17">
                  <c:v>7.7640134888363779</c:v>
                </c:pt>
                <c:pt idx="18">
                  <c:v>8.6105169970064956</c:v>
                </c:pt>
                <c:pt idx="19">
                  <c:v>8.0557394268637115</c:v>
                </c:pt>
                <c:pt idx="20">
                  <c:v>7.5420080055482606</c:v>
                </c:pt>
                <c:pt idx="21">
                  <c:v>8.1964185475722537</c:v>
                </c:pt>
                <c:pt idx="22">
                  <c:v>7.7778912481043081</c:v>
                </c:pt>
                <c:pt idx="23">
                  <c:v>19.317082828549474</c:v>
                </c:pt>
                <c:pt idx="24">
                  <c:v>7.1793081646956196</c:v>
                </c:pt>
                <c:pt idx="25">
                  <c:v>7.2961092964083987</c:v>
                </c:pt>
                <c:pt idx="26">
                  <c:v>8.1553023277951837</c:v>
                </c:pt>
                <c:pt idx="27">
                  <c:v>7.1992924803721943</c:v>
                </c:pt>
                <c:pt idx="28">
                  <c:v>8.3998502861546029</c:v>
                </c:pt>
                <c:pt idx="29">
                  <c:v>8.0655202173944698</c:v>
                </c:pt>
                <c:pt idx="30">
                  <c:v>6.8823221197764788</c:v>
                </c:pt>
                <c:pt idx="31">
                  <c:v>10.637902857146983</c:v>
                </c:pt>
                <c:pt idx="32">
                  <c:v>8.6710703877759983</c:v>
                </c:pt>
                <c:pt idx="33">
                  <c:v>9.1472289736680672</c:v>
                </c:pt>
                <c:pt idx="34">
                  <c:v>7.1787627285964364</c:v>
                </c:pt>
                <c:pt idx="35">
                  <c:v>7.156256269922773</c:v>
                </c:pt>
                <c:pt idx="36">
                  <c:v>6.0344810498384964</c:v>
                </c:pt>
                <c:pt idx="37">
                  <c:v>9.4236979321950791</c:v>
                </c:pt>
                <c:pt idx="38">
                  <c:v>9.7196910181714404</c:v>
                </c:pt>
                <c:pt idx="39">
                  <c:v>7.3525032132805705</c:v>
                </c:pt>
                <c:pt idx="40">
                  <c:v>7.2448111651620311</c:v>
                </c:pt>
                <c:pt idx="41">
                  <c:v>7.526959324358697</c:v>
                </c:pt>
                <c:pt idx="42">
                  <c:v>7.6385890289768543</c:v>
                </c:pt>
                <c:pt idx="43">
                  <c:v>8.2518932540874008</c:v>
                </c:pt>
                <c:pt idx="44">
                  <c:v>7.6905427643165982</c:v>
                </c:pt>
                <c:pt idx="45">
                  <c:v>9.4289082677206526</c:v>
                </c:pt>
                <c:pt idx="46">
                  <c:v>6.2957540005722965</c:v>
                </c:pt>
                <c:pt idx="47">
                  <c:v>7.9619184712295246</c:v>
                </c:pt>
                <c:pt idx="48">
                  <c:v>7.8976686938893712</c:v>
                </c:pt>
                <c:pt idx="49">
                  <c:v>8.0856192262486903</c:v>
                </c:pt>
                <c:pt idx="50">
                  <c:v>9.7263064727971749</c:v>
                </c:pt>
                <c:pt idx="51">
                  <c:v>11.059246623282053</c:v>
                </c:pt>
                <c:pt idx="52">
                  <c:v>9.5763696549758279</c:v>
                </c:pt>
                <c:pt idx="53">
                  <c:v>9.8234501823972664</c:v>
                </c:pt>
                <c:pt idx="54">
                  <c:v>12.18696836856545</c:v>
                </c:pt>
                <c:pt idx="55">
                  <c:v>10.679816508226361</c:v>
                </c:pt>
                <c:pt idx="56">
                  <c:v>12.459461769718045</c:v>
                </c:pt>
                <c:pt idx="57">
                  <c:v>10.93097321681312</c:v>
                </c:pt>
                <c:pt idx="58">
                  <c:v>7.956935064516907</c:v>
                </c:pt>
                <c:pt idx="59">
                  <c:v>12.391015565583329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D-4F2D-AC3E-F9E02D834D85}"/>
            </c:ext>
          </c:extLst>
        </c:ser>
        <c:ser>
          <c:idx val="2"/>
          <c:order val="2"/>
          <c:tx>
            <c:strRef>
              <c:f>'Group Totals'!$AV$3</c:f>
              <c:strCache>
                <c:ptCount val="1"/>
                <c:pt idx="0">
                  <c:v>Expense /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Totals'!$AV$82:$AV$144</c:f>
              <c:numCache>
                <c:formatCode>"$"#,##0</c:formatCode>
                <c:ptCount val="63"/>
                <c:pt idx="0">
                  <c:v>12157.447368421053</c:v>
                </c:pt>
                <c:pt idx="1">
                  <c:v>13719.328947368422</c:v>
                </c:pt>
                <c:pt idx="2">
                  <c:v>12763.233766233767</c:v>
                </c:pt>
                <c:pt idx="3">
                  <c:v>13809.867469879518</c:v>
                </c:pt>
                <c:pt idx="4">
                  <c:v>11907.305882352941</c:v>
                </c:pt>
                <c:pt idx="5">
                  <c:v>12920.265060240963</c:v>
                </c:pt>
                <c:pt idx="6">
                  <c:v>12744.193181818182</c:v>
                </c:pt>
                <c:pt idx="7">
                  <c:v>10110.032967032967</c:v>
                </c:pt>
                <c:pt idx="8">
                  <c:v>10146.888888888889</c:v>
                </c:pt>
                <c:pt idx="9">
                  <c:v>11787.056818181818</c:v>
                </c:pt>
                <c:pt idx="10">
                  <c:v>13102.2875</c:v>
                </c:pt>
                <c:pt idx="11">
                  <c:v>12200.456790123457</c:v>
                </c:pt>
                <c:pt idx="12">
                  <c:v>13999.426829268292</c:v>
                </c:pt>
                <c:pt idx="13">
                  <c:v>12398.571428571429</c:v>
                </c:pt>
                <c:pt idx="14">
                  <c:v>16303.696202531646</c:v>
                </c:pt>
                <c:pt idx="15">
                  <c:v>13813.35</c:v>
                </c:pt>
                <c:pt idx="16">
                  <c:v>14429.4</c:v>
                </c:pt>
                <c:pt idx="17">
                  <c:v>14554.155844155845</c:v>
                </c:pt>
                <c:pt idx="18">
                  <c:v>14378.883116883117</c:v>
                </c:pt>
                <c:pt idx="19">
                  <c:v>13342.493150684932</c:v>
                </c:pt>
                <c:pt idx="20">
                  <c:v>15752.426470588236</c:v>
                </c:pt>
                <c:pt idx="21">
                  <c:v>16286.430769230768</c:v>
                </c:pt>
                <c:pt idx="22">
                  <c:v>17215.734375</c:v>
                </c:pt>
                <c:pt idx="23">
                  <c:v>16523.66129032258</c:v>
                </c:pt>
                <c:pt idx="24">
                  <c:v>14796.40909090909</c:v>
                </c:pt>
                <c:pt idx="25">
                  <c:v>15681.415584415585</c:v>
                </c:pt>
                <c:pt idx="26">
                  <c:v>14614.517647058823</c:v>
                </c:pt>
                <c:pt idx="27">
                  <c:v>13926.807228915663</c:v>
                </c:pt>
                <c:pt idx="28">
                  <c:v>15344.662650602409</c:v>
                </c:pt>
                <c:pt idx="29">
                  <c:v>14009.393258426966</c:v>
                </c:pt>
                <c:pt idx="30">
                  <c:v>13937.81111111111</c:v>
                </c:pt>
                <c:pt idx="31">
                  <c:v>14109.51724137931</c:v>
                </c:pt>
                <c:pt idx="32">
                  <c:v>13425.707317073171</c:v>
                </c:pt>
                <c:pt idx="33">
                  <c:v>15102.192307692309</c:v>
                </c:pt>
                <c:pt idx="34">
                  <c:v>13876.561797752809</c:v>
                </c:pt>
                <c:pt idx="35">
                  <c:v>11547.551724137931</c:v>
                </c:pt>
                <c:pt idx="36">
                  <c:v>11288.056179775282</c:v>
                </c:pt>
                <c:pt idx="37">
                  <c:v>16538.918604651164</c:v>
                </c:pt>
                <c:pt idx="38">
                  <c:v>15953.747368421053</c:v>
                </c:pt>
                <c:pt idx="39">
                  <c:v>14310.734693877552</c:v>
                </c:pt>
                <c:pt idx="40">
                  <c:v>14932.29702970297</c:v>
                </c:pt>
                <c:pt idx="41">
                  <c:v>14040.333333333334</c:v>
                </c:pt>
                <c:pt idx="42">
                  <c:v>13693.3046875</c:v>
                </c:pt>
                <c:pt idx="43">
                  <c:v>12273.053435114503</c:v>
                </c:pt>
                <c:pt idx="44">
                  <c:v>9489.7194244604325</c:v>
                </c:pt>
                <c:pt idx="45">
                  <c:v>13359.296296296296</c:v>
                </c:pt>
                <c:pt idx="46">
                  <c:v>11172.75</c:v>
                </c:pt>
                <c:pt idx="47">
                  <c:v>13167.116666666667</c:v>
                </c:pt>
                <c:pt idx="48">
                  <c:v>13866.43220338983</c:v>
                </c:pt>
                <c:pt idx="49">
                  <c:v>15395.227272727272</c:v>
                </c:pt>
                <c:pt idx="50">
                  <c:v>15252.155172413793</c:v>
                </c:pt>
                <c:pt idx="51">
                  <c:v>17837.76923076923</c:v>
                </c:pt>
                <c:pt idx="52">
                  <c:v>14575.753968253968</c:v>
                </c:pt>
                <c:pt idx="53">
                  <c:v>14878.300813008131</c:v>
                </c:pt>
                <c:pt idx="54">
                  <c:v>19274.504950495051</c:v>
                </c:pt>
                <c:pt idx="55">
                  <c:v>14589.186813186812</c:v>
                </c:pt>
                <c:pt idx="56">
                  <c:v>13123.942528735632</c:v>
                </c:pt>
                <c:pt idx="57">
                  <c:v>13749.59090909091</c:v>
                </c:pt>
                <c:pt idx="58">
                  <c:v>13358.081081081082</c:v>
                </c:pt>
                <c:pt idx="59">
                  <c:v>16449.192307692309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C9D-4F2D-AC3E-F9E02D834D85}"/>
            </c:ext>
          </c:extLst>
        </c:ser>
        <c:ser>
          <c:idx val="3"/>
          <c:order val="3"/>
          <c:tx>
            <c:strRef>
              <c:f>'Group Totals'!$AW$3</c:f>
              <c:strCache>
                <c:ptCount val="1"/>
                <c:pt idx="0">
                  <c:v>Expense / total team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Totals'!$AW$82:$AW$144</c:f>
              <c:numCache>
                <c:formatCode>_-"$"* #,##0_-;\-"$"* #,##0_-;_-"$"* "-"??_-;_-@_-</c:formatCode>
                <c:ptCount val="63"/>
                <c:pt idx="0">
                  <c:v>7573.4918032786882</c:v>
                </c:pt>
                <c:pt idx="1">
                  <c:v>8617.0991735537191</c:v>
                </c:pt>
                <c:pt idx="2">
                  <c:v>8122.0578512396696</c:v>
                </c:pt>
                <c:pt idx="3">
                  <c:v>9096.9761904761908</c:v>
                </c:pt>
                <c:pt idx="4">
                  <c:v>7907.1953125</c:v>
                </c:pt>
                <c:pt idx="5">
                  <c:v>8443.9527559055114</c:v>
                </c:pt>
                <c:pt idx="6">
                  <c:v>8693.7131782945744</c:v>
                </c:pt>
                <c:pt idx="7">
                  <c:v>6814.9111111111115</c:v>
                </c:pt>
                <c:pt idx="8">
                  <c:v>6322.292307692308</c:v>
                </c:pt>
                <c:pt idx="9">
                  <c:v>8103.6015625</c:v>
                </c:pt>
                <c:pt idx="10">
                  <c:v>8318.9126984126979</c:v>
                </c:pt>
                <c:pt idx="11">
                  <c:v>7781.3937007874019</c:v>
                </c:pt>
                <c:pt idx="12">
                  <c:v>8763</c:v>
                </c:pt>
                <c:pt idx="13">
                  <c:v>7950.2290076335876</c:v>
                </c:pt>
                <c:pt idx="14">
                  <c:v>9684.1503759398493</c:v>
                </c:pt>
                <c:pt idx="15">
                  <c:v>8371.7272727272721</c:v>
                </c:pt>
                <c:pt idx="16">
                  <c:v>8454.7265625</c:v>
                </c:pt>
                <c:pt idx="17">
                  <c:v>8755.234375</c:v>
                </c:pt>
                <c:pt idx="18">
                  <c:v>8649.796875</c:v>
                </c:pt>
                <c:pt idx="19">
                  <c:v>7854.8548387096771</c:v>
                </c:pt>
                <c:pt idx="20">
                  <c:v>8501.3095238095229</c:v>
                </c:pt>
                <c:pt idx="21">
                  <c:v>8748.9090909090901</c:v>
                </c:pt>
                <c:pt idx="22">
                  <c:v>9258.8823529411766</c:v>
                </c:pt>
                <c:pt idx="23">
                  <c:v>8756.1282051282051</c:v>
                </c:pt>
                <c:pt idx="24">
                  <c:v>8275.9576271186434</c:v>
                </c:pt>
                <c:pt idx="25">
                  <c:v>9433.3515625</c:v>
                </c:pt>
                <c:pt idx="26">
                  <c:v>9201.7333333333336</c:v>
                </c:pt>
                <c:pt idx="27">
                  <c:v>8757.007575757576</c:v>
                </c:pt>
                <c:pt idx="28">
                  <c:v>9434.1259259259259</c:v>
                </c:pt>
                <c:pt idx="29">
                  <c:v>8842.8085106382987</c:v>
                </c:pt>
                <c:pt idx="30">
                  <c:v>8896.4751773049647</c:v>
                </c:pt>
                <c:pt idx="31">
                  <c:v>8831.1366906474814</c:v>
                </c:pt>
                <c:pt idx="32">
                  <c:v>8094.911764705882</c:v>
                </c:pt>
                <c:pt idx="33">
                  <c:v>8924.0227272727279</c:v>
                </c:pt>
                <c:pt idx="34">
                  <c:v>8949.3768115942021</c:v>
                </c:pt>
                <c:pt idx="35">
                  <c:v>7387.036764705882</c:v>
                </c:pt>
                <c:pt idx="36">
                  <c:v>7175.9785714285717</c:v>
                </c:pt>
                <c:pt idx="37">
                  <c:v>10306.86231884058</c:v>
                </c:pt>
                <c:pt idx="38">
                  <c:v>10310.244897959185</c:v>
                </c:pt>
                <c:pt idx="39">
                  <c:v>9226.6578947368416</c:v>
                </c:pt>
                <c:pt idx="40">
                  <c:v>9793.2597402597403</c:v>
                </c:pt>
                <c:pt idx="41">
                  <c:v>9008.5375722543358</c:v>
                </c:pt>
                <c:pt idx="42">
                  <c:v>9474.286486486486</c:v>
                </c:pt>
                <c:pt idx="43">
                  <c:v>8417.6439790575914</c:v>
                </c:pt>
                <c:pt idx="44">
                  <c:v>6595.3549999999996</c:v>
                </c:pt>
                <c:pt idx="45">
                  <c:v>9062.8391959798992</c:v>
                </c:pt>
                <c:pt idx="46">
                  <c:v>7409.9067357512949</c:v>
                </c:pt>
                <c:pt idx="47">
                  <c:v>8634.1748633879779</c:v>
                </c:pt>
                <c:pt idx="48">
                  <c:v>8749.9411764705874</c:v>
                </c:pt>
                <c:pt idx="49">
                  <c:v>9408.1944444444453</c:v>
                </c:pt>
                <c:pt idx="50">
                  <c:v>9461.2299465240649</c:v>
                </c:pt>
                <c:pt idx="51">
                  <c:v>10926.80104712042</c:v>
                </c:pt>
                <c:pt idx="52">
                  <c:v>9228.8693467336689</c:v>
                </c:pt>
                <c:pt idx="53">
                  <c:v>9196.13567839196</c:v>
                </c:pt>
                <c:pt idx="54">
                  <c:v>11519.082840236686</c:v>
                </c:pt>
                <c:pt idx="55">
                  <c:v>8677.2287581699347</c:v>
                </c:pt>
                <c:pt idx="56">
                  <c:v>7767.2312925170072</c:v>
                </c:pt>
                <c:pt idx="57">
                  <c:v>8520.8732394366198</c:v>
                </c:pt>
                <c:pt idx="58">
                  <c:v>7215.3138686131388</c:v>
                </c:pt>
                <c:pt idx="59">
                  <c:v>9434.0955882352937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C9D-4F2D-AC3E-F9E02D834D85}"/>
            </c:ext>
          </c:extLst>
        </c:ser>
        <c:ser>
          <c:idx val="4"/>
          <c:order val="4"/>
          <c:tx>
            <c:strRef>
              <c:f>'Group Totals'!$AY$3</c:f>
              <c:strCache>
                <c:ptCount val="1"/>
                <c:pt idx="0">
                  <c:v>Recovery per FG unit produced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Totals'!$AY$82:$AY$144</c:f>
              <c:numCache>
                <c:formatCode>_-"$"* #,##0_-;\-"$"* #,##0_-;_-"$"* "-"??_-;_-@_-</c:formatCode>
                <c:ptCount val="63"/>
                <c:pt idx="0">
                  <c:v>26.556824343648117</c:v>
                </c:pt>
                <c:pt idx="1">
                  <c:v>32.883267114377134</c:v>
                </c:pt>
                <c:pt idx="2">
                  <c:v>28.705612039749553</c:v>
                </c:pt>
                <c:pt idx="3">
                  <c:v>35.412349746781381</c:v>
                </c:pt>
                <c:pt idx="4">
                  <c:v>29.69083882049814</c:v>
                </c:pt>
                <c:pt idx="5">
                  <c:v>25.627305855919126</c:v>
                </c:pt>
                <c:pt idx="6">
                  <c:v>26.190313177814161</c:v>
                </c:pt>
                <c:pt idx="7">
                  <c:v>25.120576289592758</c:v>
                </c:pt>
                <c:pt idx="8">
                  <c:v>27.408562713198627</c:v>
                </c:pt>
                <c:pt idx="9">
                  <c:v>24.433977955388425</c:v>
                </c:pt>
                <c:pt idx="10">
                  <c:v>28.286637869382385</c:v>
                </c:pt>
                <c:pt idx="11">
                  <c:v>24.268822654771562</c:v>
                </c:pt>
                <c:pt idx="12">
                  <c:v>27.421175224986765</c:v>
                </c:pt>
                <c:pt idx="13">
                  <c:v>27.118154561586</c:v>
                </c:pt>
                <c:pt idx="14">
                  <c:v>26.509410427696317</c:v>
                </c:pt>
                <c:pt idx="15">
                  <c:v>30.638016486479547</c:v>
                </c:pt>
                <c:pt idx="16">
                  <c:v>27.332279398203042</c:v>
                </c:pt>
                <c:pt idx="17">
                  <c:v>31.03910274162282</c:v>
                </c:pt>
                <c:pt idx="18">
                  <c:v>32.216778327993012</c:v>
                </c:pt>
                <c:pt idx="19">
                  <c:v>25.554144516637134</c:v>
                </c:pt>
                <c:pt idx="20">
                  <c:v>26.961312952863764</c:v>
                </c:pt>
                <c:pt idx="21">
                  <c:v>30.655686836137964</c:v>
                </c:pt>
                <c:pt idx="22">
                  <c:v>26.387276277253498</c:v>
                </c:pt>
                <c:pt idx="23">
                  <c:v>56.29415971394517</c:v>
                </c:pt>
                <c:pt idx="24">
                  <c:v>35.140407897944257</c:v>
                </c:pt>
                <c:pt idx="25">
                  <c:v>27.558422009909478</c:v>
                </c:pt>
                <c:pt idx="26">
                  <c:v>31.536246089676748</c:v>
                </c:pt>
                <c:pt idx="27">
                  <c:v>28.715612550387778</c:v>
                </c:pt>
                <c:pt idx="28">
                  <c:v>31.426370224442412</c:v>
                </c:pt>
                <c:pt idx="29">
                  <c:v>29.534535686876438</c:v>
                </c:pt>
                <c:pt idx="30">
                  <c:v>27.976079705988571</c:v>
                </c:pt>
                <c:pt idx="31">
                  <c:v>29.417365088935785</c:v>
                </c:pt>
                <c:pt idx="32">
                  <c:v>31.544869119313098</c:v>
                </c:pt>
                <c:pt idx="33">
                  <c:v>31.69438709062609</c:v>
                </c:pt>
                <c:pt idx="34">
                  <c:v>19.468376474313306</c:v>
                </c:pt>
                <c:pt idx="35">
                  <c:v>27.081951681667455</c:v>
                </c:pt>
                <c:pt idx="36">
                  <c:v>21.853674057870141</c:v>
                </c:pt>
                <c:pt idx="37">
                  <c:v>28.376477720521372</c:v>
                </c:pt>
                <c:pt idx="38">
                  <c:v>29.6567789100576</c:v>
                </c:pt>
                <c:pt idx="39">
                  <c:v>36.796674635948705</c:v>
                </c:pt>
                <c:pt idx="40">
                  <c:v>35.466660269020998</c:v>
                </c:pt>
                <c:pt idx="41">
                  <c:v>28.296920536234701</c:v>
                </c:pt>
                <c:pt idx="42">
                  <c:v>26.770453414512776</c:v>
                </c:pt>
                <c:pt idx="43">
                  <c:v>22.716304977783501</c:v>
                </c:pt>
                <c:pt idx="44">
                  <c:v>31.660352649548663</c:v>
                </c:pt>
                <c:pt idx="45">
                  <c:v>28.08893530584087</c:v>
                </c:pt>
                <c:pt idx="46">
                  <c:v>24.337129253351126</c:v>
                </c:pt>
                <c:pt idx="47">
                  <c:v>24.528560717085305</c:v>
                </c:pt>
                <c:pt idx="48">
                  <c:v>25.470256500351372</c:v>
                </c:pt>
                <c:pt idx="49">
                  <c:v>23.683363908139693</c:v>
                </c:pt>
                <c:pt idx="50">
                  <c:v>28.012426368045293</c:v>
                </c:pt>
                <c:pt idx="51">
                  <c:v>31.016307880172533</c:v>
                </c:pt>
                <c:pt idx="52">
                  <c:v>22.86664895528919</c:v>
                </c:pt>
                <c:pt idx="53">
                  <c:v>26.104784842041884</c:v>
                </c:pt>
                <c:pt idx="54">
                  <c:v>39.146082411166098</c:v>
                </c:pt>
                <c:pt idx="55">
                  <c:v>41.549702930750414</c:v>
                </c:pt>
                <c:pt idx="56">
                  <c:v>33.404938697979624</c:v>
                </c:pt>
                <c:pt idx="57">
                  <c:v>33.46060803004044</c:v>
                </c:pt>
                <c:pt idx="58">
                  <c:v>33.065701050433873</c:v>
                </c:pt>
                <c:pt idx="59">
                  <c:v>33.220668996505239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C9D-4F2D-AC3E-F9E02D834D85}"/>
            </c:ext>
          </c:extLst>
        </c:ser>
        <c:ser>
          <c:idx val="5"/>
          <c:order val="5"/>
          <c:tx>
            <c:strRef>
              <c:f>'Group Totals'!$AZ$3</c:f>
              <c:strCache>
                <c:ptCount val="1"/>
                <c:pt idx="0">
                  <c:v>Recovery per total units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Totals'!$AZ$82:$AZ$144</c:f>
              <c:numCache>
                <c:formatCode>_-"$"* #,##0_-;\-"$"* #,##0_-;_-"$"* "-"??_-;_-@_-</c:formatCode>
                <c:ptCount val="63"/>
                <c:pt idx="0">
                  <c:v>7.4265633628782171</c:v>
                </c:pt>
                <c:pt idx="1">
                  <c:v>8.5813133020037959</c:v>
                </c:pt>
                <c:pt idx="2">
                  <c:v>7.3505766815819191</c:v>
                </c:pt>
                <c:pt idx="3">
                  <c:v>8.9621153882284155</c:v>
                </c:pt>
                <c:pt idx="4">
                  <c:v>7.6940794618872905</c:v>
                </c:pt>
                <c:pt idx="5">
                  <c:v>7.0393288696930396</c:v>
                </c:pt>
                <c:pt idx="6">
                  <c:v>8.163707274109143</c:v>
                </c:pt>
                <c:pt idx="7">
                  <c:v>6.4559343946091676</c:v>
                </c:pt>
                <c:pt idx="8">
                  <c:v>7.1608599898538383</c:v>
                </c:pt>
                <c:pt idx="9">
                  <c:v>7.5608342340721792</c:v>
                </c:pt>
                <c:pt idx="10">
                  <c:v>7.6925668119502024</c:v>
                </c:pt>
                <c:pt idx="11">
                  <c:v>6.3894547508930302</c:v>
                </c:pt>
                <c:pt idx="12">
                  <c:v>7.6825593402905881</c:v>
                </c:pt>
                <c:pt idx="13">
                  <c:v>6.9645949556061915</c:v>
                </c:pt>
                <c:pt idx="14">
                  <c:v>6.0572038997285045</c:v>
                </c:pt>
                <c:pt idx="15">
                  <c:v>8.5623449159338954</c:v>
                </c:pt>
                <c:pt idx="16">
                  <c:v>7.0261304620962965</c:v>
                </c:pt>
                <c:pt idx="17">
                  <c:v>7.7650665464271968</c:v>
                </c:pt>
                <c:pt idx="18">
                  <c:v>8.6014023267554851</c:v>
                </c:pt>
                <c:pt idx="19">
                  <c:v>6.4407489451331381</c:v>
                </c:pt>
                <c:pt idx="20">
                  <c:v>7.4143064850573657</c:v>
                </c:pt>
                <c:pt idx="21">
                  <c:v>7.9551447407982838</c:v>
                </c:pt>
                <c:pt idx="22">
                  <c:v>5.7241823959677776</c:v>
                </c:pt>
                <c:pt idx="23">
                  <c:v>8.9057165888081755</c:v>
                </c:pt>
                <c:pt idx="24">
                  <c:v>9.5381156358895698</c:v>
                </c:pt>
                <c:pt idx="25">
                  <c:v>7.9652114188804379</c:v>
                </c:pt>
                <c:pt idx="26">
                  <c:v>9.9273940609464475</c:v>
                </c:pt>
                <c:pt idx="27">
                  <c:v>7.586808952573036</c:v>
                </c:pt>
                <c:pt idx="28">
                  <c:v>8.8376610564279403</c:v>
                </c:pt>
                <c:pt idx="29">
                  <c:v>7.4682503702034602</c:v>
                </c:pt>
                <c:pt idx="30">
                  <c:v>7.2253126637386877</c:v>
                </c:pt>
                <c:pt idx="31">
                  <c:v>8.4561729121696132</c:v>
                </c:pt>
                <c:pt idx="32">
                  <c:v>8.333728898107065</c:v>
                </c:pt>
                <c:pt idx="33">
                  <c:v>7.747932504523253</c:v>
                </c:pt>
                <c:pt idx="34">
                  <c:v>5.7183922466366273</c:v>
                </c:pt>
                <c:pt idx="35">
                  <c:v>6.9229919923069172</c:v>
                </c:pt>
                <c:pt idx="36">
                  <c:v>6.6007559341733604</c:v>
                </c:pt>
                <c:pt idx="37">
                  <c:v>7.4428256246148949</c:v>
                </c:pt>
                <c:pt idx="38">
                  <c:v>8.5852249224819879</c:v>
                </c:pt>
                <c:pt idx="39">
                  <c:v>8.87581052872555</c:v>
                </c:pt>
                <c:pt idx="40">
                  <c:v>10.652196748191395</c:v>
                </c:pt>
                <c:pt idx="41">
                  <c:v>8.4409972985939152</c:v>
                </c:pt>
                <c:pt idx="42">
                  <c:v>7.9714371630661685</c:v>
                </c:pt>
                <c:pt idx="43">
                  <c:v>7.2422056442196405</c:v>
                </c:pt>
                <c:pt idx="44">
                  <c:v>7.8933720981642912</c:v>
                </c:pt>
                <c:pt idx="45">
                  <c:v>7.663315453224171</c:v>
                </c:pt>
                <c:pt idx="46">
                  <c:v>7.0655939776804386</c:v>
                </c:pt>
                <c:pt idx="47">
                  <c:v>7.2530850329866636</c:v>
                </c:pt>
                <c:pt idx="48">
                  <c:v>6.9976204266821123</c:v>
                </c:pt>
                <c:pt idx="49">
                  <c:v>6.6571244181984426</c:v>
                </c:pt>
                <c:pt idx="50">
                  <c:v>7.3984303955896058</c:v>
                </c:pt>
                <c:pt idx="51">
                  <c:v>8.3449178225617349</c:v>
                </c:pt>
                <c:pt idx="52">
                  <c:v>7.6296949698133183</c:v>
                </c:pt>
                <c:pt idx="53">
                  <c:v>7.4473964495717979</c:v>
                </c:pt>
                <c:pt idx="54">
                  <c:v>8.8139691025787492</c:v>
                </c:pt>
                <c:pt idx="55">
                  <c:v>6.6945055033454475</c:v>
                </c:pt>
                <c:pt idx="56">
                  <c:v>6.3328792610200439</c:v>
                </c:pt>
                <c:pt idx="57">
                  <c:v>8.3721550015960293</c:v>
                </c:pt>
                <c:pt idx="58">
                  <c:v>8.1589619338168404</c:v>
                </c:pt>
                <c:pt idx="59">
                  <c:v>7.7114898486900714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C9D-4F2D-AC3E-F9E02D834D85}"/>
            </c:ext>
          </c:extLst>
        </c:ser>
        <c:ser>
          <c:idx val="6"/>
          <c:order val="6"/>
          <c:tx>
            <c:strRef>
              <c:f>'Group Totals'!$BA$3</c:f>
              <c:strCache>
                <c:ptCount val="1"/>
                <c:pt idx="0">
                  <c:v>Recovery /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Totals'!$BA$82:$BA$144</c:f>
              <c:numCache>
                <c:formatCode>_-"$"* #,##0_-;\-"$"* #,##0_-;_-"$"* "-"??_-;_-@_-</c:formatCode>
                <c:ptCount val="63"/>
                <c:pt idx="0">
                  <c:v>12218.235789473685</c:v>
                </c:pt>
                <c:pt idx="1">
                  <c:v>12305.697368421053</c:v>
                </c:pt>
                <c:pt idx="2">
                  <c:v>12980.155844155845</c:v>
                </c:pt>
                <c:pt idx="3">
                  <c:v>13984.89156626506</c:v>
                </c:pt>
                <c:pt idx="4">
                  <c:v>12201.188235294117</c:v>
                </c:pt>
                <c:pt idx="5">
                  <c:v>13192.196024096391</c:v>
                </c:pt>
                <c:pt idx="6">
                  <c:v>13446.940113636358</c:v>
                </c:pt>
                <c:pt idx="7">
                  <c:v>7625.8892307692304</c:v>
                </c:pt>
                <c:pt idx="8">
                  <c:v>10316.447654320986</c:v>
                </c:pt>
                <c:pt idx="9">
                  <c:v>10630.446363636378</c:v>
                </c:pt>
                <c:pt idx="10">
                  <c:v>12360.2</c:v>
                </c:pt>
                <c:pt idx="11">
                  <c:v>8866.2098765432092</c:v>
                </c:pt>
                <c:pt idx="12">
                  <c:v>12633.804878048781</c:v>
                </c:pt>
                <c:pt idx="13">
                  <c:v>10552.190476190477</c:v>
                </c:pt>
                <c:pt idx="14">
                  <c:v>12106.075949367088</c:v>
                </c:pt>
                <c:pt idx="15">
                  <c:v>14913.4375</c:v>
                </c:pt>
                <c:pt idx="16">
                  <c:v>13831.226666666667</c:v>
                </c:pt>
                <c:pt idx="17">
                  <c:v>14556.129870129869</c:v>
                </c:pt>
                <c:pt idx="18">
                  <c:v>14363.662337662337</c:v>
                </c:pt>
                <c:pt idx="19">
                  <c:v>10667.630136986301</c:v>
                </c:pt>
                <c:pt idx="20">
                  <c:v>15485.705882352941</c:v>
                </c:pt>
                <c:pt idx="21">
                  <c:v>15807.015384615384</c:v>
                </c:pt>
                <c:pt idx="22">
                  <c:v>12670.015625</c:v>
                </c:pt>
                <c:pt idx="23">
                  <c:v>7617.8709677419356</c:v>
                </c:pt>
                <c:pt idx="24">
                  <c:v>19657.863636363636</c:v>
                </c:pt>
                <c:pt idx="25">
                  <c:v>17119.506493506495</c:v>
                </c:pt>
                <c:pt idx="26">
                  <c:v>17790.152941176471</c:v>
                </c:pt>
                <c:pt idx="27">
                  <c:v>14676.445783132531</c:v>
                </c:pt>
                <c:pt idx="28">
                  <c:v>16144.445783132531</c:v>
                </c:pt>
                <c:pt idx="29">
                  <c:v>12971.966292134832</c:v>
                </c:pt>
                <c:pt idx="30">
                  <c:v>14632.422222222222</c:v>
                </c:pt>
                <c:pt idx="31">
                  <c:v>11215.793103448275</c:v>
                </c:pt>
                <c:pt idx="32">
                  <c:v>12903.390243902439</c:v>
                </c:pt>
                <c:pt idx="33">
                  <c:v>12791.935897435897</c:v>
                </c:pt>
                <c:pt idx="34">
                  <c:v>11053.662921348314</c:v>
                </c:pt>
                <c:pt idx="35">
                  <c:v>11171.149425287356</c:v>
                </c:pt>
                <c:pt idx="36">
                  <c:v>12347.325842696629</c:v>
                </c:pt>
                <c:pt idx="37">
                  <c:v>13062.418604651162</c:v>
                </c:pt>
                <c:pt idx="38">
                  <c:v>14091.652631578947</c:v>
                </c:pt>
                <c:pt idx="39">
                  <c:v>17275.663265306124</c:v>
                </c:pt>
                <c:pt idx="40">
                  <c:v>21955.267326732672</c:v>
                </c:pt>
                <c:pt idx="41">
                  <c:v>15745.324324324325</c:v>
                </c:pt>
                <c:pt idx="42">
                  <c:v>14289.984375</c:v>
                </c:pt>
                <c:pt idx="43">
                  <c:v>10771.343511450381</c:v>
                </c:pt>
                <c:pt idx="44">
                  <c:v>9740</c:v>
                </c:pt>
                <c:pt idx="45">
                  <c:v>10857.725925925926</c:v>
                </c:pt>
                <c:pt idx="46">
                  <c:v>12538.9453125</c:v>
                </c:pt>
                <c:pt idx="47">
                  <c:v>11994.875</c:v>
                </c:pt>
                <c:pt idx="48">
                  <c:v>12286.161016949152</c:v>
                </c:pt>
                <c:pt idx="49">
                  <c:v>12675.336363636363</c:v>
                </c:pt>
                <c:pt idx="50">
                  <c:v>11601.73275862069</c:v>
                </c:pt>
                <c:pt idx="51">
                  <c:v>13459.752136752137</c:v>
                </c:pt>
                <c:pt idx="52">
                  <c:v>11612.809523809523</c:v>
                </c:pt>
                <c:pt idx="53">
                  <c:v>11279.60162601626</c:v>
                </c:pt>
                <c:pt idx="54">
                  <c:v>13939.881188118812</c:v>
                </c:pt>
                <c:pt idx="55">
                  <c:v>9145.0439560439554</c:v>
                </c:pt>
                <c:pt idx="56">
                  <c:v>6670.6206896551721</c:v>
                </c:pt>
                <c:pt idx="57">
                  <c:v>10530.96590909091</c:v>
                </c:pt>
                <c:pt idx="58">
                  <c:v>13697.243243243243</c:v>
                </c:pt>
                <c:pt idx="59">
                  <c:v>10237.076923076924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C9D-4F2D-AC3E-F9E02D834D85}"/>
            </c:ext>
          </c:extLst>
        </c:ser>
        <c:ser>
          <c:idx val="7"/>
          <c:order val="7"/>
          <c:tx>
            <c:strRef>
              <c:f>'Group Totals'!$BB$3</c:f>
              <c:strCache>
                <c:ptCount val="1"/>
                <c:pt idx="0">
                  <c:v>Recovery per total team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Totals'!$BB$82:$BB$144</c:f>
              <c:numCache>
                <c:formatCode>"$"#,##0</c:formatCode>
                <c:ptCount val="63"/>
                <c:pt idx="0">
                  <c:v>7611.3600000000006</c:v>
                </c:pt>
                <c:pt idx="1">
                  <c:v>7729.1983471074382</c:v>
                </c:pt>
                <c:pt idx="2">
                  <c:v>8260.0991735537191</c:v>
                </c:pt>
                <c:pt idx="3">
                  <c:v>9212.269841269841</c:v>
                </c:pt>
                <c:pt idx="4">
                  <c:v>8102.3515625</c:v>
                </c:pt>
                <c:pt idx="5">
                  <c:v>8621.6714173228393</c:v>
                </c:pt>
                <c:pt idx="6">
                  <c:v>9173.1064341085239</c:v>
                </c:pt>
                <c:pt idx="7">
                  <c:v>5140.4142222222217</c:v>
                </c:pt>
                <c:pt idx="8">
                  <c:v>6427.9404615384601</c:v>
                </c:pt>
                <c:pt idx="9">
                  <c:v>7308.4318750000093</c:v>
                </c:pt>
                <c:pt idx="10">
                  <c:v>7847.7460317460318</c:v>
                </c:pt>
                <c:pt idx="11">
                  <c:v>5654.8267716535429</c:v>
                </c:pt>
                <c:pt idx="12">
                  <c:v>7908.1832061068699</c:v>
                </c:pt>
                <c:pt idx="13">
                  <c:v>6766.2900763358775</c:v>
                </c:pt>
                <c:pt idx="14">
                  <c:v>7190.8270676691727</c:v>
                </c:pt>
                <c:pt idx="15">
                  <c:v>9038.44696969697</c:v>
                </c:pt>
                <c:pt idx="16">
                  <c:v>8104.234375</c:v>
                </c:pt>
                <c:pt idx="17">
                  <c:v>8756.421875</c:v>
                </c:pt>
                <c:pt idx="18">
                  <c:v>8640.640625</c:v>
                </c:pt>
                <c:pt idx="19">
                  <c:v>6280.1370967741932</c:v>
                </c:pt>
                <c:pt idx="20">
                  <c:v>8357.3650793650795</c:v>
                </c:pt>
                <c:pt idx="21">
                  <c:v>8491.371900826447</c:v>
                </c:pt>
                <c:pt idx="22">
                  <c:v>6814.1260504201682</c:v>
                </c:pt>
                <c:pt idx="23">
                  <c:v>4036.8205128205127</c:v>
                </c:pt>
                <c:pt idx="24">
                  <c:v>10995.076271186441</c:v>
                </c:pt>
                <c:pt idx="25">
                  <c:v>10298.453125</c:v>
                </c:pt>
                <c:pt idx="26">
                  <c:v>11201.207407407408</c:v>
                </c:pt>
                <c:pt idx="27">
                  <c:v>9228.371212121212</c:v>
                </c:pt>
                <c:pt idx="28">
                  <c:v>9925.8444444444449</c:v>
                </c:pt>
                <c:pt idx="29">
                  <c:v>8187.9787234042551</c:v>
                </c:pt>
                <c:pt idx="30">
                  <c:v>9339.8439716312059</c:v>
                </c:pt>
                <c:pt idx="31">
                  <c:v>7019.9568345323742</c:v>
                </c:pt>
                <c:pt idx="32">
                  <c:v>7779.9852941176468</c:v>
                </c:pt>
                <c:pt idx="33">
                  <c:v>7558.871212121212</c:v>
                </c:pt>
                <c:pt idx="34">
                  <c:v>7128.811594202899</c:v>
                </c:pt>
                <c:pt idx="35">
                  <c:v>7146.25</c:v>
                </c:pt>
                <c:pt idx="36">
                  <c:v>7849.3714285714286</c:v>
                </c:pt>
                <c:pt idx="37">
                  <c:v>8140.347826086957</c:v>
                </c:pt>
                <c:pt idx="38">
                  <c:v>9106.850340136054</c:v>
                </c:pt>
                <c:pt idx="39">
                  <c:v>11138.256578947368</c:v>
                </c:pt>
                <c:pt idx="40">
                  <c:v>14399.233766233767</c:v>
                </c:pt>
                <c:pt idx="41">
                  <c:v>10102.491329479768</c:v>
                </c:pt>
                <c:pt idx="42">
                  <c:v>9887.1243243243243</c:v>
                </c:pt>
                <c:pt idx="43">
                  <c:v>7387.6753926701567</c:v>
                </c:pt>
                <c:pt idx="44">
                  <c:v>6769.3</c:v>
                </c:pt>
                <c:pt idx="45">
                  <c:v>7365.7939698492464</c:v>
                </c:pt>
                <c:pt idx="46">
                  <c:v>8315.984455958549</c:v>
                </c:pt>
                <c:pt idx="47">
                  <c:v>7865.4918032786882</c:v>
                </c:pt>
                <c:pt idx="48">
                  <c:v>7752.7647058823532</c:v>
                </c:pt>
                <c:pt idx="49">
                  <c:v>7746.0388888888892</c:v>
                </c:pt>
                <c:pt idx="50">
                  <c:v>7196.7967914438505</c:v>
                </c:pt>
                <c:pt idx="51">
                  <c:v>8244.9790575916231</c:v>
                </c:pt>
                <c:pt idx="52">
                  <c:v>7352.8341708542712</c:v>
                </c:pt>
                <c:pt idx="53">
                  <c:v>6971.8140703517583</c:v>
                </c:pt>
                <c:pt idx="54">
                  <c:v>8330.9349112426044</c:v>
                </c:pt>
                <c:pt idx="55">
                  <c:v>5439.2091503267975</c:v>
                </c:pt>
                <c:pt idx="56">
                  <c:v>3947.9183673469388</c:v>
                </c:pt>
                <c:pt idx="57">
                  <c:v>6526.2323943661968</c:v>
                </c:pt>
                <c:pt idx="58">
                  <c:v>7398.5109489051092</c:v>
                </c:pt>
                <c:pt idx="59">
                  <c:v>5871.2647058823532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C9D-4F2D-AC3E-F9E02D834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60671"/>
        <c:axId val="299818687"/>
        <c:extLst/>
      </c:lineChart>
      <c:dateAx>
        <c:axId val="212560671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18687"/>
        <c:crosses val="autoZero"/>
        <c:auto val="1"/>
        <c:lblOffset val="100"/>
        <c:baseTimeUnit val="months"/>
      </c:dateAx>
      <c:valAx>
        <c:axId val="299818687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7155085541314636"/>
          <c:w val="1"/>
          <c:h val="0.125002187226596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Recovery per FG Unit &amp; All Units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48669414580612E-2"/>
          <c:y val="0.15128953771289541"/>
          <c:w val="0.8798335626155227"/>
          <c:h val="0.55531045845546667"/>
        </c:manualLayout>
      </c:layout>
      <c:lineChart>
        <c:grouping val="standard"/>
        <c:varyColors val="0"/>
        <c:ser>
          <c:idx val="1"/>
          <c:order val="1"/>
          <c:tx>
            <c:strRef>
              <c:f>'Group Totals'!$AU$3</c:f>
              <c:strCache>
                <c:ptCount val="1"/>
                <c:pt idx="0">
                  <c:v>Expenses per total units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Totals'!$AU$82:$AU$144</c:f>
              <c:numCache>
                <c:formatCode>_-"$"* #,##0.0_-;\-"$"* #,##0.0_-;_-"$"* "-"??_-;_-@_-</c:formatCode>
                <c:ptCount val="63"/>
                <c:pt idx="0">
                  <c:v>7.3896145702329132</c:v>
                </c:pt>
                <c:pt idx="1">
                  <c:v>9.5671018444462455</c:v>
                </c:pt>
                <c:pt idx="2">
                  <c:v>7.2277351389349382</c:v>
                </c:pt>
                <c:pt idx="3">
                  <c:v>8.8499524772687437</c:v>
                </c:pt>
                <c:pt idx="4">
                  <c:v>7.5087570053879285</c:v>
                </c:pt>
                <c:pt idx="5">
                  <c:v>6.8942270624628765</c:v>
                </c:pt>
                <c:pt idx="6">
                  <c:v>7.73706595715079</c:v>
                </c:pt>
                <c:pt idx="7">
                  <c:v>8.558963759812821</c:v>
                </c:pt>
                <c:pt idx="8">
                  <c:v>7.0431657388872129</c:v>
                </c:pt>
                <c:pt idx="9">
                  <c:v>8.3834657230119856</c:v>
                </c:pt>
                <c:pt idx="10">
                  <c:v>8.1544167556455385</c:v>
                </c:pt>
                <c:pt idx="11">
                  <c:v>8.7922875373115517</c:v>
                </c:pt>
                <c:pt idx="12">
                  <c:v>8.5129878436527253</c:v>
                </c:pt>
                <c:pt idx="13">
                  <c:v>8.1832324978392386</c:v>
                </c:pt>
                <c:pt idx="14">
                  <c:v>8.1574585052166668</c:v>
                </c:pt>
                <c:pt idx="15">
                  <c:v>7.9307448161777243</c:v>
                </c:pt>
                <c:pt idx="16">
                  <c:v>7.3299967770830863</c:v>
                </c:pt>
                <c:pt idx="17">
                  <c:v>7.7640134888363779</c:v>
                </c:pt>
                <c:pt idx="18">
                  <c:v>8.6105169970064956</c:v>
                </c:pt>
                <c:pt idx="19">
                  <c:v>8.0557394268637115</c:v>
                </c:pt>
                <c:pt idx="20">
                  <c:v>7.5420080055482606</c:v>
                </c:pt>
                <c:pt idx="21">
                  <c:v>8.1964185475722537</c:v>
                </c:pt>
                <c:pt idx="22">
                  <c:v>7.7778912481043081</c:v>
                </c:pt>
                <c:pt idx="23">
                  <c:v>19.317082828549474</c:v>
                </c:pt>
                <c:pt idx="24">
                  <c:v>7.1793081646956196</c:v>
                </c:pt>
                <c:pt idx="25">
                  <c:v>7.2961092964083987</c:v>
                </c:pt>
                <c:pt idx="26">
                  <c:v>8.1553023277951837</c:v>
                </c:pt>
                <c:pt idx="27">
                  <c:v>7.1992924803721943</c:v>
                </c:pt>
                <c:pt idx="28">
                  <c:v>8.3998502861546029</c:v>
                </c:pt>
                <c:pt idx="29">
                  <c:v>8.0655202173944698</c:v>
                </c:pt>
                <c:pt idx="30">
                  <c:v>6.8823221197764788</c:v>
                </c:pt>
                <c:pt idx="31">
                  <c:v>10.637902857146983</c:v>
                </c:pt>
                <c:pt idx="32">
                  <c:v>8.6710703877759983</c:v>
                </c:pt>
                <c:pt idx="33">
                  <c:v>9.1472289736680672</c:v>
                </c:pt>
                <c:pt idx="34">
                  <c:v>7.1787627285964364</c:v>
                </c:pt>
                <c:pt idx="35">
                  <c:v>7.156256269922773</c:v>
                </c:pt>
                <c:pt idx="36">
                  <c:v>6.0344810498384964</c:v>
                </c:pt>
                <c:pt idx="37">
                  <c:v>9.4236979321950791</c:v>
                </c:pt>
                <c:pt idx="38">
                  <c:v>9.7196910181714404</c:v>
                </c:pt>
                <c:pt idx="39">
                  <c:v>7.3525032132805705</c:v>
                </c:pt>
                <c:pt idx="40">
                  <c:v>7.2448111651620311</c:v>
                </c:pt>
                <c:pt idx="41">
                  <c:v>7.526959324358697</c:v>
                </c:pt>
                <c:pt idx="42">
                  <c:v>7.6385890289768543</c:v>
                </c:pt>
                <c:pt idx="43">
                  <c:v>8.2518932540874008</c:v>
                </c:pt>
                <c:pt idx="44">
                  <c:v>7.6905427643165982</c:v>
                </c:pt>
                <c:pt idx="45">
                  <c:v>9.4289082677206526</c:v>
                </c:pt>
                <c:pt idx="46">
                  <c:v>6.2957540005722965</c:v>
                </c:pt>
                <c:pt idx="47">
                  <c:v>7.9619184712295246</c:v>
                </c:pt>
                <c:pt idx="48">
                  <c:v>7.8976686938893712</c:v>
                </c:pt>
                <c:pt idx="49">
                  <c:v>8.0856192262486903</c:v>
                </c:pt>
                <c:pt idx="50">
                  <c:v>9.7263064727971749</c:v>
                </c:pt>
                <c:pt idx="51">
                  <c:v>11.059246623282053</c:v>
                </c:pt>
                <c:pt idx="52">
                  <c:v>9.5763696549758279</c:v>
                </c:pt>
                <c:pt idx="53">
                  <c:v>9.8234501823972664</c:v>
                </c:pt>
                <c:pt idx="54">
                  <c:v>12.18696836856545</c:v>
                </c:pt>
                <c:pt idx="55">
                  <c:v>10.679816508226361</c:v>
                </c:pt>
                <c:pt idx="56">
                  <c:v>12.459461769718045</c:v>
                </c:pt>
                <c:pt idx="57">
                  <c:v>10.93097321681312</c:v>
                </c:pt>
                <c:pt idx="58">
                  <c:v>7.956935064516907</c:v>
                </c:pt>
                <c:pt idx="59">
                  <c:v>12.391015565583329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0BE-4BE2-867D-F7588C1DABF6}"/>
            </c:ext>
          </c:extLst>
        </c:ser>
        <c:ser>
          <c:idx val="2"/>
          <c:order val="2"/>
          <c:tx>
            <c:strRef>
              <c:f>'Group Totals'!$AV$3</c:f>
              <c:strCache>
                <c:ptCount val="1"/>
                <c:pt idx="0">
                  <c:v>Expense /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Totals'!$AV$82:$AV$144</c:f>
              <c:numCache>
                <c:formatCode>"$"#,##0</c:formatCode>
                <c:ptCount val="63"/>
                <c:pt idx="0">
                  <c:v>12157.447368421053</c:v>
                </c:pt>
                <c:pt idx="1">
                  <c:v>13719.328947368422</c:v>
                </c:pt>
                <c:pt idx="2">
                  <c:v>12763.233766233767</c:v>
                </c:pt>
                <c:pt idx="3">
                  <c:v>13809.867469879518</c:v>
                </c:pt>
                <c:pt idx="4">
                  <c:v>11907.305882352941</c:v>
                </c:pt>
                <c:pt idx="5">
                  <c:v>12920.265060240963</c:v>
                </c:pt>
                <c:pt idx="6">
                  <c:v>12744.193181818182</c:v>
                </c:pt>
                <c:pt idx="7">
                  <c:v>10110.032967032967</c:v>
                </c:pt>
                <c:pt idx="8">
                  <c:v>10146.888888888889</c:v>
                </c:pt>
                <c:pt idx="9">
                  <c:v>11787.056818181818</c:v>
                </c:pt>
                <c:pt idx="10">
                  <c:v>13102.2875</c:v>
                </c:pt>
                <c:pt idx="11">
                  <c:v>12200.456790123457</c:v>
                </c:pt>
                <c:pt idx="12">
                  <c:v>13999.426829268292</c:v>
                </c:pt>
                <c:pt idx="13">
                  <c:v>12398.571428571429</c:v>
                </c:pt>
                <c:pt idx="14">
                  <c:v>16303.696202531646</c:v>
                </c:pt>
                <c:pt idx="15">
                  <c:v>13813.35</c:v>
                </c:pt>
                <c:pt idx="16">
                  <c:v>14429.4</c:v>
                </c:pt>
                <c:pt idx="17">
                  <c:v>14554.155844155845</c:v>
                </c:pt>
                <c:pt idx="18">
                  <c:v>14378.883116883117</c:v>
                </c:pt>
                <c:pt idx="19">
                  <c:v>13342.493150684932</c:v>
                </c:pt>
                <c:pt idx="20">
                  <c:v>15752.426470588236</c:v>
                </c:pt>
                <c:pt idx="21">
                  <c:v>16286.430769230768</c:v>
                </c:pt>
                <c:pt idx="22">
                  <c:v>17215.734375</c:v>
                </c:pt>
                <c:pt idx="23">
                  <c:v>16523.66129032258</c:v>
                </c:pt>
                <c:pt idx="24">
                  <c:v>14796.40909090909</c:v>
                </c:pt>
                <c:pt idx="25">
                  <c:v>15681.415584415585</c:v>
                </c:pt>
                <c:pt idx="26">
                  <c:v>14614.517647058823</c:v>
                </c:pt>
                <c:pt idx="27">
                  <c:v>13926.807228915663</c:v>
                </c:pt>
                <c:pt idx="28">
                  <c:v>15344.662650602409</c:v>
                </c:pt>
                <c:pt idx="29">
                  <c:v>14009.393258426966</c:v>
                </c:pt>
                <c:pt idx="30">
                  <c:v>13937.81111111111</c:v>
                </c:pt>
                <c:pt idx="31">
                  <c:v>14109.51724137931</c:v>
                </c:pt>
                <c:pt idx="32">
                  <c:v>13425.707317073171</c:v>
                </c:pt>
                <c:pt idx="33">
                  <c:v>15102.192307692309</c:v>
                </c:pt>
                <c:pt idx="34">
                  <c:v>13876.561797752809</c:v>
                </c:pt>
                <c:pt idx="35">
                  <c:v>11547.551724137931</c:v>
                </c:pt>
                <c:pt idx="36">
                  <c:v>11288.056179775282</c:v>
                </c:pt>
                <c:pt idx="37">
                  <c:v>16538.918604651164</c:v>
                </c:pt>
                <c:pt idx="38">
                  <c:v>15953.747368421053</c:v>
                </c:pt>
                <c:pt idx="39">
                  <c:v>14310.734693877552</c:v>
                </c:pt>
                <c:pt idx="40">
                  <c:v>14932.29702970297</c:v>
                </c:pt>
                <c:pt idx="41">
                  <c:v>14040.333333333334</c:v>
                </c:pt>
                <c:pt idx="42">
                  <c:v>13693.3046875</c:v>
                </c:pt>
                <c:pt idx="43">
                  <c:v>12273.053435114503</c:v>
                </c:pt>
                <c:pt idx="44">
                  <c:v>9489.7194244604325</c:v>
                </c:pt>
                <c:pt idx="45">
                  <c:v>13359.296296296296</c:v>
                </c:pt>
                <c:pt idx="46">
                  <c:v>11172.75</c:v>
                </c:pt>
                <c:pt idx="47">
                  <c:v>13167.116666666667</c:v>
                </c:pt>
                <c:pt idx="48">
                  <c:v>13866.43220338983</c:v>
                </c:pt>
                <c:pt idx="49">
                  <c:v>15395.227272727272</c:v>
                </c:pt>
                <c:pt idx="50">
                  <c:v>15252.155172413793</c:v>
                </c:pt>
                <c:pt idx="51">
                  <c:v>17837.76923076923</c:v>
                </c:pt>
                <c:pt idx="52">
                  <c:v>14575.753968253968</c:v>
                </c:pt>
                <c:pt idx="53">
                  <c:v>14878.300813008131</c:v>
                </c:pt>
                <c:pt idx="54">
                  <c:v>19274.504950495051</c:v>
                </c:pt>
                <c:pt idx="55">
                  <c:v>14589.186813186812</c:v>
                </c:pt>
                <c:pt idx="56">
                  <c:v>13123.942528735632</c:v>
                </c:pt>
                <c:pt idx="57">
                  <c:v>13749.59090909091</c:v>
                </c:pt>
                <c:pt idx="58">
                  <c:v>13358.081081081082</c:v>
                </c:pt>
                <c:pt idx="59">
                  <c:v>16449.192307692309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0BE-4BE2-867D-F7588C1DABF6}"/>
            </c:ext>
          </c:extLst>
        </c:ser>
        <c:ser>
          <c:idx val="3"/>
          <c:order val="3"/>
          <c:tx>
            <c:strRef>
              <c:f>'Group Totals'!$AW$3</c:f>
              <c:strCache>
                <c:ptCount val="1"/>
                <c:pt idx="0">
                  <c:v>Expense / total team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Totals'!$AW$82:$AW$144</c:f>
              <c:numCache>
                <c:formatCode>_-"$"* #,##0_-;\-"$"* #,##0_-;_-"$"* "-"??_-;_-@_-</c:formatCode>
                <c:ptCount val="63"/>
                <c:pt idx="0">
                  <c:v>7573.4918032786882</c:v>
                </c:pt>
                <c:pt idx="1">
                  <c:v>8617.0991735537191</c:v>
                </c:pt>
                <c:pt idx="2">
                  <c:v>8122.0578512396696</c:v>
                </c:pt>
                <c:pt idx="3">
                  <c:v>9096.9761904761908</c:v>
                </c:pt>
                <c:pt idx="4">
                  <c:v>7907.1953125</c:v>
                </c:pt>
                <c:pt idx="5">
                  <c:v>8443.9527559055114</c:v>
                </c:pt>
                <c:pt idx="6">
                  <c:v>8693.7131782945744</c:v>
                </c:pt>
                <c:pt idx="7">
                  <c:v>6814.9111111111115</c:v>
                </c:pt>
                <c:pt idx="8">
                  <c:v>6322.292307692308</c:v>
                </c:pt>
                <c:pt idx="9">
                  <c:v>8103.6015625</c:v>
                </c:pt>
                <c:pt idx="10">
                  <c:v>8318.9126984126979</c:v>
                </c:pt>
                <c:pt idx="11">
                  <c:v>7781.3937007874019</c:v>
                </c:pt>
                <c:pt idx="12">
                  <c:v>8763</c:v>
                </c:pt>
                <c:pt idx="13">
                  <c:v>7950.2290076335876</c:v>
                </c:pt>
                <c:pt idx="14">
                  <c:v>9684.1503759398493</c:v>
                </c:pt>
                <c:pt idx="15">
                  <c:v>8371.7272727272721</c:v>
                </c:pt>
                <c:pt idx="16">
                  <c:v>8454.7265625</c:v>
                </c:pt>
                <c:pt idx="17">
                  <c:v>8755.234375</c:v>
                </c:pt>
                <c:pt idx="18">
                  <c:v>8649.796875</c:v>
                </c:pt>
                <c:pt idx="19">
                  <c:v>7854.8548387096771</c:v>
                </c:pt>
                <c:pt idx="20">
                  <c:v>8501.3095238095229</c:v>
                </c:pt>
                <c:pt idx="21">
                  <c:v>8748.9090909090901</c:v>
                </c:pt>
                <c:pt idx="22">
                  <c:v>9258.8823529411766</c:v>
                </c:pt>
                <c:pt idx="23">
                  <c:v>8756.1282051282051</c:v>
                </c:pt>
                <c:pt idx="24">
                  <c:v>8275.9576271186434</c:v>
                </c:pt>
                <c:pt idx="25">
                  <c:v>9433.3515625</c:v>
                </c:pt>
                <c:pt idx="26">
                  <c:v>9201.7333333333336</c:v>
                </c:pt>
                <c:pt idx="27">
                  <c:v>8757.007575757576</c:v>
                </c:pt>
                <c:pt idx="28">
                  <c:v>9434.1259259259259</c:v>
                </c:pt>
                <c:pt idx="29">
                  <c:v>8842.8085106382987</c:v>
                </c:pt>
                <c:pt idx="30">
                  <c:v>8896.4751773049647</c:v>
                </c:pt>
                <c:pt idx="31">
                  <c:v>8831.1366906474814</c:v>
                </c:pt>
                <c:pt idx="32">
                  <c:v>8094.911764705882</c:v>
                </c:pt>
                <c:pt idx="33">
                  <c:v>8924.0227272727279</c:v>
                </c:pt>
                <c:pt idx="34">
                  <c:v>8949.3768115942021</c:v>
                </c:pt>
                <c:pt idx="35">
                  <c:v>7387.036764705882</c:v>
                </c:pt>
                <c:pt idx="36">
                  <c:v>7175.9785714285717</c:v>
                </c:pt>
                <c:pt idx="37">
                  <c:v>10306.86231884058</c:v>
                </c:pt>
                <c:pt idx="38">
                  <c:v>10310.244897959185</c:v>
                </c:pt>
                <c:pt idx="39">
                  <c:v>9226.6578947368416</c:v>
                </c:pt>
                <c:pt idx="40">
                  <c:v>9793.2597402597403</c:v>
                </c:pt>
                <c:pt idx="41">
                  <c:v>9008.5375722543358</c:v>
                </c:pt>
                <c:pt idx="42">
                  <c:v>9474.286486486486</c:v>
                </c:pt>
                <c:pt idx="43">
                  <c:v>8417.6439790575914</c:v>
                </c:pt>
                <c:pt idx="44">
                  <c:v>6595.3549999999996</c:v>
                </c:pt>
                <c:pt idx="45">
                  <c:v>9062.8391959798992</c:v>
                </c:pt>
                <c:pt idx="46">
                  <c:v>7409.9067357512949</c:v>
                </c:pt>
                <c:pt idx="47">
                  <c:v>8634.1748633879779</c:v>
                </c:pt>
                <c:pt idx="48">
                  <c:v>8749.9411764705874</c:v>
                </c:pt>
                <c:pt idx="49">
                  <c:v>9408.1944444444453</c:v>
                </c:pt>
                <c:pt idx="50">
                  <c:v>9461.2299465240649</c:v>
                </c:pt>
                <c:pt idx="51">
                  <c:v>10926.80104712042</c:v>
                </c:pt>
                <c:pt idx="52">
                  <c:v>9228.8693467336689</c:v>
                </c:pt>
                <c:pt idx="53">
                  <c:v>9196.13567839196</c:v>
                </c:pt>
                <c:pt idx="54">
                  <c:v>11519.082840236686</c:v>
                </c:pt>
                <c:pt idx="55">
                  <c:v>8677.2287581699347</c:v>
                </c:pt>
                <c:pt idx="56">
                  <c:v>7767.2312925170072</c:v>
                </c:pt>
                <c:pt idx="57">
                  <c:v>8520.8732394366198</c:v>
                </c:pt>
                <c:pt idx="58">
                  <c:v>7215.3138686131388</c:v>
                </c:pt>
                <c:pt idx="59">
                  <c:v>9434.0955882352937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0BE-4BE2-867D-F7588C1DABF6}"/>
            </c:ext>
          </c:extLst>
        </c:ser>
        <c:ser>
          <c:idx val="4"/>
          <c:order val="4"/>
          <c:tx>
            <c:strRef>
              <c:f>'Group Totals'!$AY$3</c:f>
              <c:strCache>
                <c:ptCount val="1"/>
                <c:pt idx="0">
                  <c:v>Recovery per FG unit produced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Totals'!$AY$82:$AY$144</c:f>
              <c:numCache>
                <c:formatCode>_-"$"* #,##0_-;\-"$"* #,##0_-;_-"$"* "-"??_-;_-@_-</c:formatCode>
                <c:ptCount val="63"/>
                <c:pt idx="0">
                  <c:v>26.556824343648117</c:v>
                </c:pt>
                <c:pt idx="1">
                  <c:v>32.883267114377134</c:v>
                </c:pt>
                <c:pt idx="2">
                  <c:v>28.705612039749553</c:v>
                </c:pt>
                <c:pt idx="3">
                  <c:v>35.412349746781381</c:v>
                </c:pt>
                <c:pt idx="4">
                  <c:v>29.69083882049814</c:v>
                </c:pt>
                <c:pt idx="5">
                  <c:v>25.627305855919126</c:v>
                </c:pt>
                <c:pt idx="6">
                  <c:v>26.190313177814161</c:v>
                </c:pt>
                <c:pt idx="7">
                  <c:v>25.120576289592758</c:v>
                </c:pt>
                <c:pt idx="8">
                  <c:v>27.408562713198627</c:v>
                </c:pt>
                <c:pt idx="9">
                  <c:v>24.433977955388425</c:v>
                </c:pt>
                <c:pt idx="10">
                  <c:v>28.286637869382385</c:v>
                </c:pt>
                <c:pt idx="11">
                  <c:v>24.268822654771562</c:v>
                </c:pt>
                <c:pt idx="12">
                  <c:v>27.421175224986765</c:v>
                </c:pt>
                <c:pt idx="13">
                  <c:v>27.118154561586</c:v>
                </c:pt>
                <c:pt idx="14">
                  <c:v>26.509410427696317</c:v>
                </c:pt>
                <c:pt idx="15">
                  <c:v>30.638016486479547</c:v>
                </c:pt>
                <c:pt idx="16">
                  <c:v>27.332279398203042</c:v>
                </c:pt>
                <c:pt idx="17">
                  <c:v>31.03910274162282</c:v>
                </c:pt>
                <c:pt idx="18">
                  <c:v>32.216778327993012</c:v>
                </c:pt>
                <c:pt idx="19">
                  <c:v>25.554144516637134</c:v>
                </c:pt>
                <c:pt idx="20">
                  <c:v>26.961312952863764</c:v>
                </c:pt>
                <c:pt idx="21">
                  <c:v>30.655686836137964</c:v>
                </c:pt>
                <c:pt idx="22">
                  <c:v>26.387276277253498</c:v>
                </c:pt>
                <c:pt idx="23">
                  <c:v>56.29415971394517</c:v>
                </c:pt>
                <c:pt idx="24">
                  <c:v>35.140407897944257</c:v>
                </c:pt>
                <c:pt idx="25">
                  <c:v>27.558422009909478</c:v>
                </c:pt>
                <c:pt idx="26">
                  <c:v>31.536246089676748</c:v>
                </c:pt>
                <c:pt idx="27">
                  <c:v>28.715612550387778</c:v>
                </c:pt>
                <c:pt idx="28">
                  <c:v>31.426370224442412</c:v>
                </c:pt>
                <c:pt idx="29">
                  <c:v>29.534535686876438</c:v>
                </c:pt>
                <c:pt idx="30">
                  <c:v>27.976079705988571</c:v>
                </c:pt>
                <c:pt idx="31">
                  <c:v>29.417365088935785</c:v>
                </c:pt>
                <c:pt idx="32">
                  <c:v>31.544869119313098</c:v>
                </c:pt>
                <c:pt idx="33">
                  <c:v>31.69438709062609</c:v>
                </c:pt>
                <c:pt idx="34">
                  <c:v>19.468376474313306</c:v>
                </c:pt>
                <c:pt idx="35">
                  <c:v>27.081951681667455</c:v>
                </c:pt>
                <c:pt idx="36">
                  <c:v>21.853674057870141</c:v>
                </c:pt>
                <c:pt idx="37">
                  <c:v>28.376477720521372</c:v>
                </c:pt>
                <c:pt idx="38">
                  <c:v>29.6567789100576</c:v>
                </c:pt>
                <c:pt idx="39">
                  <c:v>36.796674635948705</c:v>
                </c:pt>
                <c:pt idx="40">
                  <c:v>35.466660269020998</c:v>
                </c:pt>
                <c:pt idx="41">
                  <c:v>28.296920536234701</c:v>
                </c:pt>
                <c:pt idx="42">
                  <c:v>26.770453414512776</c:v>
                </c:pt>
                <c:pt idx="43">
                  <c:v>22.716304977783501</c:v>
                </c:pt>
                <c:pt idx="44">
                  <c:v>31.660352649548663</c:v>
                </c:pt>
                <c:pt idx="45">
                  <c:v>28.08893530584087</c:v>
                </c:pt>
                <c:pt idx="46">
                  <c:v>24.337129253351126</c:v>
                </c:pt>
                <c:pt idx="47">
                  <c:v>24.528560717085305</c:v>
                </c:pt>
                <c:pt idx="48">
                  <c:v>25.470256500351372</c:v>
                </c:pt>
                <c:pt idx="49">
                  <c:v>23.683363908139693</c:v>
                </c:pt>
                <c:pt idx="50">
                  <c:v>28.012426368045293</c:v>
                </c:pt>
                <c:pt idx="51">
                  <c:v>31.016307880172533</c:v>
                </c:pt>
                <c:pt idx="52">
                  <c:v>22.86664895528919</c:v>
                </c:pt>
                <c:pt idx="53">
                  <c:v>26.104784842041884</c:v>
                </c:pt>
                <c:pt idx="54">
                  <c:v>39.146082411166098</c:v>
                </c:pt>
                <c:pt idx="55">
                  <c:v>41.549702930750414</c:v>
                </c:pt>
                <c:pt idx="56">
                  <c:v>33.404938697979624</c:v>
                </c:pt>
                <c:pt idx="57">
                  <c:v>33.46060803004044</c:v>
                </c:pt>
                <c:pt idx="58">
                  <c:v>33.065701050433873</c:v>
                </c:pt>
                <c:pt idx="59">
                  <c:v>33.220668996505239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BE-4BE2-867D-F7588C1DABF6}"/>
            </c:ext>
          </c:extLst>
        </c:ser>
        <c:ser>
          <c:idx val="5"/>
          <c:order val="5"/>
          <c:tx>
            <c:strRef>
              <c:f>'Group Totals'!$AZ$3</c:f>
              <c:strCache>
                <c:ptCount val="1"/>
                <c:pt idx="0">
                  <c:v>Recovery per total units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Totals'!$AZ$82:$AZ$144</c:f>
              <c:numCache>
                <c:formatCode>_-"$"* #,##0_-;\-"$"* #,##0_-;_-"$"* "-"??_-;_-@_-</c:formatCode>
                <c:ptCount val="63"/>
                <c:pt idx="0">
                  <c:v>7.4265633628782171</c:v>
                </c:pt>
                <c:pt idx="1">
                  <c:v>8.5813133020037959</c:v>
                </c:pt>
                <c:pt idx="2">
                  <c:v>7.3505766815819191</c:v>
                </c:pt>
                <c:pt idx="3">
                  <c:v>8.9621153882284155</c:v>
                </c:pt>
                <c:pt idx="4">
                  <c:v>7.6940794618872905</c:v>
                </c:pt>
                <c:pt idx="5">
                  <c:v>7.0393288696930396</c:v>
                </c:pt>
                <c:pt idx="6">
                  <c:v>8.163707274109143</c:v>
                </c:pt>
                <c:pt idx="7">
                  <c:v>6.4559343946091676</c:v>
                </c:pt>
                <c:pt idx="8">
                  <c:v>7.1608599898538383</c:v>
                </c:pt>
                <c:pt idx="9">
                  <c:v>7.5608342340721792</c:v>
                </c:pt>
                <c:pt idx="10">
                  <c:v>7.6925668119502024</c:v>
                </c:pt>
                <c:pt idx="11">
                  <c:v>6.3894547508930302</c:v>
                </c:pt>
                <c:pt idx="12">
                  <c:v>7.6825593402905881</c:v>
                </c:pt>
                <c:pt idx="13">
                  <c:v>6.9645949556061915</c:v>
                </c:pt>
                <c:pt idx="14">
                  <c:v>6.0572038997285045</c:v>
                </c:pt>
                <c:pt idx="15">
                  <c:v>8.5623449159338954</c:v>
                </c:pt>
                <c:pt idx="16">
                  <c:v>7.0261304620962965</c:v>
                </c:pt>
                <c:pt idx="17">
                  <c:v>7.7650665464271968</c:v>
                </c:pt>
                <c:pt idx="18">
                  <c:v>8.6014023267554851</c:v>
                </c:pt>
                <c:pt idx="19">
                  <c:v>6.4407489451331381</c:v>
                </c:pt>
                <c:pt idx="20">
                  <c:v>7.4143064850573657</c:v>
                </c:pt>
                <c:pt idx="21">
                  <c:v>7.9551447407982838</c:v>
                </c:pt>
                <c:pt idx="22">
                  <c:v>5.7241823959677776</c:v>
                </c:pt>
                <c:pt idx="23">
                  <c:v>8.9057165888081755</c:v>
                </c:pt>
                <c:pt idx="24">
                  <c:v>9.5381156358895698</c:v>
                </c:pt>
                <c:pt idx="25">
                  <c:v>7.9652114188804379</c:v>
                </c:pt>
                <c:pt idx="26">
                  <c:v>9.9273940609464475</c:v>
                </c:pt>
                <c:pt idx="27">
                  <c:v>7.586808952573036</c:v>
                </c:pt>
                <c:pt idx="28">
                  <c:v>8.8376610564279403</c:v>
                </c:pt>
                <c:pt idx="29">
                  <c:v>7.4682503702034602</c:v>
                </c:pt>
                <c:pt idx="30">
                  <c:v>7.2253126637386877</c:v>
                </c:pt>
                <c:pt idx="31">
                  <c:v>8.4561729121696132</c:v>
                </c:pt>
                <c:pt idx="32">
                  <c:v>8.333728898107065</c:v>
                </c:pt>
                <c:pt idx="33">
                  <c:v>7.747932504523253</c:v>
                </c:pt>
                <c:pt idx="34">
                  <c:v>5.7183922466366273</c:v>
                </c:pt>
                <c:pt idx="35">
                  <c:v>6.9229919923069172</c:v>
                </c:pt>
                <c:pt idx="36">
                  <c:v>6.6007559341733604</c:v>
                </c:pt>
                <c:pt idx="37">
                  <c:v>7.4428256246148949</c:v>
                </c:pt>
                <c:pt idx="38">
                  <c:v>8.5852249224819879</c:v>
                </c:pt>
                <c:pt idx="39">
                  <c:v>8.87581052872555</c:v>
                </c:pt>
                <c:pt idx="40">
                  <c:v>10.652196748191395</c:v>
                </c:pt>
                <c:pt idx="41">
                  <c:v>8.4409972985939152</c:v>
                </c:pt>
                <c:pt idx="42">
                  <c:v>7.9714371630661685</c:v>
                </c:pt>
                <c:pt idx="43">
                  <c:v>7.2422056442196405</c:v>
                </c:pt>
                <c:pt idx="44">
                  <c:v>7.8933720981642912</c:v>
                </c:pt>
                <c:pt idx="45">
                  <c:v>7.663315453224171</c:v>
                </c:pt>
                <c:pt idx="46">
                  <c:v>7.0655939776804386</c:v>
                </c:pt>
                <c:pt idx="47">
                  <c:v>7.2530850329866636</c:v>
                </c:pt>
                <c:pt idx="48">
                  <c:v>6.9976204266821123</c:v>
                </c:pt>
                <c:pt idx="49">
                  <c:v>6.6571244181984426</c:v>
                </c:pt>
                <c:pt idx="50">
                  <c:v>7.3984303955896058</c:v>
                </c:pt>
                <c:pt idx="51">
                  <c:v>8.3449178225617349</c:v>
                </c:pt>
                <c:pt idx="52">
                  <c:v>7.6296949698133183</c:v>
                </c:pt>
                <c:pt idx="53">
                  <c:v>7.4473964495717979</c:v>
                </c:pt>
                <c:pt idx="54">
                  <c:v>8.8139691025787492</c:v>
                </c:pt>
                <c:pt idx="55">
                  <c:v>6.6945055033454475</c:v>
                </c:pt>
                <c:pt idx="56">
                  <c:v>6.3328792610200439</c:v>
                </c:pt>
                <c:pt idx="57">
                  <c:v>8.3721550015960293</c:v>
                </c:pt>
                <c:pt idx="58">
                  <c:v>8.1589619338168404</c:v>
                </c:pt>
                <c:pt idx="59">
                  <c:v>7.7114898486900714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BE-4BE2-867D-F7588C1DABF6}"/>
            </c:ext>
          </c:extLst>
        </c:ser>
        <c:ser>
          <c:idx val="6"/>
          <c:order val="6"/>
          <c:tx>
            <c:strRef>
              <c:f>'Group Totals'!$BA$3</c:f>
              <c:strCache>
                <c:ptCount val="1"/>
                <c:pt idx="0">
                  <c:v>Recovery /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Totals'!$BA$82:$BA$144</c:f>
              <c:numCache>
                <c:formatCode>_-"$"* #,##0_-;\-"$"* #,##0_-;_-"$"* "-"??_-;_-@_-</c:formatCode>
                <c:ptCount val="63"/>
                <c:pt idx="0">
                  <c:v>12218.235789473685</c:v>
                </c:pt>
                <c:pt idx="1">
                  <c:v>12305.697368421053</c:v>
                </c:pt>
                <c:pt idx="2">
                  <c:v>12980.155844155845</c:v>
                </c:pt>
                <c:pt idx="3">
                  <c:v>13984.89156626506</c:v>
                </c:pt>
                <c:pt idx="4">
                  <c:v>12201.188235294117</c:v>
                </c:pt>
                <c:pt idx="5">
                  <c:v>13192.196024096391</c:v>
                </c:pt>
                <c:pt idx="6">
                  <c:v>13446.940113636358</c:v>
                </c:pt>
                <c:pt idx="7">
                  <c:v>7625.8892307692304</c:v>
                </c:pt>
                <c:pt idx="8">
                  <c:v>10316.447654320986</c:v>
                </c:pt>
                <c:pt idx="9">
                  <c:v>10630.446363636378</c:v>
                </c:pt>
                <c:pt idx="10">
                  <c:v>12360.2</c:v>
                </c:pt>
                <c:pt idx="11">
                  <c:v>8866.2098765432092</c:v>
                </c:pt>
                <c:pt idx="12">
                  <c:v>12633.804878048781</c:v>
                </c:pt>
                <c:pt idx="13">
                  <c:v>10552.190476190477</c:v>
                </c:pt>
                <c:pt idx="14">
                  <c:v>12106.075949367088</c:v>
                </c:pt>
                <c:pt idx="15">
                  <c:v>14913.4375</c:v>
                </c:pt>
                <c:pt idx="16">
                  <c:v>13831.226666666667</c:v>
                </c:pt>
                <c:pt idx="17">
                  <c:v>14556.129870129869</c:v>
                </c:pt>
                <c:pt idx="18">
                  <c:v>14363.662337662337</c:v>
                </c:pt>
                <c:pt idx="19">
                  <c:v>10667.630136986301</c:v>
                </c:pt>
                <c:pt idx="20">
                  <c:v>15485.705882352941</c:v>
                </c:pt>
                <c:pt idx="21">
                  <c:v>15807.015384615384</c:v>
                </c:pt>
                <c:pt idx="22">
                  <c:v>12670.015625</c:v>
                </c:pt>
                <c:pt idx="23">
                  <c:v>7617.8709677419356</c:v>
                </c:pt>
                <c:pt idx="24">
                  <c:v>19657.863636363636</c:v>
                </c:pt>
                <c:pt idx="25">
                  <c:v>17119.506493506495</c:v>
                </c:pt>
                <c:pt idx="26">
                  <c:v>17790.152941176471</c:v>
                </c:pt>
                <c:pt idx="27">
                  <c:v>14676.445783132531</c:v>
                </c:pt>
                <c:pt idx="28">
                  <c:v>16144.445783132531</c:v>
                </c:pt>
                <c:pt idx="29">
                  <c:v>12971.966292134832</c:v>
                </c:pt>
                <c:pt idx="30">
                  <c:v>14632.422222222222</c:v>
                </c:pt>
                <c:pt idx="31">
                  <c:v>11215.793103448275</c:v>
                </c:pt>
                <c:pt idx="32">
                  <c:v>12903.390243902439</c:v>
                </c:pt>
                <c:pt idx="33">
                  <c:v>12791.935897435897</c:v>
                </c:pt>
                <c:pt idx="34">
                  <c:v>11053.662921348314</c:v>
                </c:pt>
                <c:pt idx="35">
                  <c:v>11171.149425287356</c:v>
                </c:pt>
                <c:pt idx="36">
                  <c:v>12347.325842696629</c:v>
                </c:pt>
                <c:pt idx="37">
                  <c:v>13062.418604651162</c:v>
                </c:pt>
                <c:pt idx="38">
                  <c:v>14091.652631578947</c:v>
                </c:pt>
                <c:pt idx="39">
                  <c:v>17275.663265306124</c:v>
                </c:pt>
                <c:pt idx="40">
                  <c:v>21955.267326732672</c:v>
                </c:pt>
                <c:pt idx="41">
                  <c:v>15745.324324324325</c:v>
                </c:pt>
                <c:pt idx="42">
                  <c:v>14289.984375</c:v>
                </c:pt>
                <c:pt idx="43">
                  <c:v>10771.343511450381</c:v>
                </c:pt>
                <c:pt idx="44">
                  <c:v>9740</c:v>
                </c:pt>
                <c:pt idx="45">
                  <c:v>10857.725925925926</c:v>
                </c:pt>
                <c:pt idx="46">
                  <c:v>12538.9453125</c:v>
                </c:pt>
                <c:pt idx="47">
                  <c:v>11994.875</c:v>
                </c:pt>
                <c:pt idx="48">
                  <c:v>12286.161016949152</c:v>
                </c:pt>
                <c:pt idx="49">
                  <c:v>12675.336363636363</c:v>
                </c:pt>
                <c:pt idx="50">
                  <c:v>11601.73275862069</c:v>
                </c:pt>
                <c:pt idx="51">
                  <c:v>13459.752136752137</c:v>
                </c:pt>
                <c:pt idx="52">
                  <c:v>11612.809523809523</c:v>
                </c:pt>
                <c:pt idx="53">
                  <c:v>11279.60162601626</c:v>
                </c:pt>
                <c:pt idx="54">
                  <c:v>13939.881188118812</c:v>
                </c:pt>
                <c:pt idx="55">
                  <c:v>9145.0439560439554</c:v>
                </c:pt>
                <c:pt idx="56">
                  <c:v>6670.6206896551721</c:v>
                </c:pt>
                <c:pt idx="57">
                  <c:v>10530.96590909091</c:v>
                </c:pt>
                <c:pt idx="58">
                  <c:v>13697.243243243243</c:v>
                </c:pt>
                <c:pt idx="59">
                  <c:v>10237.076923076924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0BE-4BE2-867D-F7588C1DABF6}"/>
            </c:ext>
          </c:extLst>
        </c:ser>
        <c:ser>
          <c:idx val="7"/>
          <c:order val="7"/>
          <c:tx>
            <c:strRef>
              <c:f>'Group Totals'!$BB$3</c:f>
              <c:strCache>
                <c:ptCount val="1"/>
                <c:pt idx="0">
                  <c:v>Recovery per total team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Totals'!$BB$82:$BB$144</c:f>
              <c:numCache>
                <c:formatCode>"$"#,##0</c:formatCode>
                <c:ptCount val="63"/>
                <c:pt idx="0">
                  <c:v>7611.3600000000006</c:v>
                </c:pt>
                <c:pt idx="1">
                  <c:v>7729.1983471074382</c:v>
                </c:pt>
                <c:pt idx="2">
                  <c:v>8260.0991735537191</c:v>
                </c:pt>
                <c:pt idx="3">
                  <c:v>9212.269841269841</c:v>
                </c:pt>
                <c:pt idx="4">
                  <c:v>8102.3515625</c:v>
                </c:pt>
                <c:pt idx="5">
                  <c:v>8621.6714173228393</c:v>
                </c:pt>
                <c:pt idx="6">
                  <c:v>9173.1064341085239</c:v>
                </c:pt>
                <c:pt idx="7">
                  <c:v>5140.4142222222217</c:v>
                </c:pt>
                <c:pt idx="8">
                  <c:v>6427.9404615384601</c:v>
                </c:pt>
                <c:pt idx="9">
                  <c:v>7308.4318750000093</c:v>
                </c:pt>
                <c:pt idx="10">
                  <c:v>7847.7460317460318</c:v>
                </c:pt>
                <c:pt idx="11">
                  <c:v>5654.8267716535429</c:v>
                </c:pt>
                <c:pt idx="12">
                  <c:v>7908.1832061068699</c:v>
                </c:pt>
                <c:pt idx="13">
                  <c:v>6766.2900763358775</c:v>
                </c:pt>
                <c:pt idx="14">
                  <c:v>7190.8270676691727</c:v>
                </c:pt>
                <c:pt idx="15">
                  <c:v>9038.44696969697</c:v>
                </c:pt>
                <c:pt idx="16">
                  <c:v>8104.234375</c:v>
                </c:pt>
                <c:pt idx="17">
                  <c:v>8756.421875</c:v>
                </c:pt>
                <c:pt idx="18">
                  <c:v>8640.640625</c:v>
                </c:pt>
                <c:pt idx="19">
                  <c:v>6280.1370967741932</c:v>
                </c:pt>
                <c:pt idx="20">
                  <c:v>8357.3650793650795</c:v>
                </c:pt>
                <c:pt idx="21">
                  <c:v>8491.371900826447</c:v>
                </c:pt>
                <c:pt idx="22">
                  <c:v>6814.1260504201682</c:v>
                </c:pt>
                <c:pt idx="23">
                  <c:v>4036.8205128205127</c:v>
                </c:pt>
                <c:pt idx="24">
                  <c:v>10995.076271186441</c:v>
                </c:pt>
                <c:pt idx="25">
                  <c:v>10298.453125</c:v>
                </c:pt>
                <c:pt idx="26">
                  <c:v>11201.207407407408</c:v>
                </c:pt>
                <c:pt idx="27">
                  <c:v>9228.371212121212</c:v>
                </c:pt>
                <c:pt idx="28">
                  <c:v>9925.8444444444449</c:v>
                </c:pt>
                <c:pt idx="29">
                  <c:v>8187.9787234042551</c:v>
                </c:pt>
                <c:pt idx="30">
                  <c:v>9339.8439716312059</c:v>
                </c:pt>
                <c:pt idx="31">
                  <c:v>7019.9568345323742</c:v>
                </c:pt>
                <c:pt idx="32">
                  <c:v>7779.9852941176468</c:v>
                </c:pt>
                <c:pt idx="33">
                  <c:v>7558.871212121212</c:v>
                </c:pt>
                <c:pt idx="34">
                  <c:v>7128.811594202899</c:v>
                </c:pt>
                <c:pt idx="35">
                  <c:v>7146.25</c:v>
                </c:pt>
                <c:pt idx="36">
                  <c:v>7849.3714285714286</c:v>
                </c:pt>
                <c:pt idx="37">
                  <c:v>8140.347826086957</c:v>
                </c:pt>
                <c:pt idx="38">
                  <c:v>9106.850340136054</c:v>
                </c:pt>
                <c:pt idx="39">
                  <c:v>11138.256578947368</c:v>
                </c:pt>
                <c:pt idx="40">
                  <c:v>14399.233766233767</c:v>
                </c:pt>
                <c:pt idx="41">
                  <c:v>10102.491329479768</c:v>
                </c:pt>
                <c:pt idx="42">
                  <c:v>9887.1243243243243</c:v>
                </c:pt>
                <c:pt idx="43">
                  <c:v>7387.6753926701567</c:v>
                </c:pt>
                <c:pt idx="44">
                  <c:v>6769.3</c:v>
                </c:pt>
                <c:pt idx="45">
                  <c:v>7365.7939698492464</c:v>
                </c:pt>
                <c:pt idx="46">
                  <c:v>8315.984455958549</c:v>
                </c:pt>
                <c:pt idx="47">
                  <c:v>7865.4918032786882</c:v>
                </c:pt>
                <c:pt idx="48">
                  <c:v>7752.7647058823532</c:v>
                </c:pt>
                <c:pt idx="49">
                  <c:v>7746.0388888888892</c:v>
                </c:pt>
                <c:pt idx="50">
                  <c:v>7196.7967914438505</c:v>
                </c:pt>
                <c:pt idx="51">
                  <c:v>8244.9790575916231</c:v>
                </c:pt>
                <c:pt idx="52">
                  <c:v>7352.8341708542712</c:v>
                </c:pt>
                <c:pt idx="53">
                  <c:v>6971.8140703517583</c:v>
                </c:pt>
                <c:pt idx="54">
                  <c:v>8330.9349112426044</c:v>
                </c:pt>
                <c:pt idx="55">
                  <c:v>5439.2091503267975</c:v>
                </c:pt>
                <c:pt idx="56">
                  <c:v>3947.9183673469388</c:v>
                </c:pt>
                <c:pt idx="57">
                  <c:v>6526.2323943661968</c:v>
                </c:pt>
                <c:pt idx="58">
                  <c:v>7398.5109489051092</c:v>
                </c:pt>
                <c:pt idx="59">
                  <c:v>5871.2647058823532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0BE-4BE2-867D-F7588C1DA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60671"/>
        <c:axId val="2998186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Totals'!$AT$3</c15:sqref>
                        </c15:formulaRef>
                      </c:ext>
                    </c:extLst>
                    <c:strCache>
                      <c:ptCount val="1"/>
                      <c:pt idx="0">
                        <c:v>Expenses / FG unit produced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Totals'!$AT$82:$AT$144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63"/>
                      <c:pt idx="0">
                        <c:v>26.424698278327519</c:v>
                      </c:pt>
                      <c:pt idx="1">
                        <c:v>36.66077142153933</c:v>
                      </c:pt>
                      <c:pt idx="2">
                        <c:v>28.225888908036072</c:v>
                      </c:pt>
                      <c:pt idx="3">
                        <c:v>34.969156141314294</c:v>
                      </c:pt>
                      <c:pt idx="4">
                        <c:v>28.975694245634127</c:v>
                      </c:pt>
                      <c:pt idx="5">
                        <c:v>25.099049758928988</c:v>
                      </c:pt>
                      <c:pt idx="6">
                        <c:v>24.821588243105662</c:v>
                      </c:pt>
                      <c:pt idx="7">
                        <c:v>33.303638009049777</c:v>
                      </c:pt>
                      <c:pt idx="8">
                        <c:v>26.958081868276043</c:v>
                      </c:pt>
                      <c:pt idx="9">
                        <c:v>27.092435877344197</c:v>
                      </c:pt>
                      <c:pt idx="10">
                        <c:v>29.984924335612323</c:v>
                      </c:pt>
                      <c:pt idx="11">
                        <c:v>33.395410921870777</c:v>
                      </c:pt>
                      <c:pt idx="12">
                        <c:v>30.385203811540496</c:v>
                      </c:pt>
                      <c:pt idx="13">
                        <c:v>31.863183014134492</c:v>
                      </c:pt>
                      <c:pt idx="14">
                        <c:v>35.70119466696233</c:v>
                      </c:pt>
                      <c:pt idx="15">
                        <c:v>28.378007755322155</c:v>
                      </c:pt>
                      <c:pt idx="16">
                        <c:v>28.514346691961109</c:v>
                      </c:pt>
                      <c:pt idx="17">
                        <c:v>31.034893381334811</c:v>
                      </c:pt>
                      <c:pt idx="18">
                        <c:v>32.25091756481212</c:v>
                      </c:pt>
                      <c:pt idx="19">
                        <c:v>31.961737874909758</c:v>
                      </c:pt>
                      <c:pt idx="20">
                        <c:v>27.425685536523542</c:v>
                      </c:pt>
                      <c:pt idx="21">
                        <c:v>31.585451724549468</c:v>
                      </c:pt>
                      <c:pt idx="22">
                        <c:v>35.854441913439636</c:v>
                      </c:pt>
                      <c:pt idx="23">
                        <c:v>122.1057210965435</c:v>
                      </c:pt>
                      <c:pt idx="24">
                        <c:v>26.450069066384984</c:v>
                      </c:pt>
                      <c:pt idx="25">
                        <c:v>25.243430267806744</c:v>
                      </c:pt>
                      <c:pt idx="26">
                        <c:v>25.906861313868614</c:v>
                      </c:pt>
                      <c:pt idx="27">
                        <c:v>27.248886164871173</c:v>
                      </c:pt>
                      <c:pt idx="28">
                        <c:v>29.869532587537233</c:v>
                      </c:pt>
                      <c:pt idx="29">
                        <c:v>31.896546431312355</c:v>
                      </c:pt>
                      <c:pt idx="30">
                        <c:v>26.648036029146219</c:v>
                      </c:pt>
                      <c:pt idx="31">
                        <c:v>37.007175158275551</c:v>
                      </c:pt>
                      <c:pt idx="32">
                        <c:v>32.821775684216803</c:v>
                      </c:pt>
                      <c:pt idx="33">
                        <c:v>37.418474635494427</c:v>
                      </c:pt>
                      <c:pt idx="34">
                        <c:v>24.440235890129028</c:v>
                      </c:pt>
                      <c:pt idx="35">
                        <c:v>27.994454816507371</c:v>
                      </c:pt>
                      <c:pt idx="36">
                        <c:v>19.978860495177489</c:v>
                      </c:pt>
                      <c:pt idx="37">
                        <c:v>35.928741032636154</c:v>
                      </c:pt>
                      <c:pt idx="38">
                        <c:v>33.575675675675676</c:v>
                      </c:pt>
                      <c:pt idx="39">
                        <c:v>30.4814605520539</c:v>
                      </c:pt>
                      <c:pt idx="40">
                        <c:v>24.12171520880316</c:v>
                      </c:pt>
                      <c:pt idx="41">
                        <c:v>25.232773136454892</c:v>
                      </c:pt>
                      <c:pt idx="42">
                        <c:v>25.652650528349383</c:v>
                      </c:pt>
                      <c:pt idx="43">
                        <c:v>25.883347285723485</c:v>
                      </c:pt>
                      <c:pt idx="44">
                        <c:v>30.846803236518404</c:v>
                      </c:pt>
                      <c:pt idx="45">
                        <c:v>34.56049747048904</c:v>
                      </c:pt>
                      <c:pt idx="46">
                        <c:v>21.685449141748045</c:v>
                      </c:pt>
                      <c:pt idx="47">
                        <c:v>26.925701237176646</c:v>
                      </c:pt>
                      <c:pt idx="48">
                        <c:v>28.746293042867183</c:v>
                      </c:pt>
                      <c:pt idx="49">
                        <c:v>28.765372333197444</c:v>
                      </c:pt>
                      <c:pt idx="50">
                        <c:v>36.826384697042236</c:v>
                      </c:pt>
                      <c:pt idx="51">
                        <c:v>41.104898272703998</c:v>
                      </c:pt>
                      <c:pt idx="52">
                        <c:v>28.700948600540716</c:v>
                      </c:pt>
                      <c:pt idx="53">
                        <c:v>34.433382881442036</c:v>
                      </c:pt>
                      <c:pt idx="54">
                        <c:v>54.126814213423792</c:v>
                      </c:pt>
                      <c:pt idx="55">
                        <c:v>66.284687203554839</c:v>
                      </c:pt>
                      <c:pt idx="56">
                        <c:v>65.72169458354918</c:v>
                      </c:pt>
                      <c:pt idx="57">
                        <c:v>43.687319468515312</c:v>
                      </c:pt>
                      <c:pt idx="58">
                        <c:v>32.246949827102497</c:v>
                      </c:pt>
                      <c:pt idx="59">
                        <c:v>53.37980529206191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0BE-4BE2-867D-F7588C1DABF6}"/>
                  </c:ext>
                </c:extLst>
              </c15:ser>
            </c15:filteredLineSeries>
          </c:ext>
        </c:extLst>
      </c:lineChart>
      <c:dateAx>
        <c:axId val="212560671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18687"/>
        <c:crosses val="autoZero"/>
        <c:auto val="1"/>
        <c:lblOffset val="100"/>
        <c:baseTimeUnit val="months"/>
      </c:dateAx>
      <c:valAx>
        <c:axId val="29981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827078184569994"/>
          <c:w val="1"/>
          <c:h val="0.14172921815430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Expenses per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4838145231846"/>
          <c:y val="0.17171296296296296"/>
          <c:w val="0.83957502187226596"/>
          <c:h val="0.53315507436570431"/>
        </c:manualLayout>
      </c:layout>
      <c:lineChart>
        <c:grouping val="standard"/>
        <c:varyColors val="0"/>
        <c:ser>
          <c:idx val="1"/>
          <c:order val="1"/>
          <c:tx>
            <c:strRef>
              <c:f>'Group Totals'!$AU$3</c:f>
              <c:strCache>
                <c:ptCount val="1"/>
                <c:pt idx="0">
                  <c:v>Expenses per total units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Totals'!$AU$82:$AU$144</c:f>
              <c:numCache>
                <c:formatCode>_-"$"* #,##0.0_-;\-"$"* #,##0.0_-;_-"$"* "-"??_-;_-@_-</c:formatCode>
                <c:ptCount val="63"/>
                <c:pt idx="0">
                  <c:v>7.3896145702329132</c:v>
                </c:pt>
                <c:pt idx="1">
                  <c:v>9.5671018444462455</c:v>
                </c:pt>
                <c:pt idx="2">
                  <c:v>7.2277351389349382</c:v>
                </c:pt>
                <c:pt idx="3">
                  <c:v>8.8499524772687437</c:v>
                </c:pt>
                <c:pt idx="4">
                  <c:v>7.5087570053879285</c:v>
                </c:pt>
                <c:pt idx="5">
                  <c:v>6.8942270624628765</c:v>
                </c:pt>
                <c:pt idx="6">
                  <c:v>7.73706595715079</c:v>
                </c:pt>
                <c:pt idx="7">
                  <c:v>8.558963759812821</c:v>
                </c:pt>
                <c:pt idx="8">
                  <c:v>7.0431657388872129</c:v>
                </c:pt>
                <c:pt idx="9">
                  <c:v>8.3834657230119856</c:v>
                </c:pt>
                <c:pt idx="10">
                  <c:v>8.1544167556455385</c:v>
                </c:pt>
                <c:pt idx="11">
                  <c:v>8.7922875373115517</c:v>
                </c:pt>
                <c:pt idx="12">
                  <c:v>8.5129878436527253</c:v>
                </c:pt>
                <c:pt idx="13">
                  <c:v>8.1832324978392386</c:v>
                </c:pt>
                <c:pt idx="14">
                  <c:v>8.1574585052166668</c:v>
                </c:pt>
                <c:pt idx="15">
                  <c:v>7.9307448161777243</c:v>
                </c:pt>
                <c:pt idx="16">
                  <c:v>7.3299967770830863</c:v>
                </c:pt>
                <c:pt idx="17">
                  <c:v>7.7640134888363779</c:v>
                </c:pt>
                <c:pt idx="18">
                  <c:v>8.6105169970064956</c:v>
                </c:pt>
                <c:pt idx="19">
                  <c:v>8.0557394268637115</c:v>
                </c:pt>
                <c:pt idx="20">
                  <c:v>7.5420080055482606</c:v>
                </c:pt>
                <c:pt idx="21">
                  <c:v>8.1964185475722537</c:v>
                </c:pt>
                <c:pt idx="22">
                  <c:v>7.7778912481043081</c:v>
                </c:pt>
                <c:pt idx="23">
                  <c:v>19.317082828549474</c:v>
                </c:pt>
                <c:pt idx="24">
                  <c:v>7.1793081646956196</c:v>
                </c:pt>
                <c:pt idx="25">
                  <c:v>7.2961092964083987</c:v>
                </c:pt>
                <c:pt idx="26">
                  <c:v>8.1553023277951837</c:v>
                </c:pt>
                <c:pt idx="27">
                  <c:v>7.1992924803721943</c:v>
                </c:pt>
                <c:pt idx="28">
                  <c:v>8.3998502861546029</c:v>
                </c:pt>
                <c:pt idx="29">
                  <c:v>8.0655202173944698</c:v>
                </c:pt>
                <c:pt idx="30">
                  <c:v>6.8823221197764788</c:v>
                </c:pt>
                <c:pt idx="31">
                  <c:v>10.637902857146983</c:v>
                </c:pt>
                <c:pt idx="32">
                  <c:v>8.6710703877759983</c:v>
                </c:pt>
                <c:pt idx="33">
                  <c:v>9.1472289736680672</c:v>
                </c:pt>
                <c:pt idx="34">
                  <c:v>7.1787627285964364</c:v>
                </c:pt>
                <c:pt idx="35">
                  <c:v>7.156256269922773</c:v>
                </c:pt>
                <c:pt idx="36">
                  <c:v>6.0344810498384964</c:v>
                </c:pt>
                <c:pt idx="37">
                  <c:v>9.4236979321950791</c:v>
                </c:pt>
                <c:pt idx="38">
                  <c:v>9.7196910181714404</c:v>
                </c:pt>
                <c:pt idx="39">
                  <c:v>7.3525032132805705</c:v>
                </c:pt>
                <c:pt idx="40">
                  <c:v>7.2448111651620311</c:v>
                </c:pt>
                <c:pt idx="41">
                  <c:v>7.526959324358697</c:v>
                </c:pt>
                <c:pt idx="42">
                  <c:v>7.6385890289768543</c:v>
                </c:pt>
                <c:pt idx="43">
                  <c:v>8.2518932540874008</c:v>
                </c:pt>
                <c:pt idx="44">
                  <c:v>7.6905427643165982</c:v>
                </c:pt>
                <c:pt idx="45">
                  <c:v>9.4289082677206526</c:v>
                </c:pt>
                <c:pt idx="46">
                  <c:v>6.2957540005722965</c:v>
                </c:pt>
                <c:pt idx="47">
                  <c:v>7.9619184712295246</c:v>
                </c:pt>
                <c:pt idx="48">
                  <c:v>7.8976686938893712</c:v>
                </c:pt>
                <c:pt idx="49">
                  <c:v>8.0856192262486903</c:v>
                </c:pt>
                <c:pt idx="50">
                  <c:v>9.7263064727971749</c:v>
                </c:pt>
                <c:pt idx="51">
                  <c:v>11.059246623282053</c:v>
                </c:pt>
                <c:pt idx="52">
                  <c:v>9.5763696549758279</c:v>
                </c:pt>
                <c:pt idx="53">
                  <c:v>9.8234501823972664</c:v>
                </c:pt>
                <c:pt idx="54">
                  <c:v>12.18696836856545</c:v>
                </c:pt>
                <c:pt idx="55">
                  <c:v>10.679816508226361</c:v>
                </c:pt>
                <c:pt idx="56">
                  <c:v>12.459461769718045</c:v>
                </c:pt>
                <c:pt idx="57">
                  <c:v>10.93097321681312</c:v>
                </c:pt>
                <c:pt idx="58">
                  <c:v>7.956935064516907</c:v>
                </c:pt>
                <c:pt idx="59">
                  <c:v>12.391015565583329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B7C-4B22-99AF-C79212CF7F4B}"/>
            </c:ext>
          </c:extLst>
        </c:ser>
        <c:ser>
          <c:idx val="2"/>
          <c:order val="2"/>
          <c:tx>
            <c:strRef>
              <c:f>'Group Totals'!$AV$3</c:f>
              <c:strCache>
                <c:ptCount val="1"/>
                <c:pt idx="0">
                  <c:v>Expense / direct team member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Totals'!$AV$82:$AV$144</c:f>
              <c:numCache>
                <c:formatCode>"$"#,##0</c:formatCode>
                <c:ptCount val="63"/>
                <c:pt idx="0">
                  <c:v>12157.447368421053</c:v>
                </c:pt>
                <c:pt idx="1">
                  <c:v>13719.328947368422</c:v>
                </c:pt>
                <c:pt idx="2">
                  <c:v>12763.233766233767</c:v>
                </c:pt>
                <c:pt idx="3">
                  <c:v>13809.867469879518</c:v>
                </c:pt>
                <c:pt idx="4">
                  <c:v>11907.305882352941</c:v>
                </c:pt>
                <c:pt idx="5">
                  <c:v>12920.265060240963</c:v>
                </c:pt>
                <c:pt idx="6">
                  <c:v>12744.193181818182</c:v>
                </c:pt>
                <c:pt idx="7">
                  <c:v>10110.032967032967</c:v>
                </c:pt>
                <c:pt idx="8">
                  <c:v>10146.888888888889</c:v>
                </c:pt>
                <c:pt idx="9">
                  <c:v>11787.056818181818</c:v>
                </c:pt>
                <c:pt idx="10">
                  <c:v>13102.2875</c:v>
                </c:pt>
                <c:pt idx="11">
                  <c:v>12200.456790123457</c:v>
                </c:pt>
                <c:pt idx="12">
                  <c:v>13999.426829268292</c:v>
                </c:pt>
                <c:pt idx="13">
                  <c:v>12398.571428571429</c:v>
                </c:pt>
                <c:pt idx="14">
                  <c:v>16303.696202531646</c:v>
                </c:pt>
                <c:pt idx="15">
                  <c:v>13813.35</c:v>
                </c:pt>
                <c:pt idx="16">
                  <c:v>14429.4</c:v>
                </c:pt>
                <c:pt idx="17">
                  <c:v>14554.155844155845</c:v>
                </c:pt>
                <c:pt idx="18">
                  <c:v>14378.883116883117</c:v>
                </c:pt>
                <c:pt idx="19">
                  <c:v>13342.493150684932</c:v>
                </c:pt>
                <c:pt idx="20">
                  <c:v>15752.426470588236</c:v>
                </c:pt>
                <c:pt idx="21">
                  <c:v>16286.430769230768</c:v>
                </c:pt>
                <c:pt idx="22">
                  <c:v>17215.734375</c:v>
                </c:pt>
                <c:pt idx="23">
                  <c:v>16523.66129032258</c:v>
                </c:pt>
                <c:pt idx="24">
                  <c:v>14796.40909090909</c:v>
                </c:pt>
                <c:pt idx="25">
                  <c:v>15681.415584415585</c:v>
                </c:pt>
                <c:pt idx="26">
                  <c:v>14614.517647058823</c:v>
                </c:pt>
                <c:pt idx="27">
                  <c:v>13926.807228915663</c:v>
                </c:pt>
                <c:pt idx="28">
                  <c:v>15344.662650602409</c:v>
                </c:pt>
                <c:pt idx="29">
                  <c:v>14009.393258426966</c:v>
                </c:pt>
                <c:pt idx="30">
                  <c:v>13937.81111111111</c:v>
                </c:pt>
                <c:pt idx="31">
                  <c:v>14109.51724137931</c:v>
                </c:pt>
                <c:pt idx="32">
                  <c:v>13425.707317073171</c:v>
                </c:pt>
                <c:pt idx="33">
                  <c:v>15102.192307692309</c:v>
                </c:pt>
                <c:pt idx="34">
                  <c:v>13876.561797752809</c:v>
                </c:pt>
                <c:pt idx="35">
                  <c:v>11547.551724137931</c:v>
                </c:pt>
                <c:pt idx="36">
                  <c:v>11288.056179775282</c:v>
                </c:pt>
                <c:pt idx="37">
                  <c:v>16538.918604651164</c:v>
                </c:pt>
                <c:pt idx="38">
                  <c:v>15953.747368421053</c:v>
                </c:pt>
                <c:pt idx="39">
                  <c:v>14310.734693877552</c:v>
                </c:pt>
                <c:pt idx="40">
                  <c:v>14932.29702970297</c:v>
                </c:pt>
                <c:pt idx="41">
                  <c:v>14040.333333333334</c:v>
                </c:pt>
                <c:pt idx="42">
                  <c:v>13693.3046875</c:v>
                </c:pt>
                <c:pt idx="43">
                  <c:v>12273.053435114503</c:v>
                </c:pt>
                <c:pt idx="44">
                  <c:v>9489.7194244604325</c:v>
                </c:pt>
                <c:pt idx="45">
                  <c:v>13359.296296296296</c:v>
                </c:pt>
                <c:pt idx="46">
                  <c:v>11172.75</c:v>
                </c:pt>
                <c:pt idx="47">
                  <c:v>13167.116666666667</c:v>
                </c:pt>
                <c:pt idx="48">
                  <c:v>13866.43220338983</c:v>
                </c:pt>
                <c:pt idx="49">
                  <c:v>15395.227272727272</c:v>
                </c:pt>
                <c:pt idx="50">
                  <c:v>15252.155172413793</c:v>
                </c:pt>
                <c:pt idx="51">
                  <c:v>17837.76923076923</c:v>
                </c:pt>
                <c:pt idx="52">
                  <c:v>14575.753968253968</c:v>
                </c:pt>
                <c:pt idx="53">
                  <c:v>14878.300813008131</c:v>
                </c:pt>
                <c:pt idx="54">
                  <c:v>19274.504950495051</c:v>
                </c:pt>
                <c:pt idx="55">
                  <c:v>14589.186813186812</c:v>
                </c:pt>
                <c:pt idx="56">
                  <c:v>13123.942528735632</c:v>
                </c:pt>
                <c:pt idx="57">
                  <c:v>13749.59090909091</c:v>
                </c:pt>
                <c:pt idx="58">
                  <c:v>13358.081081081082</c:v>
                </c:pt>
                <c:pt idx="59">
                  <c:v>16449.192307692309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C-4B22-99AF-C79212CF7F4B}"/>
            </c:ext>
          </c:extLst>
        </c:ser>
        <c:ser>
          <c:idx val="3"/>
          <c:order val="3"/>
          <c:tx>
            <c:strRef>
              <c:f>'Group Totals'!$AW$3</c:f>
              <c:strCache>
                <c:ptCount val="1"/>
                <c:pt idx="0">
                  <c:v>Expense / total team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Totals'!$AW$82:$AW$144</c:f>
              <c:numCache>
                <c:formatCode>_-"$"* #,##0_-;\-"$"* #,##0_-;_-"$"* "-"??_-;_-@_-</c:formatCode>
                <c:ptCount val="63"/>
                <c:pt idx="0">
                  <c:v>7573.4918032786882</c:v>
                </c:pt>
                <c:pt idx="1">
                  <c:v>8617.0991735537191</c:v>
                </c:pt>
                <c:pt idx="2">
                  <c:v>8122.0578512396696</c:v>
                </c:pt>
                <c:pt idx="3">
                  <c:v>9096.9761904761908</c:v>
                </c:pt>
                <c:pt idx="4">
                  <c:v>7907.1953125</c:v>
                </c:pt>
                <c:pt idx="5">
                  <c:v>8443.9527559055114</c:v>
                </c:pt>
                <c:pt idx="6">
                  <c:v>8693.7131782945744</c:v>
                </c:pt>
                <c:pt idx="7">
                  <c:v>6814.9111111111115</c:v>
                </c:pt>
                <c:pt idx="8">
                  <c:v>6322.292307692308</c:v>
                </c:pt>
                <c:pt idx="9">
                  <c:v>8103.6015625</c:v>
                </c:pt>
                <c:pt idx="10">
                  <c:v>8318.9126984126979</c:v>
                </c:pt>
                <c:pt idx="11">
                  <c:v>7781.3937007874019</c:v>
                </c:pt>
                <c:pt idx="12">
                  <c:v>8763</c:v>
                </c:pt>
                <c:pt idx="13">
                  <c:v>7950.2290076335876</c:v>
                </c:pt>
                <c:pt idx="14">
                  <c:v>9684.1503759398493</c:v>
                </c:pt>
                <c:pt idx="15">
                  <c:v>8371.7272727272721</c:v>
                </c:pt>
                <c:pt idx="16">
                  <c:v>8454.7265625</c:v>
                </c:pt>
                <c:pt idx="17">
                  <c:v>8755.234375</c:v>
                </c:pt>
                <c:pt idx="18">
                  <c:v>8649.796875</c:v>
                </c:pt>
                <c:pt idx="19">
                  <c:v>7854.8548387096771</c:v>
                </c:pt>
                <c:pt idx="20">
                  <c:v>8501.3095238095229</c:v>
                </c:pt>
                <c:pt idx="21">
                  <c:v>8748.9090909090901</c:v>
                </c:pt>
                <c:pt idx="22">
                  <c:v>9258.8823529411766</c:v>
                </c:pt>
                <c:pt idx="23">
                  <c:v>8756.1282051282051</c:v>
                </c:pt>
                <c:pt idx="24">
                  <c:v>8275.9576271186434</c:v>
                </c:pt>
                <c:pt idx="25">
                  <c:v>9433.3515625</c:v>
                </c:pt>
                <c:pt idx="26">
                  <c:v>9201.7333333333336</c:v>
                </c:pt>
                <c:pt idx="27">
                  <c:v>8757.007575757576</c:v>
                </c:pt>
                <c:pt idx="28">
                  <c:v>9434.1259259259259</c:v>
                </c:pt>
                <c:pt idx="29">
                  <c:v>8842.8085106382987</c:v>
                </c:pt>
                <c:pt idx="30">
                  <c:v>8896.4751773049647</c:v>
                </c:pt>
                <c:pt idx="31">
                  <c:v>8831.1366906474814</c:v>
                </c:pt>
                <c:pt idx="32">
                  <c:v>8094.911764705882</c:v>
                </c:pt>
                <c:pt idx="33">
                  <c:v>8924.0227272727279</c:v>
                </c:pt>
                <c:pt idx="34">
                  <c:v>8949.3768115942021</c:v>
                </c:pt>
                <c:pt idx="35">
                  <c:v>7387.036764705882</c:v>
                </c:pt>
                <c:pt idx="36">
                  <c:v>7175.9785714285717</c:v>
                </c:pt>
                <c:pt idx="37">
                  <c:v>10306.86231884058</c:v>
                </c:pt>
                <c:pt idx="38">
                  <c:v>10310.244897959185</c:v>
                </c:pt>
                <c:pt idx="39">
                  <c:v>9226.6578947368416</c:v>
                </c:pt>
                <c:pt idx="40">
                  <c:v>9793.2597402597403</c:v>
                </c:pt>
                <c:pt idx="41">
                  <c:v>9008.5375722543358</c:v>
                </c:pt>
                <c:pt idx="42">
                  <c:v>9474.286486486486</c:v>
                </c:pt>
                <c:pt idx="43">
                  <c:v>8417.6439790575914</c:v>
                </c:pt>
                <c:pt idx="44">
                  <c:v>6595.3549999999996</c:v>
                </c:pt>
                <c:pt idx="45">
                  <c:v>9062.8391959798992</c:v>
                </c:pt>
                <c:pt idx="46">
                  <c:v>7409.9067357512949</c:v>
                </c:pt>
                <c:pt idx="47">
                  <c:v>8634.1748633879779</c:v>
                </c:pt>
                <c:pt idx="48">
                  <c:v>8749.9411764705874</c:v>
                </c:pt>
                <c:pt idx="49">
                  <c:v>9408.1944444444453</c:v>
                </c:pt>
                <c:pt idx="50">
                  <c:v>9461.2299465240649</c:v>
                </c:pt>
                <c:pt idx="51">
                  <c:v>10926.80104712042</c:v>
                </c:pt>
                <c:pt idx="52">
                  <c:v>9228.8693467336689</c:v>
                </c:pt>
                <c:pt idx="53">
                  <c:v>9196.13567839196</c:v>
                </c:pt>
                <c:pt idx="54">
                  <c:v>11519.082840236686</c:v>
                </c:pt>
                <c:pt idx="55">
                  <c:v>8677.2287581699347</c:v>
                </c:pt>
                <c:pt idx="56">
                  <c:v>7767.2312925170072</c:v>
                </c:pt>
                <c:pt idx="57">
                  <c:v>8520.8732394366198</c:v>
                </c:pt>
                <c:pt idx="58">
                  <c:v>7215.3138686131388</c:v>
                </c:pt>
                <c:pt idx="59">
                  <c:v>9434.0955882352937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7C-4B22-99AF-C79212CF7F4B}"/>
            </c:ext>
          </c:extLst>
        </c:ser>
        <c:ser>
          <c:idx val="4"/>
          <c:order val="4"/>
          <c:tx>
            <c:strRef>
              <c:f>'Group Totals'!$AY$3</c:f>
              <c:strCache>
                <c:ptCount val="1"/>
                <c:pt idx="0">
                  <c:v>Recovery per FG unit produced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Totals'!$AY$82:$AY$144</c:f>
              <c:numCache>
                <c:formatCode>_-"$"* #,##0_-;\-"$"* #,##0_-;_-"$"* "-"??_-;_-@_-</c:formatCode>
                <c:ptCount val="63"/>
                <c:pt idx="0">
                  <c:v>26.556824343648117</c:v>
                </c:pt>
                <c:pt idx="1">
                  <c:v>32.883267114377134</c:v>
                </c:pt>
                <c:pt idx="2">
                  <c:v>28.705612039749553</c:v>
                </c:pt>
                <c:pt idx="3">
                  <c:v>35.412349746781381</c:v>
                </c:pt>
                <c:pt idx="4">
                  <c:v>29.69083882049814</c:v>
                </c:pt>
                <c:pt idx="5">
                  <c:v>25.627305855919126</c:v>
                </c:pt>
                <c:pt idx="6">
                  <c:v>26.190313177814161</c:v>
                </c:pt>
                <c:pt idx="7">
                  <c:v>25.120576289592758</c:v>
                </c:pt>
                <c:pt idx="8">
                  <c:v>27.408562713198627</c:v>
                </c:pt>
                <c:pt idx="9">
                  <c:v>24.433977955388425</c:v>
                </c:pt>
                <c:pt idx="10">
                  <c:v>28.286637869382385</c:v>
                </c:pt>
                <c:pt idx="11">
                  <c:v>24.268822654771562</c:v>
                </c:pt>
                <c:pt idx="12">
                  <c:v>27.421175224986765</c:v>
                </c:pt>
                <c:pt idx="13">
                  <c:v>27.118154561586</c:v>
                </c:pt>
                <c:pt idx="14">
                  <c:v>26.509410427696317</c:v>
                </c:pt>
                <c:pt idx="15">
                  <c:v>30.638016486479547</c:v>
                </c:pt>
                <c:pt idx="16">
                  <c:v>27.332279398203042</c:v>
                </c:pt>
                <c:pt idx="17">
                  <c:v>31.03910274162282</c:v>
                </c:pt>
                <c:pt idx="18">
                  <c:v>32.216778327993012</c:v>
                </c:pt>
                <c:pt idx="19">
                  <c:v>25.554144516637134</c:v>
                </c:pt>
                <c:pt idx="20">
                  <c:v>26.961312952863764</c:v>
                </c:pt>
                <c:pt idx="21">
                  <c:v>30.655686836137964</c:v>
                </c:pt>
                <c:pt idx="22">
                  <c:v>26.387276277253498</c:v>
                </c:pt>
                <c:pt idx="23">
                  <c:v>56.29415971394517</c:v>
                </c:pt>
                <c:pt idx="24">
                  <c:v>35.140407897944257</c:v>
                </c:pt>
                <c:pt idx="25">
                  <c:v>27.558422009909478</c:v>
                </c:pt>
                <c:pt idx="26">
                  <c:v>31.536246089676748</c:v>
                </c:pt>
                <c:pt idx="27">
                  <c:v>28.715612550387778</c:v>
                </c:pt>
                <c:pt idx="28">
                  <c:v>31.426370224442412</c:v>
                </c:pt>
                <c:pt idx="29">
                  <c:v>29.534535686876438</c:v>
                </c:pt>
                <c:pt idx="30">
                  <c:v>27.976079705988571</c:v>
                </c:pt>
                <c:pt idx="31">
                  <c:v>29.417365088935785</c:v>
                </c:pt>
                <c:pt idx="32">
                  <c:v>31.544869119313098</c:v>
                </c:pt>
                <c:pt idx="33">
                  <c:v>31.69438709062609</c:v>
                </c:pt>
                <c:pt idx="34">
                  <c:v>19.468376474313306</c:v>
                </c:pt>
                <c:pt idx="35">
                  <c:v>27.081951681667455</c:v>
                </c:pt>
                <c:pt idx="36">
                  <c:v>21.853674057870141</c:v>
                </c:pt>
                <c:pt idx="37">
                  <c:v>28.376477720521372</c:v>
                </c:pt>
                <c:pt idx="38">
                  <c:v>29.6567789100576</c:v>
                </c:pt>
                <c:pt idx="39">
                  <c:v>36.796674635948705</c:v>
                </c:pt>
                <c:pt idx="40">
                  <c:v>35.466660269020998</c:v>
                </c:pt>
                <c:pt idx="41">
                  <c:v>28.296920536234701</c:v>
                </c:pt>
                <c:pt idx="42">
                  <c:v>26.770453414512776</c:v>
                </c:pt>
                <c:pt idx="43">
                  <c:v>22.716304977783501</c:v>
                </c:pt>
                <c:pt idx="44">
                  <c:v>31.660352649548663</c:v>
                </c:pt>
                <c:pt idx="45">
                  <c:v>28.08893530584087</c:v>
                </c:pt>
                <c:pt idx="46">
                  <c:v>24.337129253351126</c:v>
                </c:pt>
                <c:pt idx="47">
                  <c:v>24.528560717085305</c:v>
                </c:pt>
                <c:pt idx="48">
                  <c:v>25.470256500351372</c:v>
                </c:pt>
                <c:pt idx="49">
                  <c:v>23.683363908139693</c:v>
                </c:pt>
                <c:pt idx="50">
                  <c:v>28.012426368045293</c:v>
                </c:pt>
                <c:pt idx="51">
                  <c:v>31.016307880172533</c:v>
                </c:pt>
                <c:pt idx="52">
                  <c:v>22.86664895528919</c:v>
                </c:pt>
                <c:pt idx="53">
                  <c:v>26.104784842041884</c:v>
                </c:pt>
                <c:pt idx="54">
                  <c:v>39.146082411166098</c:v>
                </c:pt>
                <c:pt idx="55">
                  <c:v>41.549702930750414</c:v>
                </c:pt>
                <c:pt idx="56">
                  <c:v>33.404938697979624</c:v>
                </c:pt>
                <c:pt idx="57">
                  <c:v>33.46060803004044</c:v>
                </c:pt>
                <c:pt idx="58">
                  <c:v>33.065701050433873</c:v>
                </c:pt>
                <c:pt idx="59">
                  <c:v>33.220668996505239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B7C-4B22-99AF-C79212CF7F4B}"/>
            </c:ext>
          </c:extLst>
        </c:ser>
        <c:ser>
          <c:idx val="5"/>
          <c:order val="5"/>
          <c:tx>
            <c:strRef>
              <c:f>'Group Totals'!$AZ$3</c:f>
              <c:strCache>
                <c:ptCount val="1"/>
                <c:pt idx="0">
                  <c:v>Recovery per total units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Totals'!$AZ$82:$AZ$144</c:f>
              <c:numCache>
                <c:formatCode>_-"$"* #,##0_-;\-"$"* #,##0_-;_-"$"* "-"??_-;_-@_-</c:formatCode>
                <c:ptCount val="63"/>
                <c:pt idx="0">
                  <c:v>7.4265633628782171</c:v>
                </c:pt>
                <c:pt idx="1">
                  <c:v>8.5813133020037959</c:v>
                </c:pt>
                <c:pt idx="2">
                  <c:v>7.3505766815819191</c:v>
                </c:pt>
                <c:pt idx="3">
                  <c:v>8.9621153882284155</c:v>
                </c:pt>
                <c:pt idx="4">
                  <c:v>7.6940794618872905</c:v>
                </c:pt>
                <c:pt idx="5">
                  <c:v>7.0393288696930396</c:v>
                </c:pt>
                <c:pt idx="6">
                  <c:v>8.163707274109143</c:v>
                </c:pt>
                <c:pt idx="7">
                  <c:v>6.4559343946091676</c:v>
                </c:pt>
                <c:pt idx="8">
                  <c:v>7.1608599898538383</c:v>
                </c:pt>
                <c:pt idx="9">
                  <c:v>7.5608342340721792</c:v>
                </c:pt>
                <c:pt idx="10">
                  <c:v>7.6925668119502024</c:v>
                </c:pt>
                <c:pt idx="11">
                  <c:v>6.3894547508930302</c:v>
                </c:pt>
                <c:pt idx="12">
                  <c:v>7.6825593402905881</c:v>
                </c:pt>
                <c:pt idx="13">
                  <c:v>6.9645949556061915</c:v>
                </c:pt>
                <c:pt idx="14">
                  <c:v>6.0572038997285045</c:v>
                </c:pt>
                <c:pt idx="15">
                  <c:v>8.5623449159338954</c:v>
                </c:pt>
                <c:pt idx="16">
                  <c:v>7.0261304620962965</c:v>
                </c:pt>
                <c:pt idx="17">
                  <c:v>7.7650665464271968</c:v>
                </c:pt>
                <c:pt idx="18">
                  <c:v>8.6014023267554851</c:v>
                </c:pt>
                <c:pt idx="19">
                  <c:v>6.4407489451331381</c:v>
                </c:pt>
                <c:pt idx="20">
                  <c:v>7.4143064850573657</c:v>
                </c:pt>
                <c:pt idx="21">
                  <c:v>7.9551447407982838</c:v>
                </c:pt>
                <c:pt idx="22">
                  <c:v>5.7241823959677776</c:v>
                </c:pt>
                <c:pt idx="23">
                  <c:v>8.9057165888081755</c:v>
                </c:pt>
                <c:pt idx="24">
                  <c:v>9.5381156358895698</c:v>
                </c:pt>
                <c:pt idx="25">
                  <c:v>7.9652114188804379</c:v>
                </c:pt>
                <c:pt idx="26">
                  <c:v>9.9273940609464475</c:v>
                </c:pt>
                <c:pt idx="27">
                  <c:v>7.586808952573036</c:v>
                </c:pt>
                <c:pt idx="28">
                  <c:v>8.8376610564279403</c:v>
                </c:pt>
                <c:pt idx="29">
                  <c:v>7.4682503702034602</c:v>
                </c:pt>
                <c:pt idx="30">
                  <c:v>7.2253126637386877</c:v>
                </c:pt>
                <c:pt idx="31">
                  <c:v>8.4561729121696132</c:v>
                </c:pt>
                <c:pt idx="32">
                  <c:v>8.333728898107065</c:v>
                </c:pt>
                <c:pt idx="33">
                  <c:v>7.747932504523253</c:v>
                </c:pt>
                <c:pt idx="34">
                  <c:v>5.7183922466366273</c:v>
                </c:pt>
                <c:pt idx="35">
                  <c:v>6.9229919923069172</c:v>
                </c:pt>
                <c:pt idx="36">
                  <c:v>6.6007559341733604</c:v>
                </c:pt>
                <c:pt idx="37">
                  <c:v>7.4428256246148949</c:v>
                </c:pt>
                <c:pt idx="38">
                  <c:v>8.5852249224819879</c:v>
                </c:pt>
                <c:pt idx="39">
                  <c:v>8.87581052872555</c:v>
                </c:pt>
                <c:pt idx="40">
                  <c:v>10.652196748191395</c:v>
                </c:pt>
                <c:pt idx="41">
                  <c:v>8.4409972985939152</c:v>
                </c:pt>
                <c:pt idx="42">
                  <c:v>7.9714371630661685</c:v>
                </c:pt>
                <c:pt idx="43">
                  <c:v>7.2422056442196405</c:v>
                </c:pt>
                <c:pt idx="44">
                  <c:v>7.8933720981642912</c:v>
                </c:pt>
                <c:pt idx="45">
                  <c:v>7.663315453224171</c:v>
                </c:pt>
                <c:pt idx="46">
                  <c:v>7.0655939776804386</c:v>
                </c:pt>
                <c:pt idx="47">
                  <c:v>7.2530850329866636</c:v>
                </c:pt>
                <c:pt idx="48">
                  <c:v>6.9976204266821123</c:v>
                </c:pt>
                <c:pt idx="49">
                  <c:v>6.6571244181984426</c:v>
                </c:pt>
                <c:pt idx="50">
                  <c:v>7.3984303955896058</c:v>
                </c:pt>
                <c:pt idx="51">
                  <c:v>8.3449178225617349</c:v>
                </c:pt>
                <c:pt idx="52">
                  <c:v>7.6296949698133183</c:v>
                </c:pt>
                <c:pt idx="53">
                  <c:v>7.4473964495717979</c:v>
                </c:pt>
                <c:pt idx="54">
                  <c:v>8.8139691025787492</c:v>
                </c:pt>
                <c:pt idx="55">
                  <c:v>6.6945055033454475</c:v>
                </c:pt>
                <c:pt idx="56">
                  <c:v>6.3328792610200439</c:v>
                </c:pt>
                <c:pt idx="57">
                  <c:v>8.3721550015960293</c:v>
                </c:pt>
                <c:pt idx="58">
                  <c:v>8.1589619338168404</c:v>
                </c:pt>
                <c:pt idx="59">
                  <c:v>7.7114898486900714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B7C-4B22-99AF-C79212CF7F4B}"/>
            </c:ext>
          </c:extLst>
        </c:ser>
        <c:ser>
          <c:idx val="6"/>
          <c:order val="6"/>
          <c:tx>
            <c:strRef>
              <c:f>'Group Totals'!$BA$3</c:f>
              <c:strCache>
                <c:ptCount val="1"/>
                <c:pt idx="0">
                  <c:v>Recovery /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Totals'!$BA$82:$BA$144</c:f>
              <c:numCache>
                <c:formatCode>_-"$"* #,##0_-;\-"$"* #,##0_-;_-"$"* "-"??_-;_-@_-</c:formatCode>
                <c:ptCount val="63"/>
                <c:pt idx="0">
                  <c:v>12218.235789473685</c:v>
                </c:pt>
                <c:pt idx="1">
                  <c:v>12305.697368421053</c:v>
                </c:pt>
                <c:pt idx="2">
                  <c:v>12980.155844155845</c:v>
                </c:pt>
                <c:pt idx="3">
                  <c:v>13984.89156626506</c:v>
                </c:pt>
                <c:pt idx="4">
                  <c:v>12201.188235294117</c:v>
                </c:pt>
                <c:pt idx="5">
                  <c:v>13192.196024096391</c:v>
                </c:pt>
                <c:pt idx="6">
                  <c:v>13446.940113636358</c:v>
                </c:pt>
                <c:pt idx="7">
                  <c:v>7625.8892307692304</c:v>
                </c:pt>
                <c:pt idx="8">
                  <c:v>10316.447654320986</c:v>
                </c:pt>
                <c:pt idx="9">
                  <c:v>10630.446363636378</c:v>
                </c:pt>
                <c:pt idx="10">
                  <c:v>12360.2</c:v>
                </c:pt>
                <c:pt idx="11">
                  <c:v>8866.2098765432092</c:v>
                </c:pt>
                <c:pt idx="12">
                  <c:v>12633.804878048781</c:v>
                </c:pt>
                <c:pt idx="13">
                  <c:v>10552.190476190477</c:v>
                </c:pt>
                <c:pt idx="14">
                  <c:v>12106.075949367088</c:v>
                </c:pt>
                <c:pt idx="15">
                  <c:v>14913.4375</c:v>
                </c:pt>
                <c:pt idx="16">
                  <c:v>13831.226666666667</c:v>
                </c:pt>
                <c:pt idx="17">
                  <c:v>14556.129870129869</c:v>
                </c:pt>
                <c:pt idx="18">
                  <c:v>14363.662337662337</c:v>
                </c:pt>
                <c:pt idx="19">
                  <c:v>10667.630136986301</c:v>
                </c:pt>
                <c:pt idx="20">
                  <c:v>15485.705882352941</c:v>
                </c:pt>
                <c:pt idx="21">
                  <c:v>15807.015384615384</c:v>
                </c:pt>
                <c:pt idx="22">
                  <c:v>12670.015625</c:v>
                </c:pt>
                <c:pt idx="23">
                  <c:v>7617.8709677419356</c:v>
                </c:pt>
                <c:pt idx="24">
                  <c:v>19657.863636363636</c:v>
                </c:pt>
                <c:pt idx="25">
                  <c:v>17119.506493506495</c:v>
                </c:pt>
                <c:pt idx="26">
                  <c:v>17790.152941176471</c:v>
                </c:pt>
                <c:pt idx="27">
                  <c:v>14676.445783132531</c:v>
                </c:pt>
                <c:pt idx="28">
                  <c:v>16144.445783132531</c:v>
                </c:pt>
                <c:pt idx="29">
                  <c:v>12971.966292134832</c:v>
                </c:pt>
                <c:pt idx="30">
                  <c:v>14632.422222222222</c:v>
                </c:pt>
                <c:pt idx="31">
                  <c:v>11215.793103448275</c:v>
                </c:pt>
                <c:pt idx="32">
                  <c:v>12903.390243902439</c:v>
                </c:pt>
                <c:pt idx="33">
                  <c:v>12791.935897435897</c:v>
                </c:pt>
                <c:pt idx="34">
                  <c:v>11053.662921348314</c:v>
                </c:pt>
                <c:pt idx="35">
                  <c:v>11171.149425287356</c:v>
                </c:pt>
                <c:pt idx="36">
                  <c:v>12347.325842696629</c:v>
                </c:pt>
                <c:pt idx="37">
                  <c:v>13062.418604651162</c:v>
                </c:pt>
                <c:pt idx="38">
                  <c:v>14091.652631578947</c:v>
                </c:pt>
                <c:pt idx="39">
                  <c:v>17275.663265306124</c:v>
                </c:pt>
                <c:pt idx="40">
                  <c:v>21955.267326732672</c:v>
                </c:pt>
                <c:pt idx="41">
                  <c:v>15745.324324324325</c:v>
                </c:pt>
                <c:pt idx="42">
                  <c:v>14289.984375</c:v>
                </c:pt>
                <c:pt idx="43">
                  <c:v>10771.343511450381</c:v>
                </c:pt>
                <c:pt idx="44">
                  <c:v>9740</c:v>
                </c:pt>
                <c:pt idx="45">
                  <c:v>10857.725925925926</c:v>
                </c:pt>
                <c:pt idx="46">
                  <c:v>12538.9453125</c:v>
                </c:pt>
                <c:pt idx="47">
                  <c:v>11994.875</c:v>
                </c:pt>
                <c:pt idx="48">
                  <c:v>12286.161016949152</c:v>
                </c:pt>
                <c:pt idx="49">
                  <c:v>12675.336363636363</c:v>
                </c:pt>
                <c:pt idx="50">
                  <c:v>11601.73275862069</c:v>
                </c:pt>
                <c:pt idx="51">
                  <c:v>13459.752136752137</c:v>
                </c:pt>
                <c:pt idx="52">
                  <c:v>11612.809523809523</c:v>
                </c:pt>
                <c:pt idx="53">
                  <c:v>11279.60162601626</c:v>
                </c:pt>
                <c:pt idx="54">
                  <c:v>13939.881188118812</c:v>
                </c:pt>
                <c:pt idx="55">
                  <c:v>9145.0439560439554</c:v>
                </c:pt>
                <c:pt idx="56">
                  <c:v>6670.6206896551721</c:v>
                </c:pt>
                <c:pt idx="57">
                  <c:v>10530.96590909091</c:v>
                </c:pt>
                <c:pt idx="58">
                  <c:v>13697.243243243243</c:v>
                </c:pt>
                <c:pt idx="59">
                  <c:v>10237.076923076924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8B7C-4B22-99AF-C79212CF7F4B}"/>
            </c:ext>
          </c:extLst>
        </c:ser>
        <c:ser>
          <c:idx val="7"/>
          <c:order val="7"/>
          <c:tx>
            <c:strRef>
              <c:f>'Group Totals'!$BB$3</c:f>
              <c:strCache>
                <c:ptCount val="1"/>
                <c:pt idx="0">
                  <c:v>Recovery per total team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Totals'!$BB$82:$BB$144</c:f>
              <c:numCache>
                <c:formatCode>"$"#,##0</c:formatCode>
                <c:ptCount val="63"/>
                <c:pt idx="0">
                  <c:v>7611.3600000000006</c:v>
                </c:pt>
                <c:pt idx="1">
                  <c:v>7729.1983471074382</c:v>
                </c:pt>
                <c:pt idx="2">
                  <c:v>8260.0991735537191</c:v>
                </c:pt>
                <c:pt idx="3">
                  <c:v>9212.269841269841</c:v>
                </c:pt>
                <c:pt idx="4">
                  <c:v>8102.3515625</c:v>
                </c:pt>
                <c:pt idx="5">
                  <c:v>8621.6714173228393</c:v>
                </c:pt>
                <c:pt idx="6">
                  <c:v>9173.1064341085239</c:v>
                </c:pt>
                <c:pt idx="7">
                  <c:v>5140.4142222222217</c:v>
                </c:pt>
                <c:pt idx="8">
                  <c:v>6427.9404615384601</c:v>
                </c:pt>
                <c:pt idx="9">
                  <c:v>7308.4318750000093</c:v>
                </c:pt>
                <c:pt idx="10">
                  <c:v>7847.7460317460318</c:v>
                </c:pt>
                <c:pt idx="11">
                  <c:v>5654.8267716535429</c:v>
                </c:pt>
                <c:pt idx="12">
                  <c:v>7908.1832061068699</c:v>
                </c:pt>
                <c:pt idx="13">
                  <c:v>6766.2900763358775</c:v>
                </c:pt>
                <c:pt idx="14">
                  <c:v>7190.8270676691727</c:v>
                </c:pt>
                <c:pt idx="15">
                  <c:v>9038.44696969697</c:v>
                </c:pt>
                <c:pt idx="16">
                  <c:v>8104.234375</c:v>
                </c:pt>
                <c:pt idx="17">
                  <c:v>8756.421875</c:v>
                </c:pt>
                <c:pt idx="18">
                  <c:v>8640.640625</c:v>
                </c:pt>
                <c:pt idx="19">
                  <c:v>6280.1370967741932</c:v>
                </c:pt>
                <c:pt idx="20">
                  <c:v>8357.3650793650795</c:v>
                </c:pt>
                <c:pt idx="21">
                  <c:v>8491.371900826447</c:v>
                </c:pt>
                <c:pt idx="22">
                  <c:v>6814.1260504201682</c:v>
                </c:pt>
                <c:pt idx="23">
                  <c:v>4036.8205128205127</c:v>
                </c:pt>
                <c:pt idx="24">
                  <c:v>10995.076271186441</c:v>
                </c:pt>
                <c:pt idx="25">
                  <c:v>10298.453125</c:v>
                </c:pt>
                <c:pt idx="26">
                  <c:v>11201.207407407408</c:v>
                </c:pt>
                <c:pt idx="27">
                  <c:v>9228.371212121212</c:v>
                </c:pt>
                <c:pt idx="28">
                  <c:v>9925.8444444444449</c:v>
                </c:pt>
                <c:pt idx="29">
                  <c:v>8187.9787234042551</c:v>
                </c:pt>
                <c:pt idx="30">
                  <c:v>9339.8439716312059</c:v>
                </c:pt>
                <c:pt idx="31">
                  <c:v>7019.9568345323742</c:v>
                </c:pt>
                <c:pt idx="32">
                  <c:v>7779.9852941176468</c:v>
                </c:pt>
                <c:pt idx="33">
                  <c:v>7558.871212121212</c:v>
                </c:pt>
                <c:pt idx="34">
                  <c:v>7128.811594202899</c:v>
                </c:pt>
                <c:pt idx="35">
                  <c:v>7146.25</c:v>
                </c:pt>
                <c:pt idx="36">
                  <c:v>7849.3714285714286</c:v>
                </c:pt>
                <c:pt idx="37">
                  <c:v>8140.347826086957</c:v>
                </c:pt>
                <c:pt idx="38">
                  <c:v>9106.850340136054</c:v>
                </c:pt>
                <c:pt idx="39">
                  <c:v>11138.256578947368</c:v>
                </c:pt>
                <c:pt idx="40">
                  <c:v>14399.233766233767</c:v>
                </c:pt>
                <c:pt idx="41">
                  <c:v>10102.491329479768</c:v>
                </c:pt>
                <c:pt idx="42">
                  <c:v>9887.1243243243243</c:v>
                </c:pt>
                <c:pt idx="43">
                  <c:v>7387.6753926701567</c:v>
                </c:pt>
                <c:pt idx="44">
                  <c:v>6769.3</c:v>
                </c:pt>
                <c:pt idx="45">
                  <c:v>7365.7939698492464</c:v>
                </c:pt>
                <c:pt idx="46">
                  <c:v>8315.984455958549</c:v>
                </c:pt>
                <c:pt idx="47">
                  <c:v>7865.4918032786882</c:v>
                </c:pt>
                <c:pt idx="48">
                  <c:v>7752.7647058823532</c:v>
                </c:pt>
                <c:pt idx="49">
                  <c:v>7746.0388888888892</c:v>
                </c:pt>
                <c:pt idx="50">
                  <c:v>7196.7967914438505</c:v>
                </c:pt>
                <c:pt idx="51">
                  <c:v>8244.9790575916231</c:v>
                </c:pt>
                <c:pt idx="52">
                  <c:v>7352.8341708542712</c:v>
                </c:pt>
                <c:pt idx="53">
                  <c:v>6971.8140703517583</c:v>
                </c:pt>
                <c:pt idx="54">
                  <c:v>8330.9349112426044</c:v>
                </c:pt>
                <c:pt idx="55">
                  <c:v>5439.2091503267975</c:v>
                </c:pt>
                <c:pt idx="56">
                  <c:v>3947.9183673469388</c:v>
                </c:pt>
                <c:pt idx="57">
                  <c:v>6526.2323943661968</c:v>
                </c:pt>
                <c:pt idx="58">
                  <c:v>7398.5109489051092</c:v>
                </c:pt>
                <c:pt idx="59">
                  <c:v>5871.2647058823532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8B7C-4B22-99AF-C79212CF7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60671"/>
        <c:axId val="2998186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Totals'!$AT$3</c15:sqref>
                        </c15:formulaRef>
                      </c:ext>
                    </c:extLst>
                    <c:strCache>
                      <c:ptCount val="1"/>
                      <c:pt idx="0">
                        <c:v>Expenses / FG unit produced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Totals'!$AT$82:$AT$144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63"/>
                      <c:pt idx="0">
                        <c:v>26.424698278327519</c:v>
                      </c:pt>
                      <c:pt idx="1">
                        <c:v>36.66077142153933</c:v>
                      </c:pt>
                      <c:pt idx="2">
                        <c:v>28.225888908036072</c:v>
                      </c:pt>
                      <c:pt idx="3">
                        <c:v>34.969156141314294</c:v>
                      </c:pt>
                      <c:pt idx="4">
                        <c:v>28.975694245634127</c:v>
                      </c:pt>
                      <c:pt idx="5">
                        <c:v>25.099049758928988</c:v>
                      </c:pt>
                      <c:pt idx="6">
                        <c:v>24.821588243105662</c:v>
                      </c:pt>
                      <c:pt idx="7">
                        <c:v>33.303638009049777</c:v>
                      </c:pt>
                      <c:pt idx="8">
                        <c:v>26.958081868276043</c:v>
                      </c:pt>
                      <c:pt idx="9">
                        <c:v>27.092435877344197</c:v>
                      </c:pt>
                      <c:pt idx="10">
                        <c:v>29.984924335612323</c:v>
                      </c:pt>
                      <c:pt idx="11">
                        <c:v>33.395410921870777</c:v>
                      </c:pt>
                      <c:pt idx="12">
                        <c:v>30.385203811540496</c:v>
                      </c:pt>
                      <c:pt idx="13">
                        <c:v>31.863183014134492</c:v>
                      </c:pt>
                      <c:pt idx="14">
                        <c:v>35.70119466696233</c:v>
                      </c:pt>
                      <c:pt idx="15">
                        <c:v>28.378007755322155</c:v>
                      </c:pt>
                      <c:pt idx="16">
                        <c:v>28.514346691961109</c:v>
                      </c:pt>
                      <c:pt idx="17">
                        <c:v>31.034893381334811</c:v>
                      </c:pt>
                      <c:pt idx="18">
                        <c:v>32.25091756481212</c:v>
                      </c:pt>
                      <c:pt idx="19">
                        <c:v>31.961737874909758</c:v>
                      </c:pt>
                      <c:pt idx="20">
                        <c:v>27.425685536523542</c:v>
                      </c:pt>
                      <c:pt idx="21">
                        <c:v>31.585451724549468</c:v>
                      </c:pt>
                      <c:pt idx="22">
                        <c:v>35.854441913439636</c:v>
                      </c:pt>
                      <c:pt idx="23">
                        <c:v>122.1057210965435</c:v>
                      </c:pt>
                      <c:pt idx="24">
                        <c:v>26.450069066384984</c:v>
                      </c:pt>
                      <c:pt idx="25">
                        <c:v>25.243430267806744</c:v>
                      </c:pt>
                      <c:pt idx="26">
                        <c:v>25.906861313868614</c:v>
                      </c:pt>
                      <c:pt idx="27">
                        <c:v>27.248886164871173</c:v>
                      </c:pt>
                      <c:pt idx="28">
                        <c:v>29.869532587537233</c:v>
                      </c:pt>
                      <c:pt idx="29">
                        <c:v>31.896546431312355</c:v>
                      </c:pt>
                      <c:pt idx="30">
                        <c:v>26.648036029146219</c:v>
                      </c:pt>
                      <c:pt idx="31">
                        <c:v>37.007175158275551</c:v>
                      </c:pt>
                      <c:pt idx="32">
                        <c:v>32.821775684216803</c:v>
                      </c:pt>
                      <c:pt idx="33">
                        <c:v>37.418474635494427</c:v>
                      </c:pt>
                      <c:pt idx="34">
                        <c:v>24.440235890129028</c:v>
                      </c:pt>
                      <c:pt idx="35">
                        <c:v>27.994454816507371</c:v>
                      </c:pt>
                      <c:pt idx="36">
                        <c:v>19.978860495177489</c:v>
                      </c:pt>
                      <c:pt idx="37">
                        <c:v>35.928741032636154</c:v>
                      </c:pt>
                      <c:pt idx="38">
                        <c:v>33.575675675675676</c:v>
                      </c:pt>
                      <c:pt idx="39">
                        <c:v>30.4814605520539</c:v>
                      </c:pt>
                      <c:pt idx="40">
                        <c:v>24.12171520880316</c:v>
                      </c:pt>
                      <c:pt idx="41">
                        <c:v>25.232773136454892</c:v>
                      </c:pt>
                      <c:pt idx="42">
                        <c:v>25.652650528349383</c:v>
                      </c:pt>
                      <c:pt idx="43">
                        <c:v>25.883347285723485</c:v>
                      </c:pt>
                      <c:pt idx="44">
                        <c:v>30.846803236518404</c:v>
                      </c:pt>
                      <c:pt idx="45">
                        <c:v>34.56049747048904</c:v>
                      </c:pt>
                      <c:pt idx="46">
                        <c:v>21.685449141748045</c:v>
                      </c:pt>
                      <c:pt idx="47">
                        <c:v>26.925701237176646</c:v>
                      </c:pt>
                      <c:pt idx="48">
                        <c:v>28.746293042867183</c:v>
                      </c:pt>
                      <c:pt idx="49">
                        <c:v>28.765372333197444</c:v>
                      </c:pt>
                      <c:pt idx="50">
                        <c:v>36.826384697042236</c:v>
                      </c:pt>
                      <c:pt idx="51">
                        <c:v>41.104898272703998</c:v>
                      </c:pt>
                      <c:pt idx="52">
                        <c:v>28.700948600540716</c:v>
                      </c:pt>
                      <c:pt idx="53">
                        <c:v>34.433382881442036</c:v>
                      </c:pt>
                      <c:pt idx="54">
                        <c:v>54.126814213423792</c:v>
                      </c:pt>
                      <c:pt idx="55">
                        <c:v>66.284687203554839</c:v>
                      </c:pt>
                      <c:pt idx="56">
                        <c:v>65.72169458354918</c:v>
                      </c:pt>
                      <c:pt idx="57">
                        <c:v>43.687319468515312</c:v>
                      </c:pt>
                      <c:pt idx="58">
                        <c:v>32.246949827102497</c:v>
                      </c:pt>
                      <c:pt idx="59">
                        <c:v>53.37980529206191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B7C-4B22-99AF-C79212CF7F4B}"/>
                  </c:ext>
                </c:extLst>
              </c15:ser>
            </c15:filteredLineSeries>
          </c:ext>
        </c:extLst>
      </c:lineChart>
      <c:dateAx>
        <c:axId val="212560671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18687"/>
        <c:crosses val="autoZero"/>
        <c:auto val="1"/>
        <c:lblOffset val="100"/>
        <c:baseTimeUnit val="months"/>
      </c:dateAx>
      <c:valAx>
        <c:axId val="299818687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7036818314377373"/>
          <c:w val="1"/>
          <c:h val="0.101854039078448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Recovery per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8079615048119"/>
          <c:y val="0.16089129483814524"/>
          <c:w val="0.82163648293963254"/>
          <c:h val="0.5115933945756781"/>
        </c:manualLayout>
      </c:layout>
      <c:lineChart>
        <c:grouping val="standard"/>
        <c:varyColors val="0"/>
        <c:ser>
          <c:idx val="1"/>
          <c:order val="1"/>
          <c:tx>
            <c:strRef>
              <c:f>'Group Totals'!$AU$3</c:f>
              <c:strCache>
                <c:ptCount val="1"/>
                <c:pt idx="0">
                  <c:v>Expenses per total units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Totals'!$AU$82:$AU$144</c:f>
              <c:numCache>
                <c:formatCode>_-"$"* #,##0.0_-;\-"$"* #,##0.0_-;_-"$"* "-"??_-;_-@_-</c:formatCode>
                <c:ptCount val="63"/>
                <c:pt idx="0">
                  <c:v>7.3896145702329132</c:v>
                </c:pt>
                <c:pt idx="1">
                  <c:v>9.5671018444462455</c:v>
                </c:pt>
                <c:pt idx="2">
                  <c:v>7.2277351389349382</c:v>
                </c:pt>
                <c:pt idx="3">
                  <c:v>8.8499524772687437</c:v>
                </c:pt>
                <c:pt idx="4">
                  <c:v>7.5087570053879285</c:v>
                </c:pt>
                <c:pt idx="5">
                  <c:v>6.8942270624628765</c:v>
                </c:pt>
                <c:pt idx="6">
                  <c:v>7.73706595715079</c:v>
                </c:pt>
                <c:pt idx="7">
                  <c:v>8.558963759812821</c:v>
                </c:pt>
                <c:pt idx="8">
                  <c:v>7.0431657388872129</c:v>
                </c:pt>
                <c:pt idx="9">
                  <c:v>8.3834657230119856</c:v>
                </c:pt>
                <c:pt idx="10">
                  <c:v>8.1544167556455385</c:v>
                </c:pt>
                <c:pt idx="11">
                  <c:v>8.7922875373115517</c:v>
                </c:pt>
                <c:pt idx="12">
                  <c:v>8.5129878436527253</c:v>
                </c:pt>
                <c:pt idx="13">
                  <c:v>8.1832324978392386</c:v>
                </c:pt>
                <c:pt idx="14">
                  <c:v>8.1574585052166668</c:v>
                </c:pt>
                <c:pt idx="15">
                  <c:v>7.9307448161777243</c:v>
                </c:pt>
                <c:pt idx="16">
                  <c:v>7.3299967770830863</c:v>
                </c:pt>
                <c:pt idx="17">
                  <c:v>7.7640134888363779</c:v>
                </c:pt>
                <c:pt idx="18">
                  <c:v>8.6105169970064956</c:v>
                </c:pt>
                <c:pt idx="19">
                  <c:v>8.0557394268637115</c:v>
                </c:pt>
                <c:pt idx="20">
                  <c:v>7.5420080055482606</c:v>
                </c:pt>
                <c:pt idx="21">
                  <c:v>8.1964185475722537</c:v>
                </c:pt>
                <c:pt idx="22">
                  <c:v>7.7778912481043081</c:v>
                </c:pt>
                <c:pt idx="23">
                  <c:v>19.317082828549474</c:v>
                </c:pt>
                <c:pt idx="24">
                  <c:v>7.1793081646956196</c:v>
                </c:pt>
                <c:pt idx="25">
                  <c:v>7.2961092964083987</c:v>
                </c:pt>
                <c:pt idx="26">
                  <c:v>8.1553023277951837</c:v>
                </c:pt>
                <c:pt idx="27">
                  <c:v>7.1992924803721943</c:v>
                </c:pt>
                <c:pt idx="28">
                  <c:v>8.3998502861546029</c:v>
                </c:pt>
                <c:pt idx="29">
                  <c:v>8.0655202173944698</c:v>
                </c:pt>
                <c:pt idx="30">
                  <c:v>6.8823221197764788</c:v>
                </c:pt>
                <c:pt idx="31">
                  <c:v>10.637902857146983</c:v>
                </c:pt>
                <c:pt idx="32">
                  <c:v>8.6710703877759983</c:v>
                </c:pt>
                <c:pt idx="33">
                  <c:v>9.1472289736680672</c:v>
                </c:pt>
                <c:pt idx="34">
                  <c:v>7.1787627285964364</c:v>
                </c:pt>
                <c:pt idx="35">
                  <c:v>7.156256269922773</c:v>
                </c:pt>
                <c:pt idx="36">
                  <c:v>6.0344810498384964</c:v>
                </c:pt>
                <c:pt idx="37">
                  <c:v>9.4236979321950791</c:v>
                </c:pt>
                <c:pt idx="38">
                  <c:v>9.7196910181714404</c:v>
                </c:pt>
                <c:pt idx="39">
                  <c:v>7.3525032132805705</c:v>
                </c:pt>
                <c:pt idx="40">
                  <c:v>7.2448111651620311</c:v>
                </c:pt>
                <c:pt idx="41">
                  <c:v>7.526959324358697</c:v>
                </c:pt>
                <c:pt idx="42">
                  <c:v>7.6385890289768543</c:v>
                </c:pt>
                <c:pt idx="43">
                  <c:v>8.2518932540874008</c:v>
                </c:pt>
                <c:pt idx="44">
                  <c:v>7.6905427643165982</c:v>
                </c:pt>
                <c:pt idx="45">
                  <c:v>9.4289082677206526</c:v>
                </c:pt>
                <c:pt idx="46">
                  <c:v>6.2957540005722965</c:v>
                </c:pt>
                <c:pt idx="47">
                  <c:v>7.9619184712295246</c:v>
                </c:pt>
                <c:pt idx="48">
                  <c:v>7.8976686938893712</c:v>
                </c:pt>
                <c:pt idx="49">
                  <c:v>8.0856192262486903</c:v>
                </c:pt>
                <c:pt idx="50">
                  <c:v>9.7263064727971749</c:v>
                </c:pt>
                <c:pt idx="51">
                  <c:v>11.059246623282053</c:v>
                </c:pt>
                <c:pt idx="52">
                  <c:v>9.5763696549758279</c:v>
                </c:pt>
                <c:pt idx="53">
                  <c:v>9.8234501823972664</c:v>
                </c:pt>
                <c:pt idx="54">
                  <c:v>12.18696836856545</c:v>
                </c:pt>
                <c:pt idx="55">
                  <c:v>10.679816508226361</c:v>
                </c:pt>
                <c:pt idx="56">
                  <c:v>12.459461769718045</c:v>
                </c:pt>
                <c:pt idx="57">
                  <c:v>10.93097321681312</c:v>
                </c:pt>
                <c:pt idx="58">
                  <c:v>7.956935064516907</c:v>
                </c:pt>
                <c:pt idx="59">
                  <c:v>12.391015565583329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9C1-4D52-9E63-8AF64B61F3F1}"/>
            </c:ext>
          </c:extLst>
        </c:ser>
        <c:ser>
          <c:idx val="2"/>
          <c:order val="2"/>
          <c:tx>
            <c:strRef>
              <c:f>'Group Totals'!$AV$3</c:f>
              <c:strCache>
                <c:ptCount val="1"/>
                <c:pt idx="0">
                  <c:v>Expense / direct team member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Totals'!$AV$82:$AV$144</c:f>
              <c:numCache>
                <c:formatCode>"$"#,##0</c:formatCode>
                <c:ptCount val="63"/>
                <c:pt idx="0">
                  <c:v>12157.447368421053</c:v>
                </c:pt>
                <c:pt idx="1">
                  <c:v>13719.328947368422</c:v>
                </c:pt>
                <c:pt idx="2">
                  <c:v>12763.233766233767</c:v>
                </c:pt>
                <c:pt idx="3">
                  <c:v>13809.867469879518</c:v>
                </c:pt>
                <c:pt idx="4">
                  <c:v>11907.305882352941</c:v>
                </c:pt>
                <c:pt idx="5">
                  <c:v>12920.265060240963</c:v>
                </c:pt>
                <c:pt idx="6">
                  <c:v>12744.193181818182</c:v>
                </c:pt>
                <c:pt idx="7">
                  <c:v>10110.032967032967</c:v>
                </c:pt>
                <c:pt idx="8">
                  <c:v>10146.888888888889</c:v>
                </c:pt>
                <c:pt idx="9">
                  <c:v>11787.056818181818</c:v>
                </c:pt>
                <c:pt idx="10">
                  <c:v>13102.2875</c:v>
                </c:pt>
                <c:pt idx="11">
                  <c:v>12200.456790123457</c:v>
                </c:pt>
                <c:pt idx="12">
                  <c:v>13999.426829268292</c:v>
                </c:pt>
                <c:pt idx="13">
                  <c:v>12398.571428571429</c:v>
                </c:pt>
                <c:pt idx="14">
                  <c:v>16303.696202531646</c:v>
                </c:pt>
                <c:pt idx="15">
                  <c:v>13813.35</c:v>
                </c:pt>
                <c:pt idx="16">
                  <c:v>14429.4</c:v>
                </c:pt>
                <c:pt idx="17">
                  <c:v>14554.155844155845</c:v>
                </c:pt>
                <c:pt idx="18">
                  <c:v>14378.883116883117</c:v>
                </c:pt>
                <c:pt idx="19">
                  <c:v>13342.493150684932</c:v>
                </c:pt>
                <c:pt idx="20">
                  <c:v>15752.426470588236</c:v>
                </c:pt>
                <c:pt idx="21">
                  <c:v>16286.430769230768</c:v>
                </c:pt>
                <c:pt idx="22">
                  <c:v>17215.734375</c:v>
                </c:pt>
                <c:pt idx="23">
                  <c:v>16523.66129032258</c:v>
                </c:pt>
                <c:pt idx="24">
                  <c:v>14796.40909090909</c:v>
                </c:pt>
                <c:pt idx="25">
                  <c:v>15681.415584415585</c:v>
                </c:pt>
                <c:pt idx="26">
                  <c:v>14614.517647058823</c:v>
                </c:pt>
                <c:pt idx="27">
                  <c:v>13926.807228915663</c:v>
                </c:pt>
                <c:pt idx="28">
                  <c:v>15344.662650602409</c:v>
                </c:pt>
                <c:pt idx="29">
                  <c:v>14009.393258426966</c:v>
                </c:pt>
                <c:pt idx="30">
                  <c:v>13937.81111111111</c:v>
                </c:pt>
                <c:pt idx="31">
                  <c:v>14109.51724137931</c:v>
                </c:pt>
                <c:pt idx="32">
                  <c:v>13425.707317073171</c:v>
                </c:pt>
                <c:pt idx="33">
                  <c:v>15102.192307692309</c:v>
                </c:pt>
                <c:pt idx="34">
                  <c:v>13876.561797752809</c:v>
                </c:pt>
                <c:pt idx="35">
                  <c:v>11547.551724137931</c:v>
                </c:pt>
                <c:pt idx="36">
                  <c:v>11288.056179775282</c:v>
                </c:pt>
                <c:pt idx="37">
                  <c:v>16538.918604651164</c:v>
                </c:pt>
                <c:pt idx="38">
                  <c:v>15953.747368421053</c:v>
                </c:pt>
                <c:pt idx="39">
                  <c:v>14310.734693877552</c:v>
                </c:pt>
                <c:pt idx="40">
                  <c:v>14932.29702970297</c:v>
                </c:pt>
                <c:pt idx="41">
                  <c:v>14040.333333333334</c:v>
                </c:pt>
                <c:pt idx="42">
                  <c:v>13693.3046875</c:v>
                </c:pt>
                <c:pt idx="43">
                  <c:v>12273.053435114503</c:v>
                </c:pt>
                <c:pt idx="44">
                  <c:v>9489.7194244604325</c:v>
                </c:pt>
                <c:pt idx="45">
                  <c:v>13359.296296296296</c:v>
                </c:pt>
                <c:pt idx="46">
                  <c:v>11172.75</c:v>
                </c:pt>
                <c:pt idx="47">
                  <c:v>13167.116666666667</c:v>
                </c:pt>
                <c:pt idx="48">
                  <c:v>13866.43220338983</c:v>
                </c:pt>
                <c:pt idx="49">
                  <c:v>15395.227272727272</c:v>
                </c:pt>
                <c:pt idx="50">
                  <c:v>15252.155172413793</c:v>
                </c:pt>
                <c:pt idx="51">
                  <c:v>17837.76923076923</c:v>
                </c:pt>
                <c:pt idx="52">
                  <c:v>14575.753968253968</c:v>
                </c:pt>
                <c:pt idx="53">
                  <c:v>14878.300813008131</c:v>
                </c:pt>
                <c:pt idx="54">
                  <c:v>19274.504950495051</c:v>
                </c:pt>
                <c:pt idx="55">
                  <c:v>14589.186813186812</c:v>
                </c:pt>
                <c:pt idx="56">
                  <c:v>13123.942528735632</c:v>
                </c:pt>
                <c:pt idx="57">
                  <c:v>13749.59090909091</c:v>
                </c:pt>
                <c:pt idx="58">
                  <c:v>13358.081081081082</c:v>
                </c:pt>
                <c:pt idx="59">
                  <c:v>16449.192307692309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9C1-4D52-9E63-8AF64B61F3F1}"/>
            </c:ext>
          </c:extLst>
        </c:ser>
        <c:ser>
          <c:idx val="3"/>
          <c:order val="3"/>
          <c:tx>
            <c:strRef>
              <c:f>'Group Totals'!$AW$3</c:f>
              <c:strCache>
                <c:ptCount val="1"/>
                <c:pt idx="0">
                  <c:v>Expense / total team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Totals'!$AW$82:$AW$144</c:f>
              <c:numCache>
                <c:formatCode>_-"$"* #,##0_-;\-"$"* #,##0_-;_-"$"* "-"??_-;_-@_-</c:formatCode>
                <c:ptCount val="63"/>
                <c:pt idx="0">
                  <c:v>7573.4918032786882</c:v>
                </c:pt>
                <c:pt idx="1">
                  <c:v>8617.0991735537191</c:v>
                </c:pt>
                <c:pt idx="2">
                  <c:v>8122.0578512396696</c:v>
                </c:pt>
                <c:pt idx="3">
                  <c:v>9096.9761904761908</c:v>
                </c:pt>
                <c:pt idx="4">
                  <c:v>7907.1953125</c:v>
                </c:pt>
                <c:pt idx="5">
                  <c:v>8443.9527559055114</c:v>
                </c:pt>
                <c:pt idx="6">
                  <c:v>8693.7131782945744</c:v>
                </c:pt>
                <c:pt idx="7">
                  <c:v>6814.9111111111115</c:v>
                </c:pt>
                <c:pt idx="8">
                  <c:v>6322.292307692308</c:v>
                </c:pt>
                <c:pt idx="9">
                  <c:v>8103.6015625</c:v>
                </c:pt>
                <c:pt idx="10">
                  <c:v>8318.9126984126979</c:v>
                </c:pt>
                <c:pt idx="11">
                  <c:v>7781.3937007874019</c:v>
                </c:pt>
                <c:pt idx="12">
                  <c:v>8763</c:v>
                </c:pt>
                <c:pt idx="13">
                  <c:v>7950.2290076335876</c:v>
                </c:pt>
                <c:pt idx="14">
                  <c:v>9684.1503759398493</c:v>
                </c:pt>
                <c:pt idx="15">
                  <c:v>8371.7272727272721</c:v>
                </c:pt>
                <c:pt idx="16">
                  <c:v>8454.7265625</c:v>
                </c:pt>
                <c:pt idx="17">
                  <c:v>8755.234375</c:v>
                </c:pt>
                <c:pt idx="18">
                  <c:v>8649.796875</c:v>
                </c:pt>
                <c:pt idx="19">
                  <c:v>7854.8548387096771</c:v>
                </c:pt>
                <c:pt idx="20">
                  <c:v>8501.3095238095229</c:v>
                </c:pt>
                <c:pt idx="21">
                  <c:v>8748.9090909090901</c:v>
                </c:pt>
                <c:pt idx="22">
                  <c:v>9258.8823529411766</c:v>
                </c:pt>
                <c:pt idx="23">
                  <c:v>8756.1282051282051</c:v>
                </c:pt>
                <c:pt idx="24">
                  <c:v>8275.9576271186434</c:v>
                </c:pt>
                <c:pt idx="25">
                  <c:v>9433.3515625</c:v>
                </c:pt>
                <c:pt idx="26">
                  <c:v>9201.7333333333336</c:v>
                </c:pt>
                <c:pt idx="27">
                  <c:v>8757.007575757576</c:v>
                </c:pt>
                <c:pt idx="28">
                  <c:v>9434.1259259259259</c:v>
                </c:pt>
                <c:pt idx="29">
                  <c:v>8842.8085106382987</c:v>
                </c:pt>
                <c:pt idx="30">
                  <c:v>8896.4751773049647</c:v>
                </c:pt>
                <c:pt idx="31">
                  <c:v>8831.1366906474814</c:v>
                </c:pt>
                <c:pt idx="32">
                  <c:v>8094.911764705882</c:v>
                </c:pt>
                <c:pt idx="33">
                  <c:v>8924.0227272727279</c:v>
                </c:pt>
                <c:pt idx="34">
                  <c:v>8949.3768115942021</c:v>
                </c:pt>
                <c:pt idx="35">
                  <c:v>7387.036764705882</c:v>
                </c:pt>
                <c:pt idx="36">
                  <c:v>7175.9785714285717</c:v>
                </c:pt>
                <c:pt idx="37">
                  <c:v>10306.86231884058</c:v>
                </c:pt>
                <c:pt idx="38">
                  <c:v>10310.244897959185</c:v>
                </c:pt>
                <c:pt idx="39">
                  <c:v>9226.6578947368416</c:v>
                </c:pt>
                <c:pt idx="40">
                  <c:v>9793.2597402597403</c:v>
                </c:pt>
                <c:pt idx="41">
                  <c:v>9008.5375722543358</c:v>
                </c:pt>
                <c:pt idx="42">
                  <c:v>9474.286486486486</c:v>
                </c:pt>
                <c:pt idx="43">
                  <c:v>8417.6439790575914</c:v>
                </c:pt>
                <c:pt idx="44">
                  <c:v>6595.3549999999996</c:v>
                </c:pt>
                <c:pt idx="45">
                  <c:v>9062.8391959798992</c:v>
                </c:pt>
                <c:pt idx="46">
                  <c:v>7409.9067357512949</c:v>
                </c:pt>
                <c:pt idx="47">
                  <c:v>8634.1748633879779</c:v>
                </c:pt>
                <c:pt idx="48">
                  <c:v>8749.9411764705874</c:v>
                </c:pt>
                <c:pt idx="49">
                  <c:v>9408.1944444444453</c:v>
                </c:pt>
                <c:pt idx="50">
                  <c:v>9461.2299465240649</c:v>
                </c:pt>
                <c:pt idx="51">
                  <c:v>10926.80104712042</c:v>
                </c:pt>
                <c:pt idx="52">
                  <c:v>9228.8693467336689</c:v>
                </c:pt>
                <c:pt idx="53">
                  <c:v>9196.13567839196</c:v>
                </c:pt>
                <c:pt idx="54">
                  <c:v>11519.082840236686</c:v>
                </c:pt>
                <c:pt idx="55">
                  <c:v>8677.2287581699347</c:v>
                </c:pt>
                <c:pt idx="56">
                  <c:v>7767.2312925170072</c:v>
                </c:pt>
                <c:pt idx="57">
                  <c:v>8520.8732394366198</c:v>
                </c:pt>
                <c:pt idx="58">
                  <c:v>7215.3138686131388</c:v>
                </c:pt>
                <c:pt idx="59">
                  <c:v>9434.0955882352937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E9C1-4D52-9E63-8AF64B61F3F1}"/>
            </c:ext>
          </c:extLst>
        </c:ser>
        <c:ser>
          <c:idx val="4"/>
          <c:order val="4"/>
          <c:tx>
            <c:strRef>
              <c:f>'Group Totals'!$AY$3</c:f>
              <c:strCache>
                <c:ptCount val="1"/>
                <c:pt idx="0">
                  <c:v>Recovery per FG unit produced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Totals'!$AY$82:$AY$144</c:f>
              <c:numCache>
                <c:formatCode>_-"$"* #,##0_-;\-"$"* #,##0_-;_-"$"* "-"??_-;_-@_-</c:formatCode>
                <c:ptCount val="63"/>
                <c:pt idx="0">
                  <c:v>26.556824343648117</c:v>
                </c:pt>
                <c:pt idx="1">
                  <c:v>32.883267114377134</c:v>
                </c:pt>
                <c:pt idx="2">
                  <c:v>28.705612039749553</c:v>
                </c:pt>
                <c:pt idx="3">
                  <c:v>35.412349746781381</c:v>
                </c:pt>
                <c:pt idx="4">
                  <c:v>29.69083882049814</c:v>
                </c:pt>
                <c:pt idx="5">
                  <c:v>25.627305855919126</c:v>
                </c:pt>
                <c:pt idx="6">
                  <c:v>26.190313177814161</c:v>
                </c:pt>
                <c:pt idx="7">
                  <c:v>25.120576289592758</c:v>
                </c:pt>
                <c:pt idx="8">
                  <c:v>27.408562713198627</c:v>
                </c:pt>
                <c:pt idx="9">
                  <c:v>24.433977955388425</c:v>
                </c:pt>
                <c:pt idx="10">
                  <c:v>28.286637869382385</c:v>
                </c:pt>
                <c:pt idx="11">
                  <c:v>24.268822654771562</c:v>
                </c:pt>
                <c:pt idx="12">
                  <c:v>27.421175224986765</c:v>
                </c:pt>
                <c:pt idx="13">
                  <c:v>27.118154561586</c:v>
                </c:pt>
                <c:pt idx="14">
                  <c:v>26.509410427696317</c:v>
                </c:pt>
                <c:pt idx="15">
                  <c:v>30.638016486479547</c:v>
                </c:pt>
                <c:pt idx="16">
                  <c:v>27.332279398203042</c:v>
                </c:pt>
                <c:pt idx="17">
                  <c:v>31.03910274162282</c:v>
                </c:pt>
                <c:pt idx="18">
                  <c:v>32.216778327993012</c:v>
                </c:pt>
                <c:pt idx="19">
                  <c:v>25.554144516637134</c:v>
                </c:pt>
                <c:pt idx="20">
                  <c:v>26.961312952863764</c:v>
                </c:pt>
                <c:pt idx="21">
                  <c:v>30.655686836137964</c:v>
                </c:pt>
                <c:pt idx="22">
                  <c:v>26.387276277253498</c:v>
                </c:pt>
                <c:pt idx="23">
                  <c:v>56.29415971394517</c:v>
                </c:pt>
                <c:pt idx="24">
                  <c:v>35.140407897944257</c:v>
                </c:pt>
                <c:pt idx="25">
                  <c:v>27.558422009909478</c:v>
                </c:pt>
                <c:pt idx="26">
                  <c:v>31.536246089676748</c:v>
                </c:pt>
                <c:pt idx="27">
                  <c:v>28.715612550387778</c:v>
                </c:pt>
                <c:pt idx="28">
                  <c:v>31.426370224442412</c:v>
                </c:pt>
                <c:pt idx="29">
                  <c:v>29.534535686876438</c:v>
                </c:pt>
                <c:pt idx="30">
                  <c:v>27.976079705988571</c:v>
                </c:pt>
                <c:pt idx="31">
                  <c:v>29.417365088935785</c:v>
                </c:pt>
                <c:pt idx="32">
                  <c:v>31.544869119313098</c:v>
                </c:pt>
                <c:pt idx="33">
                  <c:v>31.69438709062609</c:v>
                </c:pt>
                <c:pt idx="34">
                  <c:v>19.468376474313306</c:v>
                </c:pt>
                <c:pt idx="35">
                  <c:v>27.081951681667455</c:v>
                </c:pt>
                <c:pt idx="36">
                  <c:v>21.853674057870141</c:v>
                </c:pt>
                <c:pt idx="37">
                  <c:v>28.376477720521372</c:v>
                </c:pt>
                <c:pt idx="38">
                  <c:v>29.6567789100576</c:v>
                </c:pt>
                <c:pt idx="39">
                  <c:v>36.796674635948705</c:v>
                </c:pt>
                <c:pt idx="40">
                  <c:v>35.466660269020998</c:v>
                </c:pt>
                <c:pt idx="41">
                  <c:v>28.296920536234701</c:v>
                </c:pt>
                <c:pt idx="42">
                  <c:v>26.770453414512776</c:v>
                </c:pt>
                <c:pt idx="43">
                  <c:v>22.716304977783501</c:v>
                </c:pt>
                <c:pt idx="44">
                  <c:v>31.660352649548663</c:v>
                </c:pt>
                <c:pt idx="45">
                  <c:v>28.08893530584087</c:v>
                </c:pt>
                <c:pt idx="46">
                  <c:v>24.337129253351126</c:v>
                </c:pt>
                <c:pt idx="47">
                  <c:v>24.528560717085305</c:v>
                </c:pt>
                <c:pt idx="48">
                  <c:v>25.470256500351372</c:v>
                </c:pt>
                <c:pt idx="49">
                  <c:v>23.683363908139693</c:v>
                </c:pt>
                <c:pt idx="50">
                  <c:v>28.012426368045293</c:v>
                </c:pt>
                <c:pt idx="51">
                  <c:v>31.016307880172533</c:v>
                </c:pt>
                <c:pt idx="52">
                  <c:v>22.86664895528919</c:v>
                </c:pt>
                <c:pt idx="53">
                  <c:v>26.104784842041884</c:v>
                </c:pt>
                <c:pt idx="54">
                  <c:v>39.146082411166098</c:v>
                </c:pt>
                <c:pt idx="55">
                  <c:v>41.549702930750414</c:v>
                </c:pt>
                <c:pt idx="56">
                  <c:v>33.404938697979624</c:v>
                </c:pt>
                <c:pt idx="57">
                  <c:v>33.46060803004044</c:v>
                </c:pt>
                <c:pt idx="58">
                  <c:v>33.065701050433873</c:v>
                </c:pt>
                <c:pt idx="59">
                  <c:v>33.220668996505239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E9C1-4D52-9E63-8AF64B61F3F1}"/>
            </c:ext>
          </c:extLst>
        </c:ser>
        <c:ser>
          <c:idx val="5"/>
          <c:order val="5"/>
          <c:tx>
            <c:strRef>
              <c:f>'Group Totals'!$AZ$3</c:f>
              <c:strCache>
                <c:ptCount val="1"/>
                <c:pt idx="0">
                  <c:v>Recovery per total units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  <c:extLst xmlns:c15="http://schemas.microsoft.com/office/drawing/2012/chart"/>
            </c:numRef>
          </c:cat>
          <c:val>
            <c:numRef>
              <c:f>'Group Totals'!$AZ$82:$AZ$144</c:f>
              <c:numCache>
                <c:formatCode>_-"$"* #,##0_-;\-"$"* #,##0_-;_-"$"* "-"??_-;_-@_-</c:formatCode>
                <c:ptCount val="63"/>
                <c:pt idx="0">
                  <c:v>7.4265633628782171</c:v>
                </c:pt>
                <c:pt idx="1">
                  <c:v>8.5813133020037959</c:v>
                </c:pt>
                <c:pt idx="2">
                  <c:v>7.3505766815819191</c:v>
                </c:pt>
                <c:pt idx="3">
                  <c:v>8.9621153882284155</c:v>
                </c:pt>
                <c:pt idx="4">
                  <c:v>7.6940794618872905</c:v>
                </c:pt>
                <c:pt idx="5">
                  <c:v>7.0393288696930396</c:v>
                </c:pt>
                <c:pt idx="6">
                  <c:v>8.163707274109143</c:v>
                </c:pt>
                <c:pt idx="7">
                  <c:v>6.4559343946091676</c:v>
                </c:pt>
                <c:pt idx="8">
                  <c:v>7.1608599898538383</c:v>
                </c:pt>
                <c:pt idx="9">
                  <c:v>7.5608342340721792</c:v>
                </c:pt>
                <c:pt idx="10">
                  <c:v>7.6925668119502024</c:v>
                </c:pt>
                <c:pt idx="11">
                  <c:v>6.3894547508930302</c:v>
                </c:pt>
                <c:pt idx="12">
                  <c:v>7.6825593402905881</c:v>
                </c:pt>
                <c:pt idx="13">
                  <c:v>6.9645949556061915</c:v>
                </c:pt>
                <c:pt idx="14">
                  <c:v>6.0572038997285045</c:v>
                </c:pt>
                <c:pt idx="15">
                  <c:v>8.5623449159338954</c:v>
                </c:pt>
                <c:pt idx="16">
                  <c:v>7.0261304620962965</c:v>
                </c:pt>
                <c:pt idx="17">
                  <c:v>7.7650665464271968</c:v>
                </c:pt>
                <c:pt idx="18">
                  <c:v>8.6014023267554851</c:v>
                </c:pt>
                <c:pt idx="19">
                  <c:v>6.4407489451331381</c:v>
                </c:pt>
                <c:pt idx="20">
                  <c:v>7.4143064850573657</c:v>
                </c:pt>
                <c:pt idx="21">
                  <c:v>7.9551447407982838</c:v>
                </c:pt>
                <c:pt idx="22">
                  <c:v>5.7241823959677776</c:v>
                </c:pt>
                <c:pt idx="23">
                  <c:v>8.9057165888081755</c:v>
                </c:pt>
                <c:pt idx="24">
                  <c:v>9.5381156358895698</c:v>
                </c:pt>
                <c:pt idx="25">
                  <c:v>7.9652114188804379</c:v>
                </c:pt>
                <c:pt idx="26">
                  <c:v>9.9273940609464475</c:v>
                </c:pt>
                <c:pt idx="27">
                  <c:v>7.586808952573036</c:v>
                </c:pt>
                <c:pt idx="28">
                  <c:v>8.8376610564279403</c:v>
                </c:pt>
                <c:pt idx="29">
                  <c:v>7.4682503702034602</c:v>
                </c:pt>
                <c:pt idx="30">
                  <c:v>7.2253126637386877</c:v>
                </c:pt>
                <c:pt idx="31">
                  <c:v>8.4561729121696132</c:v>
                </c:pt>
                <c:pt idx="32">
                  <c:v>8.333728898107065</c:v>
                </c:pt>
                <c:pt idx="33">
                  <c:v>7.747932504523253</c:v>
                </c:pt>
                <c:pt idx="34">
                  <c:v>5.7183922466366273</c:v>
                </c:pt>
                <c:pt idx="35">
                  <c:v>6.9229919923069172</c:v>
                </c:pt>
                <c:pt idx="36">
                  <c:v>6.6007559341733604</c:v>
                </c:pt>
                <c:pt idx="37">
                  <c:v>7.4428256246148949</c:v>
                </c:pt>
                <c:pt idx="38">
                  <c:v>8.5852249224819879</c:v>
                </c:pt>
                <c:pt idx="39">
                  <c:v>8.87581052872555</c:v>
                </c:pt>
                <c:pt idx="40">
                  <c:v>10.652196748191395</c:v>
                </c:pt>
                <c:pt idx="41">
                  <c:v>8.4409972985939152</c:v>
                </c:pt>
                <c:pt idx="42">
                  <c:v>7.9714371630661685</c:v>
                </c:pt>
                <c:pt idx="43">
                  <c:v>7.2422056442196405</c:v>
                </c:pt>
                <c:pt idx="44">
                  <c:v>7.8933720981642912</c:v>
                </c:pt>
                <c:pt idx="45">
                  <c:v>7.663315453224171</c:v>
                </c:pt>
                <c:pt idx="46">
                  <c:v>7.0655939776804386</c:v>
                </c:pt>
                <c:pt idx="47">
                  <c:v>7.2530850329866636</c:v>
                </c:pt>
                <c:pt idx="48">
                  <c:v>6.9976204266821123</c:v>
                </c:pt>
                <c:pt idx="49">
                  <c:v>6.6571244181984426</c:v>
                </c:pt>
                <c:pt idx="50">
                  <c:v>7.3984303955896058</c:v>
                </c:pt>
                <c:pt idx="51">
                  <c:v>8.3449178225617349</c:v>
                </c:pt>
                <c:pt idx="52">
                  <c:v>7.6296949698133183</c:v>
                </c:pt>
                <c:pt idx="53">
                  <c:v>7.4473964495717979</c:v>
                </c:pt>
                <c:pt idx="54">
                  <c:v>8.8139691025787492</c:v>
                </c:pt>
                <c:pt idx="55">
                  <c:v>6.6945055033454475</c:v>
                </c:pt>
                <c:pt idx="56">
                  <c:v>6.3328792610200439</c:v>
                </c:pt>
                <c:pt idx="57">
                  <c:v>8.3721550015960293</c:v>
                </c:pt>
                <c:pt idx="58">
                  <c:v>8.1589619338168404</c:v>
                </c:pt>
                <c:pt idx="59">
                  <c:v>7.7114898486900714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9C1-4D52-9E63-8AF64B61F3F1}"/>
            </c:ext>
          </c:extLst>
        </c:ser>
        <c:ser>
          <c:idx val="6"/>
          <c:order val="6"/>
          <c:tx>
            <c:strRef>
              <c:f>'Group Totals'!$BA$3</c:f>
              <c:strCache>
                <c:ptCount val="1"/>
                <c:pt idx="0">
                  <c:v>Recovery / direct team member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Totals'!$BA$82:$BA$144</c:f>
              <c:numCache>
                <c:formatCode>_-"$"* #,##0_-;\-"$"* #,##0_-;_-"$"* "-"??_-;_-@_-</c:formatCode>
                <c:ptCount val="63"/>
                <c:pt idx="0">
                  <c:v>12218.235789473685</c:v>
                </c:pt>
                <c:pt idx="1">
                  <c:v>12305.697368421053</c:v>
                </c:pt>
                <c:pt idx="2">
                  <c:v>12980.155844155845</c:v>
                </c:pt>
                <c:pt idx="3">
                  <c:v>13984.89156626506</c:v>
                </c:pt>
                <c:pt idx="4">
                  <c:v>12201.188235294117</c:v>
                </c:pt>
                <c:pt idx="5">
                  <c:v>13192.196024096391</c:v>
                </c:pt>
                <c:pt idx="6">
                  <c:v>13446.940113636358</c:v>
                </c:pt>
                <c:pt idx="7">
                  <c:v>7625.8892307692304</c:v>
                </c:pt>
                <c:pt idx="8">
                  <c:v>10316.447654320986</c:v>
                </c:pt>
                <c:pt idx="9">
                  <c:v>10630.446363636378</c:v>
                </c:pt>
                <c:pt idx="10">
                  <c:v>12360.2</c:v>
                </c:pt>
                <c:pt idx="11">
                  <c:v>8866.2098765432092</c:v>
                </c:pt>
                <c:pt idx="12">
                  <c:v>12633.804878048781</c:v>
                </c:pt>
                <c:pt idx="13">
                  <c:v>10552.190476190477</c:v>
                </c:pt>
                <c:pt idx="14">
                  <c:v>12106.075949367088</c:v>
                </c:pt>
                <c:pt idx="15">
                  <c:v>14913.4375</c:v>
                </c:pt>
                <c:pt idx="16">
                  <c:v>13831.226666666667</c:v>
                </c:pt>
                <c:pt idx="17">
                  <c:v>14556.129870129869</c:v>
                </c:pt>
                <c:pt idx="18">
                  <c:v>14363.662337662337</c:v>
                </c:pt>
                <c:pt idx="19">
                  <c:v>10667.630136986301</c:v>
                </c:pt>
                <c:pt idx="20">
                  <c:v>15485.705882352941</c:v>
                </c:pt>
                <c:pt idx="21">
                  <c:v>15807.015384615384</c:v>
                </c:pt>
                <c:pt idx="22">
                  <c:v>12670.015625</c:v>
                </c:pt>
                <c:pt idx="23">
                  <c:v>7617.8709677419356</c:v>
                </c:pt>
                <c:pt idx="24">
                  <c:v>19657.863636363636</c:v>
                </c:pt>
                <c:pt idx="25">
                  <c:v>17119.506493506495</c:v>
                </c:pt>
                <c:pt idx="26">
                  <c:v>17790.152941176471</c:v>
                </c:pt>
                <c:pt idx="27">
                  <c:v>14676.445783132531</c:v>
                </c:pt>
                <c:pt idx="28">
                  <c:v>16144.445783132531</c:v>
                </c:pt>
                <c:pt idx="29">
                  <c:v>12971.966292134832</c:v>
                </c:pt>
                <c:pt idx="30">
                  <c:v>14632.422222222222</c:v>
                </c:pt>
                <c:pt idx="31">
                  <c:v>11215.793103448275</c:v>
                </c:pt>
                <c:pt idx="32">
                  <c:v>12903.390243902439</c:v>
                </c:pt>
                <c:pt idx="33">
                  <c:v>12791.935897435897</c:v>
                </c:pt>
                <c:pt idx="34">
                  <c:v>11053.662921348314</c:v>
                </c:pt>
                <c:pt idx="35">
                  <c:v>11171.149425287356</c:v>
                </c:pt>
                <c:pt idx="36">
                  <c:v>12347.325842696629</c:v>
                </c:pt>
                <c:pt idx="37">
                  <c:v>13062.418604651162</c:v>
                </c:pt>
                <c:pt idx="38">
                  <c:v>14091.652631578947</c:v>
                </c:pt>
                <c:pt idx="39">
                  <c:v>17275.663265306124</c:v>
                </c:pt>
                <c:pt idx="40">
                  <c:v>21955.267326732672</c:v>
                </c:pt>
                <c:pt idx="41">
                  <c:v>15745.324324324325</c:v>
                </c:pt>
                <c:pt idx="42">
                  <c:v>14289.984375</c:v>
                </c:pt>
                <c:pt idx="43">
                  <c:v>10771.343511450381</c:v>
                </c:pt>
                <c:pt idx="44">
                  <c:v>9740</c:v>
                </c:pt>
                <c:pt idx="45">
                  <c:v>10857.725925925926</c:v>
                </c:pt>
                <c:pt idx="46">
                  <c:v>12538.9453125</c:v>
                </c:pt>
                <c:pt idx="47">
                  <c:v>11994.875</c:v>
                </c:pt>
                <c:pt idx="48">
                  <c:v>12286.161016949152</c:v>
                </c:pt>
                <c:pt idx="49">
                  <c:v>12675.336363636363</c:v>
                </c:pt>
                <c:pt idx="50">
                  <c:v>11601.73275862069</c:v>
                </c:pt>
                <c:pt idx="51">
                  <c:v>13459.752136752137</c:v>
                </c:pt>
                <c:pt idx="52">
                  <c:v>11612.809523809523</c:v>
                </c:pt>
                <c:pt idx="53">
                  <c:v>11279.60162601626</c:v>
                </c:pt>
                <c:pt idx="54">
                  <c:v>13939.881188118812</c:v>
                </c:pt>
                <c:pt idx="55">
                  <c:v>9145.0439560439554</c:v>
                </c:pt>
                <c:pt idx="56">
                  <c:v>6670.6206896551721</c:v>
                </c:pt>
                <c:pt idx="57">
                  <c:v>10530.96590909091</c:v>
                </c:pt>
                <c:pt idx="58">
                  <c:v>13697.243243243243</c:v>
                </c:pt>
                <c:pt idx="59">
                  <c:v>10237.076923076924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C1-4D52-9E63-8AF64B61F3F1}"/>
            </c:ext>
          </c:extLst>
        </c:ser>
        <c:ser>
          <c:idx val="7"/>
          <c:order val="7"/>
          <c:tx>
            <c:strRef>
              <c:f>'Group Totals'!$BB$3</c:f>
              <c:strCache>
                <c:ptCount val="1"/>
                <c:pt idx="0">
                  <c:v>Recovery per total team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Totals'!$BB$82:$BB$144</c:f>
              <c:numCache>
                <c:formatCode>"$"#,##0</c:formatCode>
                <c:ptCount val="63"/>
                <c:pt idx="0">
                  <c:v>7611.3600000000006</c:v>
                </c:pt>
                <c:pt idx="1">
                  <c:v>7729.1983471074382</c:v>
                </c:pt>
                <c:pt idx="2">
                  <c:v>8260.0991735537191</c:v>
                </c:pt>
                <c:pt idx="3">
                  <c:v>9212.269841269841</c:v>
                </c:pt>
                <c:pt idx="4">
                  <c:v>8102.3515625</c:v>
                </c:pt>
                <c:pt idx="5">
                  <c:v>8621.6714173228393</c:v>
                </c:pt>
                <c:pt idx="6">
                  <c:v>9173.1064341085239</c:v>
                </c:pt>
                <c:pt idx="7">
                  <c:v>5140.4142222222217</c:v>
                </c:pt>
                <c:pt idx="8">
                  <c:v>6427.9404615384601</c:v>
                </c:pt>
                <c:pt idx="9">
                  <c:v>7308.4318750000093</c:v>
                </c:pt>
                <c:pt idx="10">
                  <c:v>7847.7460317460318</c:v>
                </c:pt>
                <c:pt idx="11">
                  <c:v>5654.8267716535429</c:v>
                </c:pt>
                <c:pt idx="12">
                  <c:v>7908.1832061068699</c:v>
                </c:pt>
                <c:pt idx="13">
                  <c:v>6766.2900763358775</c:v>
                </c:pt>
                <c:pt idx="14">
                  <c:v>7190.8270676691727</c:v>
                </c:pt>
                <c:pt idx="15">
                  <c:v>9038.44696969697</c:v>
                </c:pt>
                <c:pt idx="16">
                  <c:v>8104.234375</c:v>
                </c:pt>
                <c:pt idx="17">
                  <c:v>8756.421875</c:v>
                </c:pt>
                <c:pt idx="18">
                  <c:v>8640.640625</c:v>
                </c:pt>
                <c:pt idx="19">
                  <c:v>6280.1370967741932</c:v>
                </c:pt>
                <c:pt idx="20">
                  <c:v>8357.3650793650795</c:v>
                </c:pt>
                <c:pt idx="21">
                  <c:v>8491.371900826447</c:v>
                </c:pt>
                <c:pt idx="22">
                  <c:v>6814.1260504201682</c:v>
                </c:pt>
                <c:pt idx="23">
                  <c:v>4036.8205128205127</c:v>
                </c:pt>
                <c:pt idx="24">
                  <c:v>10995.076271186441</c:v>
                </c:pt>
                <c:pt idx="25">
                  <c:v>10298.453125</c:v>
                </c:pt>
                <c:pt idx="26">
                  <c:v>11201.207407407408</c:v>
                </c:pt>
                <c:pt idx="27">
                  <c:v>9228.371212121212</c:v>
                </c:pt>
                <c:pt idx="28">
                  <c:v>9925.8444444444449</c:v>
                </c:pt>
                <c:pt idx="29">
                  <c:v>8187.9787234042551</c:v>
                </c:pt>
                <c:pt idx="30">
                  <c:v>9339.8439716312059</c:v>
                </c:pt>
                <c:pt idx="31">
                  <c:v>7019.9568345323742</c:v>
                </c:pt>
                <c:pt idx="32">
                  <c:v>7779.9852941176468</c:v>
                </c:pt>
                <c:pt idx="33">
                  <c:v>7558.871212121212</c:v>
                </c:pt>
                <c:pt idx="34">
                  <c:v>7128.811594202899</c:v>
                </c:pt>
                <c:pt idx="35">
                  <c:v>7146.25</c:v>
                </c:pt>
                <c:pt idx="36">
                  <c:v>7849.3714285714286</c:v>
                </c:pt>
                <c:pt idx="37">
                  <c:v>8140.347826086957</c:v>
                </c:pt>
                <c:pt idx="38">
                  <c:v>9106.850340136054</c:v>
                </c:pt>
                <c:pt idx="39">
                  <c:v>11138.256578947368</c:v>
                </c:pt>
                <c:pt idx="40">
                  <c:v>14399.233766233767</c:v>
                </c:pt>
                <c:pt idx="41">
                  <c:v>10102.491329479768</c:v>
                </c:pt>
                <c:pt idx="42">
                  <c:v>9887.1243243243243</c:v>
                </c:pt>
                <c:pt idx="43">
                  <c:v>7387.6753926701567</c:v>
                </c:pt>
                <c:pt idx="44">
                  <c:v>6769.3</c:v>
                </c:pt>
                <c:pt idx="45">
                  <c:v>7365.7939698492464</c:v>
                </c:pt>
                <c:pt idx="46">
                  <c:v>8315.984455958549</c:v>
                </c:pt>
                <c:pt idx="47">
                  <c:v>7865.4918032786882</c:v>
                </c:pt>
                <c:pt idx="48">
                  <c:v>7752.7647058823532</c:v>
                </c:pt>
                <c:pt idx="49">
                  <c:v>7746.0388888888892</c:v>
                </c:pt>
                <c:pt idx="50">
                  <c:v>7196.7967914438505</c:v>
                </c:pt>
                <c:pt idx="51">
                  <c:v>8244.9790575916231</c:v>
                </c:pt>
                <c:pt idx="52">
                  <c:v>7352.8341708542712</c:v>
                </c:pt>
                <c:pt idx="53">
                  <c:v>6971.8140703517583</c:v>
                </c:pt>
                <c:pt idx="54">
                  <c:v>8330.9349112426044</c:v>
                </c:pt>
                <c:pt idx="55">
                  <c:v>5439.2091503267975</c:v>
                </c:pt>
                <c:pt idx="56">
                  <c:v>3947.9183673469388</c:v>
                </c:pt>
                <c:pt idx="57">
                  <c:v>6526.2323943661968</c:v>
                </c:pt>
                <c:pt idx="58">
                  <c:v>7398.5109489051092</c:v>
                </c:pt>
                <c:pt idx="59">
                  <c:v>5871.2647058823532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C1-4D52-9E63-8AF64B61F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60671"/>
        <c:axId val="2998186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Totals'!$AT$3</c15:sqref>
                        </c15:formulaRef>
                      </c:ext>
                    </c:extLst>
                    <c:strCache>
                      <c:ptCount val="1"/>
                      <c:pt idx="0">
                        <c:v>Expenses / FG unit produced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Totals'!$AT$82:$AT$144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63"/>
                      <c:pt idx="0">
                        <c:v>26.424698278327519</c:v>
                      </c:pt>
                      <c:pt idx="1">
                        <c:v>36.66077142153933</c:v>
                      </c:pt>
                      <c:pt idx="2">
                        <c:v>28.225888908036072</c:v>
                      </c:pt>
                      <c:pt idx="3">
                        <c:v>34.969156141314294</c:v>
                      </c:pt>
                      <c:pt idx="4">
                        <c:v>28.975694245634127</c:v>
                      </c:pt>
                      <c:pt idx="5">
                        <c:v>25.099049758928988</c:v>
                      </c:pt>
                      <c:pt idx="6">
                        <c:v>24.821588243105662</c:v>
                      </c:pt>
                      <c:pt idx="7">
                        <c:v>33.303638009049777</c:v>
                      </c:pt>
                      <c:pt idx="8">
                        <c:v>26.958081868276043</c:v>
                      </c:pt>
                      <c:pt idx="9">
                        <c:v>27.092435877344197</c:v>
                      </c:pt>
                      <c:pt idx="10">
                        <c:v>29.984924335612323</c:v>
                      </c:pt>
                      <c:pt idx="11">
                        <c:v>33.395410921870777</c:v>
                      </c:pt>
                      <c:pt idx="12">
                        <c:v>30.385203811540496</c:v>
                      </c:pt>
                      <c:pt idx="13">
                        <c:v>31.863183014134492</c:v>
                      </c:pt>
                      <c:pt idx="14">
                        <c:v>35.70119466696233</c:v>
                      </c:pt>
                      <c:pt idx="15">
                        <c:v>28.378007755322155</c:v>
                      </c:pt>
                      <c:pt idx="16">
                        <c:v>28.514346691961109</c:v>
                      </c:pt>
                      <c:pt idx="17">
                        <c:v>31.034893381334811</c:v>
                      </c:pt>
                      <c:pt idx="18">
                        <c:v>32.25091756481212</c:v>
                      </c:pt>
                      <c:pt idx="19">
                        <c:v>31.961737874909758</c:v>
                      </c:pt>
                      <c:pt idx="20">
                        <c:v>27.425685536523542</c:v>
                      </c:pt>
                      <c:pt idx="21">
                        <c:v>31.585451724549468</c:v>
                      </c:pt>
                      <c:pt idx="22">
                        <c:v>35.854441913439636</c:v>
                      </c:pt>
                      <c:pt idx="23">
                        <c:v>122.1057210965435</c:v>
                      </c:pt>
                      <c:pt idx="24">
                        <c:v>26.450069066384984</c:v>
                      </c:pt>
                      <c:pt idx="25">
                        <c:v>25.243430267806744</c:v>
                      </c:pt>
                      <c:pt idx="26">
                        <c:v>25.906861313868614</c:v>
                      </c:pt>
                      <c:pt idx="27">
                        <c:v>27.248886164871173</c:v>
                      </c:pt>
                      <c:pt idx="28">
                        <c:v>29.869532587537233</c:v>
                      </c:pt>
                      <c:pt idx="29">
                        <c:v>31.896546431312355</c:v>
                      </c:pt>
                      <c:pt idx="30">
                        <c:v>26.648036029146219</c:v>
                      </c:pt>
                      <c:pt idx="31">
                        <c:v>37.007175158275551</c:v>
                      </c:pt>
                      <c:pt idx="32">
                        <c:v>32.821775684216803</c:v>
                      </c:pt>
                      <c:pt idx="33">
                        <c:v>37.418474635494427</c:v>
                      </c:pt>
                      <c:pt idx="34">
                        <c:v>24.440235890129028</c:v>
                      </c:pt>
                      <c:pt idx="35">
                        <c:v>27.994454816507371</c:v>
                      </c:pt>
                      <c:pt idx="36">
                        <c:v>19.978860495177489</c:v>
                      </c:pt>
                      <c:pt idx="37">
                        <c:v>35.928741032636154</c:v>
                      </c:pt>
                      <c:pt idx="38">
                        <c:v>33.575675675675676</c:v>
                      </c:pt>
                      <c:pt idx="39">
                        <c:v>30.4814605520539</c:v>
                      </c:pt>
                      <c:pt idx="40">
                        <c:v>24.12171520880316</c:v>
                      </c:pt>
                      <c:pt idx="41">
                        <c:v>25.232773136454892</c:v>
                      </c:pt>
                      <c:pt idx="42">
                        <c:v>25.652650528349383</c:v>
                      </c:pt>
                      <c:pt idx="43">
                        <c:v>25.883347285723485</c:v>
                      </c:pt>
                      <c:pt idx="44">
                        <c:v>30.846803236518404</c:v>
                      </c:pt>
                      <c:pt idx="45">
                        <c:v>34.56049747048904</c:v>
                      </c:pt>
                      <c:pt idx="46">
                        <c:v>21.685449141748045</c:v>
                      </c:pt>
                      <c:pt idx="47">
                        <c:v>26.925701237176646</c:v>
                      </c:pt>
                      <c:pt idx="48">
                        <c:v>28.746293042867183</c:v>
                      </c:pt>
                      <c:pt idx="49">
                        <c:v>28.765372333197444</c:v>
                      </c:pt>
                      <c:pt idx="50">
                        <c:v>36.826384697042236</c:v>
                      </c:pt>
                      <c:pt idx="51">
                        <c:v>41.104898272703998</c:v>
                      </c:pt>
                      <c:pt idx="52">
                        <c:v>28.700948600540716</c:v>
                      </c:pt>
                      <c:pt idx="53">
                        <c:v>34.433382881442036</c:v>
                      </c:pt>
                      <c:pt idx="54">
                        <c:v>54.126814213423792</c:v>
                      </c:pt>
                      <c:pt idx="55">
                        <c:v>66.284687203554839</c:v>
                      </c:pt>
                      <c:pt idx="56">
                        <c:v>65.72169458354918</c:v>
                      </c:pt>
                      <c:pt idx="57">
                        <c:v>43.687319468515312</c:v>
                      </c:pt>
                      <c:pt idx="58">
                        <c:v>32.246949827102497</c:v>
                      </c:pt>
                      <c:pt idx="59">
                        <c:v>53.37980529206191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9C1-4D52-9E63-8AF64B61F3F1}"/>
                  </c:ext>
                </c:extLst>
              </c15:ser>
            </c15:filteredLineSeries>
          </c:ext>
        </c:extLst>
      </c:lineChart>
      <c:dateAx>
        <c:axId val="212560671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18687"/>
        <c:crosses val="autoZero"/>
        <c:auto val="1"/>
        <c:lblOffset val="100"/>
        <c:baseTimeUnit val="months"/>
      </c:dateAx>
      <c:valAx>
        <c:axId val="299818687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7283464566929143E-2"/>
          <c:y val="0.82948308544765237"/>
          <c:w val="0.94265529308836393"/>
          <c:h val="0.14273913677456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Expenses &amp;</a:t>
            </a:r>
            <a:r>
              <a:rPr lang="en-NZ" baseline="0"/>
              <a:t> Recovery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Totals'!$AK$3</c:f>
              <c:strCache>
                <c:ptCount val="1"/>
                <c:pt idx="0">
                  <c:v>Expenses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Totals'!$AK$82:$AK$144</c:f>
              <c:numCache>
                <c:formatCode>_-"$"* #,##0_-;\-"$"* #,##0_-;_-"$"* "-"??_-;_-@_-</c:formatCode>
                <c:ptCount val="63"/>
                <c:pt idx="0">
                  <c:v>923966</c:v>
                </c:pt>
                <c:pt idx="1">
                  <c:v>1042669</c:v>
                </c:pt>
                <c:pt idx="2">
                  <c:v>982769</c:v>
                </c:pt>
                <c:pt idx="3">
                  <c:v>1146219</c:v>
                </c:pt>
                <c:pt idx="4">
                  <c:v>1012121</c:v>
                </c:pt>
                <c:pt idx="5">
                  <c:v>1072382</c:v>
                </c:pt>
                <c:pt idx="6">
                  <c:v>1121489</c:v>
                </c:pt>
                <c:pt idx="7">
                  <c:v>920013</c:v>
                </c:pt>
                <c:pt idx="8">
                  <c:v>821898</c:v>
                </c:pt>
                <c:pt idx="9">
                  <c:v>1037261</c:v>
                </c:pt>
                <c:pt idx="10">
                  <c:v>1048183</c:v>
                </c:pt>
                <c:pt idx="11">
                  <c:v>988237</c:v>
                </c:pt>
                <c:pt idx="12">
                  <c:v>1147953</c:v>
                </c:pt>
                <c:pt idx="13">
                  <c:v>1041480</c:v>
                </c:pt>
                <c:pt idx="14">
                  <c:v>1287992</c:v>
                </c:pt>
                <c:pt idx="15">
                  <c:v>1105068</c:v>
                </c:pt>
                <c:pt idx="16">
                  <c:v>1082205</c:v>
                </c:pt>
                <c:pt idx="17">
                  <c:v>1120670</c:v>
                </c:pt>
                <c:pt idx="18">
                  <c:v>1107174</c:v>
                </c:pt>
                <c:pt idx="19">
                  <c:v>974002</c:v>
                </c:pt>
                <c:pt idx="20">
                  <c:v>1071165</c:v>
                </c:pt>
                <c:pt idx="21">
                  <c:v>1058618</c:v>
                </c:pt>
                <c:pt idx="22">
                  <c:v>1101807</c:v>
                </c:pt>
                <c:pt idx="23">
                  <c:v>1024467</c:v>
                </c:pt>
                <c:pt idx="24">
                  <c:v>976563</c:v>
                </c:pt>
                <c:pt idx="25">
                  <c:v>1207469</c:v>
                </c:pt>
                <c:pt idx="26">
                  <c:v>1242234</c:v>
                </c:pt>
                <c:pt idx="27">
                  <c:v>1155925</c:v>
                </c:pt>
                <c:pt idx="28">
                  <c:v>1273607</c:v>
                </c:pt>
                <c:pt idx="29">
                  <c:v>1246836</c:v>
                </c:pt>
                <c:pt idx="30">
                  <c:v>1254403</c:v>
                </c:pt>
                <c:pt idx="31">
                  <c:v>1227528</c:v>
                </c:pt>
                <c:pt idx="32">
                  <c:v>1100908</c:v>
                </c:pt>
                <c:pt idx="33">
                  <c:v>1177971</c:v>
                </c:pt>
                <c:pt idx="34">
                  <c:v>1235014</c:v>
                </c:pt>
                <c:pt idx="35">
                  <c:v>1004637</c:v>
                </c:pt>
                <c:pt idx="36">
                  <c:v>1004637</c:v>
                </c:pt>
                <c:pt idx="37">
                  <c:v>1422347</c:v>
                </c:pt>
                <c:pt idx="38">
                  <c:v>1515606</c:v>
                </c:pt>
                <c:pt idx="39">
                  <c:v>1402452</c:v>
                </c:pt>
                <c:pt idx="40">
                  <c:v>1508162</c:v>
                </c:pt>
                <c:pt idx="41">
                  <c:v>1558477</c:v>
                </c:pt>
                <c:pt idx="42">
                  <c:v>1752743</c:v>
                </c:pt>
                <c:pt idx="43">
                  <c:v>1607770</c:v>
                </c:pt>
                <c:pt idx="44">
                  <c:v>1319071</c:v>
                </c:pt>
                <c:pt idx="45">
                  <c:v>1803505</c:v>
                </c:pt>
                <c:pt idx="46">
                  <c:v>1430112</c:v>
                </c:pt>
                <c:pt idx="47">
                  <c:v>1580054</c:v>
                </c:pt>
                <c:pt idx="48">
                  <c:v>1636239</c:v>
                </c:pt>
                <c:pt idx="49">
                  <c:v>1693475</c:v>
                </c:pt>
                <c:pt idx="50">
                  <c:v>1769250</c:v>
                </c:pt>
                <c:pt idx="51">
                  <c:v>2087019</c:v>
                </c:pt>
                <c:pt idx="52">
                  <c:v>1836545</c:v>
                </c:pt>
                <c:pt idx="53">
                  <c:v>1830031</c:v>
                </c:pt>
                <c:pt idx="54">
                  <c:v>1946725</c:v>
                </c:pt>
                <c:pt idx="55">
                  <c:v>1327616</c:v>
                </c:pt>
                <c:pt idx="56">
                  <c:v>1141783</c:v>
                </c:pt>
                <c:pt idx="57">
                  <c:v>1209964</c:v>
                </c:pt>
                <c:pt idx="58">
                  <c:v>988498</c:v>
                </c:pt>
                <c:pt idx="59">
                  <c:v>1283037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7-43C6-97CE-67CA783E4C45}"/>
            </c:ext>
          </c:extLst>
        </c:ser>
        <c:ser>
          <c:idx val="1"/>
          <c:order val="1"/>
          <c:tx>
            <c:strRef>
              <c:f>'Group Totals'!$AL$3</c:f>
              <c:strCache>
                <c:ptCount val="1"/>
                <c:pt idx="0">
                  <c:v>Recovery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Totals'!$AL$82:$AL$144</c:f>
              <c:numCache>
                <c:formatCode>"$"#,##0</c:formatCode>
                <c:ptCount val="63"/>
                <c:pt idx="0">
                  <c:v>928585.92</c:v>
                </c:pt>
                <c:pt idx="1">
                  <c:v>935233</c:v>
                </c:pt>
                <c:pt idx="2">
                  <c:v>999472</c:v>
                </c:pt>
                <c:pt idx="3">
                  <c:v>1160746</c:v>
                </c:pt>
                <c:pt idx="4">
                  <c:v>1037101</c:v>
                </c:pt>
                <c:pt idx="5">
                  <c:v>1094952.2700000005</c:v>
                </c:pt>
                <c:pt idx="6">
                  <c:v>1183330.7299999995</c:v>
                </c:pt>
                <c:pt idx="7">
                  <c:v>693955.91999999993</c:v>
                </c:pt>
                <c:pt idx="8">
                  <c:v>835632.25999999978</c:v>
                </c:pt>
                <c:pt idx="9">
                  <c:v>935479.28000000119</c:v>
                </c:pt>
                <c:pt idx="10">
                  <c:v>988816</c:v>
                </c:pt>
                <c:pt idx="11">
                  <c:v>718163</c:v>
                </c:pt>
                <c:pt idx="12">
                  <c:v>1035972</c:v>
                </c:pt>
                <c:pt idx="13">
                  <c:v>886384</c:v>
                </c:pt>
                <c:pt idx="14">
                  <c:v>956380</c:v>
                </c:pt>
                <c:pt idx="15">
                  <c:v>1193075</c:v>
                </c:pt>
                <c:pt idx="16">
                  <c:v>1037342</c:v>
                </c:pt>
                <c:pt idx="17">
                  <c:v>1120822</c:v>
                </c:pt>
                <c:pt idx="18">
                  <c:v>1106002</c:v>
                </c:pt>
                <c:pt idx="19">
                  <c:v>778737</c:v>
                </c:pt>
                <c:pt idx="20">
                  <c:v>1053028</c:v>
                </c:pt>
                <c:pt idx="21">
                  <c:v>1027456</c:v>
                </c:pt>
                <c:pt idx="22">
                  <c:v>810881</c:v>
                </c:pt>
                <c:pt idx="23">
                  <c:v>472308</c:v>
                </c:pt>
                <c:pt idx="24">
                  <c:v>1297419</c:v>
                </c:pt>
                <c:pt idx="25">
                  <c:v>1318202</c:v>
                </c:pt>
                <c:pt idx="26">
                  <c:v>1512163</c:v>
                </c:pt>
                <c:pt idx="27">
                  <c:v>1218145</c:v>
                </c:pt>
                <c:pt idx="28">
                  <c:v>1339989</c:v>
                </c:pt>
                <c:pt idx="29">
                  <c:v>1154505</c:v>
                </c:pt>
                <c:pt idx="30">
                  <c:v>1316918</c:v>
                </c:pt>
                <c:pt idx="31">
                  <c:v>975774</c:v>
                </c:pt>
                <c:pt idx="32">
                  <c:v>1058078</c:v>
                </c:pt>
                <c:pt idx="33">
                  <c:v>997771</c:v>
                </c:pt>
                <c:pt idx="34">
                  <c:v>983776</c:v>
                </c:pt>
                <c:pt idx="35">
                  <c:v>971890</c:v>
                </c:pt>
                <c:pt idx="36">
                  <c:v>1098912</c:v>
                </c:pt>
                <c:pt idx="37">
                  <c:v>1123368</c:v>
                </c:pt>
                <c:pt idx="38">
                  <c:v>1338707</c:v>
                </c:pt>
                <c:pt idx="39">
                  <c:v>1693015</c:v>
                </c:pt>
                <c:pt idx="40">
                  <c:v>2217482</c:v>
                </c:pt>
                <c:pt idx="41">
                  <c:v>1747731</c:v>
                </c:pt>
                <c:pt idx="42">
                  <c:v>1829118</c:v>
                </c:pt>
                <c:pt idx="43">
                  <c:v>1411046</c:v>
                </c:pt>
                <c:pt idx="44">
                  <c:v>1353860</c:v>
                </c:pt>
                <c:pt idx="45">
                  <c:v>1465793</c:v>
                </c:pt>
                <c:pt idx="46">
                  <c:v>1604985</c:v>
                </c:pt>
                <c:pt idx="47">
                  <c:v>1439385</c:v>
                </c:pt>
                <c:pt idx="48">
                  <c:v>1449767</c:v>
                </c:pt>
                <c:pt idx="49">
                  <c:v>1394287</c:v>
                </c:pt>
                <c:pt idx="50">
                  <c:v>1345801</c:v>
                </c:pt>
                <c:pt idx="51">
                  <c:v>1574791</c:v>
                </c:pt>
                <c:pt idx="52">
                  <c:v>1463214</c:v>
                </c:pt>
                <c:pt idx="53">
                  <c:v>1387391</c:v>
                </c:pt>
                <c:pt idx="54">
                  <c:v>1407928</c:v>
                </c:pt>
                <c:pt idx="55">
                  <c:v>832199</c:v>
                </c:pt>
                <c:pt idx="56">
                  <c:v>580344</c:v>
                </c:pt>
                <c:pt idx="57">
                  <c:v>926725</c:v>
                </c:pt>
                <c:pt idx="58">
                  <c:v>1013596</c:v>
                </c:pt>
                <c:pt idx="59">
                  <c:v>798492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7-43C6-97CE-67CA783E4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493775"/>
        <c:axId val="299819519"/>
      </c:lineChart>
      <c:dateAx>
        <c:axId val="467493775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19519"/>
        <c:crosses val="autoZero"/>
        <c:auto val="1"/>
        <c:lblOffset val="100"/>
        <c:baseTimeUnit val="months"/>
      </c:dateAx>
      <c:valAx>
        <c:axId val="29981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49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Totals'!$AX$3</c:f>
              <c:strCache>
                <c:ptCount val="1"/>
                <c:pt idx="0">
                  <c:v>Recovery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Totals'!$AX$82:$AX$144</c:f>
              <c:numCache>
                <c:formatCode>0%</c:formatCode>
                <c:ptCount val="63"/>
                <c:pt idx="0">
                  <c:v>1.0050000974061817</c:v>
                </c:pt>
                <c:pt idx="1">
                  <c:v>0.89696058864318395</c:v>
                </c:pt>
                <c:pt idx="2">
                  <c:v>1.0169958555876304</c:v>
                </c:pt>
                <c:pt idx="3">
                  <c:v>1.0126738433056859</c:v>
                </c:pt>
                <c:pt idx="4">
                  <c:v>1.0246808434959851</c:v>
                </c:pt>
                <c:pt idx="5">
                  <c:v>1.021046856437352</c:v>
                </c:pt>
                <c:pt idx="6">
                  <c:v>1.0551425203457185</c:v>
                </c:pt>
                <c:pt idx="7">
                  <c:v>0.75428925460835872</c:v>
                </c:pt>
                <c:pt idx="8">
                  <c:v>1.0167104190544323</c:v>
                </c:pt>
                <c:pt idx="9">
                  <c:v>0.90187453302495824</c:v>
                </c:pt>
                <c:pt idx="10">
                  <c:v>0.94336198927095749</c:v>
                </c:pt>
                <c:pt idx="11">
                  <c:v>0.72671130508167581</c:v>
                </c:pt>
                <c:pt idx="12">
                  <c:v>0.90245158120585078</c:v>
                </c:pt>
                <c:pt idx="13">
                  <c:v>0.85108115374275073</c:v>
                </c:pt>
                <c:pt idx="14">
                  <c:v>0.7425356679234032</c:v>
                </c:pt>
                <c:pt idx="15">
                  <c:v>1.0796394430026026</c:v>
                </c:pt>
                <c:pt idx="16">
                  <c:v>0.95854482283855647</c:v>
                </c:pt>
                <c:pt idx="17">
                  <c:v>1.0001356331480276</c:v>
                </c:pt>
                <c:pt idx="18">
                  <c:v>0.99894144913085026</c:v>
                </c:pt>
                <c:pt idx="19">
                  <c:v>0.79952299892608025</c:v>
                </c:pt>
                <c:pt idx="20">
                  <c:v>0.98306796805347452</c:v>
                </c:pt>
                <c:pt idx="21">
                  <c:v>0.97056350827210569</c:v>
                </c:pt>
                <c:pt idx="22">
                  <c:v>0.73595557116627508</c:v>
                </c:pt>
                <c:pt idx="23">
                  <c:v>0.46102802725710051</c:v>
                </c:pt>
                <c:pt idx="24">
                  <c:v>1.3285563757791357</c:v>
                </c:pt>
                <c:pt idx="25">
                  <c:v>1.0917067022010503</c:v>
                </c:pt>
                <c:pt idx="26">
                  <c:v>1.2172931991879148</c:v>
                </c:pt>
                <c:pt idx="27">
                  <c:v>1.0538270216493284</c:v>
                </c:pt>
                <c:pt idx="28">
                  <c:v>1.0521212587556443</c:v>
                </c:pt>
                <c:pt idx="29">
                  <c:v>0.92594775896749848</c:v>
                </c:pt>
                <c:pt idx="30">
                  <c:v>1.0498364560671491</c:v>
                </c:pt>
                <c:pt idx="31">
                  <c:v>0.79490976987897632</c:v>
                </c:pt>
                <c:pt idx="32">
                  <c:v>0.96109575005359216</c:v>
                </c:pt>
                <c:pt idx="33">
                  <c:v>0.84702509654312375</c:v>
                </c:pt>
                <c:pt idx="34">
                  <c:v>0.79657072713345756</c:v>
                </c:pt>
                <c:pt idx="35">
                  <c:v>0.96740414697049781</c:v>
                </c:pt>
                <c:pt idx="36">
                  <c:v>1.0938398645480905</c:v>
                </c:pt>
                <c:pt idx="37">
                  <c:v>0.78979883249305549</c:v>
                </c:pt>
                <c:pt idx="38">
                  <c:v>0.88328167083001785</c:v>
                </c:pt>
                <c:pt idx="39">
                  <c:v>1.2071821352887657</c:v>
                </c:pt>
                <c:pt idx="40">
                  <c:v>1.4703208276034008</c:v>
                </c:pt>
                <c:pt idx="41">
                  <c:v>1.121435221694</c:v>
                </c:pt>
                <c:pt idx="42">
                  <c:v>1.0435745571370132</c:v>
                </c:pt>
                <c:pt idx="43">
                  <c:v>0.87764170248232021</c:v>
                </c:pt>
                <c:pt idx="44">
                  <c:v>1.026373864636551</c:v>
                </c:pt>
                <c:pt idx="45">
                  <c:v>0.8127468457254069</c:v>
                </c:pt>
                <c:pt idx="46">
                  <c:v>1.1222792340739747</c:v>
                </c:pt>
                <c:pt idx="47">
                  <c:v>0.91097203006985839</c:v>
                </c:pt>
                <c:pt idx="48">
                  <c:v>0.88603620864678079</c:v>
                </c:pt>
                <c:pt idx="49">
                  <c:v>0.82332895377847326</c:v>
                </c:pt>
                <c:pt idx="50">
                  <c:v>0.76066186237106115</c:v>
                </c:pt>
                <c:pt idx="51">
                  <c:v>0.75456476438403297</c:v>
                </c:pt>
                <c:pt idx="52">
                  <c:v>0.79672101690946862</c:v>
                </c:pt>
                <c:pt idx="53">
                  <c:v>0.75812431592688867</c:v>
                </c:pt>
                <c:pt idx="54">
                  <c:v>0.7232290128292389</c:v>
                </c:pt>
                <c:pt idx="55">
                  <c:v>0.62683712760316235</c:v>
                </c:pt>
                <c:pt idx="56">
                  <c:v>0.50827871846051309</c:v>
                </c:pt>
                <c:pt idx="57">
                  <c:v>0.76591121719323885</c:v>
                </c:pt>
                <c:pt idx="58">
                  <c:v>1.0253900361963302</c:v>
                </c:pt>
                <c:pt idx="59">
                  <c:v>0.62234526362061271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7-4FDC-A9F4-16C89DAE1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845631"/>
        <c:axId val="299815775"/>
      </c:lineChart>
      <c:dateAx>
        <c:axId val="474845631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15775"/>
        <c:crosses val="autoZero"/>
        <c:auto val="1"/>
        <c:lblOffset val="100"/>
        <c:baseTimeUnit val="months"/>
      </c:dateAx>
      <c:valAx>
        <c:axId val="29981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4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2403175408656"/>
          <c:y val="0.15200819672131147"/>
          <c:w val="0.85932867530264745"/>
          <c:h val="0.61001774880598947"/>
        </c:manualLayout>
      </c:layout>
      <c:lineChart>
        <c:grouping val="standard"/>
        <c:varyColors val="0"/>
        <c:ser>
          <c:idx val="1"/>
          <c:order val="0"/>
          <c:tx>
            <c:strRef>
              <c:f>'Group Totals'!$AO$3</c:f>
              <c:strCache>
                <c:ptCount val="1"/>
                <c:pt idx="0">
                  <c:v>Scrap as % of FG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Totals'!$AO$82:$AO$144</c:f>
              <c:numCache>
                <c:formatCode>0.00%</c:formatCode>
                <c:ptCount val="63"/>
                <c:pt idx="0">
                  <c:v>8.8040198537658997E-3</c:v>
                </c:pt>
                <c:pt idx="1">
                  <c:v>4.4704341776402477E-3</c:v>
                </c:pt>
                <c:pt idx="2">
                  <c:v>4.6118438680061644E-3</c:v>
                </c:pt>
                <c:pt idx="3">
                  <c:v>4.9721848001981648E-3</c:v>
                </c:pt>
                <c:pt idx="4">
                  <c:v>4.7706578585457165E-3</c:v>
                </c:pt>
                <c:pt idx="5">
                  <c:v>6.2858966296696116E-3</c:v>
                </c:pt>
                <c:pt idx="6">
                  <c:v>4.5996576528584071E-3</c:v>
                </c:pt>
                <c:pt idx="7">
                  <c:v>3.9595906944624708E-3</c:v>
                </c:pt>
                <c:pt idx="8">
                  <c:v>-3.5083064942974512E-3</c:v>
                </c:pt>
                <c:pt idx="9">
                  <c:v>3.9088628990920863E-3</c:v>
                </c:pt>
                <c:pt idx="10">
                  <c:v>4.5785130156818232E-3</c:v>
                </c:pt>
                <c:pt idx="11">
                  <c:v>3.3320652360405516E-3</c:v>
                </c:pt>
                <c:pt idx="12">
                  <c:v>4.6529130460646311E-3</c:v>
                </c:pt>
                <c:pt idx="13">
                  <c:v>3.6012333388315727E-3</c:v>
                </c:pt>
                <c:pt idx="14">
                  <c:v>2.6131867622562553E-2</c:v>
                </c:pt>
                <c:pt idx="15">
                  <c:v>-2.2213585097993207E-4</c:v>
                </c:pt>
                <c:pt idx="16">
                  <c:v>4.5198532756747485E-3</c:v>
                </c:pt>
                <c:pt idx="17">
                  <c:v>2.7680588106761424E-3</c:v>
                </c:pt>
                <c:pt idx="18">
                  <c:v>1.0794402235242089E-4</c:v>
                </c:pt>
                <c:pt idx="19">
                  <c:v>2.3279418370855164E-3</c:v>
                </c:pt>
                <c:pt idx="20">
                  <c:v>2.1045684252311925E-3</c:v>
                </c:pt>
                <c:pt idx="21">
                  <c:v>9.5750831001575854E-4</c:v>
                </c:pt>
                <c:pt idx="22">
                  <c:v>7.5522599285345795E-3</c:v>
                </c:pt>
                <c:pt idx="23">
                  <c:v>1.8233722371033142E-3</c:v>
                </c:pt>
                <c:pt idx="24">
                  <c:v>2.0108322543110368E-3</c:v>
                </c:pt>
                <c:pt idx="25">
                  <c:v>2.5116048209377529E-3</c:v>
                </c:pt>
                <c:pt idx="26">
                  <c:v>4.0672233946539354E-3</c:v>
                </c:pt>
                <c:pt idx="27">
                  <c:v>3.855913322441124E-3</c:v>
                </c:pt>
                <c:pt idx="28">
                  <c:v>3.7341967527593817E-3</c:v>
                </c:pt>
                <c:pt idx="29">
                  <c:v>3.4047561426619735E-3</c:v>
                </c:pt>
                <c:pt idx="30">
                  <c:v>1.8263549189311275E-3</c:v>
                </c:pt>
                <c:pt idx="31">
                  <c:v>3.4369398910931576E-3</c:v>
                </c:pt>
                <c:pt idx="32">
                  <c:v>2.3313404133026069E-3</c:v>
                </c:pt>
                <c:pt idx="33">
                  <c:v>7.0734757593405246E-3</c:v>
                </c:pt>
                <c:pt idx="34">
                  <c:v>-2.7710069590367262E-3</c:v>
                </c:pt>
                <c:pt idx="35">
                  <c:v>4.3784599587669212E-3</c:v>
                </c:pt>
                <c:pt idx="36">
                  <c:v>2.7845891463789546E-3</c:v>
                </c:pt>
                <c:pt idx="37">
                  <c:v>4.1065225470797136E-3</c:v>
                </c:pt>
                <c:pt idx="38">
                  <c:v>1.7966811850567308E-3</c:v>
                </c:pt>
                <c:pt idx="39">
                  <c:v>4.5312312069546836E-3</c:v>
                </c:pt>
                <c:pt idx="40">
                  <c:v>3.8778736983497591E-3</c:v>
                </c:pt>
                <c:pt idx="41">
                  <c:v>6.0970362069072224E-3</c:v>
                </c:pt>
                <c:pt idx="42">
                  <c:v>2.7476332809131527E-3</c:v>
                </c:pt>
                <c:pt idx="43">
                  <c:v>3.0037420955913463E-3</c:v>
                </c:pt>
                <c:pt idx="44">
                  <c:v>4.9196983864470143E-3</c:v>
                </c:pt>
                <c:pt idx="45">
                  <c:v>7.6074443776076748E-3</c:v>
                </c:pt>
                <c:pt idx="46">
                  <c:v>-9.0131826826804289E-4</c:v>
                </c:pt>
                <c:pt idx="47">
                  <c:v>7.0432505526577178E-4</c:v>
                </c:pt>
                <c:pt idx="48">
                  <c:v>4.8438938890556556E-3</c:v>
                </c:pt>
                <c:pt idx="49">
                  <c:v>4.5911832057879695E-3</c:v>
                </c:pt>
                <c:pt idx="50">
                  <c:v>3.2544870149255464E-3</c:v>
                </c:pt>
                <c:pt idx="51">
                  <c:v>7.9520154699489077E-3</c:v>
                </c:pt>
                <c:pt idx="52">
                  <c:v>3.1005076682704153E-3</c:v>
                </c:pt>
                <c:pt idx="53">
                  <c:v>5.4169964971336349E-3</c:v>
                </c:pt>
                <c:pt idx="54">
                  <c:v>3.1750010669048278E-3</c:v>
                </c:pt>
                <c:pt idx="55">
                  <c:v>9.9491748650680622E-3</c:v>
                </c:pt>
                <c:pt idx="56">
                  <c:v>-2.8678524240824377E-3</c:v>
                </c:pt>
                <c:pt idx="57">
                  <c:v>5.1796966875514387E-3</c:v>
                </c:pt>
                <c:pt idx="58">
                  <c:v>1.6648305187306608E-3</c:v>
                </c:pt>
                <c:pt idx="59">
                  <c:v>5.5217897384698409E-3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6-4A41-830C-AED42A41D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357423"/>
        <c:axId val="299845311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'Group Totals'!$AP$3</c15:sqref>
                        </c15:formulaRef>
                      </c:ext>
                    </c:extLst>
                    <c:strCache>
                      <c:ptCount val="1"/>
                      <c:pt idx="0">
                        <c:v>Scrap per $100 to FG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Totals'!$AP$82:$AP$144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3"/>
                      <c:pt idx="0">
                        <c:v>0.88040198537658998</c:v>
                      </c:pt>
                      <c:pt idx="1">
                        <c:v>0.44704341776402479</c:v>
                      </c:pt>
                      <c:pt idx="2">
                        <c:v>0.46118438680061646</c:v>
                      </c:pt>
                      <c:pt idx="3">
                        <c:v>0.4972184800198165</c:v>
                      </c:pt>
                      <c:pt idx="4">
                        <c:v>0.47706578585457166</c:v>
                      </c:pt>
                      <c:pt idx="5">
                        <c:v>0.62858966296696117</c:v>
                      </c:pt>
                      <c:pt idx="6">
                        <c:v>0.45996576528584071</c:v>
                      </c:pt>
                      <c:pt idx="7">
                        <c:v>0.39595906944624709</c:v>
                      </c:pt>
                      <c:pt idx="8">
                        <c:v>-0.35083064942974512</c:v>
                      </c:pt>
                      <c:pt idx="9">
                        <c:v>0.39088628990920865</c:v>
                      </c:pt>
                      <c:pt idx="10">
                        <c:v>0.45785130156818232</c:v>
                      </c:pt>
                      <c:pt idx="11">
                        <c:v>0.33320652360405517</c:v>
                      </c:pt>
                      <c:pt idx="12">
                        <c:v>0.46529130460646312</c:v>
                      </c:pt>
                      <c:pt idx="13">
                        <c:v>0.36012333388315726</c:v>
                      </c:pt>
                      <c:pt idx="14">
                        <c:v>2.6131867622562552</c:v>
                      </c:pt>
                      <c:pt idx="15">
                        <c:v>-2.2213585097993208E-2</c:v>
                      </c:pt>
                      <c:pt idx="16">
                        <c:v>0.45198532756747484</c:v>
                      </c:pt>
                      <c:pt idx="17">
                        <c:v>0.27680588106761422</c:v>
                      </c:pt>
                      <c:pt idx="18">
                        <c:v>1.079440223524209E-2</c:v>
                      </c:pt>
                      <c:pt idx="19">
                        <c:v>0.23279418370855165</c:v>
                      </c:pt>
                      <c:pt idx="20">
                        <c:v>0.21045684252311925</c:v>
                      </c:pt>
                      <c:pt idx="21">
                        <c:v>9.5750831001575859E-2</c:v>
                      </c:pt>
                      <c:pt idx="22">
                        <c:v>0.75522599285345793</c:v>
                      </c:pt>
                      <c:pt idx="23">
                        <c:v>0.18233722371033143</c:v>
                      </c:pt>
                      <c:pt idx="24">
                        <c:v>0.20108322543110368</c:v>
                      </c:pt>
                      <c:pt idx="25">
                        <c:v>0.25116048209377528</c:v>
                      </c:pt>
                      <c:pt idx="26">
                        <c:v>0.40672233946539355</c:v>
                      </c:pt>
                      <c:pt idx="27">
                        <c:v>0.38559133224411241</c:v>
                      </c:pt>
                      <c:pt idx="28">
                        <c:v>0.37341967527593817</c:v>
                      </c:pt>
                      <c:pt idx="29">
                        <c:v>0.34047561426619732</c:v>
                      </c:pt>
                      <c:pt idx="30">
                        <c:v>0.18263549189311273</c:v>
                      </c:pt>
                      <c:pt idx="31">
                        <c:v>0.34369398910931576</c:v>
                      </c:pt>
                      <c:pt idx="32">
                        <c:v>0.23313404133026069</c:v>
                      </c:pt>
                      <c:pt idx="33">
                        <c:v>0.70734757593405251</c:v>
                      </c:pt>
                      <c:pt idx="34">
                        <c:v>-0.27710069590367264</c:v>
                      </c:pt>
                      <c:pt idx="35">
                        <c:v>0.43784599587669215</c:v>
                      </c:pt>
                      <c:pt idx="36">
                        <c:v>0.27845891463789546</c:v>
                      </c:pt>
                      <c:pt idx="37">
                        <c:v>0.41065225470797134</c:v>
                      </c:pt>
                      <c:pt idx="38">
                        <c:v>0.17966811850567307</c:v>
                      </c:pt>
                      <c:pt idx="39">
                        <c:v>0.45312312069546834</c:v>
                      </c:pt>
                      <c:pt idx="40">
                        <c:v>0.38778736983497591</c:v>
                      </c:pt>
                      <c:pt idx="41">
                        <c:v>0.60970362069072226</c:v>
                      </c:pt>
                      <c:pt idx="42">
                        <c:v>0.27476332809131526</c:v>
                      </c:pt>
                      <c:pt idx="43">
                        <c:v>0.30037420955913463</c:v>
                      </c:pt>
                      <c:pt idx="44">
                        <c:v>0.49196983864470145</c:v>
                      </c:pt>
                      <c:pt idx="45">
                        <c:v>0.7607444377607675</c:v>
                      </c:pt>
                      <c:pt idx="46">
                        <c:v>-9.013182682680429E-2</c:v>
                      </c:pt>
                      <c:pt idx="47">
                        <c:v>7.0432505526577177E-2</c:v>
                      </c:pt>
                      <c:pt idx="48">
                        <c:v>0.48438938890556554</c:v>
                      </c:pt>
                      <c:pt idx="49">
                        <c:v>0.45911832057879698</c:v>
                      </c:pt>
                      <c:pt idx="50">
                        <c:v>0.32544870149255462</c:v>
                      </c:pt>
                      <c:pt idx="51">
                        <c:v>0.79520154699489076</c:v>
                      </c:pt>
                      <c:pt idx="52">
                        <c:v>0.31005076682704152</c:v>
                      </c:pt>
                      <c:pt idx="53">
                        <c:v>0.54169964971336348</c:v>
                      </c:pt>
                      <c:pt idx="54">
                        <c:v>0.31750010669048279</c:v>
                      </c:pt>
                      <c:pt idx="55">
                        <c:v>0.99491748650680623</c:v>
                      </c:pt>
                      <c:pt idx="56">
                        <c:v>-0.28678524240824377</c:v>
                      </c:pt>
                      <c:pt idx="57">
                        <c:v>0.51796966875514383</c:v>
                      </c:pt>
                      <c:pt idx="58">
                        <c:v>0.16648305187306608</c:v>
                      </c:pt>
                      <c:pt idx="59">
                        <c:v>0.55217897384698411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D26-4A41-830C-AED42A41D5A0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Totals'!$AQ$3</c15:sqref>
                        </c15:formulaRef>
                      </c:ext>
                    </c:extLst>
                    <c:strCache>
                      <c:ptCount val="1"/>
                      <c:pt idx="0">
                        <c:v>Scrap per direct team member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Totals'!$AQ$82:$AQ$144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63"/>
                      <c:pt idx="0">
                        <c:v>536.97368421052636</c:v>
                      </c:pt>
                      <c:pt idx="1">
                        <c:v>276.18421052631578</c:v>
                      </c:pt>
                      <c:pt idx="2">
                        <c:v>309.85714285714283</c:v>
                      </c:pt>
                      <c:pt idx="3">
                        <c:v>361.37349397590361</c:v>
                      </c:pt>
                      <c:pt idx="4">
                        <c:v>311.45882352941175</c:v>
                      </c:pt>
                      <c:pt idx="5">
                        <c:v>429.46987951807228</c:v>
                      </c:pt>
                      <c:pt idx="6">
                        <c:v>337.86363636363637</c:v>
                      </c:pt>
                      <c:pt idx="7">
                        <c:v>150.38461538461539</c:v>
                      </c:pt>
                      <c:pt idx="8">
                        <c:v>-191.04938271604939</c:v>
                      </c:pt>
                      <c:pt idx="9">
                        <c:v>211.40909090909091</c:v>
                      </c:pt>
                      <c:pt idx="10">
                        <c:v>317.17500000000001</c:v>
                      </c:pt>
                      <c:pt idx="11">
                        <c:v>152.71604938271605</c:v>
                      </c:pt>
                      <c:pt idx="12">
                        <c:v>315.91463414634148</c:v>
                      </c:pt>
                      <c:pt idx="13">
                        <c:v>193.10714285714286</c:v>
                      </c:pt>
                      <c:pt idx="14">
                        <c:v>1658.2405063291139</c:v>
                      </c:pt>
                      <c:pt idx="15">
                        <c:v>-15.3</c:v>
                      </c:pt>
                      <c:pt idx="16">
                        <c:v>329.24</c:v>
                      </c:pt>
                      <c:pt idx="17">
                        <c:v>197.53246753246754</c:v>
                      </c:pt>
                      <c:pt idx="18">
                        <c:v>7.6883116883116882</c:v>
                      </c:pt>
                      <c:pt idx="19">
                        <c:v>122.21917808219177</c:v>
                      </c:pt>
                      <c:pt idx="20">
                        <c:v>161.52941176470588</c:v>
                      </c:pt>
                      <c:pt idx="21">
                        <c:v>73.630769230769232</c:v>
                      </c:pt>
                      <c:pt idx="22">
                        <c:v>454.71875</c:v>
                      </c:pt>
                      <c:pt idx="23">
                        <c:v>67.983870967741936</c:v>
                      </c:pt>
                      <c:pt idx="24">
                        <c:v>187.03030303030303</c:v>
                      </c:pt>
                      <c:pt idx="25">
                        <c:v>209.76623376623377</c:v>
                      </c:pt>
                      <c:pt idx="26">
                        <c:v>356.54117647058825</c:v>
                      </c:pt>
                      <c:pt idx="27">
                        <c:v>261.1686746987952</c:v>
                      </c:pt>
                      <c:pt idx="28">
                        <c:v>266.56626506024094</c:v>
                      </c:pt>
                      <c:pt idx="29">
                        <c:v>216.08988764044943</c:v>
                      </c:pt>
                      <c:pt idx="30">
                        <c:v>124.88888888888889</c:v>
                      </c:pt>
                      <c:pt idx="31">
                        <c:v>180.4712643678161</c:v>
                      </c:pt>
                      <c:pt idx="32">
                        <c:v>137.60975609756099</c:v>
                      </c:pt>
                      <c:pt idx="33">
                        <c:v>417.16666666666669</c:v>
                      </c:pt>
                      <c:pt idx="34">
                        <c:v>-173.35955056179776</c:v>
                      </c:pt>
                      <c:pt idx="35">
                        <c:v>243.79310344827587</c:v>
                      </c:pt>
                      <c:pt idx="36">
                        <c:v>170.97752808988764</c:v>
                      </c:pt>
                      <c:pt idx="37">
                        <c:v>260.94186046511629</c:v>
                      </c:pt>
                      <c:pt idx="38">
                        <c:v>132.13684210526316</c:v>
                      </c:pt>
                      <c:pt idx="39">
                        <c:v>469</c:v>
                      </c:pt>
                      <c:pt idx="40">
                        <c:v>631.53465346534654</c:v>
                      </c:pt>
                      <c:pt idx="41">
                        <c:v>940.76576576576576</c:v>
                      </c:pt>
                      <c:pt idx="42">
                        <c:v>329.78125</c:v>
                      </c:pt>
                      <c:pt idx="43">
                        <c:v>257.41221374045801</c:v>
                      </c:pt>
                      <c:pt idx="44">
                        <c:v>344.48920863309354</c:v>
                      </c:pt>
                      <c:pt idx="45">
                        <c:v>586.43703703703704</c:v>
                      </c:pt>
                      <c:pt idx="46">
                        <c:v>-75.0546875</c:v>
                      </c:pt>
                      <c:pt idx="47">
                        <c:v>52.65</c:v>
                      </c:pt>
                      <c:pt idx="48">
                        <c:v>387.27966101694915</c:v>
                      </c:pt>
                      <c:pt idx="49">
                        <c:v>389.64545454545453</c:v>
                      </c:pt>
                      <c:pt idx="50">
                        <c:v>241.52586206896552</c:v>
                      </c:pt>
                      <c:pt idx="51">
                        <c:v>703.017094017094</c:v>
                      </c:pt>
                      <c:pt idx="52">
                        <c:v>247.70634920634922</c:v>
                      </c:pt>
                      <c:pt idx="53">
                        <c:v>428.5040650406504</c:v>
                      </c:pt>
                      <c:pt idx="54">
                        <c:v>233.50495049504951</c:v>
                      </c:pt>
                      <c:pt idx="55">
                        <c:v>448.76923076923077</c:v>
                      </c:pt>
                      <c:pt idx="56">
                        <c:v>-96.402298850574709</c:v>
                      </c:pt>
                      <c:pt idx="57">
                        <c:v>261.46590909090907</c:v>
                      </c:pt>
                      <c:pt idx="58">
                        <c:v>115.25675675675676</c:v>
                      </c:pt>
                      <c:pt idx="59">
                        <c:v>297.52564102564105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26-4A41-830C-AED42A41D5A0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Totals'!$AR$3</c15:sqref>
                        </c15:formulaRef>
                      </c:ext>
                    </c:extLst>
                    <c:strCache>
                      <c:ptCount val="1"/>
                      <c:pt idx="0">
                        <c:v>Scrap per total team member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Totals'!$AR$82:$AR$144</c15:sqref>
                        </c15:formulaRef>
                      </c:ext>
                    </c:extLst>
                    <c:numCache>
                      <c:formatCode>"$"#,##0</c:formatCode>
                      <c:ptCount val="63"/>
                      <c:pt idx="0">
                        <c:v>334.50819672131149</c:v>
                      </c:pt>
                      <c:pt idx="1">
                        <c:v>173.47107438016528</c:v>
                      </c:pt>
                      <c:pt idx="2">
                        <c:v>197.18181818181819</c:v>
                      </c:pt>
                      <c:pt idx="3">
                        <c:v>238.04761904761904</c:v>
                      </c:pt>
                      <c:pt idx="4">
                        <c:v>206.828125</c:v>
                      </c:pt>
                      <c:pt idx="5">
                        <c:v>280.67716535433073</c:v>
                      </c:pt>
                      <c:pt idx="6">
                        <c:v>230.48062015503876</c:v>
                      </c:pt>
                      <c:pt idx="7">
                        <c:v>101.37037037037037</c:v>
                      </c:pt>
                      <c:pt idx="8">
                        <c:v>-119.03846153846153</c:v>
                      </c:pt>
                      <c:pt idx="9">
                        <c:v>145.34375</c:v>
                      </c:pt>
                      <c:pt idx="10">
                        <c:v>201.38095238095238</c:v>
                      </c:pt>
                      <c:pt idx="11">
                        <c:v>97.4015748031496</c:v>
                      </c:pt>
                      <c:pt idx="12">
                        <c:v>197.74809160305344</c:v>
                      </c:pt>
                      <c:pt idx="13">
                        <c:v>123.82442748091603</c:v>
                      </c:pt>
                      <c:pt idx="14">
                        <c:v>984.96992481203006</c:v>
                      </c:pt>
                      <c:pt idx="15">
                        <c:v>-9.2727272727272734</c:v>
                      </c:pt>
                      <c:pt idx="16">
                        <c:v>192.9140625</c:v>
                      </c:pt>
                      <c:pt idx="17">
                        <c:v>118.828125</c:v>
                      </c:pt>
                      <c:pt idx="18">
                        <c:v>4.625</c:v>
                      </c:pt>
                      <c:pt idx="19">
                        <c:v>71.951612903225808</c:v>
                      </c:pt>
                      <c:pt idx="20">
                        <c:v>87.174603174603178</c:v>
                      </c:pt>
                      <c:pt idx="21">
                        <c:v>39.553719008264466</c:v>
                      </c:pt>
                      <c:pt idx="22">
                        <c:v>244.55462184873949</c:v>
                      </c:pt>
                      <c:pt idx="23">
                        <c:v>36.025641025641029</c:v>
                      </c:pt>
                      <c:pt idx="24">
                        <c:v>104.61016949152543</c:v>
                      </c:pt>
                      <c:pt idx="25">
                        <c:v>126.1875</c:v>
                      </c:pt>
                      <c:pt idx="26">
                        <c:v>224.48888888888888</c:v>
                      </c:pt>
                      <c:pt idx="27">
                        <c:v>164.21969696969697</c:v>
                      </c:pt>
                      <c:pt idx="28">
                        <c:v>163.88888888888889</c:v>
                      </c:pt>
                      <c:pt idx="29">
                        <c:v>136.39716312056737</c:v>
                      </c:pt>
                      <c:pt idx="30">
                        <c:v>79.716312056737593</c:v>
                      </c:pt>
                      <c:pt idx="31">
                        <c:v>112.9568345323741</c:v>
                      </c:pt>
                      <c:pt idx="32">
                        <c:v>82.970588235294116</c:v>
                      </c:pt>
                      <c:pt idx="33">
                        <c:v>246.50757575757575</c:v>
                      </c:pt>
                      <c:pt idx="34">
                        <c:v>-111.80434782608695</c:v>
                      </c:pt>
                      <c:pt idx="35">
                        <c:v>155.95588235294119</c:v>
                      </c:pt>
                      <c:pt idx="36">
                        <c:v>108.69285714285714</c:v>
                      </c:pt>
                      <c:pt idx="37">
                        <c:v>162.6159420289855</c:v>
                      </c:pt>
                      <c:pt idx="38">
                        <c:v>85.394557823129247</c:v>
                      </c:pt>
                      <c:pt idx="39">
                        <c:v>302.38157894736844</c:v>
                      </c:pt>
                      <c:pt idx="40">
                        <c:v>414.18831168831167</c:v>
                      </c:pt>
                      <c:pt idx="41">
                        <c:v>603.61271676300578</c:v>
                      </c:pt>
                      <c:pt idx="42">
                        <c:v>228.17297297297299</c:v>
                      </c:pt>
                      <c:pt idx="43">
                        <c:v>176.54973821989529</c:v>
                      </c:pt>
                      <c:pt idx="44">
                        <c:v>239.42</c:v>
                      </c:pt>
                      <c:pt idx="45">
                        <c:v>397.83417085427135</c:v>
                      </c:pt>
                      <c:pt idx="46">
                        <c:v>-49.777202072538863</c:v>
                      </c:pt>
                      <c:pt idx="47">
                        <c:v>34.524590163934427</c:v>
                      </c:pt>
                      <c:pt idx="48">
                        <c:v>244.37967914438502</c:v>
                      </c:pt>
                      <c:pt idx="49">
                        <c:v>238.11666666666667</c:v>
                      </c:pt>
                      <c:pt idx="50">
                        <c:v>149.8235294117647</c:v>
                      </c:pt>
                      <c:pt idx="51">
                        <c:v>430.64397905759165</c:v>
                      </c:pt>
                      <c:pt idx="52">
                        <c:v>156.8391959798995</c:v>
                      </c:pt>
                      <c:pt idx="53">
                        <c:v>264.8542713567839</c:v>
                      </c:pt>
                      <c:pt idx="54">
                        <c:v>139.55029585798817</c:v>
                      </c:pt>
                      <c:pt idx="55">
                        <c:v>266.91503267973854</c:v>
                      </c:pt>
                      <c:pt idx="56">
                        <c:v>-57.054421768707485</c:v>
                      </c:pt>
                      <c:pt idx="57">
                        <c:v>162.03521126760563</c:v>
                      </c:pt>
                      <c:pt idx="58">
                        <c:v>62.255474452554743</c:v>
                      </c:pt>
                      <c:pt idx="59">
                        <c:v>170.63970588235293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26-4A41-830C-AED42A41D5A0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Totals'!$AS$3</c15:sqref>
                        </c15:formulaRef>
                      </c:ext>
                    </c:extLst>
                    <c:strCache>
                      <c:ptCount val="1"/>
                      <c:pt idx="0">
                        <c:v>Scrap as a % of Expenses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Totals'!$AS$82:$AS$144</c15:sqref>
                        </c15:formulaRef>
                      </c:ext>
                    </c:extLst>
                    <c:numCache>
                      <c:formatCode>0.0%</c:formatCode>
                      <c:ptCount val="63"/>
                      <c:pt idx="0">
                        <c:v>4.4168291906845056E-2</c:v>
                      </c:pt>
                      <c:pt idx="1">
                        <c:v>2.0131029118540974E-2</c:v>
                      </c:pt>
                      <c:pt idx="2">
                        <c:v>2.4277322544768914E-2</c:v>
                      </c:pt>
                      <c:pt idx="3">
                        <c:v>2.6167774221156691E-2</c:v>
                      </c:pt>
                      <c:pt idx="4">
                        <c:v>2.6156951589780274E-2</c:v>
                      </c:pt>
                      <c:pt idx="5">
                        <c:v>3.3240020813478779E-2</c:v>
                      </c:pt>
                      <c:pt idx="6">
                        <c:v>2.6511182900590197E-2</c:v>
                      </c:pt>
                      <c:pt idx="7">
                        <c:v>1.4874789812752646E-2</c:v>
                      </c:pt>
                      <c:pt idx="8">
                        <c:v>-1.882837043039404E-2</c:v>
                      </c:pt>
                      <c:pt idx="9">
                        <c:v>1.7935697958373062E-2</c:v>
                      </c:pt>
                      <c:pt idx="10">
                        <c:v>2.420760496974288E-2</c:v>
                      </c:pt>
                      <c:pt idx="11">
                        <c:v>1.2517240297620915E-2</c:v>
                      </c:pt>
                      <c:pt idx="12">
                        <c:v>2.2566254890226341E-2</c:v>
                      </c:pt>
                      <c:pt idx="13">
                        <c:v>1.5574951031224795E-2</c:v>
                      </c:pt>
                      <c:pt idx="14">
                        <c:v>0.10170948266759421</c:v>
                      </c:pt>
                      <c:pt idx="15">
                        <c:v>-1.1076241462063873E-3</c:v>
                      </c:pt>
                      <c:pt idx="16">
                        <c:v>2.281730356078562E-2</c:v>
                      </c:pt>
                      <c:pt idx="17">
                        <c:v>1.3572238036174787E-2</c:v>
                      </c:pt>
                      <c:pt idx="18">
                        <c:v>5.3469463697666309E-4</c:v>
                      </c:pt>
                      <c:pt idx="19">
                        <c:v>9.1601454617136306E-3</c:v>
                      </c:pt>
                      <c:pt idx="20">
                        <c:v>1.0254255880279882E-2</c:v>
                      </c:pt>
                      <c:pt idx="21">
                        <c:v>4.5209886852481257E-3</c:v>
                      </c:pt>
                      <c:pt idx="22">
                        <c:v>2.6412974323089252E-2</c:v>
                      </c:pt>
                      <c:pt idx="23">
                        <c:v>4.1143345759307032E-3</c:v>
                      </c:pt>
                      <c:pt idx="24">
                        <c:v>1.2640249528192241E-2</c:v>
                      </c:pt>
                      <c:pt idx="25">
                        <c:v>1.3376740934963962E-2</c:v>
                      </c:pt>
                      <c:pt idx="26">
                        <c:v>2.4396369766082719E-2</c:v>
                      </c:pt>
                      <c:pt idx="27">
                        <c:v>1.8752946774228431E-2</c:v>
                      </c:pt>
                      <c:pt idx="28">
                        <c:v>1.7371920851565671E-2</c:v>
                      </c:pt>
                      <c:pt idx="29">
                        <c:v>1.54246428559971E-2</c:v>
                      </c:pt>
                      <c:pt idx="30">
                        <c:v>8.9604377540551169E-3</c:v>
                      </c:pt>
                      <c:pt idx="31">
                        <c:v>1.2790746932045542E-2</c:v>
                      </c:pt>
                      <c:pt idx="32">
                        <c:v>1.0249721139277759E-2</c:v>
                      </c:pt>
                      <c:pt idx="33">
                        <c:v>2.7622921107565465E-2</c:v>
                      </c:pt>
                      <c:pt idx="34">
                        <c:v>-1.2492975788128717E-2</c:v>
                      </c:pt>
                      <c:pt idx="35">
                        <c:v>2.1112103177565629E-2</c:v>
                      </c:pt>
                      <c:pt idx="36">
                        <c:v>1.514676445323037E-2</c:v>
                      </c:pt>
                      <c:pt idx="37">
                        <c:v>1.5777443900820264E-2</c:v>
                      </c:pt>
                      <c:pt idx="38">
                        <c:v>8.2824955826250359E-3</c:v>
                      </c:pt>
                      <c:pt idx="39">
                        <c:v>3.2772601130020847E-2</c:v>
                      </c:pt>
                      <c:pt idx="40">
                        <c:v>4.2293201923931246E-2</c:v>
                      </c:pt>
                      <c:pt idx="41">
                        <c:v>6.7004517872256059E-2</c:v>
                      </c:pt>
                      <c:pt idx="42">
                        <c:v>2.4083393857513624E-2</c:v>
                      </c:pt>
                      <c:pt idx="43">
                        <c:v>2.0973771123979176E-2</c:v>
                      </c:pt>
                      <c:pt idx="44">
                        <c:v>3.6301305994900959E-2</c:v>
                      </c:pt>
                      <c:pt idx="45">
                        <c:v>4.3897299979761634E-2</c:v>
                      </c:pt>
                      <c:pt idx="46">
                        <c:v>-6.7176556801145648E-3</c:v>
                      </c:pt>
                      <c:pt idx="47">
                        <c:v>3.9985975162874178E-3</c:v>
                      </c:pt>
                      <c:pt idx="48">
                        <c:v>2.7929293947889032E-2</c:v>
                      </c:pt>
                      <c:pt idx="49">
                        <c:v>2.5309496744858943E-2</c:v>
                      </c:pt>
                      <c:pt idx="50">
                        <c:v>1.5835523526918187E-2</c:v>
                      </c:pt>
                      <c:pt idx="51">
                        <c:v>3.9411715945087231E-2</c:v>
                      </c:pt>
                      <c:pt idx="52">
                        <c:v>1.6994410700527349E-2</c:v>
                      </c:pt>
                      <c:pt idx="53">
                        <c:v>2.8800605017073481E-2</c:v>
                      </c:pt>
                      <c:pt idx="54">
                        <c:v>1.2114705466873852E-2</c:v>
                      </c:pt>
                      <c:pt idx="55">
                        <c:v>3.0760400597763207E-2</c:v>
                      </c:pt>
                      <c:pt idx="56">
                        <c:v>-7.345528878955108E-3</c:v>
                      </c:pt>
                      <c:pt idx="57">
                        <c:v>1.9016268252609169E-2</c:v>
                      </c:pt>
                      <c:pt idx="58">
                        <c:v>8.62824203994343E-3</c:v>
                      </c:pt>
                      <c:pt idx="59">
                        <c:v>1.8087553203843691E-2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D26-4A41-830C-AED42A41D5A0}"/>
                  </c:ext>
                </c:extLst>
              </c15:ser>
            </c15:filteredLineSeries>
          </c:ext>
        </c:extLst>
      </c:lineChart>
      <c:dateAx>
        <c:axId val="3473574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45311"/>
        <c:crosses val="autoZero"/>
        <c:auto val="1"/>
        <c:lblOffset val="100"/>
        <c:baseTimeUnit val="months"/>
      </c:dateAx>
      <c:valAx>
        <c:axId val="2998453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Totals'!$AM$3</c:f>
              <c:strCache>
                <c:ptCount val="1"/>
                <c:pt idx="0">
                  <c:v>Scrap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Totals'!$AM$82:$AM$144</c:f>
              <c:numCache>
                <c:formatCode>"$"#,##0</c:formatCode>
                <c:ptCount val="63"/>
                <c:pt idx="0">
                  <c:v>40810</c:v>
                </c:pt>
                <c:pt idx="1">
                  <c:v>20990</c:v>
                </c:pt>
                <c:pt idx="2">
                  <c:v>23859</c:v>
                </c:pt>
                <c:pt idx="3">
                  <c:v>29994</c:v>
                </c:pt>
                <c:pt idx="4">
                  <c:v>26474</c:v>
                </c:pt>
                <c:pt idx="5">
                  <c:v>35646</c:v>
                </c:pt>
                <c:pt idx="6">
                  <c:v>29732</c:v>
                </c:pt>
                <c:pt idx="7">
                  <c:v>13685</c:v>
                </c:pt>
                <c:pt idx="8">
                  <c:v>-15475</c:v>
                </c:pt>
                <c:pt idx="9">
                  <c:v>18604</c:v>
                </c:pt>
                <c:pt idx="10">
                  <c:v>25374</c:v>
                </c:pt>
                <c:pt idx="11">
                  <c:v>12370</c:v>
                </c:pt>
                <c:pt idx="12">
                  <c:v>25905</c:v>
                </c:pt>
                <c:pt idx="13">
                  <c:v>16221</c:v>
                </c:pt>
                <c:pt idx="14">
                  <c:v>131001</c:v>
                </c:pt>
                <c:pt idx="15">
                  <c:v>-1224</c:v>
                </c:pt>
                <c:pt idx="16">
                  <c:v>24693</c:v>
                </c:pt>
                <c:pt idx="17">
                  <c:v>15210</c:v>
                </c:pt>
                <c:pt idx="18">
                  <c:v>592</c:v>
                </c:pt>
                <c:pt idx="19">
                  <c:v>8922</c:v>
                </c:pt>
                <c:pt idx="20">
                  <c:v>10984</c:v>
                </c:pt>
                <c:pt idx="21">
                  <c:v>4786</c:v>
                </c:pt>
                <c:pt idx="22">
                  <c:v>29102</c:v>
                </c:pt>
                <c:pt idx="23">
                  <c:v>4215</c:v>
                </c:pt>
                <c:pt idx="24">
                  <c:v>12344</c:v>
                </c:pt>
                <c:pt idx="25">
                  <c:v>16152</c:v>
                </c:pt>
                <c:pt idx="26">
                  <c:v>30306</c:v>
                </c:pt>
                <c:pt idx="27">
                  <c:v>21677</c:v>
                </c:pt>
                <c:pt idx="28">
                  <c:v>22125</c:v>
                </c:pt>
                <c:pt idx="29">
                  <c:v>19232</c:v>
                </c:pt>
                <c:pt idx="30">
                  <c:v>11240</c:v>
                </c:pt>
                <c:pt idx="31">
                  <c:v>15701</c:v>
                </c:pt>
                <c:pt idx="32">
                  <c:v>11284</c:v>
                </c:pt>
                <c:pt idx="33">
                  <c:v>32539</c:v>
                </c:pt>
                <c:pt idx="34">
                  <c:v>-15429</c:v>
                </c:pt>
                <c:pt idx="35">
                  <c:v>21210</c:v>
                </c:pt>
                <c:pt idx="36">
                  <c:v>15217</c:v>
                </c:pt>
                <c:pt idx="37">
                  <c:v>22441</c:v>
                </c:pt>
                <c:pt idx="38">
                  <c:v>12553</c:v>
                </c:pt>
                <c:pt idx="39">
                  <c:v>45962</c:v>
                </c:pt>
                <c:pt idx="40">
                  <c:v>63785</c:v>
                </c:pt>
                <c:pt idx="41">
                  <c:v>104425</c:v>
                </c:pt>
                <c:pt idx="42">
                  <c:v>42212</c:v>
                </c:pt>
                <c:pt idx="43">
                  <c:v>33721</c:v>
                </c:pt>
                <c:pt idx="44">
                  <c:v>47884</c:v>
                </c:pt>
                <c:pt idx="45">
                  <c:v>79169</c:v>
                </c:pt>
                <c:pt idx="46">
                  <c:v>-9607</c:v>
                </c:pt>
                <c:pt idx="47">
                  <c:v>6318</c:v>
                </c:pt>
                <c:pt idx="48">
                  <c:v>45699</c:v>
                </c:pt>
                <c:pt idx="49">
                  <c:v>42861</c:v>
                </c:pt>
                <c:pt idx="50">
                  <c:v>28017</c:v>
                </c:pt>
                <c:pt idx="51">
                  <c:v>82253</c:v>
                </c:pt>
                <c:pt idx="52">
                  <c:v>31211</c:v>
                </c:pt>
                <c:pt idx="53">
                  <c:v>52706</c:v>
                </c:pt>
                <c:pt idx="54">
                  <c:v>23584</c:v>
                </c:pt>
                <c:pt idx="55">
                  <c:v>40838</c:v>
                </c:pt>
                <c:pt idx="56">
                  <c:v>-8387</c:v>
                </c:pt>
                <c:pt idx="57">
                  <c:v>23009</c:v>
                </c:pt>
                <c:pt idx="58">
                  <c:v>8529</c:v>
                </c:pt>
                <c:pt idx="59">
                  <c:v>23207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E7D-4ACF-9421-499FC4541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357423"/>
        <c:axId val="299845311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'Group Totals'!$AP$3</c15:sqref>
                        </c15:formulaRef>
                      </c:ext>
                    </c:extLst>
                    <c:strCache>
                      <c:ptCount val="1"/>
                      <c:pt idx="0">
                        <c:v>Scrap per $100 to FG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numRef>
                    <c:extLst>
                      <c:ext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Totals'!$AP$82:$AP$144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3"/>
                      <c:pt idx="0">
                        <c:v>0.88040198537658998</c:v>
                      </c:pt>
                      <c:pt idx="1">
                        <c:v>0.44704341776402479</c:v>
                      </c:pt>
                      <c:pt idx="2">
                        <c:v>0.46118438680061646</c:v>
                      </c:pt>
                      <c:pt idx="3">
                        <c:v>0.4972184800198165</c:v>
                      </c:pt>
                      <c:pt idx="4">
                        <c:v>0.47706578585457166</c:v>
                      </c:pt>
                      <c:pt idx="5">
                        <c:v>0.62858966296696117</c:v>
                      </c:pt>
                      <c:pt idx="6">
                        <c:v>0.45996576528584071</c:v>
                      </c:pt>
                      <c:pt idx="7">
                        <c:v>0.39595906944624709</c:v>
                      </c:pt>
                      <c:pt idx="8">
                        <c:v>-0.35083064942974512</c:v>
                      </c:pt>
                      <c:pt idx="9">
                        <c:v>0.39088628990920865</c:v>
                      </c:pt>
                      <c:pt idx="10">
                        <c:v>0.45785130156818232</c:v>
                      </c:pt>
                      <c:pt idx="11">
                        <c:v>0.33320652360405517</c:v>
                      </c:pt>
                      <c:pt idx="12">
                        <c:v>0.46529130460646312</c:v>
                      </c:pt>
                      <c:pt idx="13">
                        <c:v>0.36012333388315726</c:v>
                      </c:pt>
                      <c:pt idx="14">
                        <c:v>2.6131867622562552</c:v>
                      </c:pt>
                      <c:pt idx="15">
                        <c:v>-2.2213585097993208E-2</c:v>
                      </c:pt>
                      <c:pt idx="16">
                        <c:v>0.45198532756747484</c:v>
                      </c:pt>
                      <c:pt idx="17">
                        <c:v>0.27680588106761422</c:v>
                      </c:pt>
                      <c:pt idx="18">
                        <c:v>1.079440223524209E-2</c:v>
                      </c:pt>
                      <c:pt idx="19">
                        <c:v>0.23279418370855165</c:v>
                      </c:pt>
                      <c:pt idx="20">
                        <c:v>0.21045684252311925</c:v>
                      </c:pt>
                      <c:pt idx="21">
                        <c:v>9.5750831001575859E-2</c:v>
                      </c:pt>
                      <c:pt idx="22">
                        <c:v>0.75522599285345793</c:v>
                      </c:pt>
                      <c:pt idx="23">
                        <c:v>0.18233722371033143</c:v>
                      </c:pt>
                      <c:pt idx="24">
                        <c:v>0.20108322543110368</c:v>
                      </c:pt>
                      <c:pt idx="25">
                        <c:v>0.25116048209377528</c:v>
                      </c:pt>
                      <c:pt idx="26">
                        <c:v>0.40672233946539355</c:v>
                      </c:pt>
                      <c:pt idx="27">
                        <c:v>0.38559133224411241</c:v>
                      </c:pt>
                      <c:pt idx="28">
                        <c:v>0.37341967527593817</c:v>
                      </c:pt>
                      <c:pt idx="29">
                        <c:v>0.34047561426619732</c:v>
                      </c:pt>
                      <c:pt idx="30">
                        <c:v>0.18263549189311273</c:v>
                      </c:pt>
                      <c:pt idx="31">
                        <c:v>0.34369398910931576</c:v>
                      </c:pt>
                      <c:pt idx="32">
                        <c:v>0.23313404133026069</c:v>
                      </c:pt>
                      <c:pt idx="33">
                        <c:v>0.70734757593405251</c:v>
                      </c:pt>
                      <c:pt idx="34">
                        <c:v>-0.27710069590367264</c:v>
                      </c:pt>
                      <c:pt idx="35">
                        <c:v>0.43784599587669215</c:v>
                      </c:pt>
                      <c:pt idx="36">
                        <c:v>0.27845891463789546</c:v>
                      </c:pt>
                      <c:pt idx="37">
                        <c:v>0.41065225470797134</c:v>
                      </c:pt>
                      <c:pt idx="38">
                        <c:v>0.17966811850567307</c:v>
                      </c:pt>
                      <c:pt idx="39">
                        <c:v>0.45312312069546834</c:v>
                      </c:pt>
                      <c:pt idx="40">
                        <c:v>0.38778736983497591</c:v>
                      </c:pt>
                      <c:pt idx="41">
                        <c:v>0.60970362069072226</c:v>
                      </c:pt>
                      <c:pt idx="42">
                        <c:v>0.27476332809131526</c:v>
                      </c:pt>
                      <c:pt idx="43">
                        <c:v>0.30037420955913463</c:v>
                      </c:pt>
                      <c:pt idx="44">
                        <c:v>0.49196983864470145</c:v>
                      </c:pt>
                      <c:pt idx="45">
                        <c:v>0.7607444377607675</c:v>
                      </c:pt>
                      <c:pt idx="46">
                        <c:v>-9.013182682680429E-2</c:v>
                      </c:pt>
                      <c:pt idx="47">
                        <c:v>7.0432505526577177E-2</c:v>
                      </c:pt>
                      <c:pt idx="48">
                        <c:v>0.48438938890556554</c:v>
                      </c:pt>
                      <c:pt idx="49">
                        <c:v>0.45911832057879698</c:v>
                      </c:pt>
                      <c:pt idx="50">
                        <c:v>0.32544870149255462</c:v>
                      </c:pt>
                      <c:pt idx="51">
                        <c:v>0.79520154699489076</c:v>
                      </c:pt>
                      <c:pt idx="52">
                        <c:v>0.31005076682704152</c:v>
                      </c:pt>
                      <c:pt idx="53">
                        <c:v>0.54169964971336348</c:v>
                      </c:pt>
                      <c:pt idx="54">
                        <c:v>0.31750010669048279</c:v>
                      </c:pt>
                      <c:pt idx="55">
                        <c:v>0.99491748650680623</c:v>
                      </c:pt>
                      <c:pt idx="56">
                        <c:v>-0.28678524240824377</c:v>
                      </c:pt>
                      <c:pt idx="57">
                        <c:v>0.51796966875514383</c:v>
                      </c:pt>
                      <c:pt idx="58">
                        <c:v>0.16648305187306608</c:v>
                      </c:pt>
                      <c:pt idx="59">
                        <c:v>0.55217897384698411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E7D-4ACF-9421-499FC454109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Totals'!$AQ$3</c15:sqref>
                        </c15:formulaRef>
                      </c:ext>
                    </c:extLst>
                    <c:strCache>
                      <c:ptCount val="1"/>
                      <c:pt idx="0">
                        <c:v>Scrap per direct team member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Totals'!$AQ$82:$AQ$144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63"/>
                      <c:pt idx="0">
                        <c:v>536.97368421052636</c:v>
                      </c:pt>
                      <c:pt idx="1">
                        <c:v>276.18421052631578</c:v>
                      </c:pt>
                      <c:pt idx="2">
                        <c:v>309.85714285714283</c:v>
                      </c:pt>
                      <c:pt idx="3">
                        <c:v>361.37349397590361</c:v>
                      </c:pt>
                      <c:pt idx="4">
                        <c:v>311.45882352941175</c:v>
                      </c:pt>
                      <c:pt idx="5">
                        <c:v>429.46987951807228</c:v>
                      </c:pt>
                      <c:pt idx="6">
                        <c:v>337.86363636363637</c:v>
                      </c:pt>
                      <c:pt idx="7">
                        <c:v>150.38461538461539</c:v>
                      </c:pt>
                      <c:pt idx="8">
                        <c:v>-191.04938271604939</c:v>
                      </c:pt>
                      <c:pt idx="9">
                        <c:v>211.40909090909091</c:v>
                      </c:pt>
                      <c:pt idx="10">
                        <c:v>317.17500000000001</c:v>
                      </c:pt>
                      <c:pt idx="11">
                        <c:v>152.71604938271605</c:v>
                      </c:pt>
                      <c:pt idx="12">
                        <c:v>315.91463414634148</c:v>
                      </c:pt>
                      <c:pt idx="13">
                        <c:v>193.10714285714286</c:v>
                      </c:pt>
                      <c:pt idx="14">
                        <c:v>1658.2405063291139</c:v>
                      </c:pt>
                      <c:pt idx="15">
                        <c:v>-15.3</c:v>
                      </c:pt>
                      <c:pt idx="16">
                        <c:v>329.24</c:v>
                      </c:pt>
                      <c:pt idx="17">
                        <c:v>197.53246753246754</c:v>
                      </c:pt>
                      <c:pt idx="18">
                        <c:v>7.6883116883116882</c:v>
                      </c:pt>
                      <c:pt idx="19">
                        <c:v>122.21917808219177</c:v>
                      </c:pt>
                      <c:pt idx="20">
                        <c:v>161.52941176470588</c:v>
                      </c:pt>
                      <c:pt idx="21">
                        <c:v>73.630769230769232</c:v>
                      </c:pt>
                      <c:pt idx="22">
                        <c:v>454.71875</c:v>
                      </c:pt>
                      <c:pt idx="23">
                        <c:v>67.983870967741936</c:v>
                      </c:pt>
                      <c:pt idx="24">
                        <c:v>187.03030303030303</c:v>
                      </c:pt>
                      <c:pt idx="25">
                        <c:v>209.76623376623377</c:v>
                      </c:pt>
                      <c:pt idx="26">
                        <c:v>356.54117647058825</c:v>
                      </c:pt>
                      <c:pt idx="27">
                        <c:v>261.1686746987952</c:v>
                      </c:pt>
                      <c:pt idx="28">
                        <c:v>266.56626506024094</c:v>
                      </c:pt>
                      <c:pt idx="29">
                        <c:v>216.08988764044943</c:v>
                      </c:pt>
                      <c:pt idx="30">
                        <c:v>124.88888888888889</c:v>
                      </c:pt>
                      <c:pt idx="31">
                        <c:v>180.4712643678161</c:v>
                      </c:pt>
                      <c:pt idx="32">
                        <c:v>137.60975609756099</c:v>
                      </c:pt>
                      <c:pt idx="33">
                        <c:v>417.16666666666669</c:v>
                      </c:pt>
                      <c:pt idx="34">
                        <c:v>-173.35955056179776</c:v>
                      </c:pt>
                      <c:pt idx="35">
                        <c:v>243.79310344827587</c:v>
                      </c:pt>
                      <c:pt idx="36">
                        <c:v>170.97752808988764</c:v>
                      </c:pt>
                      <c:pt idx="37">
                        <c:v>260.94186046511629</c:v>
                      </c:pt>
                      <c:pt idx="38">
                        <c:v>132.13684210526316</c:v>
                      </c:pt>
                      <c:pt idx="39">
                        <c:v>469</c:v>
                      </c:pt>
                      <c:pt idx="40">
                        <c:v>631.53465346534654</c:v>
                      </c:pt>
                      <c:pt idx="41">
                        <c:v>940.76576576576576</c:v>
                      </c:pt>
                      <c:pt idx="42">
                        <c:v>329.78125</c:v>
                      </c:pt>
                      <c:pt idx="43">
                        <c:v>257.41221374045801</c:v>
                      </c:pt>
                      <c:pt idx="44">
                        <c:v>344.48920863309354</c:v>
                      </c:pt>
                      <c:pt idx="45">
                        <c:v>586.43703703703704</c:v>
                      </c:pt>
                      <c:pt idx="46">
                        <c:v>-75.0546875</c:v>
                      </c:pt>
                      <c:pt idx="47">
                        <c:v>52.65</c:v>
                      </c:pt>
                      <c:pt idx="48">
                        <c:v>387.27966101694915</c:v>
                      </c:pt>
                      <c:pt idx="49">
                        <c:v>389.64545454545453</c:v>
                      </c:pt>
                      <c:pt idx="50">
                        <c:v>241.52586206896552</c:v>
                      </c:pt>
                      <c:pt idx="51">
                        <c:v>703.017094017094</c:v>
                      </c:pt>
                      <c:pt idx="52">
                        <c:v>247.70634920634922</c:v>
                      </c:pt>
                      <c:pt idx="53">
                        <c:v>428.5040650406504</c:v>
                      </c:pt>
                      <c:pt idx="54">
                        <c:v>233.50495049504951</c:v>
                      </c:pt>
                      <c:pt idx="55">
                        <c:v>448.76923076923077</c:v>
                      </c:pt>
                      <c:pt idx="56">
                        <c:v>-96.402298850574709</c:v>
                      </c:pt>
                      <c:pt idx="57">
                        <c:v>261.46590909090907</c:v>
                      </c:pt>
                      <c:pt idx="58">
                        <c:v>115.25675675675676</c:v>
                      </c:pt>
                      <c:pt idx="59">
                        <c:v>297.52564102564105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7D-4ACF-9421-499FC4541091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Totals'!$AR$3</c15:sqref>
                        </c15:formulaRef>
                      </c:ext>
                    </c:extLst>
                    <c:strCache>
                      <c:ptCount val="1"/>
                      <c:pt idx="0">
                        <c:v>Scrap per total team member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Totals'!$AR$82:$AR$144</c15:sqref>
                        </c15:formulaRef>
                      </c:ext>
                    </c:extLst>
                    <c:numCache>
                      <c:formatCode>"$"#,##0</c:formatCode>
                      <c:ptCount val="63"/>
                      <c:pt idx="0">
                        <c:v>334.50819672131149</c:v>
                      </c:pt>
                      <c:pt idx="1">
                        <c:v>173.47107438016528</c:v>
                      </c:pt>
                      <c:pt idx="2">
                        <c:v>197.18181818181819</c:v>
                      </c:pt>
                      <c:pt idx="3">
                        <c:v>238.04761904761904</c:v>
                      </c:pt>
                      <c:pt idx="4">
                        <c:v>206.828125</c:v>
                      </c:pt>
                      <c:pt idx="5">
                        <c:v>280.67716535433073</c:v>
                      </c:pt>
                      <c:pt idx="6">
                        <c:v>230.48062015503876</c:v>
                      </c:pt>
                      <c:pt idx="7">
                        <c:v>101.37037037037037</c:v>
                      </c:pt>
                      <c:pt idx="8">
                        <c:v>-119.03846153846153</c:v>
                      </c:pt>
                      <c:pt idx="9">
                        <c:v>145.34375</c:v>
                      </c:pt>
                      <c:pt idx="10">
                        <c:v>201.38095238095238</c:v>
                      </c:pt>
                      <c:pt idx="11">
                        <c:v>97.4015748031496</c:v>
                      </c:pt>
                      <c:pt idx="12">
                        <c:v>197.74809160305344</c:v>
                      </c:pt>
                      <c:pt idx="13">
                        <c:v>123.82442748091603</c:v>
                      </c:pt>
                      <c:pt idx="14">
                        <c:v>984.96992481203006</c:v>
                      </c:pt>
                      <c:pt idx="15">
                        <c:v>-9.2727272727272734</c:v>
                      </c:pt>
                      <c:pt idx="16">
                        <c:v>192.9140625</c:v>
                      </c:pt>
                      <c:pt idx="17">
                        <c:v>118.828125</c:v>
                      </c:pt>
                      <c:pt idx="18">
                        <c:v>4.625</c:v>
                      </c:pt>
                      <c:pt idx="19">
                        <c:v>71.951612903225808</c:v>
                      </c:pt>
                      <c:pt idx="20">
                        <c:v>87.174603174603178</c:v>
                      </c:pt>
                      <c:pt idx="21">
                        <c:v>39.553719008264466</c:v>
                      </c:pt>
                      <c:pt idx="22">
                        <c:v>244.55462184873949</c:v>
                      </c:pt>
                      <c:pt idx="23">
                        <c:v>36.025641025641029</c:v>
                      </c:pt>
                      <c:pt idx="24">
                        <c:v>104.61016949152543</c:v>
                      </c:pt>
                      <c:pt idx="25">
                        <c:v>126.1875</c:v>
                      </c:pt>
                      <c:pt idx="26">
                        <c:v>224.48888888888888</c:v>
                      </c:pt>
                      <c:pt idx="27">
                        <c:v>164.21969696969697</c:v>
                      </c:pt>
                      <c:pt idx="28">
                        <c:v>163.88888888888889</c:v>
                      </c:pt>
                      <c:pt idx="29">
                        <c:v>136.39716312056737</c:v>
                      </c:pt>
                      <c:pt idx="30">
                        <c:v>79.716312056737593</c:v>
                      </c:pt>
                      <c:pt idx="31">
                        <c:v>112.9568345323741</c:v>
                      </c:pt>
                      <c:pt idx="32">
                        <c:v>82.970588235294116</c:v>
                      </c:pt>
                      <c:pt idx="33">
                        <c:v>246.50757575757575</c:v>
                      </c:pt>
                      <c:pt idx="34">
                        <c:v>-111.80434782608695</c:v>
                      </c:pt>
                      <c:pt idx="35">
                        <c:v>155.95588235294119</c:v>
                      </c:pt>
                      <c:pt idx="36">
                        <c:v>108.69285714285714</c:v>
                      </c:pt>
                      <c:pt idx="37">
                        <c:v>162.6159420289855</c:v>
                      </c:pt>
                      <c:pt idx="38">
                        <c:v>85.394557823129247</c:v>
                      </c:pt>
                      <c:pt idx="39">
                        <c:v>302.38157894736844</c:v>
                      </c:pt>
                      <c:pt idx="40">
                        <c:v>414.18831168831167</c:v>
                      </c:pt>
                      <c:pt idx="41">
                        <c:v>603.61271676300578</c:v>
                      </c:pt>
                      <c:pt idx="42">
                        <c:v>228.17297297297299</c:v>
                      </c:pt>
                      <c:pt idx="43">
                        <c:v>176.54973821989529</c:v>
                      </c:pt>
                      <c:pt idx="44">
                        <c:v>239.42</c:v>
                      </c:pt>
                      <c:pt idx="45">
                        <c:v>397.83417085427135</c:v>
                      </c:pt>
                      <c:pt idx="46">
                        <c:v>-49.777202072538863</c:v>
                      </c:pt>
                      <c:pt idx="47">
                        <c:v>34.524590163934427</c:v>
                      </c:pt>
                      <c:pt idx="48">
                        <c:v>244.37967914438502</c:v>
                      </c:pt>
                      <c:pt idx="49">
                        <c:v>238.11666666666667</c:v>
                      </c:pt>
                      <c:pt idx="50">
                        <c:v>149.8235294117647</c:v>
                      </c:pt>
                      <c:pt idx="51">
                        <c:v>430.64397905759165</c:v>
                      </c:pt>
                      <c:pt idx="52">
                        <c:v>156.8391959798995</c:v>
                      </c:pt>
                      <c:pt idx="53">
                        <c:v>264.8542713567839</c:v>
                      </c:pt>
                      <c:pt idx="54">
                        <c:v>139.55029585798817</c:v>
                      </c:pt>
                      <c:pt idx="55">
                        <c:v>266.91503267973854</c:v>
                      </c:pt>
                      <c:pt idx="56">
                        <c:v>-57.054421768707485</c:v>
                      </c:pt>
                      <c:pt idx="57">
                        <c:v>162.03521126760563</c:v>
                      </c:pt>
                      <c:pt idx="58">
                        <c:v>62.255474452554743</c:v>
                      </c:pt>
                      <c:pt idx="59">
                        <c:v>170.63970588235293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7D-4ACF-9421-499FC4541091}"/>
                  </c:ext>
                </c:extLst>
              </c15:ser>
            </c15:filteredLineSeries>
          </c:ext>
        </c:extLst>
      </c:lineChart>
      <c:dateAx>
        <c:axId val="3473574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45311"/>
        <c:crosses val="autoZero"/>
        <c:auto val="1"/>
        <c:lblOffset val="100"/>
        <c:baseTimeUnit val="months"/>
      </c:dateAx>
      <c:valAx>
        <c:axId val="29984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'Group Totals'!$AS$3</c:f>
              <c:strCache>
                <c:ptCount val="1"/>
                <c:pt idx="0">
                  <c:v>Scrap as a % of Expenses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Totals'!$A$82:$A$144</c:f>
              <c:numCache>
                <c:formatCode>mmm\-yy</c:formatCode>
                <c:ptCount val="63"/>
                <c:pt idx="0">
                  <c:v>43221</c:v>
                </c:pt>
                <c:pt idx="1">
                  <c:v>43252</c:v>
                </c:pt>
                <c:pt idx="2">
                  <c:v>43282</c:v>
                </c:pt>
                <c:pt idx="3">
                  <c:v>43313</c:v>
                </c:pt>
                <c:pt idx="4">
                  <c:v>43344</c:v>
                </c:pt>
                <c:pt idx="5">
                  <c:v>43374</c:v>
                </c:pt>
                <c:pt idx="6">
                  <c:v>43405</c:v>
                </c:pt>
                <c:pt idx="7">
                  <c:v>43435</c:v>
                </c:pt>
                <c:pt idx="8">
                  <c:v>43466</c:v>
                </c:pt>
                <c:pt idx="9">
                  <c:v>43497</c:v>
                </c:pt>
                <c:pt idx="10">
                  <c:v>43525</c:v>
                </c:pt>
                <c:pt idx="11">
                  <c:v>43556</c:v>
                </c:pt>
                <c:pt idx="12">
                  <c:v>43586</c:v>
                </c:pt>
                <c:pt idx="13">
                  <c:v>43617</c:v>
                </c:pt>
                <c:pt idx="14">
                  <c:v>43647</c:v>
                </c:pt>
                <c:pt idx="15">
                  <c:v>43678</c:v>
                </c:pt>
                <c:pt idx="16">
                  <c:v>43709</c:v>
                </c:pt>
                <c:pt idx="17">
                  <c:v>43739</c:v>
                </c:pt>
                <c:pt idx="18">
                  <c:v>43770</c:v>
                </c:pt>
                <c:pt idx="19">
                  <c:v>43800</c:v>
                </c:pt>
                <c:pt idx="20">
                  <c:v>43831</c:v>
                </c:pt>
                <c:pt idx="21">
                  <c:v>43862</c:v>
                </c:pt>
                <c:pt idx="22">
                  <c:v>43891</c:v>
                </c:pt>
                <c:pt idx="23">
                  <c:v>43922</c:v>
                </c:pt>
                <c:pt idx="24">
                  <c:v>43952</c:v>
                </c:pt>
                <c:pt idx="25">
                  <c:v>43983</c:v>
                </c:pt>
                <c:pt idx="26">
                  <c:v>44013</c:v>
                </c:pt>
                <c:pt idx="27">
                  <c:v>44044</c:v>
                </c:pt>
                <c:pt idx="28">
                  <c:v>44075</c:v>
                </c:pt>
                <c:pt idx="29">
                  <c:v>44105</c:v>
                </c:pt>
                <c:pt idx="30">
                  <c:v>44136</c:v>
                </c:pt>
                <c:pt idx="31">
                  <c:v>44166</c:v>
                </c:pt>
                <c:pt idx="32">
                  <c:v>44197</c:v>
                </c:pt>
                <c:pt idx="33">
                  <c:v>44228</c:v>
                </c:pt>
                <c:pt idx="34">
                  <c:v>44256</c:v>
                </c:pt>
                <c:pt idx="35">
                  <c:v>44287</c:v>
                </c:pt>
                <c:pt idx="36">
                  <c:v>44317</c:v>
                </c:pt>
                <c:pt idx="37">
                  <c:v>44348</c:v>
                </c:pt>
                <c:pt idx="38">
                  <c:v>44378</c:v>
                </c:pt>
                <c:pt idx="39">
                  <c:v>44409</c:v>
                </c:pt>
                <c:pt idx="40">
                  <c:v>44440</c:v>
                </c:pt>
                <c:pt idx="41">
                  <c:v>44470</c:v>
                </c:pt>
                <c:pt idx="42">
                  <c:v>44501</c:v>
                </c:pt>
                <c:pt idx="43">
                  <c:v>44531</c:v>
                </c:pt>
                <c:pt idx="44">
                  <c:v>44562</c:v>
                </c:pt>
                <c:pt idx="45">
                  <c:v>44593</c:v>
                </c:pt>
                <c:pt idx="46">
                  <c:v>44621</c:v>
                </c:pt>
                <c:pt idx="47">
                  <c:v>44652</c:v>
                </c:pt>
                <c:pt idx="48">
                  <c:v>44682</c:v>
                </c:pt>
                <c:pt idx="49">
                  <c:v>44713</c:v>
                </c:pt>
                <c:pt idx="50">
                  <c:v>44743</c:v>
                </c:pt>
                <c:pt idx="51">
                  <c:v>44774</c:v>
                </c:pt>
                <c:pt idx="52">
                  <c:v>44805</c:v>
                </c:pt>
                <c:pt idx="53">
                  <c:v>44835</c:v>
                </c:pt>
                <c:pt idx="54">
                  <c:v>44866</c:v>
                </c:pt>
                <c:pt idx="55">
                  <c:v>44896</c:v>
                </c:pt>
                <c:pt idx="56">
                  <c:v>44927</c:v>
                </c:pt>
                <c:pt idx="57">
                  <c:v>44958</c:v>
                </c:pt>
                <c:pt idx="58">
                  <c:v>44986</c:v>
                </c:pt>
                <c:pt idx="59">
                  <c:v>45017</c:v>
                </c:pt>
                <c:pt idx="60">
                  <c:v>45047</c:v>
                </c:pt>
                <c:pt idx="61">
                  <c:v>45078</c:v>
                </c:pt>
                <c:pt idx="62">
                  <c:v>45108</c:v>
                </c:pt>
              </c:numCache>
            </c:numRef>
          </c:cat>
          <c:val>
            <c:numRef>
              <c:f>'Group Totals'!$AS$82:$AS$144</c:f>
              <c:numCache>
                <c:formatCode>0.0%</c:formatCode>
                <c:ptCount val="63"/>
                <c:pt idx="0">
                  <c:v>4.4168291906845056E-2</c:v>
                </c:pt>
                <c:pt idx="1">
                  <c:v>2.0131029118540974E-2</c:v>
                </c:pt>
                <c:pt idx="2">
                  <c:v>2.4277322544768914E-2</c:v>
                </c:pt>
                <c:pt idx="3">
                  <c:v>2.6167774221156691E-2</c:v>
                </c:pt>
                <c:pt idx="4">
                  <c:v>2.6156951589780274E-2</c:v>
                </c:pt>
                <c:pt idx="5">
                  <c:v>3.3240020813478779E-2</c:v>
                </c:pt>
                <c:pt idx="6">
                  <c:v>2.6511182900590197E-2</c:v>
                </c:pt>
                <c:pt idx="7">
                  <c:v>1.4874789812752646E-2</c:v>
                </c:pt>
                <c:pt idx="8">
                  <c:v>-1.882837043039404E-2</c:v>
                </c:pt>
                <c:pt idx="9">
                  <c:v>1.7935697958373062E-2</c:v>
                </c:pt>
                <c:pt idx="10">
                  <c:v>2.420760496974288E-2</c:v>
                </c:pt>
                <c:pt idx="11">
                  <c:v>1.2517240297620915E-2</c:v>
                </c:pt>
                <c:pt idx="12">
                  <c:v>2.2566254890226341E-2</c:v>
                </c:pt>
                <c:pt idx="13">
                  <c:v>1.5574951031224795E-2</c:v>
                </c:pt>
                <c:pt idx="14">
                  <c:v>0.10170948266759421</c:v>
                </c:pt>
                <c:pt idx="15">
                  <c:v>-1.1076241462063873E-3</c:v>
                </c:pt>
                <c:pt idx="16">
                  <c:v>2.281730356078562E-2</c:v>
                </c:pt>
                <c:pt idx="17">
                  <c:v>1.3572238036174787E-2</c:v>
                </c:pt>
                <c:pt idx="18">
                  <c:v>5.3469463697666309E-4</c:v>
                </c:pt>
                <c:pt idx="19">
                  <c:v>9.1601454617136306E-3</c:v>
                </c:pt>
                <c:pt idx="20">
                  <c:v>1.0254255880279882E-2</c:v>
                </c:pt>
                <c:pt idx="21">
                  <c:v>4.5209886852481257E-3</c:v>
                </c:pt>
                <c:pt idx="22">
                  <c:v>2.6412974323089252E-2</c:v>
                </c:pt>
                <c:pt idx="23">
                  <c:v>4.1143345759307032E-3</c:v>
                </c:pt>
                <c:pt idx="24">
                  <c:v>1.2640249528192241E-2</c:v>
                </c:pt>
                <c:pt idx="25">
                  <c:v>1.3376740934963962E-2</c:v>
                </c:pt>
                <c:pt idx="26">
                  <c:v>2.4396369766082719E-2</c:v>
                </c:pt>
                <c:pt idx="27">
                  <c:v>1.8752946774228431E-2</c:v>
                </c:pt>
                <c:pt idx="28">
                  <c:v>1.7371920851565671E-2</c:v>
                </c:pt>
                <c:pt idx="29">
                  <c:v>1.54246428559971E-2</c:v>
                </c:pt>
                <c:pt idx="30">
                  <c:v>8.9604377540551169E-3</c:v>
                </c:pt>
                <c:pt idx="31">
                  <c:v>1.2790746932045542E-2</c:v>
                </c:pt>
                <c:pt idx="32">
                  <c:v>1.0249721139277759E-2</c:v>
                </c:pt>
                <c:pt idx="33">
                  <c:v>2.7622921107565465E-2</c:v>
                </c:pt>
                <c:pt idx="34">
                  <c:v>-1.2492975788128717E-2</c:v>
                </c:pt>
                <c:pt idx="35">
                  <c:v>2.1112103177565629E-2</c:v>
                </c:pt>
                <c:pt idx="36">
                  <c:v>1.514676445323037E-2</c:v>
                </c:pt>
                <c:pt idx="37">
                  <c:v>1.5777443900820264E-2</c:v>
                </c:pt>
                <c:pt idx="38">
                  <c:v>8.2824955826250359E-3</c:v>
                </c:pt>
                <c:pt idx="39">
                  <c:v>3.2772601130020847E-2</c:v>
                </c:pt>
                <c:pt idx="40">
                  <c:v>4.2293201923931246E-2</c:v>
                </c:pt>
                <c:pt idx="41">
                  <c:v>6.7004517872256059E-2</c:v>
                </c:pt>
                <c:pt idx="42">
                  <c:v>2.4083393857513624E-2</c:v>
                </c:pt>
                <c:pt idx="43">
                  <c:v>2.0973771123979176E-2</c:v>
                </c:pt>
                <c:pt idx="44">
                  <c:v>3.6301305994900959E-2</c:v>
                </c:pt>
                <c:pt idx="45">
                  <c:v>4.3897299979761634E-2</c:v>
                </c:pt>
                <c:pt idx="46">
                  <c:v>-6.7176556801145648E-3</c:v>
                </c:pt>
                <c:pt idx="47">
                  <c:v>3.9985975162874178E-3</c:v>
                </c:pt>
                <c:pt idx="48">
                  <c:v>2.7929293947889032E-2</c:v>
                </c:pt>
                <c:pt idx="49">
                  <c:v>2.5309496744858943E-2</c:v>
                </c:pt>
                <c:pt idx="50">
                  <c:v>1.5835523526918187E-2</c:v>
                </c:pt>
                <c:pt idx="51">
                  <c:v>3.9411715945087231E-2</c:v>
                </c:pt>
                <c:pt idx="52">
                  <c:v>1.6994410700527349E-2</c:v>
                </c:pt>
                <c:pt idx="53">
                  <c:v>2.8800605017073481E-2</c:v>
                </c:pt>
                <c:pt idx="54">
                  <c:v>1.2114705466873852E-2</c:v>
                </c:pt>
                <c:pt idx="55">
                  <c:v>3.0760400597763207E-2</c:v>
                </c:pt>
                <c:pt idx="56">
                  <c:v>-7.345528878955108E-3</c:v>
                </c:pt>
                <c:pt idx="57">
                  <c:v>1.9016268252609169E-2</c:v>
                </c:pt>
                <c:pt idx="58">
                  <c:v>8.62824203994343E-3</c:v>
                </c:pt>
                <c:pt idx="59">
                  <c:v>1.8087553203843691E-2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4B-4810-94E8-201DB4BC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357423"/>
        <c:axId val="2998453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'Group Totals'!$AM$3</c15:sqref>
                        </c15:formulaRef>
                      </c:ext>
                    </c:extLst>
                    <c:strCache>
                      <c:ptCount val="1"/>
                      <c:pt idx="0">
                        <c:v>Scrap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'Group Totals'!$AM$82:$AM$144</c15:sqref>
                        </c15:formulaRef>
                      </c:ext>
                    </c:extLst>
                    <c:numCache>
                      <c:formatCode>"$"#,##0</c:formatCode>
                      <c:ptCount val="63"/>
                      <c:pt idx="0">
                        <c:v>40810</c:v>
                      </c:pt>
                      <c:pt idx="1">
                        <c:v>20990</c:v>
                      </c:pt>
                      <c:pt idx="2">
                        <c:v>23859</c:v>
                      </c:pt>
                      <c:pt idx="3">
                        <c:v>29994</c:v>
                      </c:pt>
                      <c:pt idx="4">
                        <c:v>26474</c:v>
                      </c:pt>
                      <c:pt idx="5">
                        <c:v>35646</c:v>
                      </c:pt>
                      <c:pt idx="6">
                        <c:v>29732</c:v>
                      </c:pt>
                      <c:pt idx="7">
                        <c:v>13685</c:v>
                      </c:pt>
                      <c:pt idx="8">
                        <c:v>-15475</c:v>
                      </c:pt>
                      <c:pt idx="9">
                        <c:v>18604</c:v>
                      </c:pt>
                      <c:pt idx="10">
                        <c:v>25374</c:v>
                      </c:pt>
                      <c:pt idx="11">
                        <c:v>12370</c:v>
                      </c:pt>
                      <c:pt idx="12">
                        <c:v>25905</c:v>
                      </c:pt>
                      <c:pt idx="13">
                        <c:v>16221</c:v>
                      </c:pt>
                      <c:pt idx="14">
                        <c:v>131001</c:v>
                      </c:pt>
                      <c:pt idx="15">
                        <c:v>-1224</c:v>
                      </c:pt>
                      <c:pt idx="16">
                        <c:v>24693</c:v>
                      </c:pt>
                      <c:pt idx="17">
                        <c:v>15210</c:v>
                      </c:pt>
                      <c:pt idx="18">
                        <c:v>592</c:v>
                      </c:pt>
                      <c:pt idx="19">
                        <c:v>8922</c:v>
                      </c:pt>
                      <c:pt idx="20">
                        <c:v>10984</c:v>
                      </c:pt>
                      <c:pt idx="21">
                        <c:v>4786</c:v>
                      </c:pt>
                      <c:pt idx="22">
                        <c:v>29102</c:v>
                      </c:pt>
                      <c:pt idx="23">
                        <c:v>4215</c:v>
                      </c:pt>
                      <c:pt idx="24">
                        <c:v>12344</c:v>
                      </c:pt>
                      <c:pt idx="25">
                        <c:v>16152</c:v>
                      </c:pt>
                      <c:pt idx="26">
                        <c:v>30306</c:v>
                      </c:pt>
                      <c:pt idx="27">
                        <c:v>21677</c:v>
                      </c:pt>
                      <c:pt idx="28">
                        <c:v>22125</c:v>
                      </c:pt>
                      <c:pt idx="29">
                        <c:v>19232</c:v>
                      </c:pt>
                      <c:pt idx="30">
                        <c:v>11240</c:v>
                      </c:pt>
                      <c:pt idx="31">
                        <c:v>15701</c:v>
                      </c:pt>
                      <c:pt idx="32">
                        <c:v>11284</c:v>
                      </c:pt>
                      <c:pt idx="33">
                        <c:v>32539</c:v>
                      </c:pt>
                      <c:pt idx="34">
                        <c:v>-15429</c:v>
                      </c:pt>
                      <c:pt idx="35">
                        <c:v>21210</c:v>
                      </c:pt>
                      <c:pt idx="36">
                        <c:v>15217</c:v>
                      </c:pt>
                      <c:pt idx="37">
                        <c:v>22441</c:v>
                      </c:pt>
                      <c:pt idx="38">
                        <c:v>12553</c:v>
                      </c:pt>
                      <c:pt idx="39">
                        <c:v>45962</c:v>
                      </c:pt>
                      <c:pt idx="40">
                        <c:v>63785</c:v>
                      </c:pt>
                      <c:pt idx="41">
                        <c:v>104425</c:v>
                      </c:pt>
                      <c:pt idx="42">
                        <c:v>42212</c:v>
                      </c:pt>
                      <c:pt idx="43">
                        <c:v>33721</c:v>
                      </c:pt>
                      <c:pt idx="44">
                        <c:v>47884</c:v>
                      </c:pt>
                      <c:pt idx="45">
                        <c:v>79169</c:v>
                      </c:pt>
                      <c:pt idx="46">
                        <c:v>-9607</c:v>
                      </c:pt>
                      <c:pt idx="47">
                        <c:v>6318</c:v>
                      </c:pt>
                      <c:pt idx="48">
                        <c:v>45699</c:v>
                      </c:pt>
                      <c:pt idx="49">
                        <c:v>42861</c:v>
                      </c:pt>
                      <c:pt idx="50">
                        <c:v>28017</c:v>
                      </c:pt>
                      <c:pt idx="51">
                        <c:v>82253</c:v>
                      </c:pt>
                      <c:pt idx="52">
                        <c:v>31211</c:v>
                      </c:pt>
                      <c:pt idx="53">
                        <c:v>52706</c:v>
                      </c:pt>
                      <c:pt idx="54">
                        <c:v>23584</c:v>
                      </c:pt>
                      <c:pt idx="55">
                        <c:v>40838</c:v>
                      </c:pt>
                      <c:pt idx="56">
                        <c:v>-8387</c:v>
                      </c:pt>
                      <c:pt idx="57">
                        <c:v>23009</c:v>
                      </c:pt>
                      <c:pt idx="58">
                        <c:v>8529</c:v>
                      </c:pt>
                      <c:pt idx="59">
                        <c:v>23207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4B-4810-94E8-201DB4BC10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Totals'!$AO$3</c15:sqref>
                        </c15:formulaRef>
                      </c:ext>
                    </c:extLst>
                    <c:strCache>
                      <c:ptCount val="1"/>
                      <c:pt idx="0">
                        <c:v>Scrap as % of FG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Totals'!$AO$82:$AO$144</c15:sqref>
                        </c15:formulaRef>
                      </c:ext>
                    </c:extLst>
                    <c:numCache>
                      <c:formatCode>0.00%</c:formatCode>
                      <c:ptCount val="63"/>
                      <c:pt idx="0">
                        <c:v>8.8040198537658997E-3</c:v>
                      </c:pt>
                      <c:pt idx="1">
                        <c:v>4.4704341776402477E-3</c:v>
                      </c:pt>
                      <c:pt idx="2">
                        <c:v>4.6118438680061644E-3</c:v>
                      </c:pt>
                      <c:pt idx="3">
                        <c:v>4.9721848001981648E-3</c:v>
                      </c:pt>
                      <c:pt idx="4">
                        <c:v>4.7706578585457165E-3</c:v>
                      </c:pt>
                      <c:pt idx="5">
                        <c:v>6.2858966296696116E-3</c:v>
                      </c:pt>
                      <c:pt idx="6">
                        <c:v>4.5996576528584071E-3</c:v>
                      </c:pt>
                      <c:pt idx="7">
                        <c:v>3.9595906944624708E-3</c:v>
                      </c:pt>
                      <c:pt idx="8">
                        <c:v>-3.5083064942974512E-3</c:v>
                      </c:pt>
                      <c:pt idx="9">
                        <c:v>3.9088628990920863E-3</c:v>
                      </c:pt>
                      <c:pt idx="10">
                        <c:v>4.5785130156818232E-3</c:v>
                      </c:pt>
                      <c:pt idx="11">
                        <c:v>3.3320652360405516E-3</c:v>
                      </c:pt>
                      <c:pt idx="12">
                        <c:v>4.6529130460646311E-3</c:v>
                      </c:pt>
                      <c:pt idx="13">
                        <c:v>3.6012333388315727E-3</c:v>
                      </c:pt>
                      <c:pt idx="14">
                        <c:v>2.6131867622562553E-2</c:v>
                      </c:pt>
                      <c:pt idx="15">
                        <c:v>-2.2213585097993207E-4</c:v>
                      </c:pt>
                      <c:pt idx="16">
                        <c:v>4.5198532756747485E-3</c:v>
                      </c:pt>
                      <c:pt idx="17">
                        <c:v>2.7680588106761424E-3</c:v>
                      </c:pt>
                      <c:pt idx="18">
                        <c:v>1.0794402235242089E-4</c:v>
                      </c:pt>
                      <c:pt idx="19">
                        <c:v>2.3279418370855164E-3</c:v>
                      </c:pt>
                      <c:pt idx="20">
                        <c:v>2.1045684252311925E-3</c:v>
                      </c:pt>
                      <c:pt idx="21">
                        <c:v>9.5750831001575854E-4</c:v>
                      </c:pt>
                      <c:pt idx="22">
                        <c:v>7.5522599285345795E-3</c:v>
                      </c:pt>
                      <c:pt idx="23">
                        <c:v>1.8233722371033142E-3</c:v>
                      </c:pt>
                      <c:pt idx="24">
                        <c:v>2.0108322543110368E-3</c:v>
                      </c:pt>
                      <c:pt idx="25">
                        <c:v>2.5116048209377529E-3</c:v>
                      </c:pt>
                      <c:pt idx="26">
                        <c:v>4.0672233946539354E-3</c:v>
                      </c:pt>
                      <c:pt idx="27">
                        <c:v>3.855913322441124E-3</c:v>
                      </c:pt>
                      <c:pt idx="28">
                        <c:v>3.7341967527593817E-3</c:v>
                      </c:pt>
                      <c:pt idx="29">
                        <c:v>3.4047561426619735E-3</c:v>
                      </c:pt>
                      <c:pt idx="30">
                        <c:v>1.8263549189311275E-3</c:v>
                      </c:pt>
                      <c:pt idx="31">
                        <c:v>3.4369398910931576E-3</c:v>
                      </c:pt>
                      <c:pt idx="32">
                        <c:v>2.3313404133026069E-3</c:v>
                      </c:pt>
                      <c:pt idx="33">
                        <c:v>7.0734757593405246E-3</c:v>
                      </c:pt>
                      <c:pt idx="34">
                        <c:v>-2.7710069590367262E-3</c:v>
                      </c:pt>
                      <c:pt idx="35">
                        <c:v>4.3784599587669212E-3</c:v>
                      </c:pt>
                      <c:pt idx="36">
                        <c:v>2.7845891463789546E-3</c:v>
                      </c:pt>
                      <c:pt idx="37">
                        <c:v>4.1065225470797136E-3</c:v>
                      </c:pt>
                      <c:pt idx="38">
                        <c:v>1.7966811850567308E-3</c:v>
                      </c:pt>
                      <c:pt idx="39">
                        <c:v>4.5312312069546836E-3</c:v>
                      </c:pt>
                      <c:pt idx="40">
                        <c:v>3.8778736983497591E-3</c:v>
                      </c:pt>
                      <c:pt idx="41">
                        <c:v>6.0970362069072224E-3</c:v>
                      </c:pt>
                      <c:pt idx="42">
                        <c:v>2.7476332809131527E-3</c:v>
                      </c:pt>
                      <c:pt idx="43">
                        <c:v>3.0037420955913463E-3</c:v>
                      </c:pt>
                      <c:pt idx="44">
                        <c:v>4.9196983864470143E-3</c:v>
                      </c:pt>
                      <c:pt idx="45">
                        <c:v>7.6074443776076748E-3</c:v>
                      </c:pt>
                      <c:pt idx="46">
                        <c:v>-9.0131826826804289E-4</c:v>
                      </c:pt>
                      <c:pt idx="47">
                        <c:v>7.0432505526577178E-4</c:v>
                      </c:pt>
                      <c:pt idx="48">
                        <c:v>4.8438938890556556E-3</c:v>
                      </c:pt>
                      <c:pt idx="49">
                        <c:v>4.5911832057879695E-3</c:v>
                      </c:pt>
                      <c:pt idx="50">
                        <c:v>3.2544870149255464E-3</c:v>
                      </c:pt>
                      <c:pt idx="51">
                        <c:v>7.9520154699489077E-3</c:v>
                      </c:pt>
                      <c:pt idx="52">
                        <c:v>3.1005076682704153E-3</c:v>
                      </c:pt>
                      <c:pt idx="53">
                        <c:v>5.4169964971336349E-3</c:v>
                      </c:pt>
                      <c:pt idx="54">
                        <c:v>3.1750010669048278E-3</c:v>
                      </c:pt>
                      <c:pt idx="55">
                        <c:v>9.9491748650680622E-3</c:v>
                      </c:pt>
                      <c:pt idx="56">
                        <c:v>-2.8678524240824377E-3</c:v>
                      </c:pt>
                      <c:pt idx="57">
                        <c:v>5.1796966875514387E-3</c:v>
                      </c:pt>
                      <c:pt idx="58">
                        <c:v>1.6648305187306608E-3</c:v>
                      </c:pt>
                      <c:pt idx="59">
                        <c:v>5.5217897384698409E-3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4B-4810-94E8-201DB4BC10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Totals'!$AP$3</c15:sqref>
                        </c15:formulaRef>
                      </c:ext>
                    </c:extLst>
                    <c:strCache>
                      <c:ptCount val="1"/>
                      <c:pt idx="0">
                        <c:v>Scrap per $100 to FG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Totals'!$AP$82:$AP$144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3"/>
                      <c:pt idx="0">
                        <c:v>0.88040198537658998</c:v>
                      </c:pt>
                      <c:pt idx="1">
                        <c:v>0.44704341776402479</c:v>
                      </c:pt>
                      <c:pt idx="2">
                        <c:v>0.46118438680061646</c:v>
                      </c:pt>
                      <c:pt idx="3">
                        <c:v>0.4972184800198165</c:v>
                      </c:pt>
                      <c:pt idx="4">
                        <c:v>0.47706578585457166</c:v>
                      </c:pt>
                      <c:pt idx="5">
                        <c:v>0.62858966296696117</c:v>
                      </c:pt>
                      <c:pt idx="6">
                        <c:v>0.45996576528584071</c:v>
                      </c:pt>
                      <c:pt idx="7">
                        <c:v>0.39595906944624709</c:v>
                      </c:pt>
                      <c:pt idx="8">
                        <c:v>-0.35083064942974512</c:v>
                      </c:pt>
                      <c:pt idx="9">
                        <c:v>0.39088628990920865</c:v>
                      </c:pt>
                      <c:pt idx="10">
                        <c:v>0.45785130156818232</c:v>
                      </c:pt>
                      <c:pt idx="11">
                        <c:v>0.33320652360405517</c:v>
                      </c:pt>
                      <c:pt idx="12">
                        <c:v>0.46529130460646312</c:v>
                      </c:pt>
                      <c:pt idx="13">
                        <c:v>0.36012333388315726</c:v>
                      </c:pt>
                      <c:pt idx="14">
                        <c:v>2.6131867622562552</c:v>
                      </c:pt>
                      <c:pt idx="15">
                        <c:v>-2.2213585097993208E-2</c:v>
                      </c:pt>
                      <c:pt idx="16">
                        <c:v>0.45198532756747484</c:v>
                      </c:pt>
                      <c:pt idx="17">
                        <c:v>0.27680588106761422</c:v>
                      </c:pt>
                      <c:pt idx="18">
                        <c:v>1.079440223524209E-2</c:v>
                      </c:pt>
                      <c:pt idx="19">
                        <c:v>0.23279418370855165</c:v>
                      </c:pt>
                      <c:pt idx="20">
                        <c:v>0.21045684252311925</c:v>
                      </c:pt>
                      <c:pt idx="21">
                        <c:v>9.5750831001575859E-2</c:v>
                      </c:pt>
                      <c:pt idx="22">
                        <c:v>0.75522599285345793</c:v>
                      </c:pt>
                      <c:pt idx="23">
                        <c:v>0.18233722371033143</c:v>
                      </c:pt>
                      <c:pt idx="24">
                        <c:v>0.20108322543110368</c:v>
                      </c:pt>
                      <c:pt idx="25">
                        <c:v>0.25116048209377528</c:v>
                      </c:pt>
                      <c:pt idx="26">
                        <c:v>0.40672233946539355</c:v>
                      </c:pt>
                      <c:pt idx="27">
                        <c:v>0.38559133224411241</c:v>
                      </c:pt>
                      <c:pt idx="28">
                        <c:v>0.37341967527593817</c:v>
                      </c:pt>
                      <c:pt idx="29">
                        <c:v>0.34047561426619732</c:v>
                      </c:pt>
                      <c:pt idx="30">
                        <c:v>0.18263549189311273</c:v>
                      </c:pt>
                      <c:pt idx="31">
                        <c:v>0.34369398910931576</c:v>
                      </c:pt>
                      <c:pt idx="32">
                        <c:v>0.23313404133026069</c:v>
                      </c:pt>
                      <c:pt idx="33">
                        <c:v>0.70734757593405251</c:v>
                      </c:pt>
                      <c:pt idx="34">
                        <c:v>-0.27710069590367264</c:v>
                      </c:pt>
                      <c:pt idx="35">
                        <c:v>0.43784599587669215</c:v>
                      </c:pt>
                      <c:pt idx="36">
                        <c:v>0.27845891463789546</c:v>
                      </c:pt>
                      <c:pt idx="37">
                        <c:v>0.41065225470797134</c:v>
                      </c:pt>
                      <c:pt idx="38">
                        <c:v>0.17966811850567307</c:v>
                      </c:pt>
                      <c:pt idx="39">
                        <c:v>0.45312312069546834</c:v>
                      </c:pt>
                      <c:pt idx="40">
                        <c:v>0.38778736983497591</c:v>
                      </c:pt>
                      <c:pt idx="41">
                        <c:v>0.60970362069072226</c:v>
                      </c:pt>
                      <c:pt idx="42">
                        <c:v>0.27476332809131526</c:v>
                      </c:pt>
                      <c:pt idx="43">
                        <c:v>0.30037420955913463</c:v>
                      </c:pt>
                      <c:pt idx="44">
                        <c:v>0.49196983864470145</c:v>
                      </c:pt>
                      <c:pt idx="45">
                        <c:v>0.7607444377607675</c:v>
                      </c:pt>
                      <c:pt idx="46">
                        <c:v>-9.013182682680429E-2</c:v>
                      </c:pt>
                      <c:pt idx="47">
                        <c:v>7.0432505526577177E-2</c:v>
                      </c:pt>
                      <c:pt idx="48">
                        <c:v>0.48438938890556554</c:v>
                      </c:pt>
                      <c:pt idx="49">
                        <c:v>0.45911832057879698</c:v>
                      </c:pt>
                      <c:pt idx="50">
                        <c:v>0.32544870149255462</c:v>
                      </c:pt>
                      <c:pt idx="51">
                        <c:v>0.79520154699489076</c:v>
                      </c:pt>
                      <c:pt idx="52">
                        <c:v>0.31005076682704152</c:v>
                      </c:pt>
                      <c:pt idx="53">
                        <c:v>0.54169964971336348</c:v>
                      </c:pt>
                      <c:pt idx="54">
                        <c:v>0.31750010669048279</c:v>
                      </c:pt>
                      <c:pt idx="55">
                        <c:v>0.99491748650680623</c:v>
                      </c:pt>
                      <c:pt idx="56">
                        <c:v>-0.28678524240824377</c:v>
                      </c:pt>
                      <c:pt idx="57">
                        <c:v>0.51796966875514383</c:v>
                      </c:pt>
                      <c:pt idx="58">
                        <c:v>0.16648305187306608</c:v>
                      </c:pt>
                      <c:pt idx="59">
                        <c:v>0.55217897384698411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4B-4810-94E8-201DB4BC10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Totals'!$AQ$3</c15:sqref>
                        </c15:formulaRef>
                      </c:ext>
                    </c:extLst>
                    <c:strCache>
                      <c:ptCount val="1"/>
                      <c:pt idx="0">
                        <c:v>Scrap per direct team member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Totals'!$AQ$82:$AQ$144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63"/>
                      <c:pt idx="0">
                        <c:v>536.97368421052636</c:v>
                      </c:pt>
                      <c:pt idx="1">
                        <c:v>276.18421052631578</c:v>
                      </c:pt>
                      <c:pt idx="2">
                        <c:v>309.85714285714283</c:v>
                      </c:pt>
                      <c:pt idx="3">
                        <c:v>361.37349397590361</c:v>
                      </c:pt>
                      <c:pt idx="4">
                        <c:v>311.45882352941175</c:v>
                      </c:pt>
                      <c:pt idx="5">
                        <c:v>429.46987951807228</c:v>
                      </c:pt>
                      <c:pt idx="6">
                        <c:v>337.86363636363637</c:v>
                      </c:pt>
                      <c:pt idx="7">
                        <c:v>150.38461538461539</c:v>
                      </c:pt>
                      <c:pt idx="8">
                        <c:v>-191.04938271604939</c:v>
                      </c:pt>
                      <c:pt idx="9">
                        <c:v>211.40909090909091</c:v>
                      </c:pt>
                      <c:pt idx="10">
                        <c:v>317.17500000000001</c:v>
                      </c:pt>
                      <c:pt idx="11">
                        <c:v>152.71604938271605</c:v>
                      </c:pt>
                      <c:pt idx="12">
                        <c:v>315.91463414634148</c:v>
                      </c:pt>
                      <c:pt idx="13">
                        <c:v>193.10714285714286</c:v>
                      </c:pt>
                      <c:pt idx="14">
                        <c:v>1658.2405063291139</c:v>
                      </c:pt>
                      <c:pt idx="15">
                        <c:v>-15.3</c:v>
                      </c:pt>
                      <c:pt idx="16">
                        <c:v>329.24</c:v>
                      </c:pt>
                      <c:pt idx="17">
                        <c:v>197.53246753246754</c:v>
                      </c:pt>
                      <c:pt idx="18">
                        <c:v>7.6883116883116882</c:v>
                      </c:pt>
                      <c:pt idx="19">
                        <c:v>122.21917808219177</c:v>
                      </c:pt>
                      <c:pt idx="20">
                        <c:v>161.52941176470588</c:v>
                      </c:pt>
                      <c:pt idx="21">
                        <c:v>73.630769230769232</c:v>
                      </c:pt>
                      <c:pt idx="22">
                        <c:v>454.71875</c:v>
                      </c:pt>
                      <c:pt idx="23">
                        <c:v>67.983870967741936</c:v>
                      </c:pt>
                      <c:pt idx="24">
                        <c:v>187.03030303030303</c:v>
                      </c:pt>
                      <c:pt idx="25">
                        <c:v>209.76623376623377</c:v>
                      </c:pt>
                      <c:pt idx="26">
                        <c:v>356.54117647058825</c:v>
                      </c:pt>
                      <c:pt idx="27">
                        <c:v>261.1686746987952</c:v>
                      </c:pt>
                      <c:pt idx="28">
                        <c:v>266.56626506024094</c:v>
                      </c:pt>
                      <c:pt idx="29">
                        <c:v>216.08988764044943</c:v>
                      </c:pt>
                      <c:pt idx="30">
                        <c:v>124.88888888888889</c:v>
                      </c:pt>
                      <c:pt idx="31">
                        <c:v>180.4712643678161</c:v>
                      </c:pt>
                      <c:pt idx="32">
                        <c:v>137.60975609756099</c:v>
                      </c:pt>
                      <c:pt idx="33">
                        <c:v>417.16666666666669</c:v>
                      </c:pt>
                      <c:pt idx="34">
                        <c:v>-173.35955056179776</c:v>
                      </c:pt>
                      <c:pt idx="35">
                        <c:v>243.79310344827587</c:v>
                      </c:pt>
                      <c:pt idx="36">
                        <c:v>170.97752808988764</c:v>
                      </c:pt>
                      <c:pt idx="37">
                        <c:v>260.94186046511629</c:v>
                      </c:pt>
                      <c:pt idx="38">
                        <c:v>132.13684210526316</c:v>
                      </c:pt>
                      <c:pt idx="39">
                        <c:v>469</c:v>
                      </c:pt>
                      <c:pt idx="40">
                        <c:v>631.53465346534654</c:v>
                      </c:pt>
                      <c:pt idx="41">
                        <c:v>940.76576576576576</c:v>
                      </c:pt>
                      <c:pt idx="42">
                        <c:v>329.78125</c:v>
                      </c:pt>
                      <c:pt idx="43">
                        <c:v>257.41221374045801</c:v>
                      </c:pt>
                      <c:pt idx="44">
                        <c:v>344.48920863309354</c:v>
                      </c:pt>
                      <c:pt idx="45">
                        <c:v>586.43703703703704</c:v>
                      </c:pt>
                      <c:pt idx="46">
                        <c:v>-75.0546875</c:v>
                      </c:pt>
                      <c:pt idx="47">
                        <c:v>52.65</c:v>
                      </c:pt>
                      <c:pt idx="48">
                        <c:v>387.27966101694915</c:v>
                      </c:pt>
                      <c:pt idx="49">
                        <c:v>389.64545454545453</c:v>
                      </c:pt>
                      <c:pt idx="50">
                        <c:v>241.52586206896552</c:v>
                      </c:pt>
                      <c:pt idx="51">
                        <c:v>703.017094017094</c:v>
                      </c:pt>
                      <c:pt idx="52">
                        <c:v>247.70634920634922</c:v>
                      </c:pt>
                      <c:pt idx="53">
                        <c:v>428.5040650406504</c:v>
                      </c:pt>
                      <c:pt idx="54">
                        <c:v>233.50495049504951</c:v>
                      </c:pt>
                      <c:pt idx="55">
                        <c:v>448.76923076923077</c:v>
                      </c:pt>
                      <c:pt idx="56">
                        <c:v>-96.402298850574709</c:v>
                      </c:pt>
                      <c:pt idx="57">
                        <c:v>261.46590909090907</c:v>
                      </c:pt>
                      <c:pt idx="58">
                        <c:v>115.25675675675676</c:v>
                      </c:pt>
                      <c:pt idx="59">
                        <c:v>297.52564102564105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4B-4810-94E8-201DB4BC105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Totals'!$AR$3</c15:sqref>
                        </c15:formulaRef>
                      </c:ext>
                    </c:extLst>
                    <c:strCache>
                      <c:ptCount val="1"/>
                      <c:pt idx="0">
                        <c:v>Scrap per total team member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Totals'!$A$82:$A$144</c15:sqref>
                        </c15:formulaRef>
                      </c:ext>
                    </c:extLst>
                    <c:numCache>
                      <c:formatCode>mmm\-yy</c:formatCode>
                      <c:ptCount val="63"/>
                      <c:pt idx="0">
                        <c:v>43221</c:v>
                      </c:pt>
                      <c:pt idx="1">
                        <c:v>43252</c:v>
                      </c:pt>
                      <c:pt idx="2">
                        <c:v>43282</c:v>
                      </c:pt>
                      <c:pt idx="3">
                        <c:v>43313</c:v>
                      </c:pt>
                      <c:pt idx="4">
                        <c:v>43344</c:v>
                      </c:pt>
                      <c:pt idx="5">
                        <c:v>43374</c:v>
                      </c:pt>
                      <c:pt idx="6">
                        <c:v>43405</c:v>
                      </c:pt>
                      <c:pt idx="7">
                        <c:v>43435</c:v>
                      </c:pt>
                      <c:pt idx="8">
                        <c:v>43466</c:v>
                      </c:pt>
                      <c:pt idx="9">
                        <c:v>43497</c:v>
                      </c:pt>
                      <c:pt idx="10">
                        <c:v>43525</c:v>
                      </c:pt>
                      <c:pt idx="11">
                        <c:v>43556</c:v>
                      </c:pt>
                      <c:pt idx="12">
                        <c:v>43586</c:v>
                      </c:pt>
                      <c:pt idx="13">
                        <c:v>43617</c:v>
                      </c:pt>
                      <c:pt idx="14">
                        <c:v>43647</c:v>
                      </c:pt>
                      <c:pt idx="15">
                        <c:v>43678</c:v>
                      </c:pt>
                      <c:pt idx="16">
                        <c:v>43709</c:v>
                      </c:pt>
                      <c:pt idx="17">
                        <c:v>43739</c:v>
                      </c:pt>
                      <c:pt idx="18">
                        <c:v>43770</c:v>
                      </c:pt>
                      <c:pt idx="19">
                        <c:v>43800</c:v>
                      </c:pt>
                      <c:pt idx="20">
                        <c:v>43831</c:v>
                      </c:pt>
                      <c:pt idx="21">
                        <c:v>43862</c:v>
                      </c:pt>
                      <c:pt idx="22">
                        <c:v>43891</c:v>
                      </c:pt>
                      <c:pt idx="23">
                        <c:v>43922</c:v>
                      </c:pt>
                      <c:pt idx="24">
                        <c:v>43952</c:v>
                      </c:pt>
                      <c:pt idx="25">
                        <c:v>43983</c:v>
                      </c:pt>
                      <c:pt idx="26">
                        <c:v>44013</c:v>
                      </c:pt>
                      <c:pt idx="27">
                        <c:v>44044</c:v>
                      </c:pt>
                      <c:pt idx="28">
                        <c:v>44075</c:v>
                      </c:pt>
                      <c:pt idx="29">
                        <c:v>44105</c:v>
                      </c:pt>
                      <c:pt idx="30">
                        <c:v>44136</c:v>
                      </c:pt>
                      <c:pt idx="31">
                        <c:v>44166</c:v>
                      </c:pt>
                      <c:pt idx="32">
                        <c:v>44197</c:v>
                      </c:pt>
                      <c:pt idx="33">
                        <c:v>44228</c:v>
                      </c:pt>
                      <c:pt idx="34">
                        <c:v>44256</c:v>
                      </c:pt>
                      <c:pt idx="35">
                        <c:v>44287</c:v>
                      </c:pt>
                      <c:pt idx="36">
                        <c:v>44317</c:v>
                      </c:pt>
                      <c:pt idx="37">
                        <c:v>44348</c:v>
                      </c:pt>
                      <c:pt idx="38">
                        <c:v>44378</c:v>
                      </c:pt>
                      <c:pt idx="39">
                        <c:v>44409</c:v>
                      </c:pt>
                      <c:pt idx="40">
                        <c:v>44440</c:v>
                      </c:pt>
                      <c:pt idx="41">
                        <c:v>44470</c:v>
                      </c:pt>
                      <c:pt idx="42">
                        <c:v>44501</c:v>
                      </c:pt>
                      <c:pt idx="43">
                        <c:v>44531</c:v>
                      </c:pt>
                      <c:pt idx="44">
                        <c:v>44562</c:v>
                      </c:pt>
                      <c:pt idx="45">
                        <c:v>44593</c:v>
                      </c:pt>
                      <c:pt idx="46">
                        <c:v>44621</c:v>
                      </c:pt>
                      <c:pt idx="47">
                        <c:v>44652</c:v>
                      </c:pt>
                      <c:pt idx="48">
                        <c:v>44682</c:v>
                      </c:pt>
                      <c:pt idx="49">
                        <c:v>44713</c:v>
                      </c:pt>
                      <c:pt idx="50">
                        <c:v>44743</c:v>
                      </c:pt>
                      <c:pt idx="51">
                        <c:v>44774</c:v>
                      </c:pt>
                      <c:pt idx="52">
                        <c:v>44805</c:v>
                      </c:pt>
                      <c:pt idx="53">
                        <c:v>44835</c:v>
                      </c:pt>
                      <c:pt idx="54">
                        <c:v>44866</c:v>
                      </c:pt>
                      <c:pt idx="55">
                        <c:v>44896</c:v>
                      </c:pt>
                      <c:pt idx="56">
                        <c:v>44927</c:v>
                      </c:pt>
                      <c:pt idx="57">
                        <c:v>44958</c:v>
                      </c:pt>
                      <c:pt idx="58">
                        <c:v>44986</c:v>
                      </c:pt>
                      <c:pt idx="59">
                        <c:v>45017</c:v>
                      </c:pt>
                      <c:pt idx="60">
                        <c:v>45047</c:v>
                      </c:pt>
                      <c:pt idx="61">
                        <c:v>45078</c:v>
                      </c:pt>
                      <c:pt idx="62">
                        <c:v>45108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'Group Totals'!$AR$82:$AR$144</c15:sqref>
                        </c15:formulaRef>
                      </c:ext>
                    </c:extLst>
                    <c:numCache>
                      <c:formatCode>"$"#,##0</c:formatCode>
                      <c:ptCount val="63"/>
                      <c:pt idx="0">
                        <c:v>334.50819672131149</c:v>
                      </c:pt>
                      <c:pt idx="1">
                        <c:v>173.47107438016528</c:v>
                      </c:pt>
                      <c:pt idx="2">
                        <c:v>197.18181818181819</c:v>
                      </c:pt>
                      <c:pt idx="3">
                        <c:v>238.04761904761904</c:v>
                      </c:pt>
                      <c:pt idx="4">
                        <c:v>206.828125</c:v>
                      </c:pt>
                      <c:pt idx="5">
                        <c:v>280.67716535433073</c:v>
                      </c:pt>
                      <c:pt idx="6">
                        <c:v>230.48062015503876</c:v>
                      </c:pt>
                      <c:pt idx="7">
                        <c:v>101.37037037037037</c:v>
                      </c:pt>
                      <c:pt idx="8">
                        <c:v>-119.03846153846153</c:v>
                      </c:pt>
                      <c:pt idx="9">
                        <c:v>145.34375</c:v>
                      </c:pt>
                      <c:pt idx="10">
                        <c:v>201.38095238095238</c:v>
                      </c:pt>
                      <c:pt idx="11">
                        <c:v>97.4015748031496</c:v>
                      </c:pt>
                      <c:pt idx="12">
                        <c:v>197.74809160305344</c:v>
                      </c:pt>
                      <c:pt idx="13">
                        <c:v>123.82442748091603</c:v>
                      </c:pt>
                      <c:pt idx="14">
                        <c:v>984.96992481203006</c:v>
                      </c:pt>
                      <c:pt idx="15">
                        <c:v>-9.2727272727272734</c:v>
                      </c:pt>
                      <c:pt idx="16">
                        <c:v>192.9140625</c:v>
                      </c:pt>
                      <c:pt idx="17">
                        <c:v>118.828125</c:v>
                      </c:pt>
                      <c:pt idx="18">
                        <c:v>4.625</c:v>
                      </c:pt>
                      <c:pt idx="19">
                        <c:v>71.951612903225808</c:v>
                      </c:pt>
                      <c:pt idx="20">
                        <c:v>87.174603174603178</c:v>
                      </c:pt>
                      <c:pt idx="21">
                        <c:v>39.553719008264466</c:v>
                      </c:pt>
                      <c:pt idx="22">
                        <c:v>244.55462184873949</c:v>
                      </c:pt>
                      <c:pt idx="23">
                        <c:v>36.025641025641029</c:v>
                      </c:pt>
                      <c:pt idx="24">
                        <c:v>104.61016949152543</c:v>
                      </c:pt>
                      <c:pt idx="25">
                        <c:v>126.1875</c:v>
                      </c:pt>
                      <c:pt idx="26">
                        <c:v>224.48888888888888</c:v>
                      </c:pt>
                      <c:pt idx="27">
                        <c:v>164.21969696969697</c:v>
                      </c:pt>
                      <c:pt idx="28">
                        <c:v>163.88888888888889</c:v>
                      </c:pt>
                      <c:pt idx="29">
                        <c:v>136.39716312056737</c:v>
                      </c:pt>
                      <c:pt idx="30">
                        <c:v>79.716312056737593</c:v>
                      </c:pt>
                      <c:pt idx="31">
                        <c:v>112.9568345323741</c:v>
                      </c:pt>
                      <c:pt idx="32">
                        <c:v>82.970588235294116</c:v>
                      </c:pt>
                      <c:pt idx="33">
                        <c:v>246.50757575757575</c:v>
                      </c:pt>
                      <c:pt idx="34">
                        <c:v>-111.80434782608695</c:v>
                      </c:pt>
                      <c:pt idx="35">
                        <c:v>155.95588235294119</c:v>
                      </c:pt>
                      <c:pt idx="36">
                        <c:v>108.69285714285714</c:v>
                      </c:pt>
                      <c:pt idx="37">
                        <c:v>162.6159420289855</c:v>
                      </c:pt>
                      <c:pt idx="38">
                        <c:v>85.394557823129247</c:v>
                      </c:pt>
                      <c:pt idx="39">
                        <c:v>302.38157894736844</c:v>
                      </c:pt>
                      <c:pt idx="40">
                        <c:v>414.18831168831167</c:v>
                      </c:pt>
                      <c:pt idx="41">
                        <c:v>603.61271676300578</c:v>
                      </c:pt>
                      <c:pt idx="42">
                        <c:v>228.17297297297299</c:v>
                      </c:pt>
                      <c:pt idx="43">
                        <c:v>176.54973821989529</c:v>
                      </c:pt>
                      <c:pt idx="44">
                        <c:v>239.42</c:v>
                      </c:pt>
                      <c:pt idx="45">
                        <c:v>397.83417085427135</c:v>
                      </c:pt>
                      <c:pt idx="46">
                        <c:v>-49.777202072538863</c:v>
                      </c:pt>
                      <c:pt idx="47">
                        <c:v>34.524590163934427</c:v>
                      </c:pt>
                      <c:pt idx="48">
                        <c:v>244.37967914438502</c:v>
                      </c:pt>
                      <c:pt idx="49">
                        <c:v>238.11666666666667</c:v>
                      </c:pt>
                      <c:pt idx="50">
                        <c:v>149.8235294117647</c:v>
                      </c:pt>
                      <c:pt idx="51">
                        <c:v>430.64397905759165</c:v>
                      </c:pt>
                      <c:pt idx="52">
                        <c:v>156.8391959798995</c:v>
                      </c:pt>
                      <c:pt idx="53">
                        <c:v>264.8542713567839</c:v>
                      </c:pt>
                      <c:pt idx="54">
                        <c:v>139.55029585798817</c:v>
                      </c:pt>
                      <c:pt idx="55">
                        <c:v>266.91503267973854</c:v>
                      </c:pt>
                      <c:pt idx="56">
                        <c:v>-57.054421768707485</c:v>
                      </c:pt>
                      <c:pt idx="57">
                        <c:v>162.03521126760563</c:v>
                      </c:pt>
                      <c:pt idx="58">
                        <c:v>62.255474452554743</c:v>
                      </c:pt>
                      <c:pt idx="59">
                        <c:v>170.63970588235293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4B-4810-94E8-201DB4BC105A}"/>
                  </c:ext>
                </c:extLst>
              </c15:ser>
            </c15:filteredLineSeries>
          </c:ext>
        </c:extLst>
      </c:lineChart>
      <c:dateAx>
        <c:axId val="3473574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45311"/>
        <c:crosses val="autoZero"/>
        <c:auto val="1"/>
        <c:lblOffset val="100"/>
        <c:baseTimeUnit val="months"/>
      </c:dateAx>
      <c:valAx>
        <c:axId val="299845311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Monthly Average for PFR's Raised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'Group Totals'!$CJ$3</c:f>
              <c:strCache>
                <c:ptCount val="1"/>
                <c:pt idx="0">
                  <c:v>PFR's 12 month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'Group Totals'!$A$53:$A$144</c:f>
              <c:numCache>
                <c:formatCode>mmm\-yy</c:formatCode>
                <c:ptCount val="92"/>
                <c:pt idx="0">
                  <c:v>42339</c:v>
                </c:pt>
                <c:pt idx="1">
                  <c:v>42370</c:v>
                </c:pt>
                <c:pt idx="2">
                  <c:v>42401</c:v>
                </c:pt>
                <c:pt idx="3">
                  <c:v>42430</c:v>
                </c:pt>
                <c:pt idx="4">
                  <c:v>42461</c:v>
                </c:pt>
                <c:pt idx="5">
                  <c:v>42491</c:v>
                </c:pt>
                <c:pt idx="6">
                  <c:v>42522</c:v>
                </c:pt>
                <c:pt idx="7">
                  <c:v>42552</c:v>
                </c:pt>
                <c:pt idx="8">
                  <c:v>42583</c:v>
                </c:pt>
                <c:pt idx="9">
                  <c:v>42614</c:v>
                </c:pt>
                <c:pt idx="10">
                  <c:v>42644</c:v>
                </c:pt>
                <c:pt idx="11">
                  <c:v>42675</c:v>
                </c:pt>
                <c:pt idx="12">
                  <c:v>42705</c:v>
                </c:pt>
                <c:pt idx="13">
                  <c:v>42736</c:v>
                </c:pt>
                <c:pt idx="14">
                  <c:v>42767</c:v>
                </c:pt>
                <c:pt idx="15">
                  <c:v>42795</c:v>
                </c:pt>
                <c:pt idx="16">
                  <c:v>42826</c:v>
                </c:pt>
                <c:pt idx="17">
                  <c:v>42856</c:v>
                </c:pt>
                <c:pt idx="18">
                  <c:v>42887</c:v>
                </c:pt>
                <c:pt idx="19">
                  <c:v>42917</c:v>
                </c:pt>
                <c:pt idx="20">
                  <c:v>42948</c:v>
                </c:pt>
                <c:pt idx="21">
                  <c:v>42979</c:v>
                </c:pt>
                <c:pt idx="22">
                  <c:v>43009</c:v>
                </c:pt>
                <c:pt idx="23">
                  <c:v>43040</c:v>
                </c:pt>
                <c:pt idx="24">
                  <c:v>43070</c:v>
                </c:pt>
                <c:pt idx="25">
                  <c:v>43101</c:v>
                </c:pt>
                <c:pt idx="26">
                  <c:v>43132</c:v>
                </c:pt>
                <c:pt idx="27">
                  <c:v>43160</c:v>
                </c:pt>
                <c:pt idx="28">
                  <c:v>43191</c:v>
                </c:pt>
                <c:pt idx="29">
                  <c:v>43221</c:v>
                </c:pt>
                <c:pt idx="30">
                  <c:v>43252</c:v>
                </c:pt>
                <c:pt idx="31">
                  <c:v>43282</c:v>
                </c:pt>
                <c:pt idx="32">
                  <c:v>43313</c:v>
                </c:pt>
                <c:pt idx="33">
                  <c:v>43344</c:v>
                </c:pt>
                <c:pt idx="34">
                  <c:v>43374</c:v>
                </c:pt>
                <c:pt idx="35">
                  <c:v>43405</c:v>
                </c:pt>
                <c:pt idx="36">
                  <c:v>43435</c:v>
                </c:pt>
                <c:pt idx="37">
                  <c:v>43466</c:v>
                </c:pt>
                <c:pt idx="38">
                  <c:v>43497</c:v>
                </c:pt>
                <c:pt idx="39">
                  <c:v>43525</c:v>
                </c:pt>
                <c:pt idx="40">
                  <c:v>43556</c:v>
                </c:pt>
                <c:pt idx="41">
                  <c:v>43586</c:v>
                </c:pt>
                <c:pt idx="42">
                  <c:v>43617</c:v>
                </c:pt>
                <c:pt idx="43">
                  <c:v>43647</c:v>
                </c:pt>
                <c:pt idx="44">
                  <c:v>43678</c:v>
                </c:pt>
                <c:pt idx="45">
                  <c:v>43709</c:v>
                </c:pt>
                <c:pt idx="46">
                  <c:v>43739</c:v>
                </c:pt>
                <c:pt idx="47">
                  <c:v>43770</c:v>
                </c:pt>
                <c:pt idx="48">
                  <c:v>43800</c:v>
                </c:pt>
                <c:pt idx="49">
                  <c:v>43831</c:v>
                </c:pt>
                <c:pt idx="50">
                  <c:v>43862</c:v>
                </c:pt>
                <c:pt idx="51">
                  <c:v>43891</c:v>
                </c:pt>
                <c:pt idx="52">
                  <c:v>43922</c:v>
                </c:pt>
                <c:pt idx="53">
                  <c:v>43952</c:v>
                </c:pt>
                <c:pt idx="54">
                  <c:v>43983</c:v>
                </c:pt>
                <c:pt idx="55">
                  <c:v>44013</c:v>
                </c:pt>
                <c:pt idx="56">
                  <c:v>44044</c:v>
                </c:pt>
                <c:pt idx="57">
                  <c:v>44075</c:v>
                </c:pt>
                <c:pt idx="58">
                  <c:v>44105</c:v>
                </c:pt>
                <c:pt idx="59">
                  <c:v>44136</c:v>
                </c:pt>
                <c:pt idx="60">
                  <c:v>44166</c:v>
                </c:pt>
                <c:pt idx="61">
                  <c:v>44197</c:v>
                </c:pt>
                <c:pt idx="62">
                  <c:v>44228</c:v>
                </c:pt>
                <c:pt idx="63">
                  <c:v>44256</c:v>
                </c:pt>
                <c:pt idx="64">
                  <c:v>44287</c:v>
                </c:pt>
                <c:pt idx="65">
                  <c:v>44317</c:v>
                </c:pt>
                <c:pt idx="66">
                  <c:v>44348</c:v>
                </c:pt>
                <c:pt idx="67">
                  <c:v>44378</c:v>
                </c:pt>
                <c:pt idx="68">
                  <c:v>44409</c:v>
                </c:pt>
                <c:pt idx="69">
                  <c:v>44440</c:v>
                </c:pt>
                <c:pt idx="70">
                  <c:v>44470</c:v>
                </c:pt>
                <c:pt idx="71">
                  <c:v>44501</c:v>
                </c:pt>
                <c:pt idx="72">
                  <c:v>44531</c:v>
                </c:pt>
                <c:pt idx="73">
                  <c:v>44562</c:v>
                </c:pt>
                <c:pt idx="74">
                  <c:v>44593</c:v>
                </c:pt>
                <c:pt idx="75">
                  <c:v>44621</c:v>
                </c:pt>
                <c:pt idx="76">
                  <c:v>44652</c:v>
                </c:pt>
                <c:pt idx="77">
                  <c:v>44682</c:v>
                </c:pt>
                <c:pt idx="78">
                  <c:v>44713</c:v>
                </c:pt>
                <c:pt idx="79">
                  <c:v>44743</c:v>
                </c:pt>
                <c:pt idx="80">
                  <c:v>44774</c:v>
                </c:pt>
                <c:pt idx="81">
                  <c:v>44805</c:v>
                </c:pt>
                <c:pt idx="82">
                  <c:v>44835</c:v>
                </c:pt>
                <c:pt idx="83">
                  <c:v>44866</c:v>
                </c:pt>
                <c:pt idx="84">
                  <c:v>44896</c:v>
                </c:pt>
                <c:pt idx="85">
                  <c:v>44927</c:v>
                </c:pt>
                <c:pt idx="86">
                  <c:v>44958</c:v>
                </c:pt>
                <c:pt idx="87">
                  <c:v>44986</c:v>
                </c:pt>
                <c:pt idx="88">
                  <c:v>45017</c:v>
                </c:pt>
                <c:pt idx="89">
                  <c:v>45047</c:v>
                </c:pt>
                <c:pt idx="90">
                  <c:v>45078</c:v>
                </c:pt>
                <c:pt idx="91">
                  <c:v>45108</c:v>
                </c:pt>
              </c:numCache>
            </c:numRef>
          </c:cat>
          <c:val>
            <c:numRef>
              <c:f>'Group Totals'!$CJ$53:$CJ$144</c:f>
              <c:numCache>
                <c:formatCode>0</c:formatCode>
                <c:ptCount val="92"/>
                <c:pt idx="0">
                  <c:v>9.0833333333333339</c:v>
                </c:pt>
                <c:pt idx="1">
                  <c:v>9</c:v>
                </c:pt>
                <c:pt idx="2">
                  <c:v>9.0833333333333339</c:v>
                </c:pt>
                <c:pt idx="3">
                  <c:v>8.6666666666666661</c:v>
                </c:pt>
                <c:pt idx="4">
                  <c:v>8.6666666666666661</c:v>
                </c:pt>
                <c:pt idx="5">
                  <c:v>8.4166666666666661</c:v>
                </c:pt>
                <c:pt idx="6">
                  <c:v>8.5833333333333339</c:v>
                </c:pt>
                <c:pt idx="7">
                  <c:v>8.9166666666666661</c:v>
                </c:pt>
                <c:pt idx="8">
                  <c:v>9.3333333333333339</c:v>
                </c:pt>
                <c:pt idx="9">
                  <c:v>9.0833333333333339</c:v>
                </c:pt>
                <c:pt idx="10">
                  <c:v>9</c:v>
                </c:pt>
                <c:pt idx="11">
                  <c:v>9.1666666666666661</c:v>
                </c:pt>
                <c:pt idx="12">
                  <c:v>9.3333333333333339</c:v>
                </c:pt>
                <c:pt idx="13">
                  <c:v>9.3333333333333339</c:v>
                </c:pt>
                <c:pt idx="14">
                  <c:v>9.3333333333333339</c:v>
                </c:pt>
                <c:pt idx="15">
                  <c:v>9.8333333333333339</c:v>
                </c:pt>
                <c:pt idx="16">
                  <c:v>9.5833333333333339</c:v>
                </c:pt>
                <c:pt idx="17">
                  <c:v>9.5833333333333339</c:v>
                </c:pt>
                <c:pt idx="18">
                  <c:v>9.25</c:v>
                </c:pt>
                <c:pt idx="19">
                  <c:v>8.4166666666666661</c:v>
                </c:pt>
                <c:pt idx="20">
                  <c:v>8.3333333333333339</c:v>
                </c:pt>
                <c:pt idx="21">
                  <c:v>9.0833333333333339</c:v>
                </c:pt>
                <c:pt idx="22">
                  <c:v>9</c:v>
                </c:pt>
                <c:pt idx="23">
                  <c:v>9.4166666666666661</c:v>
                </c:pt>
                <c:pt idx="24">
                  <c:v>9.5</c:v>
                </c:pt>
                <c:pt idx="25">
                  <c:v>10.083333333333334</c:v>
                </c:pt>
                <c:pt idx="26">
                  <c:v>10.25</c:v>
                </c:pt>
                <c:pt idx="27">
                  <c:v>10.166666666666666</c:v>
                </c:pt>
                <c:pt idx="28">
                  <c:v>11.25</c:v>
                </c:pt>
                <c:pt idx="29">
                  <c:v>11.666666666666666</c:v>
                </c:pt>
                <c:pt idx="30">
                  <c:v>13</c:v>
                </c:pt>
                <c:pt idx="31">
                  <c:v>13.666666666666666</c:v>
                </c:pt>
                <c:pt idx="32">
                  <c:v>13.916666666666666</c:v>
                </c:pt>
                <c:pt idx="33">
                  <c:v>13.416666666666666</c:v>
                </c:pt>
                <c:pt idx="34">
                  <c:v>13.583333333333334</c:v>
                </c:pt>
                <c:pt idx="35">
                  <c:v>13</c:v>
                </c:pt>
                <c:pt idx="36">
                  <c:v>13.083333333333334</c:v>
                </c:pt>
                <c:pt idx="37">
                  <c:v>12.75</c:v>
                </c:pt>
                <c:pt idx="38">
                  <c:v>12.25</c:v>
                </c:pt>
                <c:pt idx="39">
                  <c:v>12.583333333333334</c:v>
                </c:pt>
                <c:pt idx="40">
                  <c:v>11.833333333333334</c:v>
                </c:pt>
                <c:pt idx="41">
                  <c:v>11.25</c:v>
                </c:pt>
                <c:pt idx="42">
                  <c:v>10.333333333333334</c:v>
                </c:pt>
                <c:pt idx="43">
                  <c:v>10.916666666666666</c:v>
                </c:pt>
                <c:pt idx="44">
                  <c:v>10.333333333333334</c:v>
                </c:pt>
                <c:pt idx="45">
                  <c:v>10.5</c:v>
                </c:pt>
                <c:pt idx="46">
                  <c:v>10</c:v>
                </c:pt>
                <c:pt idx="47">
                  <c:v>9.9166666666666661</c:v>
                </c:pt>
                <c:pt idx="48">
                  <c:v>9.4166666666666661</c:v>
                </c:pt>
                <c:pt idx="49">
                  <c:v>9.0833333333333339</c:v>
                </c:pt>
                <c:pt idx="50">
                  <c:v>9.6666666666666661</c:v>
                </c:pt>
                <c:pt idx="51">
                  <c:v>8.75</c:v>
                </c:pt>
                <c:pt idx="52">
                  <c:v>8.3333333333333339</c:v>
                </c:pt>
                <c:pt idx="53">
                  <c:v>9.4166666666666661</c:v>
                </c:pt>
                <c:pt idx="54">
                  <c:v>9.1666666666666661</c:v>
                </c:pt>
                <c:pt idx="55">
                  <c:v>7.833333333333333</c:v>
                </c:pt>
                <c:pt idx="56">
                  <c:v>7.583333333333333</c:v>
                </c:pt>
                <c:pt idx="57">
                  <c:v>7</c:v>
                </c:pt>
                <c:pt idx="58">
                  <c:v>6.75</c:v>
                </c:pt>
                <c:pt idx="59">
                  <c:v>6.416666666666667</c:v>
                </c:pt>
                <c:pt idx="60">
                  <c:v>6.416666666666667</c:v>
                </c:pt>
                <c:pt idx="61">
                  <c:v>6.333333333333333</c:v>
                </c:pt>
                <c:pt idx="62">
                  <c:v>5.666666666666667</c:v>
                </c:pt>
                <c:pt idx="63">
                  <c:v>6.083333333333333</c:v>
                </c:pt>
                <c:pt idx="64">
                  <c:v>6.166666666666667</c:v>
                </c:pt>
                <c:pt idx="65">
                  <c:v>4.666666666666667</c:v>
                </c:pt>
                <c:pt idx="66">
                  <c:v>4.333333333333333</c:v>
                </c:pt>
                <c:pt idx="67">
                  <c:v>4.416666666666667</c:v>
                </c:pt>
                <c:pt idx="68">
                  <c:v>4.083333333333333</c:v>
                </c:pt>
                <c:pt idx="69">
                  <c:v>4</c:v>
                </c:pt>
                <c:pt idx="70">
                  <c:v>4.083333333333333</c:v>
                </c:pt>
                <c:pt idx="71">
                  <c:v>4.25</c:v>
                </c:pt>
                <c:pt idx="72">
                  <c:v>4.083333333333333</c:v>
                </c:pt>
                <c:pt idx="73">
                  <c:v>3.8333333333333335</c:v>
                </c:pt>
                <c:pt idx="74">
                  <c:v>3.8333333333333335</c:v>
                </c:pt>
                <c:pt idx="75">
                  <c:v>3.3333333333333335</c:v>
                </c:pt>
                <c:pt idx="76">
                  <c:v>3.5</c:v>
                </c:pt>
                <c:pt idx="77">
                  <c:v>3.4166666666666665</c:v>
                </c:pt>
                <c:pt idx="78">
                  <c:v>3.9166666666666665</c:v>
                </c:pt>
                <c:pt idx="79">
                  <c:v>3.75</c:v>
                </c:pt>
                <c:pt idx="80">
                  <c:v>4.916666666666667</c:v>
                </c:pt>
                <c:pt idx="81">
                  <c:v>5.166666666666667</c:v>
                </c:pt>
                <c:pt idx="82">
                  <c:v>5.25</c:v>
                </c:pt>
                <c:pt idx="83">
                  <c:v>5.25</c:v>
                </c:pt>
                <c:pt idx="84">
                  <c:v>5.583333333333333</c:v>
                </c:pt>
                <c:pt idx="85">
                  <c:v>5.75</c:v>
                </c:pt>
                <c:pt idx="86">
                  <c:v>6.083333333333333</c:v>
                </c:pt>
                <c:pt idx="87">
                  <c:v>5.916666666666667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41-40C2-9DDB-E9C7B25D7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183679"/>
        <c:axId val="299859455"/>
        <c:extLst/>
      </c:lineChart>
      <c:dateAx>
        <c:axId val="45618367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455"/>
        <c:crosses val="autoZero"/>
        <c:auto val="1"/>
        <c:lblOffset val="100"/>
        <c:baseTimeUnit val="months"/>
      </c:dateAx>
      <c:valAx>
        <c:axId val="2998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8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Rolling 12 month Average of Finished Goods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Totals'!$J$3</c:f>
              <c:strCache>
                <c:ptCount val="1"/>
                <c:pt idx="0">
                  <c:v>$ Transfer to FG - 12 Month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Totals'!$A$92:$A$137</c:f>
              <c:numCache>
                <c:formatCode>mmm\-yy</c:formatCode>
                <c:ptCount val="46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44348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</c:numCache>
            </c:numRef>
          </c:cat>
          <c:val>
            <c:numRef>
              <c:f>'Group Totals'!$J$92:$J$137</c:f>
              <c:numCache>
                <c:formatCode>_-"$"* #,##0_-;\-"$"* #,##0_-;_-"$"* "-"??_-;_-@_-</c:formatCode>
                <c:ptCount val="46"/>
                <c:pt idx="0">
                  <c:v>5055556.8466666667</c:v>
                </c:pt>
                <c:pt idx="1">
                  <c:v>5008457.8325000005</c:v>
                </c:pt>
                <c:pt idx="2">
                  <c:v>5086132.6141666668</c:v>
                </c:pt>
                <c:pt idx="3">
                  <c:v>5070215.6816666666</c:v>
                </c:pt>
                <c:pt idx="4">
                  <c:v>5056853.6550000003</c:v>
                </c:pt>
                <c:pt idx="5">
                  <c:v>5013335.6033333344</c:v>
                </c:pt>
                <c:pt idx="6">
                  <c:v>5006159.8500000006</c:v>
                </c:pt>
                <c:pt idx="7">
                  <c:v>4991496.1341666663</c:v>
                </c:pt>
                <c:pt idx="8">
                  <c:v>4909859.8624999998</c:v>
                </c:pt>
                <c:pt idx="9">
                  <c:v>4941226.9183333339</c:v>
                </c:pt>
                <c:pt idx="10">
                  <c:v>5008573.7675000001</c:v>
                </c:pt>
                <c:pt idx="11">
                  <c:v>5028486.2374999998</c:v>
                </c:pt>
                <c:pt idx="12">
                  <c:v>4887773.0808333335</c:v>
                </c:pt>
                <c:pt idx="13">
                  <c:v>4771042.96</c:v>
                </c:pt>
                <c:pt idx="14">
                  <c:v>4818648.9441666668</c:v>
                </c:pt>
                <c:pt idx="15">
                  <c:v>4979203.7616666667</c:v>
                </c:pt>
                <c:pt idx="16">
                  <c:v>5182387.1341666672</c:v>
                </c:pt>
                <c:pt idx="17">
                  <c:v>5191688.248333334</c:v>
                </c:pt>
                <c:pt idx="18">
                  <c:v>5230166.4616666669</c:v>
                </c:pt>
                <c:pt idx="19">
                  <c:v>5242978.4241666673</c:v>
                </c:pt>
                <c:pt idx="20">
                  <c:v>5298812.6683333339</c:v>
                </c:pt>
                <c:pt idx="21">
                  <c:v>5360124.17</c:v>
                </c:pt>
                <c:pt idx="22">
                  <c:v>5328541.8116666665</c:v>
                </c:pt>
                <c:pt idx="23">
                  <c:v>5295354.5583333336</c:v>
                </c:pt>
                <c:pt idx="24">
                  <c:v>5438237.5499999998</c:v>
                </c:pt>
                <c:pt idx="25">
                  <c:v>5649280.7283333344</c:v>
                </c:pt>
                <c:pt idx="26">
                  <c:v>5593111.416666667</c:v>
                </c:pt>
                <c:pt idx="27">
                  <c:v>5512592.5</c:v>
                </c:pt>
                <c:pt idx="28">
                  <c:v>5473883.833333333</c:v>
                </c:pt>
                <c:pt idx="29">
                  <c:v>5850685.916666667</c:v>
                </c:pt>
                <c:pt idx="30">
                  <c:v>6727642.416666667</c:v>
                </c:pt>
                <c:pt idx="31">
                  <c:v>7684192.833333333</c:v>
                </c:pt>
                <c:pt idx="32">
                  <c:v>8451584.916666666</c:v>
                </c:pt>
                <c:pt idx="33">
                  <c:v>9006420.083333334</c:v>
                </c:pt>
                <c:pt idx="34">
                  <c:v>9414168.666666666</c:v>
                </c:pt>
                <c:pt idx="35">
                  <c:v>9898055.083333334</c:v>
                </c:pt>
                <c:pt idx="36">
                  <c:v>10322290.083333334</c:v>
                </c:pt>
                <c:pt idx="37">
                  <c:v>10666133.5</c:v>
                </c:pt>
                <c:pt idx="38">
                  <c:v>10996936.166666666</c:v>
                </c:pt>
                <c:pt idx="39">
                  <c:v>11319501.25</c:v>
                </c:pt>
                <c:pt idx="40">
                  <c:v>11454664.5</c:v>
                </c:pt>
                <c:pt idx="41">
                  <c:v>11471355.083333334</c:v>
                </c:pt>
                <c:pt idx="42">
                  <c:v>10939519.166666666</c:v>
                </c:pt>
                <c:pt idx="43">
                  <c:v>10323066.833333334</c:v>
                </c:pt>
                <c:pt idx="44">
                  <c:v>9661815.916666666</c:v>
                </c:pt>
                <c:pt idx="45">
                  <c:v>9068343.583333334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8-4A3E-BEFB-5C46BF5EF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12192"/>
        <c:axId val="151317600"/>
      </c:lineChart>
      <c:lineChart>
        <c:grouping val="standard"/>
        <c:varyColors val="0"/>
        <c:ser>
          <c:idx val="1"/>
          <c:order val="1"/>
          <c:tx>
            <c:strRef>
              <c:f>'Group Totals'!$L$3</c:f>
              <c:strCache>
                <c:ptCount val="1"/>
                <c:pt idx="0">
                  <c:v>Total Finished Goods Units (SEC&amp;AM) 12 month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Totals'!$A$92:$A$137</c:f>
              <c:numCache>
                <c:formatCode>mmm\-yy</c:formatCode>
                <c:ptCount val="46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44348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</c:numCache>
            </c:numRef>
          </c:cat>
          <c:val>
            <c:numRef>
              <c:f>'Group Totals'!$L$92:$L$137</c:f>
              <c:numCache>
                <c:formatCode>_-* #,##0_-;\-* #,##0_-;_-* "-"??_-;_-@_-</c:formatCode>
                <c:ptCount val="46"/>
                <c:pt idx="0">
                  <c:v>34861.916666666664</c:v>
                </c:pt>
                <c:pt idx="1">
                  <c:v>34565.75</c:v>
                </c:pt>
                <c:pt idx="2">
                  <c:v>34800.25</c:v>
                </c:pt>
                <c:pt idx="3">
                  <c:v>35154</c:v>
                </c:pt>
                <c:pt idx="4">
                  <c:v>35258.916666666664</c:v>
                </c:pt>
                <c:pt idx="5">
                  <c:v>35772.5</c:v>
                </c:pt>
                <c:pt idx="6">
                  <c:v>36024.416666666664</c:v>
                </c:pt>
                <c:pt idx="7">
                  <c:v>35473.083333333336</c:v>
                </c:pt>
                <c:pt idx="8">
                  <c:v>34568.75</c:v>
                </c:pt>
                <c:pt idx="9">
                  <c:v>34806.166666666664</c:v>
                </c:pt>
                <c:pt idx="10">
                  <c:v>35520.25</c:v>
                </c:pt>
                <c:pt idx="11">
                  <c:v>35122.75</c:v>
                </c:pt>
                <c:pt idx="12">
                  <c:v>34770.5</c:v>
                </c:pt>
                <c:pt idx="13">
                  <c:v>33003.666666666664</c:v>
                </c:pt>
                <c:pt idx="14">
                  <c:v>32932.083333333336</c:v>
                </c:pt>
                <c:pt idx="15">
                  <c:v>34194.333333333336</c:v>
                </c:pt>
                <c:pt idx="16">
                  <c:v>35183.75</c:v>
                </c:pt>
                <c:pt idx="17">
                  <c:v>35473.75</c:v>
                </c:pt>
                <c:pt idx="18">
                  <c:v>35864.25</c:v>
                </c:pt>
                <c:pt idx="19">
                  <c:v>36112.583333333336</c:v>
                </c:pt>
                <c:pt idx="20">
                  <c:v>37174.5</c:v>
                </c:pt>
                <c:pt idx="21">
                  <c:v>37399.166666666664</c:v>
                </c:pt>
                <c:pt idx="22">
                  <c:v>36939.583333333336</c:v>
                </c:pt>
                <c:pt idx="23">
                  <c:v>36770</c:v>
                </c:pt>
                <c:pt idx="24">
                  <c:v>38420.166666666664</c:v>
                </c:pt>
                <c:pt idx="25">
                  <c:v>40711.583333333336</c:v>
                </c:pt>
                <c:pt idx="26">
                  <c:v>41825.25</c:v>
                </c:pt>
                <c:pt idx="27">
                  <c:v>41138.166666666664</c:v>
                </c:pt>
                <c:pt idx="28">
                  <c:v>40904</c:v>
                </c:pt>
                <c:pt idx="29">
                  <c:v>41203.083333333336</c:v>
                </c:pt>
                <c:pt idx="30">
                  <c:v>42860.083333333336</c:v>
                </c:pt>
                <c:pt idx="31">
                  <c:v>44749.583333333336</c:v>
                </c:pt>
                <c:pt idx="32">
                  <c:v>46520.666666666664</c:v>
                </c:pt>
                <c:pt idx="33">
                  <c:v>48932.833333333336</c:v>
                </c:pt>
                <c:pt idx="34">
                  <c:v>49701.166666666664</c:v>
                </c:pt>
                <c:pt idx="35">
                  <c:v>51426.416666666664</c:v>
                </c:pt>
                <c:pt idx="36">
                  <c:v>52711.083333333336</c:v>
                </c:pt>
                <c:pt idx="37">
                  <c:v>54610.666666666664</c:v>
                </c:pt>
                <c:pt idx="38">
                  <c:v>55163.583333333336</c:v>
                </c:pt>
                <c:pt idx="39">
                  <c:v>56770.583333333336</c:v>
                </c:pt>
                <c:pt idx="40">
                  <c:v>57012.5</c:v>
                </c:pt>
                <c:pt idx="41">
                  <c:v>57409.416666666664</c:v>
                </c:pt>
                <c:pt idx="42">
                  <c:v>57531.583333333336</c:v>
                </c:pt>
                <c:pt idx="43">
                  <c:v>56813.5</c:v>
                </c:pt>
                <c:pt idx="44">
                  <c:v>54116.833333333336</c:v>
                </c:pt>
                <c:pt idx="45">
                  <c:v>50609.583333333336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8-4A3E-BEFB-5C46BF5EF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08032"/>
        <c:axId val="151325504"/>
      </c:lineChart>
      <c:dateAx>
        <c:axId val="1513121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7600"/>
        <c:crosses val="autoZero"/>
        <c:auto val="1"/>
        <c:lblOffset val="100"/>
        <c:baseTimeUnit val="months"/>
      </c:dateAx>
      <c:valAx>
        <c:axId val="1513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2192"/>
        <c:crosses val="autoZero"/>
        <c:crossBetween val="between"/>
      </c:valAx>
      <c:valAx>
        <c:axId val="15132550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08032"/>
        <c:crosses val="max"/>
        <c:crossBetween val="between"/>
      </c:valAx>
      <c:dateAx>
        <c:axId val="15130803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5132550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Finished Goods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Totals'!$I$3</c:f>
              <c:strCache>
                <c:ptCount val="1"/>
                <c:pt idx="0">
                  <c:v>$ Transfer to FG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Totals'!$A$92:$A$137</c:f>
              <c:numCache>
                <c:formatCode>mmm\-yy</c:formatCode>
                <c:ptCount val="46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44348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</c:numCache>
            </c:numRef>
          </c:cat>
          <c:val>
            <c:numRef>
              <c:f>'Group Totals'!$I$92:$I$137</c:f>
              <c:numCache>
                <c:formatCode>_-"$"* #,##0_-;\-"$"* #,##0_-;_-"$"* "-"??_-;_-@_-</c:formatCode>
                <c:ptCount val="46"/>
                <c:pt idx="0">
                  <c:v>5541973.9800000004</c:v>
                </c:pt>
                <c:pt idx="1">
                  <c:v>3712412.31</c:v>
                </c:pt>
                <c:pt idx="2">
                  <c:v>5567479.9299999997</c:v>
                </c:pt>
                <c:pt idx="3">
                  <c:v>4504290.1900000004</c:v>
                </c:pt>
                <c:pt idx="4">
                  <c:v>5013074.53</c:v>
                </c:pt>
                <c:pt idx="5">
                  <c:v>5510141.6299999999</c:v>
                </c:pt>
                <c:pt idx="6">
                  <c:v>5463230.4400000004</c:v>
                </c:pt>
                <c:pt idx="7">
                  <c:v>5494825.4500000002</c:v>
                </c:pt>
                <c:pt idx="8">
                  <c:v>5484324.0700000003</c:v>
                </c:pt>
                <c:pt idx="9">
                  <c:v>3832569.98</c:v>
                </c:pt>
                <c:pt idx="10">
                  <c:v>5219122.3</c:v>
                </c:pt>
                <c:pt idx="11">
                  <c:v>4998390.04</c:v>
                </c:pt>
                <c:pt idx="12">
                  <c:v>3853416.1</c:v>
                </c:pt>
                <c:pt idx="13">
                  <c:v>2311650.86</c:v>
                </c:pt>
                <c:pt idx="14">
                  <c:v>6138751.7400000002</c:v>
                </c:pt>
                <c:pt idx="15">
                  <c:v>6430948</c:v>
                </c:pt>
                <c:pt idx="16">
                  <c:v>7451275</c:v>
                </c:pt>
                <c:pt idx="17">
                  <c:v>5621755</c:v>
                </c:pt>
                <c:pt idx="18">
                  <c:v>5924969</c:v>
                </c:pt>
                <c:pt idx="19">
                  <c:v>5648569</c:v>
                </c:pt>
                <c:pt idx="20">
                  <c:v>6154335</c:v>
                </c:pt>
                <c:pt idx="21">
                  <c:v>4568308</c:v>
                </c:pt>
                <c:pt idx="22">
                  <c:v>4840134</c:v>
                </c:pt>
                <c:pt idx="23">
                  <c:v>4600143</c:v>
                </c:pt>
                <c:pt idx="24">
                  <c:v>5568012</c:v>
                </c:pt>
                <c:pt idx="25">
                  <c:v>4844169</c:v>
                </c:pt>
                <c:pt idx="26">
                  <c:v>5464720</c:v>
                </c:pt>
                <c:pt idx="27">
                  <c:v>5464721</c:v>
                </c:pt>
                <c:pt idx="28">
                  <c:v>6986771</c:v>
                </c:pt>
                <c:pt idx="29">
                  <c:v>10143380</c:v>
                </c:pt>
                <c:pt idx="30">
                  <c:v>16448447</c:v>
                </c:pt>
                <c:pt idx="31">
                  <c:v>17127174</c:v>
                </c:pt>
                <c:pt idx="32">
                  <c:v>15363040</c:v>
                </c:pt>
                <c:pt idx="33">
                  <c:v>11226330</c:v>
                </c:pt>
                <c:pt idx="34">
                  <c:v>9733117</c:v>
                </c:pt>
                <c:pt idx="35">
                  <c:v>10406780</c:v>
                </c:pt>
                <c:pt idx="36">
                  <c:v>10658832</c:v>
                </c:pt>
                <c:pt idx="37">
                  <c:v>8970290</c:v>
                </c:pt>
                <c:pt idx="38">
                  <c:v>9434352</c:v>
                </c:pt>
                <c:pt idx="39">
                  <c:v>9335502</c:v>
                </c:pt>
                <c:pt idx="40">
                  <c:v>8608730</c:v>
                </c:pt>
                <c:pt idx="41">
                  <c:v>10343667</c:v>
                </c:pt>
                <c:pt idx="42">
                  <c:v>10066416</c:v>
                </c:pt>
                <c:pt idx="43">
                  <c:v>9729746</c:v>
                </c:pt>
                <c:pt idx="44">
                  <c:v>7428029</c:v>
                </c:pt>
                <c:pt idx="45">
                  <c:v>4104662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2-466F-9B48-C2A0A49DE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12192"/>
        <c:axId val="151317600"/>
      </c:lineChart>
      <c:lineChart>
        <c:grouping val="standard"/>
        <c:varyColors val="0"/>
        <c:ser>
          <c:idx val="1"/>
          <c:order val="1"/>
          <c:tx>
            <c:strRef>
              <c:f>'Group Totals'!$K$3</c:f>
              <c:strCache>
                <c:ptCount val="1"/>
                <c:pt idx="0">
                  <c:v>Total Finished Goods Units (SEC&amp;AM)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Totals'!$A$92:$A$137</c:f>
              <c:numCache>
                <c:formatCode>mmm\-yy</c:formatCode>
                <c:ptCount val="46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44348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</c:numCache>
            </c:numRef>
          </c:cat>
          <c:val>
            <c:numRef>
              <c:f>'Group Totals'!$K$92:$K$137</c:f>
              <c:numCache>
                <c:formatCode>_-* #,##0_-;\-* #,##0_-;_-* "-"??_-;_-@_-</c:formatCode>
                <c:ptCount val="46"/>
                <c:pt idx="0">
                  <c:v>34957</c:v>
                </c:pt>
                <c:pt idx="1">
                  <c:v>29592</c:v>
                </c:pt>
                <c:pt idx="2">
                  <c:v>37780</c:v>
                </c:pt>
                <c:pt idx="3">
                  <c:v>32686</c:v>
                </c:pt>
                <c:pt idx="4">
                  <c:v>36077</c:v>
                </c:pt>
                <c:pt idx="5">
                  <c:v>38941</c:v>
                </c:pt>
                <c:pt idx="6">
                  <c:v>37953</c:v>
                </c:pt>
                <c:pt idx="7">
                  <c:v>36110</c:v>
                </c:pt>
                <c:pt idx="8">
                  <c:v>34330</c:v>
                </c:pt>
                <c:pt idx="9">
                  <c:v>30474</c:v>
                </c:pt>
                <c:pt idx="10">
                  <c:v>39057</c:v>
                </c:pt>
                <c:pt idx="11">
                  <c:v>33516</c:v>
                </c:pt>
                <c:pt idx="12">
                  <c:v>30730</c:v>
                </c:pt>
                <c:pt idx="13">
                  <c:v>8390</c:v>
                </c:pt>
                <c:pt idx="14">
                  <c:v>36921</c:v>
                </c:pt>
                <c:pt idx="15">
                  <c:v>47833</c:v>
                </c:pt>
                <c:pt idx="16">
                  <c:v>47950</c:v>
                </c:pt>
                <c:pt idx="17">
                  <c:v>42421</c:v>
                </c:pt>
                <c:pt idx="18">
                  <c:v>42639</c:v>
                </c:pt>
                <c:pt idx="19">
                  <c:v>39090</c:v>
                </c:pt>
                <c:pt idx="20">
                  <c:v>47073</c:v>
                </c:pt>
                <c:pt idx="21">
                  <c:v>33170</c:v>
                </c:pt>
                <c:pt idx="22">
                  <c:v>33542</c:v>
                </c:pt>
                <c:pt idx="23">
                  <c:v>31481</c:v>
                </c:pt>
                <c:pt idx="24">
                  <c:v>50532</c:v>
                </c:pt>
                <c:pt idx="25">
                  <c:v>35887</c:v>
                </c:pt>
                <c:pt idx="26">
                  <c:v>50285</c:v>
                </c:pt>
                <c:pt idx="27">
                  <c:v>39588</c:v>
                </c:pt>
                <c:pt idx="28">
                  <c:v>45140</c:v>
                </c:pt>
                <c:pt idx="29">
                  <c:v>46010</c:v>
                </c:pt>
                <c:pt idx="30">
                  <c:v>62523</c:v>
                </c:pt>
                <c:pt idx="31">
                  <c:v>61764</c:v>
                </c:pt>
                <c:pt idx="32">
                  <c:v>68326</c:v>
                </c:pt>
                <c:pt idx="33">
                  <c:v>62116</c:v>
                </c:pt>
                <c:pt idx="34">
                  <c:v>42762</c:v>
                </c:pt>
                <c:pt idx="35">
                  <c:v>52184</c:v>
                </c:pt>
                <c:pt idx="36">
                  <c:v>65948</c:v>
                </c:pt>
                <c:pt idx="37">
                  <c:v>58682</c:v>
                </c:pt>
                <c:pt idx="38">
                  <c:v>56920</c:v>
                </c:pt>
                <c:pt idx="39">
                  <c:v>58872</c:v>
                </c:pt>
                <c:pt idx="40">
                  <c:v>48043</c:v>
                </c:pt>
                <c:pt idx="41">
                  <c:v>50773</c:v>
                </c:pt>
                <c:pt idx="42">
                  <c:v>63989</c:v>
                </c:pt>
                <c:pt idx="43">
                  <c:v>53147</c:v>
                </c:pt>
                <c:pt idx="44">
                  <c:v>35966</c:v>
                </c:pt>
                <c:pt idx="45">
                  <c:v>20029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2-466F-9B48-C2A0A49DE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08032"/>
        <c:axId val="151325504"/>
      </c:lineChart>
      <c:dateAx>
        <c:axId val="1513121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7600"/>
        <c:crosses val="autoZero"/>
        <c:auto val="1"/>
        <c:lblOffset val="100"/>
        <c:baseTimeUnit val="months"/>
      </c:dateAx>
      <c:valAx>
        <c:axId val="1513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12192"/>
        <c:crosses val="autoZero"/>
        <c:crossBetween val="between"/>
      </c:valAx>
      <c:valAx>
        <c:axId val="15132550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08032"/>
        <c:crosses val="max"/>
        <c:crossBetween val="between"/>
      </c:valAx>
      <c:dateAx>
        <c:axId val="15130803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5132550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Lab Hrs vs Recovery vs</a:t>
            </a:r>
            <a:r>
              <a:rPr lang="en-NZ" baseline="0"/>
              <a:t> Expenses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Totals'!$AL$3</c:f>
              <c:strCache>
                <c:ptCount val="1"/>
                <c:pt idx="0">
                  <c:v>Recovery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Totals'!$AL$80:$AL$140</c:f>
              <c:numCache>
                <c:formatCode>"$"#,##0</c:formatCode>
                <c:ptCount val="61"/>
                <c:pt idx="0">
                  <c:v>984115.95999999903</c:v>
                </c:pt>
                <c:pt idx="1">
                  <c:v>894940.08</c:v>
                </c:pt>
                <c:pt idx="2">
                  <c:v>928585.92</c:v>
                </c:pt>
                <c:pt idx="3">
                  <c:v>935233</c:v>
                </c:pt>
                <c:pt idx="4">
                  <c:v>999472</c:v>
                </c:pt>
                <c:pt idx="5">
                  <c:v>1160746</c:v>
                </c:pt>
                <c:pt idx="6">
                  <c:v>1037101</c:v>
                </c:pt>
                <c:pt idx="7">
                  <c:v>1094952.2700000005</c:v>
                </c:pt>
                <c:pt idx="8">
                  <c:v>1183330.7299999995</c:v>
                </c:pt>
                <c:pt idx="9">
                  <c:v>693955.91999999993</c:v>
                </c:pt>
                <c:pt idx="10">
                  <c:v>835632.25999999978</c:v>
                </c:pt>
                <c:pt idx="11">
                  <c:v>935479.28000000119</c:v>
                </c:pt>
                <c:pt idx="12">
                  <c:v>988816</c:v>
                </c:pt>
                <c:pt idx="13">
                  <c:v>718163</c:v>
                </c:pt>
                <c:pt idx="14">
                  <c:v>1035972</c:v>
                </c:pt>
                <c:pt idx="15">
                  <c:v>886384</c:v>
                </c:pt>
                <c:pt idx="16">
                  <c:v>956380</c:v>
                </c:pt>
                <c:pt idx="17">
                  <c:v>1193075</c:v>
                </c:pt>
                <c:pt idx="18">
                  <c:v>1037342</c:v>
                </c:pt>
                <c:pt idx="19">
                  <c:v>1120822</c:v>
                </c:pt>
                <c:pt idx="20">
                  <c:v>1106002</c:v>
                </c:pt>
                <c:pt idx="21">
                  <c:v>778737</c:v>
                </c:pt>
                <c:pt idx="22">
                  <c:v>1053028</c:v>
                </c:pt>
                <c:pt idx="23">
                  <c:v>1027456</c:v>
                </c:pt>
                <c:pt idx="24">
                  <c:v>810881</c:v>
                </c:pt>
                <c:pt idx="25">
                  <c:v>472308</c:v>
                </c:pt>
                <c:pt idx="26">
                  <c:v>1297419</c:v>
                </c:pt>
                <c:pt idx="27">
                  <c:v>1318202</c:v>
                </c:pt>
                <c:pt idx="28">
                  <c:v>1512163</c:v>
                </c:pt>
                <c:pt idx="29">
                  <c:v>1218145</c:v>
                </c:pt>
                <c:pt idx="30">
                  <c:v>1339989</c:v>
                </c:pt>
                <c:pt idx="31">
                  <c:v>1154505</c:v>
                </c:pt>
                <c:pt idx="32">
                  <c:v>1316918</c:v>
                </c:pt>
                <c:pt idx="33">
                  <c:v>975774</c:v>
                </c:pt>
                <c:pt idx="34">
                  <c:v>1058078</c:v>
                </c:pt>
                <c:pt idx="35">
                  <c:v>997771</c:v>
                </c:pt>
                <c:pt idx="36">
                  <c:v>983776</c:v>
                </c:pt>
                <c:pt idx="37">
                  <c:v>971890</c:v>
                </c:pt>
                <c:pt idx="38">
                  <c:v>1098912</c:v>
                </c:pt>
                <c:pt idx="39">
                  <c:v>1123368</c:v>
                </c:pt>
                <c:pt idx="40">
                  <c:v>1338707</c:v>
                </c:pt>
                <c:pt idx="41">
                  <c:v>1693015</c:v>
                </c:pt>
                <c:pt idx="42">
                  <c:v>2217482</c:v>
                </c:pt>
                <c:pt idx="43">
                  <c:v>1747731</c:v>
                </c:pt>
                <c:pt idx="44">
                  <c:v>1829118</c:v>
                </c:pt>
                <c:pt idx="45">
                  <c:v>1411046</c:v>
                </c:pt>
                <c:pt idx="46">
                  <c:v>1353860</c:v>
                </c:pt>
                <c:pt idx="47">
                  <c:v>1465793</c:v>
                </c:pt>
                <c:pt idx="48">
                  <c:v>1604985</c:v>
                </c:pt>
                <c:pt idx="49">
                  <c:v>1439385</c:v>
                </c:pt>
                <c:pt idx="50">
                  <c:v>1449767</c:v>
                </c:pt>
                <c:pt idx="51">
                  <c:v>1394287</c:v>
                </c:pt>
                <c:pt idx="52">
                  <c:v>1345801</c:v>
                </c:pt>
                <c:pt idx="53">
                  <c:v>1574791</c:v>
                </c:pt>
                <c:pt idx="54">
                  <c:v>1463214</c:v>
                </c:pt>
                <c:pt idx="55">
                  <c:v>1387391</c:v>
                </c:pt>
                <c:pt idx="56">
                  <c:v>1407928</c:v>
                </c:pt>
                <c:pt idx="57">
                  <c:v>832199</c:v>
                </c:pt>
                <c:pt idx="58">
                  <c:v>580344</c:v>
                </c:pt>
                <c:pt idx="59">
                  <c:v>926725</c:v>
                </c:pt>
                <c:pt idx="60">
                  <c:v>1013596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A-4D48-AD8F-D5278FC8C275}"/>
            </c:ext>
          </c:extLst>
        </c:ser>
        <c:ser>
          <c:idx val="2"/>
          <c:order val="2"/>
          <c:tx>
            <c:strRef>
              <c:f>'Group Totals'!$AK$3</c:f>
              <c:strCache>
                <c:ptCount val="1"/>
                <c:pt idx="0">
                  <c:v>Expenses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Totals'!$AK$80:$AK$140</c:f>
              <c:numCache>
                <c:formatCode>_-"$"* #,##0_-;\-"$"* #,##0_-;_-"$"* "-"??_-;_-@_-</c:formatCode>
                <c:ptCount val="61"/>
                <c:pt idx="0">
                  <c:v>1017643.1692778319</c:v>
                </c:pt>
                <c:pt idx="1">
                  <c:v>848121</c:v>
                </c:pt>
                <c:pt idx="2">
                  <c:v>923966</c:v>
                </c:pt>
                <c:pt idx="3">
                  <c:v>1042669</c:v>
                </c:pt>
                <c:pt idx="4">
                  <c:v>982769</c:v>
                </c:pt>
                <c:pt idx="5">
                  <c:v>1146219</c:v>
                </c:pt>
                <c:pt idx="6">
                  <c:v>1012121</c:v>
                </c:pt>
                <c:pt idx="7">
                  <c:v>1072382</c:v>
                </c:pt>
                <c:pt idx="8">
                  <c:v>1121489</c:v>
                </c:pt>
                <c:pt idx="9">
                  <c:v>920013</c:v>
                </c:pt>
                <c:pt idx="10">
                  <c:v>821898</c:v>
                </c:pt>
                <c:pt idx="11">
                  <c:v>1037261</c:v>
                </c:pt>
                <c:pt idx="12">
                  <c:v>1048183</c:v>
                </c:pt>
                <c:pt idx="13">
                  <c:v>988237</c:v>
                </c:pt>
                <c:pt idx="14">
                  <c:v>1147953</c:v>
                </c:pt>
                <c:pt idx="15">
                  <c:v>1041480</c:v>
                </c:pt>
                <c:pt idx="16">
                  <c:v>1287992</c:v>
                </c:pt>
                <c:pt idx="17">
                  <c:v>1105068</c:v>
                </c:pt>
                <c:pt idx="18">
                  <c:v>1082205</c:v>
                </c:pt>
                <c:pt idx="19">
                  <c:v>1120670</c:v>
                </c:pt>
                <c:pt idx="20">
                  <c:v>1107174</c:v>
                </c:pt>
                <c:pt idx="21">
                  <c:v>974002</c:v>
                </c:pt>
                <c:pt idx="22">
                  <c:v>1071165</c:v>
                </c:pt>
                <c:pt idx="23">
                  <c:v>1058618</c:v>
                </c:pt>
                <c:pt idx="24">
                  <c:v>1101807</c:v>
                </c:pt>
                <c:pt idx="25">
                  <c:v>1024467</c:v>
                </c:pt>
                <c:pt idx="26">
                  <c:v>976563</c:v>
                </c:pt>
                <c:pt idx="27">
                  <c:v>1207469</c:v>
                </c:pt>
                <c:pt idx="28">
                  <c:v>1242234</c:v>
                </c:pt>
                <c:pt idx="29">
                  <c:v>1155925</c:v>
                </c:pt>
                <c:pt idx="30">
                  <c:v>1273607</c:v>
                </c:pt>
                <c:pt idx="31">
                  <c:v>1246836</c:v>
                </c:pt>
                <c:pt idx="32">
                  <c:v>1254403</c:v>
                </c:pt>
                <c:pt idx="33">
                  <c:v>1227528</c:v>
                </c:pt>
                <c:pt idx="34">
                  <c:v>1100908</c:v>
                </c:pt>
                <c:pt idx="35">
                  <c:v>1177971</c:v>
                </c:pt>
                <c:pt idx="36">
                  <c:v>1235014</c:v>
                </c:pt>
                <c:pt idx="37">
                  <c:v>1004637</c:v>
                </c:pt>
                <c:pt idx="38">
                  <c:v>1004637</c:v>
                </c:pt>
                <c:pt idx="39">
                  <c:v>1422347</c:v>
                </c:pt>
                <c:pt idx="40">
                  <c:v>1515606</c:v>
                </c:pt>
                <c:pt idx="41">
                  <c:v>1402452</c:v>
                </c:pt>
                <c:pt idx="42">
                  <c:v>1508162</c:v>
                </c:pt>
                <c:pt idx="43">
                  <c:v>1558477</c:v>
                </c:pt>
                <c:pt idx="44">
                  <c:v>1752743</c:v>
                </c:pt>
                <c:pt idx="45">
                  <c:v>1607770</c:v>
                </c:pt>
                <c:pt idx="46">
                  <c:v>1319071</c:v>
                </c:pt>
                <c:pt idx="47">
                  <c:v>1803505</c:v>
                </c:pt>
                <c:pt idx="48">
                  <c:v>1430112</c:v>
                </c:pt>
                <c:pt idx="49">
                  <c:v>1580054</c:v>
                </c:pt>
                <c:pt idx="50">
                  <c:v>1636239</c:v>
                </c:pt>
                <c:pt idx="51">
                  <c:v>1693475</c:v>
                </c:pt>
                <c:pt idx="52">
                  <c:v>1769250</c:v>
                </c:pt>
                <c:pt idx="53">
                  <c:v>2087019</c:v>
                </c:pt>
                <c:pt idx="54">
                  <c:v>1836545</c:v>
                </c:pt>
                <c:pt idx="55">
                  <c:v>1830031</c:v>
                </c:pt>
                <c:pt idx="56">
                  <c:v>1946725</c:v>
                </c:pt>
                <c:pt idx="57">
                  <c:v>1327616</c:v>
                </c:pt>
                <c:pt idx="58">
                  <c:v>1141783</c:v>
                </c:pt>
                <c:pt idx="59">
                  <c:v>1209964</c:v>
                </c:pt>
                <c:pt idx="60">
                  <c:v>988498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A-4D48-AD8F-D5278FC8C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20000"/>
        <c:axId val="2062318320"/>
      </c:lineChart>
      <c:lineChart>
        <c:grouping val="standard"/>
        <c:varyColors val="0"/>
        <c:ser>
          <c:idx val="1"/>
          <c:order val="1"/>
          <c:tx>
            <c:strRef>
              <c:f>'Group Totals'!$AN$3</c:f>
              <c:strCache>
                <c:ptCount val="1"/>
                <c:pt idx="0">
                  <c:v>Total Labour Hours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Totals'!$AN$81:$AN$140</c:f>
              <c:numCache>
                <c:formatCode>#,##0</c:formatCode>
                <c:ptCount val="60"/>
                <c:pt idx="0">
                  <c:v>8269.494999999999</c:v>
                </c:pt>
                <c:pt idx="1">
                  <c:v>8575.8559999999998</c:v>
                </c:pt>
                <c:pt idx="2">
                  <c:v>8159.5599999999986</c:v>
                </c:pt>
                <c:pt idx="3">
                  <c:v>8355.7690000000002</c:v>
                </c:pt>
                <c:pt idx="4">
                  <c:v>9609.4089999999997</c:v>
                </c:pt>
                <c:pt idx="5">
                  <c:v>8618.5689999999995</c:v>
                </c:pt>
                <c:pt idx="6">
                  <c:v>9460.8809999999994</c:v>
                </c:pt>
                <c:pt idx="7">
                  <c:v>9748.7119999999995</c:v>
                </c:pt>
                <c:pt idx="8">
                  <c:v>6091.4870000000001</c:v>
                </c:pt>
                <c:pt idx="9">
                  <c:v>7515.1549999999997</c:v>
                </c:pt>
                <c:pt idx="10">
                  <c:v>8136.732</c:v>
                </c:pt>
                <c:pt idx="11">
                  <c:v>8544.1450000000004</c:v>
                </c:pt>
                <c:pt idx="12" formatCode="_-* #,##0_-;\-* #,##0_-;_-* &quot;-&quot;??_-;_-@_-">
                  <c:v>6315.357</c:v>
                </c:pt>
                <c:pt idx="13" formatCode="_-* #,##0_-;\-* #,##0_-;_-* &quot;-&quot;??_-;_-@_-">
                  <c:v>9087.7580000000016</c:v>
                </c:pt>
                <c:pt idx="14" formatCode="_-* #,##0_-;\-* #,##0_-;_-* &quot;-&quot;??_-;_-@_-">
                  <c:v>7852.0690000000004</c:v>
                </c:pt>
                <c:pt idx="15" formatCode="_-* #,##0_-;\-* #,##0_-;_-* &quot;-&quot;??_-;_-@_-">
                  <c:v>8179.0410000000002</c:v>
                </c:pt>
                <c:pt idx="16" formatCode="_-* #,##0_-;\-* #,##0_-;_-* &quot;-&quot;??_-;_-@_-">
                  <c:v>8543.8629999999994</c:v>
                </c:pt>
                <c:pt idx="17" formatCode="_-* #,##0_-;\-* #,##0_-;_-* &quot;-&quot;??_-;_-@_-">
                  <c:v>7726.2220000000007</c:v>
                </c:pt>
                <c:pt idx="18" formatCode="_-* #,##0_-;\-* #,##0_-;_-* &quot;-&quot;??_-;_-@_-">
                  <c:v>7970.4460000000008</c:v>
                </c:pt>
                <c:pt idx="19" formatCode="_-* #,##0_-;\-* #,##0_-;_-* &quot;-&quot;??_-;_-@_-">
                  <c:v>7625.1850000000004</c:v>
                </c:pt>
                <c:pt idx="20" formatCode="_-* #,##0_-;\-* #,##0_-;_-* &quot;-&quot;??_-;_-@_-">
                  <c:v>5470.2740000000003</c:v>
                </c:pt>
                <c:pt idx="21" formatCode="_-* #,##0_-;\-* #,##0_-;_-* &quot;-&quot;??_-;_-@_-">
                  <c:v>7737.16</c:v>
                </c:pt>
                <c:pt idx="22" formatCode="_-* #,##0_-;\-* #,##0_-;_-* &quot;-&quot;??_-;_-@_-">
                  <c:v>7124.28</c:v>
                </c:pt>
                <c:pt idx="23" formatCode="_-* #,##0_-;\-* #,##0_-;_-* &quot;-&quot;??_-;_-@_-">
                  <c:v>5700.5740000000005</c:v>
                </c:pt>
                <c:pt idx="24" formatCode="_-* #,##0_-;\-* #,##0_-;_-* &quot;-&quot;??_-;_-@_-">
                  <c:v>2996.288</c:v>
                </c:pt>
                <c:pt idx="25" formatCode="_-* #,##0_-;\-* #,##0_-;_-* &quot;-&quot;??_-;_-@_-">
                  <c:v>8154.9969999999994</c:v>
                </c:pt>
                <c:pt idx="26" formatCode="_-* #,##0_-;\-* #,##0_-;_-* &quot;-&quot;??_-;_-@_-">
                  <c:v>8968</c:v>
                </c:pt>
                <c:pt idx="27" formatCode="_-* #,##0_-;\-* #,##0_-;_-* &quot;-&quot;??_-;_-@_-">
                  <c:v>10438</c:v>
                </c:pt>
                <c:pt idx="28" formatCode="_-* #,##0_-;\-* #,##0_-;_-* &quot;-&quot;??_-;_-@_-">
                  <c:v>9155</c:v>
                </c:pt>
                <c:pt idx="29" formatCode="_-* #,##0_-;\-* #,##0_-;_-* &quot;-&quot;??_-;_-@_-">
                  <c:v>9603</c:v>
                </c:pt>
                <c:pt idx="30" formatCode="_-* #,##0_-;\-* #,##0_-;_-* &quot;-&quot;??_-;_-@_-">
                  <c:v>9571</c:v>
                </c:pt>
                <c:pt idx="31" formatCode="_-* #,##0_-;\-* #,##0_-;_-* &quot;-&quot;??_-;_-@_-">
                  <c:v>9935</c:v>
                </c:pt>
                <c:pt idx="32" formatCode="_-* #,##0_-;\-* #,##0_-;_-* &quot;-&quot;??_-;_-@_-">
                  <c:v>7227</c:v>
                </c:pt>
                <c:pt idx="33" formatCode="_-* #,##0_-;\-* #,##0_-;_-* &quot;-&quot;??_-;_-@_-">
                  <c:v>7664</c:v>
                </c:pt>
                <c:pt idx="34" formatCode="_-* #,##0_-;\-* #,##0_-;_-* &quot;-&quot;??_-;_-@_-">
                  <c:v>7342</c:v>
                </c:pt>
                <c:pt idx="35" formatCode="_-* #,##0_-;\-* #,##0_-;_-* &quot;-&quot;??_-;_-@_-">
                  <c:v>9653</c:v>
                </c:pt>
                <c:pt idx="36" formatCode="_-* #,##0_-;\-* #,##0_-;_-* &quot;-&quot;??_-;_-@_-">
                  <c:v>7946</c:v>
                </c:pt>
                <c:pt idx="37" formatCode="_-* #,##0_-;\-* #,##0_-;_-* &quot;-&quot;??_-;_-@_-">
                  <c:v>9093</c:v>
                </c:pt>
                <c:pt idx="38" formatCode="_-* #,##0_-;\-* #,##0_-;_-* &quot;-&quot;??_-;_-@_-">
                  <c:v>8666</c:v>
                </c:pt>
                <c:pt idx="39" formatCode="_-* #,##0_-;\-* #,##0_-;_-* &quot;-&quot;??_-;_-@_-">
                  <c:v>9861</c:v>
                </c:pt>
                <c:pt idx="40" formatCode="_-* #,##0_-;\-* #,##0_-;_-* &quot;-&quot;??_-;_-@_-">
                  <c:v>9369</c:v>
                </c:pt>
                <c:pt idx="41" formatCode="_-* #,##0_-;\-* #,##0_-;_-* &quot;-&quot;??_-;_-@_-">
                  <c:v>11329</c:v>
                </c:pt>
                <c:pt idx="42" formatCode="_-* #,##0_-;\-* #,##0_-;_-* &quot;-&quot;??_-;_-@_-">
                  <c:v>11659.727999999999</c:v>
                </c:pt>
                <c:pt idx="43" formatCode="_-* #,##0_-;\-* #,##0_-;_-* &quot;-&quot;??_-;_-@_-">
                  <c:v>11382.971</c:v>
                </c:pt>
                <c:pt idx="44" formatCode="_-* #,##0_-;\-* #,##0_-;_-* &quot;-&quot;??_-;_-@_-">
                  <c:v>13834.32</c:v>
                </c:pt>
                <c:pt idx="45" formatCode="_-* #,##0_-;\-* #,##0_-;_-* &quot;-&quot;??_-;_-@_-">
                  <c:v>10828.633</c:v>
                </c:pt>
                <c:pt idx="46" formatCode="_-* #,##0_-;\-* #,##0_-;_-* &quot;-&quot;??_-;_-@_-">
                  <c:v>12449</c:v>
                </c:pt>
                <c:pt idx="47" formatCode="_-* #,##0_-;\-* #,##0_-;_-* &quot;-&quot;??_-;_-@_-">
                  <c:v>14185</c:v>
                </c:pt>
                <c:pt idx="48" formatCode="_-* #,##0_-;\-* #,##0_-;_-* &quot;-&quot;??_-;_-@_-">
                  <c:v>9758</c:v>
                </c:pt>
                <c:pt idx="49" formatCode="_-* #,##0_-;\-* #,##0_-;_-* &quot;-&quot;??_-;_-@_-">
                  <c:v>11383</c:v>
                </c:pt>
                <c:pt idx="50" formatCode="_-* #,##0_-;\-* #,##0_-;_-* &quot;-&quot;??_-;_-@_-">
                  <c:v>10471</c:v>
                </c:pt>
                <c:pt idx="51" formatCode="_-* #,##0_-;\-* #,##0_-;_-* &quot;-&quot;??_-;_-@_-">
                  <c:v>10590</c:v>
                </c:pt>
                <c:pt idx="52" formatCode="_-* #,##0_-;\-* #,##0_-;_-* &quot;-&quot;??_-;_-@_-">
                  <c:v>15405</c:v>
                </c:pt>
                <c:pt idx="53" formatCode="_-* #,##0_-;\-* #,##0_-;_-* &quot;-&quot;??_-;_-@_-">
                  <c:v>12253</c:v>
                </c:pt>
                <c:pt idx="54" formatCode="_-* #,##0_-;\-* #,##0_-;_-* &quot;-&quot;??_-;_-@_-">
                  <c:v>13528</c:v>
                </c:pt>
                <c:pt idx="55" formatCode="_-* #,##0_-;\-* #,##0_-;_-* &quot;-&quot;??_-;_-@_-">
                  <c:v>11559</c:v>
                </c:pt>
                <c:pt idx="56" formatCode="_-* #,##0_-;\-* #,##0_-;_-* &quot;-&quot;??_-;_-@_-">
                  <c:v>5898</c:v>
                </c:pt>
                <c:pt idx="57" formatCode="_-* #,##0_-;\-* #,##0_-;_-* &quot;-&quot;??_-;_-@_-">
                  <c:v>4400</c:v>
                </c:pt>
                <c:pt idx="58" formatCode="_-* #,##0_-;\-* #,##0_-;_-* &quot;-&quot;??_-;_-@_-">
                  <c:v>7486</c:v>
                </c:pt>
                <c:pt idx="59" formatCode="_-* #,##0_-;\-* #,##0_-;_-* &quot;-&quot;??_-;_-@_-">
                  <c:v>8269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A-4D48-AD8F-D5278FC8C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917983"/>
        <c:axId val="1069907999"/>
      </c:lineChart>
      <c:dateAx>
        <c:axId val="1542200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18320"/>
        <c:crosses val="autoZero"/>
        <c:auto val="1"/>
        <c:lblOffset val="100"/>
        <c:baseTimeUnit val="months"/>
      </c:dateAx>
      <c:valAx>
        <c:axId val="2062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0000"/>
        <c:crosses val="autoZero"/>
        <c:crossBetween val="between"/>
      </c:valAx>
      <c:valAx>
        <c:axId val="1069907999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917983"/>
        <c:crosses val="max"/>
        <c:crossBetween val="between"/>
      </c:valAx>
      <c:dateAx>
        <c:axId val="106991798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069907999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Totals'!$I$3</c:f>
              <c:strCache>
                <c:ptCount val="1"/>
                <c:pt idx="0">
                  <c:v>$ Transfer to FG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Totals'!$I$80:$I$140</c:f>
              <c:numCache>
                <c:formatCode>_-"$"* #,##0_-;\-"$"* #,##0_-;_-"$"* "-"??_-;_-@_-</c:formatCode>
                <c:ptCount val="61"/>
                <c:pt idx="1">
                  <c:v>4277600.4800000004</c:v>
                </c:pt>
                <c:pt idx="2">
                  <c:v>4635382.55</c:v>
                </c:pt>
                <c:pt idx="3">
                  <c:v>4695293.38</c:v>
                </c:pt>
                <c:pt idx="4">
                  <c:v>5173418.8499999996</c:v>
                </c:pt>
                <c:pt idx="5">
                  <c:v>6032358.25</c:v>
                </c:pt>
                <c:pt idx="6">
                  <c:v>5549339.4800000004</c:v>
                </c:pt>
                <c:pt idx="7">
                  <c:v>5670790.04</c:v>
                </c:pt>
                <c:pt idx="8">
                  <c:v>6463959.3300000001</c:v>
                </c:pt>
                <c:pt idx="9">
                  <c:v>3456165.31</c:v>
                </c:pt>
                <c:pt idx="10">
                  <c:v>4410960.1100000003</c:v>
                </c:pt>
                <c:pt idx="11">
                  <c:v>4759440.4000000004</c:v>
                </c:pt>
                <c:pt idx="12">
                  <c:v>5541973.9800000004</c:v>
                </c:pt>
                <c:pt idx="13">
                  <c:v>3712412.31</c:v>
                </c:pt>
                <c:pt idx="14">
                  <c:v>5567479.9299999997</c:v>
                </c:pt>
                <c:pt idx="15">
                  <c:v>4504290.1900000004</c:v>
                </c:pt>
                <c:pt idx="16">
                  <c:v>5013074.53</c:v>
                </c:pt>
                <c:pt idx="17">
                  <c:v>5510141.6299999999</c:v>
                </c:pt>
                <c:pt idx="18">
                  <c:v>5463230.4400000004</c:v>
                </c:pt>
                <c:pt idx="19">
                  <c:v>5494825.4500000002</c:v>
                </c:pt>
                <c:pt idx="20">
                  <c:v>5484324.0700000003</c:v>
                </c:pt>
                <c:pt idx="21">
                  <c:v>3832569.98</c:v>
                </c:pt>
                <c:pt idx="22">
                  <c:v>5219122.3</c:v>
                </c:pt>
                <c:pt idx="23">
                  <c:v>4998390.04</c:v>
                </c:pt>
                <c:pt idx="24">
                  <c:v>3853416.1</c:v>
                </c:pt>
                <c:pt idx="25">
                  <c:v>2311650.86</c:v>
                </c:pt>
                <c:pt idx="26">
                  <c:v>6138751.7400000002</c:v>
                </c:pt>
                <c:pt idx="27">
                  <c:v>6430948</c:v>
                </c:pt>
                <c:pt idx="28">
                  <c:v>7451275</c:v>
                </c:pt>
                <c:pt idx="29">
                  <c:v>5621755</c:v>
                </c:pt>
                <c:pt idx="30">
                  <c:v>5924969</c:v>
                </c:pt>
                <c:pt idx="31">
                  <c:v>5648569</c:v>
                </c:pt>
                <c:pt idx="32">
                  <c:v>6154335</c:v>
                </c:pt>
                <c:pt idx="33">
                  <c:v>4568308</c:v>
                </c:pt>
                <c:pt idx="34">
                  <c:v>4840134</c:v>
                </c:pt>
                <c:pt idx="35">
                  <c:v>4600143</c:v>
                </c:pt>
                <c:pt idx="36">
                  <c:v>5568012</c:v>
                </c:pt>
                <c:pt idx="37">
                  <c:v>4844169</c:v>
                </c:pt>
                <c:pt idx="38">
                  <c:v>5464720</c:v>
                </c:pt>
                <c:pt idx="39">
                  <c:v>5464721</c:v>
                </c:pt>
                <c:pt idx="40">
                  <c:v>6986771</c:v>
                </c:pt>
                <c:pt idx="41">
                  <c:v>10143380</c:v>
                </c:pt>
                <c:pt idx="42">
                  <c:v>16448447</c:v>
                </c:pt>
                <c:pt idx="43">
                  <c:v>17127174</c:v>
                </c:pt>
                <c:pt idx="44">
                  <c:v>15363040</c:v>
                </c:pt>
                <c:pt idx="45">
                  <c:v>11226330</c:v>
                </c:pt>
                <c:pt idx="46">
                  <c:v>9733117</c:v>
                </c:pt>
                <c:pt idx="47">
                  <c:v>10406780</c:v>
                </c:pt>
                <c:pt idx="48">
                  <c:v>10658832</c:v>
                </c:pt>
                <c:pt idx="49">
                  <c:v>8970290</c:v>
                </c:pt>
                <c:pt idx="50">
                  <c:v>9434352</c:v>
                </c:pt>
                <c:pt idx="51">
                  <c:v>9335502</c:v>
                </c:pt>
                <c:pt idx="52">
                  <c:v>8608730</c:v>
                </c:pt>
                <c:pt idx="53">
                  <c:v>10343667</c:v>
                </c:pt>
                <c:pt idx="54">
                  <c:v>10066416</c:v>
                </c:pt>
                <c:pt idx="55">
                  <c:v>9729746</c:v>
                </c:pt>
                <c:pt idx="56">
                  <c:v>7428029</c:v>
                </c:pt>
                <c:pt idx="57">
                  <c:v>4104662</c:v>
                </c:pt>
                <c:pt idx="58">
                  <c:v>2924488</c:v>
                </c:pt>
                <c:pt idx="59">
                  <c:v>4442152</c:v>
                </c:pt>
                <c:pt idx="60">
                  <c:v>5123044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1-4080-8C44-A53E06304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220000"/>
        <c:axId val="2062318320"/>
      </c:lineChart>
      <c:dateAx>
        <c:axId val="1542200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18320"/>
        <c:crosses val="autoZero"/>
        <c:auto val="1"/>
        <c:lblOffset val="100"/>
        <c:baseTimeUnit val="months"/>
      </c:dateAx>
      <c:valAx>
        <c:axId val="2062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Totals'!$BG$3</c:f>
              <c:strCache>
                <c:ptCount val="1"/>
                <c:pt idx="0">
                  <c:v>$ to FG per Lab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Totals'!$A$81:$A$140</c:f>
              <c:numCache>
                <c:formatCode>mmm\-yy</c:formatCode>
                <c:ptCount val="60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  <c:pt idx="59">
                  <c:v>44986</c:v>
                </c:pt>
              </c:numCache>
            </c:numRef>
          </c:cat>
          <c:val>
            <c:numRef>
              <c:f>'Group Totals'!$BG$81:$BG$140</c:f>
              <c:numCache>
                <c:formatCode>_-"$"* #,##0_-;\-"$"* #,##0_-;_-"$"* "-"??_-;_-@_-</c:formatCode>
                <c:ptCount val="60"/>
                <c:pt idx="0">
                  <c:v>517.27469210635002</c:v>
                </c:pt>
                <c:pt idx="1">
                  <c:v>540.51543659315178</c:v>
                </c:pt>
                <c:pt idx="2">
                  <c:v>575.4346288280251</c:v>
                </c:pt>
                <c:pt idx="3">
                  <c:v>619.14335472893038</c:v>
                </c:pt>
                <c:pt idx="4">
                  <c:v>627.75538537281534</c:v>
                </c:pt>
                <c:pt idx="5">
                  <c:v>643.88177202039003</c:v>
                </c:pt>
                <c:pt idx="6">
                  <c:v>599.39344338016724</c:v>
                </c:pt>
                <c:pt idx="7">
                  <c:v>663.05777932510478</c:v>
                </c:pt>
                <c:pt idx="8">
                  <c:v>567.37629252102158</c:v>
                </c:pt>
                <c:pt idx="9">
                  <c:v>586.9420005309272</c:v>
                </c:pt>
                <c:pt idx="10">
                  <c:v>584.9326732157333</c:v>
                </c:pt>
                <c:pt idx="11">
                  <c:v>648.62826883204821</c:v>
                </c:pt>
                <c:pt idx="12">
                  <c:v>587.83886801648748</c:v>
                </c:pt>
                <c:pt idx="13">
                  <c:v>612.63514389357624</c:v>
                </c:pt>
                <c:pt idx="14">
                  <c:v>573.64373517349384</c:v>
                </c:pt>
                <c:pt idx="15">
                  <c:v>612.91715373477166</c:v>
                </c:pt>
                <c:pt idx="16">
                  <c:v>644.92392141587482</c:v>
                </c:pt>
                <c:pt idx="17">
                  <c:v>707.10244152963764</c:v>
                </c:pt>
                <c:pt idx="18">
                  <c:v>689.39999718961769</c:v>
                </c:pt>
                <c:pt idx="19">
                  <c:v>719.23816536910249</c:v>
                </c:pt>
                <c:pt idx="20">
                  <c:v>700.61755224692581</c:v>
                </c:pt>
                <c:pt idx="21">
                  <c:v>674.55271701761365</c:v>
                </c:pt>
                <c:pt idx="22">
                  <c:v>701.59932512478451</c:v>
                </c:pt>
                <c:pt idx="23">
                  <c:v>675.96984093180788</c:v>
                </c:pt>
                <c:pt idx="24">
                  <c:v>771.50489539056321</c:v>
                </c:pt>
                <c:pt idx="25">
                  <c:v>752.75953381711861</c:v>
                </c:pt>
                <c:pt idx="26">
                  <c:v>717.09946476360392</c:v>
                </c:pt>
                <c:pt idx="27">
                  <c:v>713.86041387238936</c:v>
                </c:pt>
                <c:pt idx="28">
                  <c:v>614.06389950846528</c:v>
                </c:pt>
                <c:pt idx="29">
                  <c:v>616.99146100177029</c:v>
                </c:pt>
                <c:pt idx="30">
                  <c:v>590.17542576533276</c:v>
                </c:pt>
                <c:pt idx="31">
                  <c:v>619.45998993457476</c:v>
                </c:pt>
                <c:pt idx="32">
                  <c:v>632.11678428116784</c:v>
                </c:pt>
                <c:pt idx="33">
                  <c:v>631.54149269311063</c:v>
                </c:pt>
                <c:pt idx="34">
                  <c:v>626.5517570144375</c:v>
                </c:pt>
                <c:pt idx="35">
                  <c:v>576.81674090956176</c:v>
                </c:pt>
                <c:pt idx="36">
                  <c:v>609.63616914170655</c:v>
                </c:pt>
                <c:pt idx="37">
                  <c:v>600.98097437589354</c:v>
                </c:pt>
                <c:pt idx="38">
                  <c:v>630.59323794138015</c:v>
                </c:pt>
                <c:pt idx="39">
                  <c:v>708.52560592232021</c:v>
                </c:pt>
                <c:pt idx="40">
                  <c:v>1082.6534315295123</c:v>
                </c:pt>
                <c:pt idx="41">
                  <c:v>1451.8886927354577</c:v>
                </c:pt>
                <c:pt idx="42">
                  <c:v>1468.9171136753791</c:v>
                </c:pt>
                <c:pt idx="43">
                  <c:v>1349.6511587352722</c:v>
                </c:pt>
                <c:pt idx="44">
                  <c:v>811.48404836667078</c:v>
                </c:pt>
                <c:pt idx="45">
                  <c:v>898.83155149869799</c:v>
                </c:pt>
                <c:pt idx="46">
                  <c:v>835.95308860149407</c:v>
                </c:pt>
                <c:pt idx="47">
                  <c:v>751.41572083186463</c:v>
                </c:pt>
                <c:pt idx="48">
                  <c:v>919.27546628407458</c:v>
                </c:pt>
                <c:pt idx="49">
                  <c:v>828.81068259685492</c:v>
                </c:pt>
                <c:pt idx="50">
                  <c:v>891.55782637761433</c:v>
                </c:pt>
                <c:pt idx="51">
                  <c:v>812.91123701605284</c:v>
                </c:pt>
                <c:pt idx="52">
                  <c:v>671.4486854917235</c:v>
                </c:pt>
                <c:pt idx="53">
                  <c:v>821.54704970211378</c:v>
                </c:pt>
                <c:pt idx="54">
                  <c:v>719.23018923713778</c:v>
                </c:pt>
                <c:pt idx="55">
                  <c:v>642.61865213253736</c:v>
                </c:pt>
                <c:pt idx="56">
                  <c:v>695.94133604611727</c:v>
                </c:pt>
                <c:pt idx="57">
                  <c:v>664.65636363636361</c:v>
                </c:pt>
                <c:pt idx="58">
                  <c:v>593.39460325941764</c:v>
                </c:pt>
                <c:pt idx="59">
                  <c:v>619.54819204256864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8F9-4C67-9F97-52157E180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220000"/>
        <c:axId val="2062318320"/>
      </c:lineChart>
      <c:dateAx>
        <c:axId val="1542200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18320"/>
        <c:crosses val="autoZero"/>
        <c:auto val="1"/>
        <c:lblOffset val="100"/>
        <c:baseTimeUnit val="months"/>
      </c:dateAx>
      <c:valAx>
        <c:axId val="2062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Recovery</a:t>
            </a:r>
            <a:r>
              <a:rPr lang="en-NZ" baseline="0"/>
              <a:t> per Labour Hr, Per Direct Team, Per Total Team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Totals'!$BO$3</c:f>
              <c:strCache>
                <c:ptCount val="1"/>
                <c:pt idx="0">
                  <c:v>Recovery / labour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Totals'!$BO$80:$BO$140</c:f>
              <c:numCache>
                <c:formatCode>_-"$"* #,##0_-;\-"$"* #,##0_-;_-"$"* "-"??_-;_-@_-</c:formatCode>
                <c:ptCount val="61"/>
                <c:pt idx="1">
                  <c:v>108.22185393424871</c:v>
                </c:pt>
                <c:pt idx="2">
                  <c:v>108.27909423852267</c:v>
                </c:pt>
                <c:pt idx="3">
                  <c:v>114.61806764090223</c:v>
                </c:pt>
                <c:pt idx="4">
                  <c:v>119.61460399395914</c:v>
                </c:pt>
                <c:pt idx="5">
                  <c:v>120.79265228485956</c:v>
                </c:pt>
                <c:pt idx="6">
                  <c:v>120.33331751477537</c:v>
                </c:pt>
                <c:pt idx="7">
                  <c:v>115.73470483351397</c:v>
                </c:pt>
                <c:pt idx="8">
                  <c:v>121.38328940274363</c:v>
                </c:pt>
                <c:pt idx="9">
                  <c:v>113.9222524812086</c:v>
                </c:pt>
                <c:pt idx="10">
                  <c:v>111.19295077746231</c:v>
                </c:pt>
                <c:pt idx="11">
                  <c:v>114.96990192131204</c:v>
                </c:pt>
                <c:pt idx="12">
                  <c:v>115.73024568286235</c:v>
                </c:pt>
                <c:pt idx="13">
                  <c:v>113.71692843334114</c:v>
                </c:pt>
                <c:pt idx="14">
                  <c:v>113.99643344376025</c:v>
                </c:pt>
                <c:pt idx="15">
                  <c:v>112.88540638142634</c:v>
                </c:pt>
                <c:pt idx="16">
                  <c:v>116.93057902509597</c:v>
                </c:pt>
                <c:pt idx="17">
                  <c:v>139.64116699904952</c:v>
                </c:pt>
                <c:pt idx="18">
                  <c:v>134.26251536650125</c:v>
                </c:pt>
                <c:pt idx="19">
                  <c:v>140.62224372387692</c:v>
                </c:pt>
                <c:pt idx="20">
                  <c:v>145.04592347595499</c:v>
                </c:pt>
                <c:pt idx="21">
                  <c:v>142.35795135673277</c:v>
                </c:pt>
                <c:pt idx="22">
                  <c:v>136.10006772510843</c:v>
                </c:pt>
                <c:pt idx="23">
                  <c:v>144.21892457904519</c:v>
                </c:pt>
                <c:pt idx="24">
                  <c:v>142.24550018998085</c:v>
                </c:pt>
                <c:pt idx="25">
                  <c:v>157.63104214281137</c:v>
                </c:pt>
                <c:pt idx="26">
                  <c:v>159.09496962414579</c:v>
                </c:pt>
                <c:pt idx="27">
                  <c:v>146.98951828724353</c:v>
                </c:pt>
                <c:pt idx="28">
                  <c:v>144.87095228971069</c:v>
                </c:pt>
                <c:pt idx="29">
                  <c:v>133.0578918623703</c:v>
                </c:pt>
                <c:pt idx="30">
                  <c:v>139.53858169322086</c:v>
                </c:pt>
                <c:pt idx="31">
                  <c:v>120.62532650715704</c:v>
                </c:pt>
                <c:pt idx="32">
                  <c:v>132.55339708102667</c:v>
                </c:pt>
                <c:pt idx="33">
                  <c:v>135.01784973017851</c:v>
                </c:pt>
                <c:pt idx="34">
                  <c:v>138.05819415448852</c:v>
                </c:pt>
                <c:pt idx="35">
                  <c:v>135.89907382184691</c:v>
                </c:pt>
                <c:pt idx="36">
                  <c:v>101.9140163679685</c:v>
                </c:pt>
                <c:pt idx="37">
                  <c:v>122.31185502139441</c:v>
                </c:pt>
                <c:pt idx="38">
                  <c:v>120.85252391949851</c:v>
                </c:pt>
                <c:pt idx="39">
                  <c:v>129.62935610431572</c:v>
                </c:pt>
                <c:pt idx="40">
                  <c:v>135.75773248149275</c:v>
                </c:pt>
                <c:pt idx="41">
                  <c:v>180.7039171736578</c:v>
                </c:pt>
                <c:pt idx="42">
                  <c:v>195.73501632977315</c:v>
                </c:pt>
                <c:pt idx="43">
                  <c:v>149.89466306589657</c:v>
                </c:pt>
                <c:pt idx="44">
                  <c:v>160.68898005626124</c:v>
                </c:pt>
                <c:pt idx="45">
                  <c:v>101.99605040218819</c:v>
                </c:pt>
                <c:pt idx="46">
                  <c:v>125.02593817705338</c:v>
                </c:pt>
                <c:pt idx="47">
                  <c:v>117.74383484617238</c:v>
                </c:pt>
                <c:pt idx="48">
                  <c:v>113.14663376806486</c:v>
                </c:pt>
                <c:pt idx="49">
                  <c:v>147.50819840131174</c:v>
                </c:pt>
                <c:pt idx="50">
                  <c:v>127.36247035052271</c:v>
                </c:pt>
                <c:pt idx="51">
                  <c:v>133.15700506159871</c:v>
                </c:pt>
                <c:pt idx="52">
                  <c:v>127.08224740321057</c:v>
                </c:pt>
                <c:pt idx="53">
                  <c:v>102.22596559558585</c:v>
                </c:pt>
                <c:pt idx="54">
                  <c:v>119.41679588672162</c:v>
                </c:pt>
                <c:pt idx="55">
                  <c:v>102.55699290360734</c:v>
                </c:pt>
                <c:pt idx="56">
                  <c:v>121.80361622977766</c:v>
                </c:pt>
                <c:pt idx="57">
                  <c:v>141.09850796880298</c:v>
                </c:pt>
                <c:pt idx="58">
                  <c:v>131.89636363636365</c:v>
                </c:pt>
                <c:pt idx="59">
                  <c:v>123.79441624365482</c:v>
                </c:pt>
                <c:pt idx="60">
                  <c:v>122.57782077639376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A-4B02-901C-1B7D650EB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20000"/>
        <c:axId val="2062318320"/>
      </c:lineChart>
      <c:lineChart>
        <c:grouping val="standard"/>
        <c:varyColors val="0"/>
        <c:ser>
          <c:idx val="1"/>
          <c:order val="1"/>
          <c:tx>
            <c:strRef>
              <c:f>'Group Totals'!$BB$3</c:f>
              <c:strCache>
                <c:ptCount val="1"/>
                <c:pt idx="0">
                  <c:v>Recovery per total team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Totals'!$BB$82:$BB$140</c:f>
              <c:numCache>
                <c:formatCode>"$"#,##0</c:formatCode>
                <c:ptCount val="59"/>
                <c:pt idx="0">
                  <c:v>7611.3600000000006</c:v>
                </c:pt>
                <c:pt idx="1">
                  <c:v>7729.1983471074382</c:v>
                </c:pt>
                <c:pt idx="2">
                  <c:v>8260.0991735537191</c:v>
                </c:pt>
                <c:pt idx="3">
                  <c:v>9212.269841269841</c:v>
                </c:pt>
                <c:pt idx="4">
                  <c:v>8102.3515625</c:v>
                </c:pt>
                <c:pt idx="5">
                  <c:v>8621.6714173228393</c:v>
                </c:pt>
                <c:pt idx="6">
                  <c:v>9173.1064341085239</c:v>
                </c:pt>
                <c:pt idx="7">
                  <c:v>5140.4142222222217</c:v>
                </c:pt>
                <c:pt idx="8">
                  <c:v>6427.9404615384601</c:v>
                </c:pt>
                <c:pt idx="9">
                  <c:v>7308.4318750000093</c:v>
                </c:pt>
                <c:pt idx="10">
                  <c:v>7847.7460317460318</c:v>
                </c:pt>
                <c:pt idx="11">
                  <c:v>5654.8267716535429</c:v>
                </c:pt>
                <c:pt idx="12">
                  <c:v>7908.1832061068699</c:v>
                </c:pt>
                <c:pt idx="13">
                  <c:v>6766.2900763358775</c:v>
                </c:pt>
                <c:pt idx="14">
                  <c:v>7190.8270676691727</c:v>
                </c:pt>
                <c:pt idx="15">
                  <c:v>9038.44696969697</c:v>
                </c:pt>
                <c:pt idx="16">
                  <c:v>8104.234375</c:v>
                </c:pt>
                <c:pt idx="17">
                  <c:v>8756.421875</c:v>
                </c:pt>
                <c:pt idx="18">
                  <c:v>8640.640625</c:v>
                </c:pt>
                <c:pt idx="19">
                  <c:v>6280.1370967741932</c:v>
                </c:pt>
                <c:pt idx="20">
                  <c:v>8357.3650793650795</c:v>
                </c:pt>
                <c:pt idx="21">
                  <c:v>8491.371900826447</c:v>
                </c:pt>
                <c:pt idx="22">
                  <c:v>6814.1260504201682</c:v>
                </c:pt>
                <c:pt idx="23">
                  <c:v>4036.8205128205127</c:v>
                </c:pt>
                <c:pt idx="24">
                  <c:v>10995.076271186441</c:v>
                </c:pt>
                <c:pt idx="25">
                  <c:v>10298.453125</c:v>
                </c:pt>
                <c:pt idx="26">
                  <c:v>11201.207407407408</c:v>
                </c:pt>
                <c:pt idx="27">
                  <c:v>9228.371212121212</c:v>
                </c:pt>
                <c:pt idx="28">
                  <c:v>9925.8444444444449</c:v>
                </c:pt>
                <c:pt idx="29">
                  <c:v>8187.9787234042551</c:v>
                </c:pt>
                <c:pt idx="30">
                  <c:v>9339.8439716312059</c:v>
                </c:pt>
                <c:pt idx="31">
                  <c:v>7019.9568345323742</c:v>
                </c:pt>
                <c:pt idx="32">
                  <c:v>7779.9852941176468</c:v>
                </c:pt>
                <c:pt idx="33">
                  <c:v>7558.871212121212</c:v>
                </c:pt>
                <c:pt idx="34">
                  <c:v>7128.811594202899</c:v>
                </c:pt>
                <c:pt idx="35">
                  <c:v>7146.25</c:v>
                </c:pt>
                <c:pt idx="36">
                  <c:v>7849.3714285714286</c:v>
                </c:pt>
                <c:pt idx="37">
                  <c:v>8140.347826086957</c:v>
                </c:pt>
                <c:pt idx="38">
                  <c:v>9106.850340136054</c:v>
                </c:pt>
                <c:pt idx="39">
                  <c:v>11138.256578947368</c:v>
                </c:pt>
                <c:pt idx="40">
                  <c:v>14399.233766233767</c:v>
                </c:pt>
                <c:pt idx="41">
                  <c:v>10102.491329479768</c:v>
                </c:pt>
                <c:pt idx="42">
                  <c:v>9887.1243243243243</c:v>
                </c:pt>
                <c:pt idx="43">
                  <c:v>7387.6753926701567</c:v>
                </c:pt>
                <c:pt idx="44">
                  <c:v>6769.3</c:v>
                </c:pt>
                <c:pt idx="45">
                  <c:v>7365.7939698492464</c:v>
                </c:pt>
                <c:pt idx="46">
                  <c:v>8315.984455958549</c:v>
                </c:pt>
                <c:pt idx="47">
                  <c:v>7865.4918032786882</c:v>
                </c:pt>
                <c:pt idx="48">
                  <c:v>7752.7647058823532</c:v>
                </c:pt>
                <c:pt idx="49">
                  <c:v>7746.0388888888892</c:v>
                </c:pt>
                <c:pt idx="50">
                  <c:v>7196.7967914438505</c:v>
                </c:pt>
                <c:pt idx="51">
                  <c:v>8244.9790575916231</c:v>
                </c:pt>
                <c:pt idx="52">
                  <c:v>7352.8341708542712</c:v>
                </c:pt>
                <c:pt idx="53">
                  <c:v>6971.8140703517583</c:v>
                </c:pt>
                <c:pt idx="54">
                  <c:v>8330.9349112426044</c:v>
                </c:pt>
                <c:pt idx="55">
                  <c:v>5439.2091503267975</c:v>
                </c:pt>
                <c:pt idx="56">
                  <c:v>3947.9183673469388</c:v>
                </c:pt>
                <c:pt idx="57">
                  <c:v>6526.2323943661968</c:v>
                </c:pt>
                <c:pt idx="58">
                  <c:v>7398.5109489051092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FA-4B02-901C-1B7D650EB6CC}"/>
            </c:ext>
          </c:extLst>
        </c:ser>
        <c:ser>
          <c:idx val="2"/>
          <c:order val="2"/>
          <c:tx>
            <c:strRef>
              <c:f>'Group Totals'!$BA$3</c:f>
              <c:strCache>
                <c:ptCount val="1"/>
                <c:pt idx="0">
                  <c:v>Recovery / direct team member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Totals'!$BA$82:$BA$140</c:f>
              <c:numCache>
                <c:formatCode>_-"$"* #,##0_-;\-"$"* #,##0_-;_-"$"* "-"??_-;_-@_-</c:formatCode>
                <c:ptCount val="59"/>
                <c:pt idx="0">
                  <c:v>12218.235789473685</c:v>
                </c:pt>
                <c:pt idx="1">
                  <c:v>12305.697368421053</c:v>
                </c:pt>
                <c:pt idx="2">
                  <c:v>12980.155844155845</c:v>
                </c:pt>
                <c:pt idx="3">
                  <c:v>13984.89156626506</c:v>
                </c:pt>
                <c:pt idx="4">
                  <c:v>12201.188235294117</c:v>
                </c:pt>
                <c:pt idx="5">
                  <c:v>13192.196024096391</c:v>
                </c:pt>
                <c:pt idx="6">
                  <c:v>13446.940113636358</c:v>
                </c:pt>
                <c:pt idx="7">
                  <c:v>7625.8892307692304</c:v>
                </c:pt>
                <c:pt idx="8">
                  <c:v>10316.447654320986</c:v>
                </c:pt>
                <c:pt idx="9">
                  <c:v>10630.446363636378</c:v>
                </c:pt>
                <c:pt idx="10">
                  <c:v>12360.2</c:v>
                </c:pt>
                <c:pt idx="11">
                  <c:v>8866.2098765432092</c:v>
                </c:pt>
                <c:pt idx="12">
                  <c:v>12633.804878048781</c:v>
                </c:pt>
                <c:pt idx="13">
                  <c:v>10552.190476190477</c:v>
                </c:pt>
                <c:pt idx="14">
                  <c:v>12106.075949367088</c:v>
                </c:pt>
                <c:pt idx="15">
                  <c:v>14913.4375</c:v>
                </c:pt>
                <c:pt idx="16">
                  <c:v>13831.226666666667</c:v>
                </c:pt>
                <c:pt idx="17">
                  <c:v>14556.129870129869</c:v>
                </c:pt>
                <c:pt idx="18">
                  <c:v>14363.662337662337</c:v>
                </c:pt>
                <c:pt idx="19">
                  <c:v>10667.630136986301</c:v>
                </c:pt>
                <c:pt idx="20">
                  <c:v>15485.705882352941</c:v>
                </c:pt>
                <c:pt idx="21">
                  <c:v>15807.015384615384</c:v>
                </c:pt>
                <c:pt idx="22">
                  <c:v>12670.015625</c:v>
                </c:pt>
                <c:pt idx="23">
                  <c:v>7617.8709677419356</c:v>
                </c:pt>
                <c:pt idx="24">
                  <c:v>19657.863636363636</c:v>
                </c:pt>
                <c:pt idx="25">
                  <c:v>17119.506493506495</c:v>
                </c:pt>
                <c:pt idx="26">
                  <c:v>17790.152941176471</c:v>
                </c:pt>
                <c:pt idx="27">
                  <c:v>14676.445783132531</c:v>
                </c:pt>
                <c:pt idx="28">
                  <c:v>16144.445783132531</c:v>
                </c:pt>
                <c:pt idx="29">
                  <c:v>12971.966292134832</c:v>
                </c:pt>
                <c:pt idx="30">
                  <c:v>14632.422222222222</c:v>
                </c:pt>
                <c:pt idx="31">
                  <c:v>11215.793103448275</c:v>
                </c:pt>
                <c:pt idx="32">
                  <c:v>12903.390243902439</c:v>
                </c:pt>
                <c:pt idx="33">
                  <c:v>12791.935897435897</c:v>
                </c:pt>
                <c:pt idx="34">
                  <c:v>11053.662921348314</c:v>
                </c:pt>
                <c:pt idx="35">
                  <c:v>11171.149425287356</c:v>
                </c:pt>
                <c:pt idx="36">
                  <c:v>12347.325842696629</c:v>
                </c:pt>
                <c:pt idx="37">
                  <c:v>13062.418604651162</c:v>
                </c:pt>
                <c:pt idx="38">
                  <c:v>14091.652631578947</c:v>
                </c:pt>
                <c:pt idx="39">
                  <c:v>17275.663265306124</c:v>
                </c:pt>
                <c:pt idx="40">
                  <c:v>21955.267326732672</c:v>
                </c:pt>
                <c:pt idx="41">
                  <c:v>15745.324324324325</c:v>
                </c:pt>
                <c:pt idx="42">
                  <c:v>14289.984375</c:v>
                </c:pt>
                <c:pt idx="43">
                  <c:v>10771.343511450381</c:v>
                </c:pt>
                <c:pt idx="44">
                  <c:v>9740</c:v>
                </c:pt>
                <c:pt idx="45">
                  <c:v>10857.725925925926</c:v>
                </c:pt>
                <c:pt idx="46">
                  <c:v>12538.9453125</c:v>
                </c:pt>
                <c:pt idx="47">
                  <c:v>11994.875</c:v>
                </c:pt>
                <c:pt idx="48">
                  <c:v>12286.161016949152</c:v>
                </c:pt>
                <c:pt idx="49">
                  <c:v>12675.336363636363</c:v>
                </c:pt>
                <c:pt idx="50">
                  <c:v>11601.73275862069</c:v>
                </c:pt>
                <c:pt idx="51">
                  <c:v>13459.752136752137</c:v>
                </c:pt>
                <c:pt idx="52">
                  <c:v>11612.809523809523</c:v>
                </c:pt>
                <c:pt idx="53">
                  <c:v>11279.60162601626</c:v>
                </c:pt>
                <c:pt idx="54">
                  <c:v>13939.881188118812</c:v>
                </c:pt>
                <c:pt idx="55">
                  <c:v>9145.0439560439554</c:v>
                </c:pt>
                <c:pt idx="56">
                  <c:v>6670.6206896551721</c:v>
                </c:pt>
                <c:pt idx="57">
                  <c:v>10530.96590909091</c:v>
                </c:pt>
                <c:pt idx="58">
                  <c:v>13697.243243243243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FA-4B02-901C-1B7D650EB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830239"/>
        <c:axId val="1163831071"/>
      </c:lineChart>
      <c:dateAx>
        <c:axId val="1542200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18320"/>
        <c:crosses val="autoZero"/>
        <c:auto val="1"/>
        <c:lblOffset val="100"/>
        <c:baseTimeUnit val="months"/>
      </c:dateAx>
      <c:valAx>
        <c:axId val="2062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0000"/>
        <c:crosses val="autoZero"/>
        <c:crossBetween val="between"/>
      </c:valAx>
      <c:valAx>
        <c:axId val="1163831071"/>
        <c:scaling>
          <c:orientation val="minMax"/>
        </c:scaling>
        <c:delete val="0"/>
        <c:axPos val="r"/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830239"/>
        <c:crosses val="max"/>
        <c:crossBetween val="between"/>
      </c:valAx>
      <c:dateAx>
        <c:axId val="116383023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63831071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Expenses</a:t>
            </a:r>
            <a:r>
              <a:rPr lang="en-NZ" baseline="0"/>
              <a:t> per Labour Hr, Per Direct Team, Per Total Team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Totals'!$CS$3</c:f>
              <c:strCache>
                <c:ptCount val="1"/>
                <c:pt idx="0">
                  <c:v>Expenses / Labour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Totals'!$CS$80:$CS$140</c:f>
              <c:numCache>
                <c:formatCode>_("$"* #,##0.00_);_("$"* \(#,##0.00\);_("$"* "-"??_);_(@_)</c:formatCode>
                <c:ptCount val="61"/>
                <c:pt idx="1">
                  <c:v>102.56019261151982</c:v>
                </c:pt>
                <c:pt idx="2">
                  <c:v>107.74038183476962</c:v>
                </c:pt>
                <c:pt idx="3">
                  <c:v>127.78495409066177</c:v>
                </c:pt>
                <c:pt idx="4">
                  <c:v>117.61562580296319</c:v>
                </c:pt>
                <c:pt idx="5">
                  <c:v>119.28090478821331</c:v>
                </c:pt>
                <c:pt idx="6">
                  <c:v>117.43492452169265</c:v>
                </c:pt>
                <c:pt idx="7">
                  <c:v>113.34906336946845</c:v>
                </c:pt>
                <c:pt idx="8">
                  <c:v>115.0397098611591</c:v>
                </c:pt>
                <c:pt idx="9">
                  <c:v>151.03258038636542</c:v>
                </c:pt>
                <c:pt idx="10">
                  <c:v>109.36540896362085</c:v>
                </c:pt>
                <c:pt idx="11">
                  <c:v>127.4788207354009</c:v>
                </c:pt>
                <c:pt idx="12">
                  <c:v>122.67851259546741</c:v>
                </c:pt>
                <c:pt idx="13">
                  <c:v>156.48157340907252</c:v>
                </c:pt>
                <c:pt idx="14">
                  <c:v>126.31861455817813</c:v>
                </c:pt>
                <c:pt idx="15">
                  <c:v>132.63765257284416</c:v>
                </c:pt>
                <c:pt idx="16">
                  <c:v>157.47469660562894</c:v>
                </c:pt>
                <c:pt idx="17">
                  <c:v>129.3405570758801</c:v>
                </c:pt>
                <c:pt idx="18">
                  <c:v>140.0691049260557</c:v>
                </c:pt>
                <c:pt idx="19">
                  <c:v>140.60317327286327</c:v>
                </c:pt>
                <c:pt idx="20">
                  <c:v>145.19962466484418</c:v>
                </c:pt>
                <c:pt idx="21">
                  <c:v>178.05360389625821</c:v>
                </c:pt>
                <c:pt idx="22">
                  <c:v>138.44420950322856</c:v>
                </c:pt>
                <c:pt idx="23">
                  <c:v>148.59298062400691</c:v>
                </c:pt>
                <c:pt idx="24">
                  <c:v>193.28001004811094</c:v>
                </c:pt>
                <c:pt idx="25">
                  <c:v>341.91205918790183</c:v>
                </c:pt>
                <c:pt idx="26">
                  <c:v>119.75025864509823</c:v>
                </c:pt>
                <c:pt idx="27">
                  <c:v>134.64194915254237</c:v>
                </c:pt>
                <c:pt idx="28">
                  <c:v>119.01073002490898</c:v>
                </c:pt>
                <c:pt idx="29">
                  <c:v>126.2616056799563</c:v>
                </c:pt>
                <c:pt idx="30">
                  <c:v>132.62595022388837</c:v>
                </c:pt>
                <c:pt idx="31">
                  <c:v>130.27228084839621</c:v>
                </c:pt>
                <c:pt idx="32">
                  <c:v>126.26099647710116</c:v>
                </c:pt>
                <c:pt idx="33">
                  <c:v>169.8530510585305</c:v>
                </c:pt>
                <c:pt idx="34">
                  <c:v>143.64665970772444</c:v>
                </c:pt>
                <c:pt idx="35">
                  <c:v>160.44279487877964</c:v>
                </c:pt>
                <c:pt idx="36">
                  <c:v>127.94095099968922</c:v>
                </c:pt>
                <c:pt idx="37">
                  <c:v>126.43304807450289</c:v>
                </c:pt>
                <c:pt idx="38">
                  <c:v>110.48465852853843</c:v>
                </c:pt>
                <c:pt idx="39">
                  <c:v>164.12958689129934</c:v>
                </c:pt>
                <c:pt idx="40">
                  <c:v>153.69698813507759</c:v>
                </c:pt>
                <c:pt idx="41">
                  <c:v>149.69068203650338</c:v>
                </c:pt>
                <c:pt idx="42">
                  <c:v>133.124018006885</c:v>
                </c:pt>
                <c:pt idx="43">
                  <c:v>133.66323811327331</c:v>
                </c:pt>
                <c:pt idx="44">
                  <c:v>153.97939606452482</c:v>
                </c:pt>
                <c:pt idx="45">
                  <c:v>116.21604820475456</c:v>
                </c:pt>
                <c:pt idx="46">
                  <c:v>121.81325195894995</c:v>
                </c:pt>
                <c:pt idx="47">
                  <c:v>144.87147562053178</c:v>
                </c:pt>
                <c:pt idx="48">
                  <c:v>100.81861120902362</c:v>
                </c:pt>
                <c:pt idx="49">
                  <c:v>161.92395982783358</c:v>
                </c:pt>
                <c:pt idx="50">
                  <c:v>143.74409206711763</c:v>
                </c:pt>
                <c:pt idx="51">
                  <c:v>161.73001623531658</c:v>
                </c:pt>
                <c:pt idx="52">
                  <c:v>167.06798866855524</c:v>
                </c:pt>
                <c:pt idx="53">
                  <c:v>135.47672833495619</c:v>
                </c:pt>
                <c:pt idx="54">
                  <c:v>149.88533420386844</c:v>
                </c:pt>
                <c:pt idx="55">
                  <c:v>135.27727675931402</c:v>
                </c:pt>
                <c:pt idx="56">
                  <c:v>168.41638550047583</c:v>
                </c:pt>
                <c:pt idx="57">
                  <c:v>225.09596473380807</c:v>
                </c:pt>
                <c:pt idx="58">
                  <c:v>259.49613636363637</c:v>
                </c:pt>
                <c:pt idx="59">
                  <c:v>161.63024312049157</c:v>
                </c:pt>
                <c:pt idx="60">
                  <c:v>119.54262909662596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D7-4BF9-97A6-FE02F45D8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20000"/>
        <c:axId val="2062318320"/>
      </c:lineChart>
      <c:lineChart>
        <c:grouping val="standard"/>
        <c:varyColors val="0"/>
        <c:ser>
          <c:idx val="1"/>
          <c:order val="1"/>
          <c:tx>
            <c:strRef>
              <c:f>'Group Totals'!$AW$3</c:f>
              <c:strCache>
                <c:ptCount val="1"/>
                <c:pt idx="0">
                  <c:v>Expense / total team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Totals'!$AW$82:$AW$140</c:f>
              <c:numCache>
                <c:formatCode>_-"$"* #,##0_-;\-"$"* #,##0_-;_-"$"* "-"??_-;_-@_-</c:formatCode>
                <c:ptCount val="59"/>
                <c:pt idx="0">
                  <c:v>7573.4918032786882</c:v>
                </c:pt>
                <c:pt idx="1">
                  <c:v>8617.0991735537191</c:v>
                </c:pt>
                <c:pt idx="2">
                  <c:v>8122.0578512396696</c:v>
                </c:pt>
                <c:pt idx="3">
                  <c:v>9096.9761904761908</c:v>
                </c:pt>
                <c:pt idx="4">
                  <c:v>7907.1953125</c:v>
                </c:pt>
                <c:pt idx="5">
                  <c:v>8443.9527559055114</c:v>
                </c:pt>
                <c:pt idx="6">
                  <c:v>8693.7131782945744</c:v>
                </c:pt>
                <c:pt idx="7">
                  <c:v>6814.9111111111115</c:v>
                </c:pt>
                <c:pt idx="8">
                  <c:v>6322.292307692308</c:v>
                </c:pt>
                <c:pt idx="9">
                  <c:v>8103.6015625</c:v>
                </c:pt>
                <c:pt idx="10">
                  <c:v>8318.9126984126979</c:v>
                </c:pt>
                <c:pt idx="11">
                  <c:v>7781.3937007874019</c:v>
                </c:pt>
                <c:pt idx="12">
                  <c:v>8763</c:v>
                </c:pt>
                <c:pt idx="13">
                  <c:v>7950.2290076335876</c:v>
                </c:pt>
                <c:pt idx="14">
                  <c:v>9684.1503759398493</c:v>
                </c:pt>
                <c:pt idx="15">
                  <c:v>8371.7272727272721</c:v>
                </c:pt>
                <c:pt idx="16">
                  <c:v>8454.7265625</c:v>
                </c:pt>
                <c:pt idx="17">
                  <c:v>8755.234375</c:v>
                </c:pt>
                <c:pt idx="18">
                  <c:v>8649.796875</c:v>
                </c:pt>
                <c:pt idx="19">
                  <c:v>7854.8548387096771</c:v>
                </c:pt>
                <c:pt idx="20">
                  <c:v>8501.3095238095229</c:v>
                </c:pt>
                <c:pt idx="21">
                  <c:v>8748.9090909090901</c:v>
                </c:pt>
                <c:pt idx="22">
                  <c:v>9258.8823529411766</c:v>
                </c:pt>
                <c:pt idx="23">
                  <c:v>8756.1282051282051</c:v>
                </c:pt>
                <c:pt idx="24">
                  <c:v>8275.9576271186434</c:v>
                </c:pt>
                <c:pt idx="25">
                  <c:v>9433.3515625</c:v>
                </c:pt>
                <c:pt idx="26">
                  <c:v>9201.7333333333336</c:v>
                </c:pt>
                <c:pt idx="27">
                  <c:v>8757.007575757576</c:v>
                </c:pt>
                <c:pt idx="28">
                  <c:v>9434.1259259259259</c:v>
                </c:pt>
                <c:pt idx="29">
                  <c:v>8842.8085106382987</c:v>
                </c:pt>
                <c:pt idx="30">
                  <c:v>8896.4751773049647</c:v>
                </c:pt>
                <c:pt idx="31">
                  <c:v>8831.1366906474814</c:v>
                </c:pt>
                <c:pt idx="32">
                  <c:v>8094.911764705882</c:v>
                </c:pt>
                <c:pt idx="33">
                  <c:v>8924.0227272727279</c:v>
                </c:pt>
                <c:pt idx="34">
                  <c:v>8949.3768115942021</c:v>
                </c:pt>
                <c:pt idx="35">
                  <c:v>7387.036764705882</c:v>
                </c:pt>
                <c:pt idx="36">
                  <c:v>7175.9785714285717</c:v>
                </c:pt>
                <c:pt idx="37">
                  <c:v>10306.86231884058</c:v>
                </c:pt>
                <c:pt idx="38">
                  <c:v>10310.244897959185</c:v>
                </c:pt>
                <c:pt idx="39">
                  <c:v>9226.6578947368416</c:v>
                </c:pt>
                <c:pt idx="40">
                  <c:v>9793.2597402597403</c:v>
                </c:pt>
                <c:pt idx="41">
                  <c:v>9008.5375722543358</c:v>
                </c:pt>
                <c:pt idx="42">
                  <c:v>9474.286486486486</c:v>
                </c:pt>
                <c:pt idx="43">
                  <c:v>8417.6439790575914</c:v>
                </c:pt>
                <c:pt idx="44">
                  <c:v>6595.3549999999996</c:v>
                </c:pt>
                <c:pt idx="45">
                  <c:v>9062.8391959798992</c:v>
                </c:pt>
                <c:pt idx="46">
                  <c:v>7409.9067357512949</c:v>
                </c:pt>
                <c:pt idx="47">
                  <c:v>8634.1748633879779</c:v>
                </c:pt>
                <c:pt idx="48">
                  <c:v>8749.9411764705874</c:v>
                </c:pt>
                <c:pt idx="49">
                  <c:v>9408.1944444444453</c:v>
                </c:pt>
                <c:pt idx="50">
                  <c:v>9461.2299465240649</c:v>
                </c:pt>
                <c:pt idx="51">
                  <c:v>10926.80104712042</c:v>
                </c:pt>
                <c:pt idx="52">
                  <c:v>9228.8693467336689</c:v>
                </c:pt>
                <c:pt idx="53">
                  <c:v>9196.13567839196</c:v>
                </c:pt>
                <c:pt idx="54">
                  <c:v>11519.082840236686</c:v>
                </c:pt>
                <c:pt idx="55">
                  <c:v>8677.2287581699347</c:v>
                </c:pt>
                <c:pt idx="56">
                  <c:v>7767.2312925170072</c:v>
                </c:pt>
                <c:pt idx="57">
                  <c:v>8520.8732394366198</c:v>
                </c:pt>
                <c:pt idx="58">
                  <c:v>7215.3138686131388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D7-4BF9-97A6-FE02F45D8659}"/>
            </c:ext>
          </c:extLst>
        </c:ser>
        <c:ser>
          <c:idx val="2"/>
          <c:order val="2"/>
          <c:tx>
            <c:strRef>
              <c:f>'Group Totals'!$AV$3</c:f>
              <c:strCache>
                <c:ptCount val="1"/>
                <c:pt idx="0">
                  <c:v>Expense / direct team member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Totals'!$A$80:$A$140</c:f>
              <c:numCache>
                <c:formatCode>mmm\-yy</c:formatCode>
                <c:ptCount val="61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  <c:pt idx="60">
                  <c:v>44986</c:v>
                </c:pt>
              </c:numCache>
            </c:numRef>
          </c:cat>
          <c:val>
            <c:numRef>
              <c:f>'Group Totals'!$AV$82:$AV$140</c:f>
              <c:numCache>
                <c:formatCode>"$"#,##0</c:formatCode>
                <c:ptCount val="59"/>
                <c:pt idx="0">
                  <c:v>12157.447368421053</c:v>
                </c:pt>
                <c:pt idx="1">
                  <c:v>13719.328947368422</c:v>
                </c:pt>
                <c:pt idx="2">
                  <c:v>12763.233766233767</c:v>
                </c:pt>
                <c:pt idx="3">
                  <c:v>13809.867469879518</c:v>
                </c:pt>
                <c:pt idx="4">
                  <c:v>11907.305882352941</c:v>
                </c:pt>
                <c:pt idx="5">
                  <c:v>12920.265060240963</c:v>
                </c:pt>
                <c:pt idx="6">
                  <c:v>12744.193181818182</c:v>
                </c:pt>
                <c:pt idx="7">
                  <c:v>10110.032967032967</c:v>
                </c:pt>
                <c:pt idx="8">
                  <c:v>10146.888888888889</c:v>
                </c:pt>
                <c:pt idx="9">
                  <c:v>11787.056818181818</c:v>
                </c:pt>
                <c:pt idx="10">
                  <c:v>13102.2875</c:v>
                </c:pt>
                <c:pt idx="11">
                  <c:v>12200.456790123457</c:v>
                </c:pt>
                <c:pt idx="12">
                  <c:v>13999.426829268292</c:v>
                </c:pt>
                <c:pt idx="13">
                  <c:v>12398.571428571429</c:v>
                </c:pt>
                <c:pt idx="14">
                  <c:v>16303.696202531646</c:v>
                </c:pt>
                <c:pt idx="15">
                  <c:v>13813.35</c:v>
                </c:pt>
                <c:pt idx="16">
                  <c:v>14429.4</c:v>
                </c:pt>
                <c:pt idx="17">
                  <c:v>14554.155844155845</c:v>
                </c:pt>
                <c:pt idx="18">
                  <c:v>14378.883116883117</c:v>
                </c:pt>
                <c:pt idx="19">
                  <c:v>13342.493150684932</c:v>
                </c:pt>
                <c:pt idx="20">
                  <c:v>15752.426470588236</c:v>
                </c:pt>
                <c:pt idx="21">
                  <c:v>16286.430769230768</c:v>
                </c:pt>
                <c:pt idx="22">
                  <c:v>17215.734375</c:v>
                </c:pt>
                <c:pt idx="23">
                  <c:v>16523.66129032258</c:v>
                </c:pt>
                <c:pt idx="24">
                  <c:v>14796.40909090909</c:v>
                </c:pt>
                <c:pt idx="25">
                  <c:v>15681.415584415585</c:v>
                </c:pt>
                <c:pt idx="26">
                  <c:v>14614.517647058823</c:v>
                </c:pt>
                <c:pt idx="27">
                  <c:v>13926.807228915663</c:v>
                </c:pt>
                <c:pt idx="28">
                  <c:v>15344.662650602409</c:v>
                </c:pt>
                <c:pt idx="29">
                  <c:v>14009.393258426966</c:v>
                </c:pt>
                <c:pt idx="30">
                  <c:v>13937.81111111111</c:v>
                </c:pt>
                <c:pt idx="31">
                  <c:v>14109.51724137931</c:v>
                </c:pt>
                <c:pt idx="32">
                  <c:v>13425.707317073171</c:v>
                </c:pt>
                <c:pt idx="33">
                  <c:v>15102.192307692309</c:v>
                </c:pt>
                <c:pt idx="34">
                  <c:v>13876.561797752809</c:v>
                </c:pt>
                <c:pt idx="35">
                  <c:v>11547.551724137931</c:v>
                </c:pt>
                <c:pt idx="36">
                  <c:v>11288.056179775282</c:v>
                </c:pt>
                <c:pt idx="37">
                  <c:v>16538.918604651164</c:v>
                </c:pt>
                <c:pt idx="38">
                  <c:v>15953.747368421053</c:v>
                </c:pt>
                <c:pt idx="39">
                  <c:v>14310.734693877552</c:v>
                </c:pt>
                <c:pt idx="40">
                  <c:v>14932.29702970297</c:v>
                </c:pt>
                <c:pt idx="41">
                  <c:v>14040.333333333334</c:v>
                </c:pt>
                <c:pt idx="42">
                  <c:v>13693.3046875</c:v>
                </c:pt>
                <c:pt idx="43">
                  <c:v>12273.053435114503</c:v>
                </c:pt>
                <c:pt idx="44">
                  <c:v>9489.7194244604325</c:v>
                </c:pt>
                <c:pt idx="45">
                  <c:v>13359.296296296296</c:v>
                </c:pt>
                <c:pt idx="46">
                  <c:v>11172.75</c:v>
                </c:pt>
                <c:pt idx="47">
                  <c:v>13167.116666666667</c:v>
                </c:pt>
                <c:pt idx="48">
                  <c:v>13866.43220338983</c:v>
                </c:pt>
                <c:pt idx="49">
                  <c:v>15395.227272727272</c:v>
                </c:pt>
                <c:pt idx="50">
                  <c:v>15252.155172413793</c:v>
                </c:pt>
                <c:pt idx="51">
                  <c:v>17837.76923076923</c:v>
                </c:pt>
                <c:pt idx="52">
                  <c:v>14575.753968253968</c:v>
                </c:pt>
                <c:pt idx="53">
                  <c:v>14878.300813008131</c:v>
                </c:pt>
                <c:pt idx="54">
                  <c:v>19274.504950495051</c:v>
                </c:pt>
                <c:pt idx="55">
                  <c:v>14589.186813186812</c:v>
                </c:pt>
                <c:pt idx="56">
                  <c:v>13123.942528735632</c:v>
                </c:pt>
                <c:pt idx="57">
                  <c:v>13749.59090909091</c:v>
                </c:pt>
                <c:pt idx="58">
                  <c:v>13358.081081081082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D7-4BF9-97A6-FE02F45D8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830239"/>
        <c:axId val="1163831071"/>
      </c:lineChart>
      <c:dateAx>
        <c:axId val="1542200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18320"/>
        <c:crosses val="autoZero"/>
        <c:auto val="1"/>
        <c:lblOffset val="100"/>
        <c:baseTimeUnit val="months"/>
      </c:dateAx>
      <c:valAx>
        <c:axId val="2062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0000"/>
        <c:crosses val="autoZero"/>
        <c:crossBetween val="between"/>
      </c:valAx>
      <c:valAx>
        <c:axId val="1163831071"/>
        <c:scaling>
          <c:orientation val="minMax"/>
        </c:scaling>
        <c:delete val="0"/>
        <c:axPos val="r"/>
        <c:numFmt formatCode="_-&quot;$&quot;* #,##0_-;\-&quot;$&quot;* #,##0_-;_-&quot;$&quot;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830239"/>
        <c:crosses val="max"/>
        <c:crossBetween val="between"/>
      </c:valAx>
      <c:dateAx>
        <c:axId val="1163830239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63831071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Totals'!$CK$3</c:f>
              <c:strCache>
                <c:ptCount val="1"/>
                <c:pt idx="0">
                  <c:v>PFR's 12 Month Avg against units produced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Totals'!$A$54:$A$137</c:f>
              <c:numCache>
                <c:formatCode>mmm\-yy</c:formatCode>
                <c:ptCount val="84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  <c:pt idx="12">
                  <c:v>42736</c:v>
                </c:pt>
                <c:pt idx="13">
                  <c:v>42767</c:v>
                </c:pt>
                <c:pt idx="14">
                  <c:v>42795</c:v>
                </c:pt>
                <c:pt idx="15">
                  <c:v>42826</c:v>
                </c:pt>
                <c:pt idx="16">
                  <c:v>42856</c:v>
                </c:pt>
                <c:pt idx="17">
                  <c:v>42887</c:v>
                </c:pt>
                <c:pt idx="18">
                  <c:v>42917</c:v>
                </c:pt>
                <c:pt idx="19">
                  <c:v>42948</c:v>
                </c:pt>
                <c:pt idx="20">
                  <c:v>42979</c:v>
                </c:pt>
                <c:pt idx="21">
                  <c:v>43009</c:v>
                </c:pt>
                <c:pt idx="22">
                  <c:v>43040</c:v>
                </c:pt>
                <c:pt idx="23">
                  <c:v>43070</c:v>
                </c:pt>
                <c:pt idx="24">
                  <c:v>43101</c:v>
                </c:pt>
                <c:pt idx="25">
                  <c:v>43132</c:v>
                </c:pt>
                <c:pt idx="26">
                  <c:v>43160</c:v>
                </c:pt>
                <c:pt idx="27">
                  <c:v>43191</c:v>
                </c:pt>
                <c:pt idx="28">
                  <c:v>43221</c:v>
                </c:pt>
                <c:pt idx="29">
                  <c:v>43252</c:v>
                </c:pt>
                <c:pt idx="30">
                  <c:v>43282</c:v>
                </c:pt>
                <c:pt idx="31">
                  <c:v>43313</c:v>
                </c:pt>
                <c:pt idx="32">
                  <c:v>43344</c:v>
                </c:pt>
                <c:pt idx="33">
                  <c:v>43374</c:v>
                </c:pt>
                <c:pt idx="34">
                  <c:v>43405</c:v>
                </c:pt>
                <c:pt idx="35">
                  <c:v>43435</c:v>
                </c:pt>
                <c:pt idx="36">
                  <c:v>43466</c:v>
                </c:pt>
                <c:pt idx="37">
                  <c:v>43497</c:v>
                </c:pt>
                <c:pt idx="38">
                  <c:v>43525</c:v>
                </c:pt>
                <c:pt idx="39">
                  <c:v>43556</c:v>
                </c:pt>
                <c:pt idx="40">
                  <c:v>43586</c:v>
                </c:pt>
                <c:pt idx="41">
                  <c:v>43617</c:v>
                </c:pt>
                <c:pt idx="42">
                  <c:v>43647</c:v>
                </c:pt>
                <c:pt idx="43">
                  <c:v>43678</c:v>
                </c:pt>
                <c:pt idx="44">
                  <c:v>43709</c:v>
                </c:pt>
                <c:pt idx="45">
                  <c:v>43739</c:v>
                </c:pt>
                <c:pt idx="46">
                  <c:v>43770</c:v>
                </c:pt>
                <c:pt idx="47">
                  <c:v>43800</c:v>
                </c:pt>
                <c:pt idx="48">
                  <c:v>43831</c:v>
                </c:pt>
                <c:pt idx="49">
                  <c:v>43862</c:v>
                </c:pt>
                <c:pt idx="50">
                  <c:v>43891</c:v>
                </c:pt>
                <c:pt idx="51">
                  <c:v>43922</c:v>
                </c:pt>
                <c:pt idx="52">
                  <c:v>43952</c:v>
                </c:pt>
                <c:pt idx="53">
                  <c:v>43983</c:v>
                </c:pt>
                <c:pt idx="54">
                  <c:v>44013</c:v>
                </c:pt>
                <c:pt idx="55">
                  <c:v>44044</c:v>
                </c:pt>
                <c:pt idx="56">
                  <c:v>44075</c:v>
                </c:pt>
                <c:pt idx="57">
                  <c:v>44105</c:v>
                </c:pt>
                <c:pt idx="58">
                  <c:v>44136</c:v>
                </c:pt>
                <c:pt idx="59">
                  <c:v>44166</c:v>
                </c:pt>
                <c:pt idx="60">
                  <c:v>44197</c:v>
                </c:pt>
                <c:pt idx="61">
                  <c:v>44228</c:v>
                </c:pt>
                <c:pt idx="62">
                  <c:v>44256</c:v>
                </c:pt>
                <c:pt idx="63">
                  <c:v>44287</c:v>
                </c:pt>
                <c:pt idx="64">
                  <c:v>44317</c:v>
                </c:pt>
                <c:pt idx="65">
                  <c:v>44348</c:v>
                </c:pt>
                <c:pt idx="66">
                  <c:v>44378</c:v>
                </c:pt>
                <c:pt idx="67">
                  <c:v>44409</c:v>
                </c:pt>
                <c:pt idx="68">
                  <c:v>44440</c:v>
                </c:pt>
                <c:pt idx="69">
                  <c:v>44470</c:v>
                </c:pt>
                <c:pt idx="70">
                  <c:v>44501</c:v>
                </c:pt>
                <c:pt idx="71">
                  <c:v>44531</c:v>
                </c:pt>
                <c:pt idx="72">
                  <c:v>44562</c:v>
                </c:pt>
                <c:pt idx="73">
                  <c:v>44593</c:v>
                </c:pt>
                <c:pt idx="74">
                  <c:v>44621</c:v>
                </c:pt>
                <c:pt idx="75">
                  <c:v>44652</c:v>
                </c:pt>
                <c:pt idx="76">
                  <c:v>44682</c:v>
                </c:pt>
                <c:pt idx="77">
                  <c:v>44713</c:v>
                </c:pt>
                <c:pt idx="78">
                  <c:v>44743</c:v>
                </c:pt>
                <c:pt idx="79">
                  <c:v>44774</c:v>
                </c:pt>
                <c:pt idx="80">
                  <c:v>44805</c:v>
                </c:pt>
                <c:pt idx="81">
                  <c:v>44835</c:v>
                </c:pt>
                <c:pt idx="82">
                  <c:v>44866</c:v>
                </c:pt>
                <c:pt idx="83">
                  <c:v>44896</c:v>
                </c:pt>
              </c:numCache>
            </c:numRef>
          </c:cat>
          <c:val>
            <c:numRef>
              <c:f>'Group Totals'!$CK$53:$CK$137</c:f>
              <c:numCache>
                <c:formatCode>0.000%</c:formatCode>
                <c:ptCount val="85"/>
                <c:pt idx="0">
                  <c:v>4.1829764371786019E-4</c:v>
                </c:pt>
                <c:pt idx="1">
                  <c:v>3.8804811796662784E-4</c:v>
                </c:pt>
                <c:pt idx="2">
                  <c:v>3.7005350498383992E-4</c:v>
                </c:pt>
                <c:pt idx="3">
                  <c:v>3.3154807447079827E-4</c:v>
                </c:pt>
                <c:pt idx="4">
                  <c:v>3.9372463504754978E-4</c:v>
                </c:pt>
                <c:pt idx="5">
                  <c:v>3.8488506798365951E-4</c:v>
                </c:pt>
                <c:pt idx="6">
                  <c:v>4.1802626666017311E-4</c:v>
                </c:pt>
                <c:pt idx="7">
                  <c:v>3.5487808113773248E-4</c:v>
                </c:pt>
                <c:pt idx="8">
                  <c:v>3.7737883443851421E-4</c:v>
                </c:pt>
                <c:pt idx="9">
                  <c:v>4.189536153006473E-4</c:v>
                </c:pt>
                <c:pt idx="10">
                  <c:v>3.0801875491974398E-4</c:v>
                </c:pt>
                <c:pt idx="11">
                  <c:v>3.2181809670926367E-4</c:v>
                </c:pt>
                <c:pt idx="12">
                  <c:v>4.3867894967725764E-4</c:v>
                </c:pt>
                <c:pt idx="13">
                  <c:v>4.2397262348202664E-4</c:v>
                </c:pt>
                <c:pt idx="14">
                  <c:v>3.3103970111844129E-4</c:v>
                </c:pt>
                <c:pt idx="15">
                  <c:v>2.918162843378738E-4</c:v>
                </c:pt>
                <c:pt idx="16">
                  <c:v>3.7525778578327725E-4</c:v>
                </c:pt>
                <c:pt idx="17">
                  <c:v>2.4688495590420009E-4</c:v>
                </c:pt>
                <c:pt idx="18">
                  <c:v>2.6482292650805919E-4</c:v>
                </c:pt>
                <c:pt idx="19">
                  <c:v>1.9308266997010085E-4</c:v>
                </c:pt>
                <c:pt idx="20">
                  <c:v>2.1086369770580298E-4</c:v>
                </c:pt>
                <c:pt idx="21">
                  <c:v>2.0817576910442403E-4</c:v>
                </c:pt>
                <c:pt idx="22">
                  <c:v>2.0991743247655923E-4</c:v>
                </c:pt>
                <c:pt idx="23">
                  <c:v>2.3336885496435443E-4</c:v>
                </c:pt>
                <c:pt idx="24">
                  <c:v>3.2972372622518397E-4</c:v>
                </c:pt>
                <c:pt idx="25">
                  <c:v>3.7629994526546255E-4</c:v>
                </c:pt>
                <c:pt idx="26">
                  <c:v>3.2845194988303904E-4</c:v>
                </c:pt>
                <c:pt idx="27">
                  <c:v>2.5862142063714139E-4</c:v>
                </c:pt>
                <c:pt idx="28">
                  <c:v>3.3940746998129489E-4</c:v>
                </c:pt>
                <c:pt idx="29">
                  <c:v>3.3365745772083357E-4</c:v>
                </c:pt>
                <c:pt idx="30">
                  <c:v>4.5708660033050877E-4</c:v>
                </c:pt>
                <c:pt idx="31">
                  <c:v>3.9251728033392686E-4</c:v>
                </c:pt>
                <c:pt idx="32">
                  <c:v>4.2457339272276119E-4</c:v>
                </c:pt>
                <c:pt idx="33">
                  <c:v>3.841015364061456E-4</c:v>
                </c:pt>
                <c:pt idx="34">
                  <c:v>3.1791727129460595E-4</c:v>
                </c:pt>
                <c:pt idx="35">
                  <c:v>2.877252003010048E-4</c:v>
                </c:pt>
                <c:pt idx="36">
                  <c:v>4.7360482654600306E-4</c:v>
                </c:pt>
                <c:pt idx="37">
                  <c:v>4.1819732353712936E-4</c:v>
                </c:pt>
                <c:pt idx="38">
                  <c:v>3.1996029880374026E-4</c:v>
                </c:pt>
                <c:pt idx="39">
                  <c:v>3.5996605353243508E-4</c:v>
                </c:pt>
                <c:pt idx="40">
                  <c:v>3.9988285122105074E-4</c:v>
                </c:pt>
                <c:pt idx="41">
                  <c:v>2.9777660137638963E-4</c:v>
                </c:pt>
                <c:pt idx="42">
                  <c:v>3.1613942768565545E-4</c:v>
                </c:pt>
                <c:pt idx="43">
                  <c:v>3.0259352680840054E-4</c:v>
                </c:pt>
                <c:pt idx="44">
                  <c:v>2.6535870504951935E-4</c:v>
                </c:pt>
                <c:pt idx="45">
                  <c:v>2.7665797170184174E-4</c:v>
                </c:pt>
                <c:pt idx="46">
                  <c:v>2.7693159789531985E-4</c:v>
                </c:pt>
                <c:pt idx="47">
                  <c:v>2.8886299640741819E-4</c:v>
                </c:pt>
                <c:pt idx="48">
                  <c:v>3.0900658484828597E-4</c:v>
                </c:pt>
                <c:pt idx="49">
                  <c:v>2.3256607863720547E-4</c:v>
                </c:pt>
                <c:pt idx="50">
                  <c:v>2.8841946135179216E-4</c:v>
                </c:pt>
                <c:pt idx="51">
                  <c:v>2.8473804100227789E-4</c:v>
                </c:pt>
                <c:pt idx="52">
                  <c:v>9.9324592769169649E-4</c:v>
                </c:pt>
                <c:pt idx="53">
                  <c:v>2.5504906873233837E-4</c:v>
                </c:pt>
                <c:pt idx="54">
                  <c:v>1.9163896612519948E-4</c:v>
                </c:pt>
                <c:pt idx="55">
                  <c:v>1.6336461591936043E-4</c:v>
                </c:pt>
                <c:pt idx="56">
                  <c:v>1.7876366265135978E-4</c:v>
                </c:pt>
                <c:pt idx="57">
                  <c:v>1.6416895330565915E-4</c:v>
                </c:pt>
                <c:pt idx="58">
                  <c:v>1.7267843438219493E-4</c:v>
                </c:pt>
                <c:pt idx="59">
                  <c:v>1.3631310234458536E-4</c:v>
                </c:pt>
                <c:pt idx="60">
                  <c:v>1.9344789468395137E-4</c:v>
                </c:pt>
                <c:pt idx="61">
                  <c:v>1.888179993242303E-4</c:v>
                </c:pt>
                <c:pt idx="62">
                  <c:v>1.8000275298328094E-4</c:v>
                </c:pt>
                <c:pt idx="63">
                  <c:v>1.2038576215731285E-4</c:v>
                </c:pt>
                <c:pt idx="64">
                  <c:v>1.718356693695953E-4</c:v>
                </c:pt>
                <c:pt idx="65">
                  <c:v>9.2804348546617622E-5</c:v>
                </c:pt>
                <c:pt idx="66">
                  <c:v>1.0946077936074905E-4</c:v>
                </c:pt>
                <c:pt idx="67">
                  <c:v>9.7843745384729001E-5</c:v>
                </c:pt>
                <c:pt idx="68">
                  <c:v>8.8748822719698613E-5</c:v>
                </c:pt>
                <c:pt idx="69">
                  <c:v>6.3976456663947663E-5</c:v>
                </c:pt>
                <c:pt idx="70">
                  <c:v>6.6111866675301679E-5</c:v>
                </c:pt>
                <c:pt idx="71">
                  <c:v>6.2201797266048058E-5</c:v>
                </c:pt>
                <c:pt idx="72">
                  <c:v>6.5737222830403324E-5</c:v>
                </c:pt>
                <c:pt idx="73">
                  <c:v>8.9643452909904441E-5</c:v>
                </c:pt>
                <c:pt idx="74">
                  <c:v>7.3458020338290162E-5</c:v>
                </c:pt>
                <c:pt idx="75">
                  <c:v>5.0544873738905401E-5</c:v>
                </c:pt>
                <c:pt idx="76">
                  <c:v>5.9643502266453083E-5</c:v>
                </c:pt>
                <c:pt idx="77">
                  <c:v>6.0025767158585147E-5</c:v>
                </c:pt>
                <c:pt idx="78">
                  <c:v>6.6528513837930874E-5</c:v>
                </c:pt>
                <c:pt idx="79">
                  <c:v>7.8055075661386672E-5</c:v>
                </c:pt>
                <c:pt idx="80">
                  <c:v>9.6836244985852072E-5</c:v>
                </c:pt>
                <c:pt idx="81">
                  <c:v>8.074304437741904E-5</c:v>
                </c:pt>
                <c:pt idx="82">
                  <c:v>9.8782621784860854E-5</c:v>
                </c:pt>
                <c:pt idx="83">
                  <c:v>1.4597119501751654E-4</c:v>
                </c:pt>
                <c:pt idx="84">
                  <c:v>2.7876246109807443E-4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3-4DA4-82FD-195941D96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872736"/>
        <c:axId val="1279871072"/>
      </c:lineChart>
      <c:catAx>
        <c:axId val="12798727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71072"/>
        <c:crosses val="autoZero"/>
        <c:auto val="0"/>
        <c:lblAlgn val="ctr"/>
        <c:lblOffset val="100"/>
        <c:noMultiLvlLbl val="0"/>
      </c:catAx>
      <c:valAx>
        <c:axId val="12798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7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Electronics</a:t>
            </a:r>
            <a:r>
              <a:rPr lang="en-NZ" baseline="0"/>
              <a:t> Scrap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'Group Totals'!$CR$3</c:f>
              <c:strCache>
                <c:ptCount val="1"/>
                <c:pt idx="0">
                  <c:v>12month avg scrap per $100 to FG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'Group Totals'!$A$92:$A$140</c:f>
              <c:numCache>
                <c:formatCode>mmm\-yy</c:formatCode>
                <c:ptCount val="49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44348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  <c:pt idx="46">
                  <c:v>44927</c:v>
                </c:pt>
                <c:pt idx="47">
                  <c:v>44958</c:v>
                </c:pt>
                <c:pt idx="48">
                  <c:v>44986</c:v>
                </c:pt>
              </c:numCache>
            </c:numRef>
          </c:cat>
          <c:val>
            <c:numRef>
              <c:f>'Group Totals'!$CR$92:$CR$140</c:f>
              <c:numCache>
                <c:formatCode>_("$"* #,##0.00_);_("$"* \(#,##0.00\);_("$"* "-"??_);_(@_)</c:formatCode>
                <c:ptCount val="49"/>
                <c:pt idx="0">
                  <c:v>0.42821221648969887</c:v>
                </c:pt>
                <c:pt idx="1">
                  <c:v>0.42321183493053077</c:v>
                </c:pt>
                <c:pt idx="2">
                  <c:v>0.38861927819968689</c:v>
                </c:pt>
                <c:pt idx="3">
                  <c:v>0.38137593787628127</c:v>
                </c:pt>
                <c:pt idx="4">
                  <c:v>0.56070946916425113</c:v>
                </c:pt>
                <c:pt idx="5">
                  <c:v>0.51742346373776704</c:v>
                </c:pt>
                <c:pt idx="6">
                  <c:v>0.51533342554717565</c:v>
                </c:pt>
                <c:pt idx="7">
                  <c:v>0.4860181103888967</c:v>
                </c:pt>
                <c:pt idx="8">
                  <c:v>0.44858716346801347</c:v>
                </c:pt>
                <c:pt idx="9">
                  <c:v>0.43499008965653885</c:v>
                </c:pt>
                <c:pt idx="10">
                  <c:v>0.48176404731927763</c:v>
                </c:pt>
                <c:pt idx="11">
                  <c:v>0.45716942574364156</c:v>
                </c:pt>
                <c:pt idx="12">
                  <c:v>0.48195065001741444</c:v>
                </c:pt>
                <c:pt idx="13">
                  <c:v>0.46937820835960414</c:v>
                </c:pt>
                <c:pt idx="14">
                  <c:v>0.44736086842832418</c:v>
                </c:pt>
                <c:pt idx="15">
                  <c:v>0.43828063077920904</c:v>
                </c:pt>
                <c:pt idx="16">
                  <c:v>0.2544085955466372</c:v>
                </c:pt>
                <c:pt idx="17">
                  <c:v>0.2883923386584793</c:v>
                </c:pt>
                <c:pt idx="18">
                  <c:v>0.28184520096751792</c:v>
                </c:pt>
                <c:pt idx="19">
                  <c:v>0.28715101206739985</c:v>
                </c:pt>
                <c:pt idx="20">
                  <c:v>0.30147110287222245</c:v>
                </c:pt>
                <c:pt idx="21">
                  <c:v>0.31071275332228615</c:v>
                </c:pt>
                <c:pt idx="22">
                  <c:v>0.3126025198895479</c:v>
                </c:pt>
                <c:pt idx="23">
                  <c:v>0.36356891530058766</c:v>
                </c:pt>
                <c:pt idx="24">
                  <c:v>0.27754169123749345</c:v>
                </c:pt>
                <c:pt idx="25">
                  <c:v>0.29883408891802343</c:v>
                </c:pt>
                <c:pt idx="26">
                  <c:v>0.3052820630185894</c:v>
                </c:pt>
                <c:pt idx="27">
                  <c:v>0.31857304406977244</c:v>
                </c:pt>
                <c:pt idx="28">
                  <c:v>0.29965185898979574</c:v>
                </c:pt>
                <c:pt idx="29">
                  <c:v>0.30527950802740877</c:v>
                </c:pt>
                <c:pt idx="30">
                  <c:v>0.30647681590732861</c:v>
                </c:pt>
                <c:pt idx="31">
                  <c:v>0.32891248310937232</c:v>
                </c:pt>
                <c:pt idx="32">
                  <c:v>0.33658980279255585</c:v>
                </c:pt>
                <c:pt idx="33">
                  <c:v>0.33297982116337405</c:v>
                </c:pt>
                <c:pt idx="34">
                  <c:v>0.3545494709395775</c:v>
                </c:pt>
                <c:pt idx="35">
                  <c:v>0.35899920942513702</c:v>
                </c:pt>
                <c:pt idx="36">
                  <c:v>0.37457994851487614</c:v>
                </c:pt>
                <c:pt idx="37">
                  <c:v>0.34396215765236654</c:v>
                </c:pt>
                <c:pt idx="38">
                  <c:v>0.36112303050800559</c:v>
                </c:pt>
                <c:pt idx="39">
                  <c:v>0.36516186933057454</c:v>
                </c:pt>
                <c:pt idx="40">
                  <c:v>0.37731025124614792</c:v>
                </c:pt>
                <c:pt idx="41">
                  <c:v>0.40581678677109984</c:v>
                </c:pt>
                <c:pt idx="42">
                  <c:v>0.39933873652043861</c:v>
                </c:pt>
                <c:pt idx="43">
                  <c:v>0.39367173893899204</c:v>
                </c:pt>
                <c:pt idx="44">
                  <c:v>0.39723313715558933</c:v>
                </c:pt>
                <c:pt idx="45">
                  <c:v>0.4551117435678953</c:v>
                </c:pt>
                <c:pt idx="46">
                  <c:v>0.39021548681348323</c:v>
                </c:pt>
                <c:pt idx="47">
                  <c:v>0.3699842560630146</c:v>
                </c:pt>
                <c:pt idx="48">
                  <c:v>0.39136882928800376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3-44C7-A92E-BD3CA1D1D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73088"/>
        <c:axId val="205376000"/>
      </c:lineChart>
      <c:lineChart>
        <c:grouping val="standard"/>
        <c:varyColors val="0"/>
        <c:ser>
          <c:idx val="0"/>
          <c:order val="0"/>
          <c:tx>
            <c:strRef>
              <c:f>'Group Totals'!$CQ$3</c:f>
              <c:strCache>
                <c:ptCount val="1"/>
                <c:pt idx="0">
                  <c:v>12month avg scrap as % of FG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'Group Totals'!$A$92:$A$140</c:f>
              <c:numCache>
                <c:formatCode>mmm\-yy</c:formatCode>
                <c:ptCount val="49"/>
                <c:pt idx="0">
                  <c:v>43525</c:v>
                </c:pt>
                <c:pt idx="1">
                  <c:v>43556</c:v>
                </c:pt>
                <c:pt idx="2">
                  <c:v>43586</c:v>
                </c:pt>
                <c:pt idx="3">
                  <c:v>43617</c:v>
                </c:pt>
                <c:pt idx="4">
                  <c:v>43647</c:v>
                </c:pt>
                <c:pt idx="5">
                  <c:v>43678</c:v>
                </c:pt>
                <c:pt idx="6">
                  <c:v>43709</c:v>
                </c:pt>
                <c:pt idx="7">
                  <c:v>43739</c:v>
                </c:pt>
                <c:pt idx="8">
                  <c:v>43770</c:v>
                </c:pt>
                <c:pt idx="9">
                  <c:v>43800</c:v>
                </c:pt>
                <c:pt idx="10">
                  <c:v>43831</c:v>
                </c:pt>
                <c:pt idx="11">
                  <c:v>43862</c:v>
                </c:pt>
                <c:pt idx="12">
                  <c:v>43891</c:v>
                </c:pt>
                <c:pt idx="13">
                  <c:v>43922</c:v>
                </c:pt>
                <c:pt idx="14">
                  <c:v>43952</c:v>
                </c:pt>
                <c:pt idx="15">
                  <c:v>43983</c:v>
                </c:pt>
                <c:pt idx="16">
                  <c:v>44013</c:v>
                </c:pt>
                <c:pt idx="17">
                  <c:v>44044</c:v>
                </c:pt>
                <c:pt idx="18">
                  <c:v>44075</c:v>
                </c:pt>
                <c:pt idx="19">
                  <c:v>44105</c:v>
                </c:pt>
                <c:pt idx="20">
                  <c:v>44136</c:v>
                </c:pt>
                <c:pt idx="21">
                  <c:v>44166</c:v>
                </c:pt>
                <c:pt idx="22">
                  <c:v>44197</c:v>
                </c:pt>
                <c:pt idx="23">
                  <c:v>44228</c:v>
                </c:pt>
                <c:pt idx="24">
                  <c:v>44256</c:v>
                </c:pt>
                <c:pt idx="25">
                  <c:v>44287</c:v>
                </c:pt>
                <c:pt idx="26">
                  <c:v>44317</c:v>
                </c:pt>
                <c:pt idx="27">
                  <c:v>44348</c:v>
                </c:pt>
                <c:pt idx="28">
                  <c:v>44378</c:v>
                </c:pt>
                <c:pt idx="29">
                  <c:v>44409</c:v>
                </c:pt>
                <c:pt idx="30">
                  <c:v>44440</c:v>
                </c:pt>
                <c:pt idx="31">
                  <c:v>44470</c:v>
                </c:pt>
                <c:pt idx="32">
                  <c:v>44501</c:v>
                </c:pt>
                <c:pt idx="33">
                  <c:v>44531</c:v>
                </c:pt>
                <c:pt idx="34">
                  <c:v>44562</c:v>
                </c:pt>
                <c:pt idx="35">
                  <c:v>44593</c:v>
                </c:pt>
                <c:pt idx="36">
                  <c:v>44621</c:v>
                </c:pt>
                <c:pt idx="37">
                  <c:v>44652</c:v>
                </c:pt>
                <c:pt idx="38">
                  <c:v>44682</c:v>
                </c:pt>
                <c:pt idx="39">
                  <c:v>44713</c:v>
                </c:pt>
                <c:pt idx="40">
                  <c:v>44743</c:v>
                </c:pt>
                <c:pt idx="41">
                  <c:v>44774</c:v>
                </c:pt>
                <c:pt idx="42">
                  <c:v>44805</c:v>
                </c:pt>
                <c:pt idx="43">
                  <c:v>44835</c:v>
                </c:pt>
                <c:pt idx="44">
                  <c:v>44866</c:v>
                </c:pt>
                <c:pt idx="45">
                  <c:v>44896</c:v>
                </c:pt>
                <c:pt idx="46">
                  <c:v>44927</c:v>
                </c:pt>
                <c:pt idx="47">
                  <c:v>44958</c:v>
                </c:pt>
                <c:pt idx="48">
                  <c:v>44986</c:v>
                </c:pt>
              </c:numCache>
            </c:numRef>
          </c:cat>
          <c:val>
            <c:numRef>
              <c:f>'Group Totals'!$CQ$92:$CQ$140</c:f>
              <c:numCache>
                <c:formatCode>0.00%</c:formatCode>
                <c:ptCount val="49"/>
                <c:pt idx="0">
                  <c:v>4.2821221648969877E-3</c:v>
                </c:pt>
                <c:pt idx="1">
                  <c:v>4.2321183493053078E-3</c:v>
                </c:pt>
                <c:pt idx="2">
                  <c:v>3.8861927819968684E-3</c:v>
                </c:pt>
                <c:pt idx="3">
                  <c:v>3.8137593787628127E-3</c:v>
                </c:pt>
                <c:pt idx="4">
                  <c:v>5.6070946916425115E-3</c:v>
                </c:pt>
                <c:pt idx="5">
                  <c:v>5.1742346373776704E-3</c:v>
                </c:pt>
                <c:pt idx="6">
                  <c:v>5.1533342554717565E-3</c:v>
                </c:pt>
                <c:pt idx="7">
                  <c:v>4.8601811038889667E-3</c:v>
                </c:pt>
                <c:pt idx="8">
                  <c:v>4.4858716346801355E-3</c:v>
                </c:pt>
                <c:pt idx="9">
                  <c:v>4.3499008965653891E-3</c:v>
                </c:pt>
                <c:pt idx="10">
                  <c:v>4.8176404731927764E-3</c:v>
                </c:pt>
                <c:pt idx="11">
                  <c:v>4.5716942574364153E-3</c:v>
                </c:pt>
                <c:pt idx="12">
                  <c:v>4.8195065001741455E-3</c:v>
                </c:pt>
                <c:pt idx="13">
                  <c:v>4.6937820835960421E-3</c:v>
                </c:pt>
                <c:pt idx="14">
                  <c:v>4.4736086842832425E-3</c:v>
                </c:pt>
                <c:pt idx="15">
                  <c:v>4.3828063077920908E-3</c:v>
                </c:pt>
                <c:pt idx="16">
                  <c:v>2.544085955466372E-3</c:v>
                </c:pt>
                <c:pt idx="17">
                  <c:v>2.8839233865847937E-3</c:v>
                </c:pt>
                <c:pt idx="18">
                  <c:v>2.8184520096751799E-3</c:v>
                </c:pt>
                <c:pt idx="19">
                  <c:v>2.8715101206739989E-3</c:v>
                </c:pt>
                <c:pt idx="20">
                  <c:v>3.0147110287222245E-3</c:v>
                </c:pt>
                <c:pt idx="21">
                  <c:v>3.1071275332228612E-3</c:v>
                </c:pt>
                <c:pt idx="22">
                  <c:v>3.1260251988954792E-3</c:v>
                </c:pt>
                <c:pt idx="23">
                  <c:v>3.6356891530058763E-3</c:v>
                </c:pt>
                <c:pt idx="24">
                  <c:v>2.775416912374934E-3</c:v>
                </c:pt>
                <c:pt idx="25">
                  <c:v>2.988340889180235E-3</c:v>
                </c:pt>
                <c:pt idx="26">
                  <c:v>3.0528206301858947E-3</c:v>
                </c:pt>
                <c:pt idx="27">
                  <c:v>3.1857304406977247E-3</c:v>
                </c:pt>
                <c:pt idx="28">
                  <c:v>2.9965185898979574E-3</c:v>
                </c:pt>
                <c:pt idx="29">
                  <c:v>3.0527950802740878E-3</c:v>
                </c:pt>
                <c:pt idx="30">
                  <c:v>3.0647681590732852E-3</c:v>
                </c:pt>
                <c:pt idx="31">
                  <c:v>3.289124831093723E-3</c:v>
                </c:pt>
                <c:pt idx="32">
                  <c:v>3.3658980279255585E-3</c:v>
                </c:pt>
                <c:pt idx="33">
                  <c:v>3.3297982116337406E-3</c:v>
                </c:pt>
                <c:pt idx="34">
                  <c:v>3.5454947093957745E-3</c:v>
                </c:pt>
                <c:pt idx="35">
                  <c:v>3.5899920942513708E-3</c:v>
                </c:pt>
                <c:pt idx="36">
                  <c:v>3.7457994851487603E-3</c:v>
                </c:pt>
                <c:pt idx="37">
                  <c:v>3.4396215765236647E-3</c:v>
                </c:pt>
                <c:pt idx="38">
                  <c:v>3.6112303050800567E-3</c:v>
                </c:pt>
                <c:pt idx="39">
                  <c:v>3.6516186933057446E-3</c:v>
                </c:pt>
                <c:pt idx="40">
                  <c:v>3.7731025124614795E-3</c:v>
                </c:pt>
                <c:pt idx="41">
                  <c:v>4.0581678677109982E-3</c:v>
                </c:pt>
                <c:pt idx="42">
                  <c:v>3.993387365204386E-3</c:v>
                </c:pt>
                <c:pt idx="43">
                  <c:v>3.9367173893899206E-3</c:v>
                </c:pt>
                <c:pt idx="44">
                  <c:v>3.9723313715558928E-3</c:v>
                </c:pt>
                <c:pt idx="45">
                  <c:v>4.5511174356789525E-3</c:v>
                </c:pt>
                <c:pt idx="46">
                  <c:v>3.9021548681348315E-3</c:v>
                </c:pt>
                <c:pt idx="47">
                  <c:v>3.6998425606301452E-3</c:v>
                </c:pt>
                <c:pt idx="48">
                  <c:v>3.9136882928800373E-3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3-44C7-A92E-BD3CA1D1D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91392"/>
        <c:axId val="205397216"/>
      </c:lineChart>
      <c:dateAx>
        <c:axId val="2053730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6000"/>
        <c:crosses val="autoZero"/>
        <c:auto val="1"/>
        <c:lblOffset val="100"/>
        <c:baseTimeUnit val="months"/>
      </c:dateAx>
      <c:valAx>
        <c:axId val="2053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3088"/>
        <c:crosses val="autoZero"/>
        <c:crossBetween val="between"/>
      </c:valAx>
      <c:valAx>
        <c:axId val="2053972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1392"/>
        <c:crosses val="max"/>
        <c:crossBetween val="between"/>
      </c:valAx>
      <c:dateAx>
        <c:axId val="20539139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53972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DD5D67C0-0147-47D4-AAEB-CBF3385E4B3C}" type="doc">
      <dgm:prSet loTypeId="urn:microsoft.com/office/officeart/2009/layout/CircleArrowProcess" loCatId="cycl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NZ"/>
        </a:p>
      </dgm:t>
    </dgm:pt>
    <dgm:pt modelId="{7DA77C8B-316E-49FF-B5F5-B2E9519B93D3}">
      <dgm:prSet phldrT="[Text]" custT="1"/>
      <dgm:spPr/>
      <dgm:t>
        <a:bodyPr/>
        <a:lstStyle/>
        <a:p>
          <a:r>
            <a:rPr lang="en-NZ" sz="1600"/>
            <a:t>133,333 Per Month</a:t>
          </a:r>
        </a:p>
      </dgm:t>
    </dgm:pt>
    <dgm:pt modelId="{87AC3B0C-AF18-4BC4-8189-17F5E2572B20}" type="parTrans" cxnId="{2925968A-F5C3-4516-9003-02584F96AEB2}">
      <dgm:prSet/>
      <dgm:spPr/>
      <dgm:t>
        <a:bodyPr/>
        <a:lstStyle/>
        <a:p>
          <a:endParaRPr lang="en-NZ"/>
        </a:p>
      </dgm:t>
    </dgm:pt>
    <dgm:pt modelId="{4614D466-67B7-4F8A-9091-2F5E2384F180}" type="sibTrans" cxnId="{2925968A-F5C3-4516-9003-02584F96AEB2}">
      <dgm:prSet/>
      <dgm:spPr/>
      <dgm:t>
        <a:bodyPr/>
        <a:lstStyle/>
        <a:p>
          <a:endParaRPr lang="en-NZ"/>
        </a:p>
      </dgm:t>
    </dgm:pt>
    <dgm:pt modelId="{4537FF36-0431-4AC6-A1FC-E9151C3F3C5A}">
      <dgm:prSet phldrT="[Text]" custT="1"/>
      <dgm:spPr/>
      <dgm:t>
        <a:bodyPr/>
        <a:lstStyle/>
        <a:p>
          <a:r>
            <a:rPr lang="en-NZ" sz="1600"/>
            <a:t>32,000 Per Week</a:t>
          </a:r>
        </a:p>
      </dgm:t>
    </dgm:pt>
    <dgm:pt modelId="{E1372138-CBD8-4996-8959-E5145C039ABE}" type="parTrans" cxnId="{BE1DEB75-ADF5-4798-A0F7-07CD8768ED3B}">
      <dgm:prSet/>
      <dgm:spPr/>
      <dgm:t>
        <a:bodyPr/>
        <a:lstStyle/>
        <a:p>
          <a:endParaRPr lang="en-NZ"/>
        </a:p>
      </dgm:t>
    </dgm:pt>
    <dgm:pt modelId="{FC9B57DC-7861-4AD9-A883-01768C5F01A6}" type="sibTrans" cxnId="{BE1DEB75-ADF5-4798-A0F7-07CD8768ED3B}">
      <dgm:prSet/>
      <dgm:spPr/>
      <dgm:t>
        <a:bodyPr/>
        <a:lstStyle/>
        <a:p>
          <a:endParaRPr lang="en-NZ"/>
        </a:p>
      </dgm:t>
    </dgm:pt>
    <dgm:pt modelId="{6BDAD1AE-7861-42F5-AB92-613F59F9FDBD}">
      <dgm:prSet phldrT="[Text]" custT="1"/>
      <dgm:spPr/>
      <dgm:t>
        <a:bodyPr/>
        <a:lstStyle/>
        <a:p>
          <a:r>
            <a:rPr lang="en-NZ" sz="1600"/>
            <a:t>6,400 Per Day</a:t>
          </a:r>
        </a:p>
      </dgm:t>
    </dgm:pt>
    <dgm:pt modelId="{F529A95B-F0B0-4ACC-8C3B-E9931F371084}" type="parTrans" cxnId="{E7458F7B-B781-4E32-A7FB-786102D009DF}">
      <dgm:prSet/>
      <dgm:spPr/>
      <dgm:t>
        <a:bodyPr/>
        <a:lstStyle/>
        <a:p>
          <a:endParaRPr lang="en-NZ"/>
        </a:p>
      </dgm:t>
    </dgm:pt>
    <dgm:pt modelId="{EEC8FE76-CCE0-4120-8B74-7CCCEBBEEE18}" type="sibTrans" cxnId="{E7458F7B-B781-4E32-A7FB-786102D009DF}">
      <dgm:prSet/>
      <dgm:spPr/>
      <dgm:t>
        <a:bodyPr/>
        <a:lstStyle/>
        <a:p>
          <a:endParaRPr lang="en-NZ"/>
        </a:p>
      </dgm:t>
    </dgm:pt>
    <dgm:pt modelId="{1F7DF76B-5455-4FB7-AA7A-7F5A9BE76547}">
      <dgm:prSet phldrT="[Text]" custT="1"/>
      <dgm:spPr/>
      <dgm:t>
        <a:bodyPr/>
        <a:lstStyle/>
        <a:p>
          <a:r>
            <a:rPr lang="en-NZ" sz="1600"/>
            <a:t>427 Per Hour</a:t>
          </a:r>
        </a:p>
      </dgm:t>
    </dgm:pt>
    <dgm:pt modelId="{AD9DEE3E-451B-4812-B375-B0F6E8C800DE}" type="parTrans" cxnId="{C4AB1545-A195-43CC-85CC-E8D0CC8D667F}">
      <dgm:prSet/>
      <dgm:spPr/>
      <dgm:t>
        <a:bodyPr/>
        <a:lstStyle/>
        <a:p>
          <a:endParaRPr lang="en-NZ"/>
        </a:p>
      </dgm:t>
    </dgm:pt>
    <dgm:pt modelId="{D1D17F78-0B4A-4667-BFA6-F7C0DAEDBF45}" type="sibTrans" cxnId="{C4AB1545-A195-43CC-85CC-E8D0CC8D667F}">
      <dgm:prSet/>
      <dgm:spPr/>
      <dgm:t>
        <a:bodyPr/>
        <a:lstStyle/>
        <a:p>
          <a:endParaRPr lang="en-NZ"/>
        </a:p>
      </dgm:t>
    </dgm:pt>
    <dgm:pt modelId="{1CC4AC89-A623-4748-B1C8-5581D1AAF92F}" type="pres">
      <dgm:prSet presAssocID="{DD5D67C0-0147-47D4-AAEB-CBF3385E4B3C}" presName="Name0" presStyleCnt="0">
        <dgm:presLayoutVars>
          <dgm:chMax val="7"/>
          <dgm:chPref val="7"/>
          <dgm:dir/>
          <dgm:animLvl val="lvl"/>
        </dgm:presLayoutVars>
      </dgm:prSet>
      <dgm:spPr/>
    </dgm:pt>
    <dgm:pt modelId="{145C7EC4-EBDB-4151-BEEF-33B9BC76601A}" type="pres">
      <dgm:prSet presAssocID="{7DA77C8B-316E-49FF-B5F5-B2E9519B93D3}" presName="Accent1" presStyleCnt="0"/>
      <dgm:spPr/>
    </dgm:pt>
    <dgm:pt modelId="{16B8BC25-B457-49C9-A43D-36DE658C2549}" type="pres">
      <dgm:prSet presAssocID="{7DA77C8B-316E-49FF-B5F5-B2E9519B93D3}" presName="Accent" presStyleLbl="node1" presStyleIdx="0" presStyleCnt="4"/>
      <dgm:spPr>
        <a:solidFill>
          <a:schemeClr val="bg2">
            <a:lumMod val="50000"/>
          </a:schemeClr>
        </a:solidFill>
      </dgm:spPr>
    </dgm:pt>
    <dgm:pt modelId="{67D60C88-CF69-468F-92B6-82DE36C2E734}" type="pres">
      <dgm:prSet presAssocID="{7DA77C8B-316E-49FF-B5F5-B2E9519B93D3}" presName="Parent1" presStyleLbl="revTx" presStyleIdx="0" presStyleCnt="4" custScaleY="205488" custLinFactNeighborX="-1203" custLinFactNeighborY="-19252">
        <dgm:presLayoutVars>
          <dgm:chMax val="1"/>
          <dgm:chPref val="1"/>
          <dgm:bulletEnabled val="1"/>
        </dgm:presLayoutVars>
      </dgm:prSet>
      <dgm:spPr/>
    </dgm:pt>
    <dgm:pt modelId="{88C27596-BDB7-41E9-8841-6177C28A0B90}" type="pres">
      <dgm:prSet presAssocID="{4537FF36-0431-4AC6-A1FC-E9151C3F3C5A}" presName="Accent2" presStyleCnt="0"/>
      <dgm:spPr/>
    </dgm:pt>
    <dgm:pt modelId="{BFB0090C-CF37-426B-9298-C0F8E3628927}" type="pres">
      <dgm:prSet presAssocID="{4537FF36-0431-4AC6-A1FC-E9151C3F3C5A}" presName="Accent" presStyleLbl="node1" presStyleIdx="1" presStyleCnt="4"/>
      <dgm:spPr>
        <a:solidFill>
          <a:schemeClr val="accent2"/>
        </a:solidFill>
      </dgm:spPr>
    </dgm:pt>
    <dgm:pt modelId="{E80ED13F-224F-48EE-B220-5F5E5DB09512}" type="pres">
      <dgm:prSet presAssocID="{4537FF36-0431-4AC6-A1FC-E9151C3F3C5A}" presName="Parent2" presStyleLbl="revTx" presStyleIdx="1" presStyleCnt="4" custScaleY="189868" custLinFactNeighborX="-2406" custLinFactNeighborY="-14440">
        <dgm:presLayoutVars>
          <dgm:chMax val="1"/>
          <dgm:chPref val="1"/>
          <dgm:bulletEnabled val="1"/>
        </dgm:presLayoutVars>
      </dgm:prSet>
      <dgm:spPr/>
    </dgm:pt>
    <dgm:pt modelId="{3A9A456A-96A1-4F87-AEAF-FB7A193BB332}" type="pres">
      <dgm:prSet presAssocID="{6BDAD1AE-7861-42F5-AB92-613F59F9FDBD}" presName="Accent3" presStyleCnt="0"/>
      <dgm:spPr/>
    </dgm:pt>
    <dgm:pt modelId="{84993242-33D5-403C-A179-0FFE4D201213}" type="pres">
      <dgm:prSet presAssocID="{6BDAD1AE-7861-42F5-AB92-613F59F9FDBD}" presName="Accent" presStyleLbl="node1" presStyleIdx="2" presStyleCnt="4"/>
      <dgm:spPr>
        <a:solidFill>
          <a:schemeClr val="tx1"/>
        </a:solidFill>
      </dgm:spPr>
    </dgm:pt>
    <dgm:pt modelId="{590A1EE2-6A06-4581-9AE5-11C2C32C29B4}" type="pres">
      <dgm:prSet presAssocID="{6BDAD1AE-7861-42F5-AB92-613F59F9FDBD}" presName="Parent3" presStyleLbl="revTx" presStyleIdx="2" presStyleCnt="4" custScaleY="207938">
        <dgm:presLayoutVars>
          <dgm:chMax val="1"/>
          <dgm:chPref val="1"/>
          <dgm:bulletEnabled val="1"/>
        </dgm:presLayoutVars>
      </dgm:prSet>
      <dgm:spPr/>
    </dgm:pt>
    <dgm:pt modelId="{B9042FDA-71E0-443B-A0EB-E15453831383}" type="pres">
      <dgm:prSet presAssocID="{1F7DF76B-5455-4FB7-AA7A-7F5A9BE76547}" presName="Accent4" presStyleCnt="0"/>
      <dgm:spPr/>
    </dgm:pt>
    <dgm:pt modelId="{CD66B65C-6C48-45C0-9D89-6C70FE33C12B}" type="pres">
      <dgm:prSet presAssocID="{1F7DF76B-5455-4FB7-AA7A-7F5A9BE76547}" presName="Accent" presStyleLbl="node1" presStyleIdx="3" presStyleCnt="4"/>
      <dgm:spPr>
        <a:solidFill>
          <a:schemeClr val="accent2"/>
        </a:solidFill>
      </dgm:spPr>
    </dgm:pt>
    <dgm:pt modelId="{7CC6576E-7965-4A0E-B75D-01EBEDD067C0}" type="pres">
      <dgm:prSet presAssocID="{1F7DF76B-5455-4FB7-AA7A-7F5A9BE76547}" presName="Parent4" presStyleLbl="revTx" presStyleIdx="3" presStyleCnt="4" custScaleY="211570">
        <dgm:presLayoutVars>
          <dgm:chMax val="1"/>
          <dgm:chPref val="1"/>
          <dgm:bulletEnabled val="1"/>
        </dgm:presLayoutVars>
      </dgm:prSet>
      <dgm:spPr/>
    </dgm:pt>
  </dgm:ptLst>
  <dgm:cxnLst>
    <dgm:cxn modelId="{B9032600-E72D-468B-ACC2-5C50D45347B0}" type="presOf" srcId="{4537FF36-0431-4AC6-A1FC-E9151C3F3C5A}" destId="{E80ED13F-224F-48EE-B220-5F5E5DB09512}" srcOrd="0" destOrd="0" presId="urn:microsoft.com/office/officeart/2009/layout/CircleArrowProcess"/>
    <dgm:cxn modelId="{16FA5029-0A05-440D-8DD5-41F677504180}" type="presOf" srcId="{6BDAD1AE-7861-42F5-AB92-613F59F9FDBD}" destId="{590A1EE2-6A06-4581-9AE5-11C2C32C29B4}" srcOrd="0" destOrd="0" presId="urn:microsoft.com/office/officeart/2009/layout/CircleArrowProcess"/>
    <dgm:cxn modelId="{4146BB5B-2B21-434C-8EF0-E19486260E2E}" type="presOf" srcId="{DD5D67C0-0147-47D4-AAEB-CBF3385E4B3C}" destId="{1CC4AC89-A623-4748-B1C8-5581D1AAF92F}" srcOrd="0" destOrd="0" presId="urn:microsoft.com/office/officeart/2009/layout/CircleArrowProcess"/>
    <dgm:cxn modelId="{C4AB1545-A195-43CC-85CC-E8D0CC8D667F}" srcId="{DD5D67C0-0147-47D4-AAEB-CBF3385E4B3C}" destId="{1F7DF76B-5455-4FB7-AA7A-7F5A9BE76547}" srcOrd="3" destOrd="0" parTransId="{AD9DEE3E-451B-4812-B375-B0F6E8C800DE}" sibTransId="{D1D17F78-0B4A-4667-BFA6-F7C0DAEDBF45}"/>
    <dgm:cxn modelId="{BE1DEB75-ADF5-4798-A0F7-07CD8768ED3B}" srcId="{DD5D67C0-0147-47D4-AAEB-CBF3385E4B3C}" destId="{4537FF36-0431-4AC6-A1FC-E9151C3F3C5A}" srcOrd="1" destOrd="0" parTransId="{E1372138-CBD8-4996-8959-E5145C039ABE}" sibTransId="{FC9B57DC-7861-4AD9-A883-01768C5F01A6}"/>
    <dgm:cxn modelId="{E7458F7B-B781-4E32-A7FB-786102D009DF}" srcId="{DD5D67C0-0147-47D4-AAEB-CBF3385E4B3C}" destId="{6BDAD1AE-7861-42F5-AB92-613F59F9FDBD}" srcOrd="2" destOrd="0" parTransId="{F529A95B-F0B0-4ACC-8C3B-E9931F371084}" sibTransId="{EEC8FE76-CCE0-4120-8B74-7CCCEBBEEE18}"/>
    <dgm:cxn modelId="{2925968A-F5C3-4516-9003-02584F96AEB2}" srcId="{DD5D67C0-0147-47D4-AAEB-CBF3385E4B3C}" destId="{7DA77C8B-316E-49FF-B5F5-B2E9519B93D3}" srcOrd="0" destOrd="0" parTransId="{87AC3B0C-AF18-4BC4-8189-17F5E2572B20}" sibTransId="{4614D466-67B7-4F8A-9091-2F5E2384F180}"/>
    <dgm:cxn modelId="{136BEDBE-E023-4956-85AA-798DEA30FB32}" type="presOf" srcId="{7DA77C8B-316E-49FF-B5F5-B2E9519B93D3}" destId="{67D60C88-CF69-468F-92B6-82DE36C2E734}" srcOrd="0" destOrd="0" presId="urn:microsoft.com/office/officeart/2009/layout/CircleArrowProcess"/>
    <dgm:cxn modelId="{179D97DC-1303-443E-8889-26D204DE1129}" type="presOf" srcId="{1F7DF76B-5455-4FB7-AA7A-7F5A9BE76547}" destId="{7CC6576E-7965-4A0E-B75D-01EBEDD067C0}" srcOrd="0" destOrd="0" presId="urn:microsoft.com/office/officeart/2009/layout/CircleArrowProcess"/>
    <dgm:cxn modelId="{ABB93E53-7ACD-4DE2-8374-E51946FA9C85}" type="presParOf" srcId="{1CC4AC89-A623-4748-B1C8-5581D1AAF92F}" destId="{145C7EC4-EBDB-4151-BEEF-33B9BC76601A}" srcOrd="0" destOrd="0" presId="urn:microsoft.com/office/officeart/2009/layout/CircleArrowProcess"/>
    <dgm:cxn modelId="{920AC10D-2E73-4AFF-B5ED-383FE7449D66}" type="presParOf" srcId="{145C7EC4-EBDB-4151-BEEF-33B9BC76601A}" destId="{16B8BC25-B457-49C9-A43D-36DE658C2549}" srcOrd="0" destOrd="0" presId="urn:microsoft.com/office/officeart/2009/layout/CircleArrowProcess"/>
    <dgm:cxn modelId="{591D0F60-4666-4353-B9C3-D94080C89A8E}" type="presParOf" srcId="{1CC4AC89-A623-4748-B1C8-5581D1AAF92F}" destId="{67D60C88-CF69-468F-92B6-82DE36C2E734}" srcOrd="1" destOrd="0" presId="urn:microsoft.com/office/officeart/2009/layout/CircleArrowProcess"/>
    <dgm:cxn modelId="{379425C1-9ABC-4975-AF8C-A8CCB9EE5448}" type="presParOf" srcId="{1CC4AC89-A623-4748-B1C8-5581D1AAF92F}" destId="{88C27596-BDB7-41E9-8841-6177C28A0B90}" srcOrd="2" destOrd="0" presId="urn:microsoft.com/office/officeart/2009/layout/CircleArrowProcess"/>
    <dgm:cxn modelId="{7C1AA058-BD28-45E4-89D7-4A898E3D6739}" type="presParOf" srcId="{88C27596-BDB7-41E9-8841-6177C28A0B90}" destId="{BFB0090C-CF37-426B-9298-C0F8E3628927}" srcOrd="0" destOrd="0" presId="urn:microsoft.com/office/officeart/2009/layout/CircleArrowProcess"/>
    <dgm:cxn modelId="{653081EE-5AAA-494E-8070-3F57AD968C1E}" type="presParOf" srcId="{1CC4AC89-A623-4748-B1C8-5581D1AAF92F}" destId="{E80ED13F-224F-48EE-B220-5F5E5DB09512}" srcOrd="3" destOrd="0" presId="urn:microsoft.com/office/officeart/2009/layout/CircleArrowProcess"/>
    <dgm:cxn modelId="{9D13AA9A-5FCF-4D97-BD48-8CCD65A67D62}" type="presParOf" srcId="{1CC4AC89-A623-4748-B1C8-5581D1AAF92F}" destId="{3A9A456A-96A1-4F87-AEAF-FB7A193BB332}" srcOrd="4" destOrd="0" presId="urn:microsoft.com/office/officeart/2009/layout/CircleArrowProcess"/>
    <dgm:cxn modelId="{190CC161-1D97-4910-A9D0-D86784C32D67}" type="presParOf" srcId="{3A9A456A-96A1-4F87-AEAF-FB7A193BB332}" destId="{84993242-33D5-403C-A179-0FFE4D201213}" srcOrd="0" destOrd="0" presId="urn:microsoft.com/office/officeart/2009/layout/CircleArrowProcess"/>
    <dgm:cxn modelId="{1F32D973-74BC-44BF-94D4-DCE50F0F7B13}" type="presParOf" srcId="{1CC4AC89-A623-4748-B1C8-5581D1AAF92F}" destId="{590A1EE2-6A06-4581-9AE5-11C2C32C29B4}" srcOrd="5" destOrd="0" presId="urn:microsoft.com/office/officeart/2009/layout/CircleArrowProcess"/>
    <dgm:cxn modelId="{62F04EE8-BD81-401F-9CCC-16EE79E8FA75}" type="presParOf" srcId="{1CC4AC89-A623-4748-B1C8-5581D1AAF92F}" destId="{B9042FDA-71E0-443B-A0EB-E15453831383}" srcOrd="6" destOrd="0" presId="urn:microsoft.com/office/officeart/2009/layout/CircleArrowProcess"/>
    <dgm:cxn modelId="{A372B821-3B7E-406F-83AC-7B31BBA99451}" type="presParOf" srcId="{B9042FDA-71E0-443B-A0EB-E15453831383}" destId="{CD66B65C-6C48-45C0-9D89-6C70FE33C12B}" srcOrd="0" destOrd="0" presId="urn:microsoft.com/office/officeart/2009/layout/CircleArrowProcess"/>
    <dgm:cxn modelId="{5728BBE3-2691-4596-91EC-E8E46BCC52F8}" type="presParOf" srcId="{1CC4AC89-A623-4748-B1C8-5581D1AAF92F}" destId="{7CC6576E-7965-4A0E-B75D-01EBEDD067C0}" srcOrd="7" destOrd="0" presId="urn:microsoft.com/office/officeart/2009/layout/CircleArrowProcess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6B8BC25-B457-49C9-A43D-36DE658C2549}">
      <dsp:nvSpPr>
        <dsp:cNvPr id="0" name=""/>
        <dsp:cNvSpPr/>
      </dsp:nvSpPr>
      <dsp:spPr>
        <a:xfrm>
          <a:off x="931401" y="249570"/>
          <a:ext cx="1614732" cy="1614897"/>
        </a:xfrm>
        <a:prstGeom prst="circularArrow">
          <a:avLst>
            <a:gd name="adj1" fmla="val 10980"/>
            <a:gd name="adj2" fmla="val 1142322"/>
            <a:gd name="adj3" fmla="val 4500000"/>
            <a:gd name="adj4" fmla="val 10800000"/>
            <a:gd name="adj5" fmla="val 12500"/>
          </a:avLst>
        </a:prstGeom>
        <a:solidFill>
          <a:schemeClr val="bg2">
            <a:lumMod val="50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7D60C88-CF69-468F-92B6-82DE36C2E734}">
      <dsp:nvSpPr>
        <dsp:cNvPr id="0" name=""/>
        <dsp:cNvSpPr/>
      </dsp:nvSpPr>
      <dsp:spPr>
        <a:xfrm>
          <a:off x="1277068" y="509770"/>
          <a:ext cx="901112" cy="92574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600" kern="1200"/>
            <a:t>133,333 Per Month</a:t>
          </a:r>
        </a:p>
      </dsp:txBody>
      <dsp:txXfrm>
        <a:off x="1277068" y="509770"/>
        <a:ext cx="901112" cy="925743"/>
      </dsp:txXfrm>
    </dsp:sp>
    <dsp:sp modelId="{BFB0090C-CF37-426B-9298-C0F8E3628927}">
      <dsp:nvSpPr>
        <dsp:cNvPr id="0" name=""/>
        <dsp:cNvSpPr/>
      </dsp:nvSpPr>
      <dsp:spPr>
        <a:xfrm>
          <a:off x="482814" y="1177568"/>
          <a:ext cx="1614732" cy="1614897"/>
        </a:xfrm>
        <a:prstGeom prst="leftCircularArrow">
          <a:avLst>
            <a:gd name="adj1" fmla="val 10980"/>
            <a:gd name="adj2" fmla="val 1142322"/>
            <a:gd name="adj3" fmla="val 6300000"/>
            <a:gd name="adj4" fmla="val 18900000"/>
            <a:gd name="adj5" fmla="val 12500"/>
          </a:avLst>
        </a:prstGeom>
        <a:solidFill>
          <a:schemeClr val="accent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80ED13F-224F-48EE-B220-5F5E5DB09512}">
      <dsp:nvSpPr>
        <dsp:cNvPr id="0" name=""/>
        <dsp:cNvSpPr/>
      </dsp:nvSpPr>
      <dsp:spPr>
        <a:xfrm>
          <a:off x="815823" y="1496345"/>
          <a:ext cx="901112" cy="85537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600" kern="1200"/>
            <a:t>32,000 Per Week</a:t>
          </a:r>
        </a:p>
      </dsp:txBody>
      <dsp:txXfrm>
        <a:off x="815823" y="1496345"/>
        <a:ext cx="901112" cy="855373"/>
      </dsp:txXfrm>
    </dsp:sp>
    <dsp:sp modelId="{84993242-33D5-403C-A179-0FFE4D201213}">
      <dsp:nvSpPr>
        <dsp:cNvPr id="0" name=""/>
        <dsp:cNvSpPr/>
      </dsp:nvSpPr>
      <dsp:spPr>
        <a:xfrm>
          <a:off x="931401" y="2108992"/>
          <a:ext cx="1614732" cy="1614897"/>
        </a:xfrm>
        <a:prstGeom prst="circularArrow">
          <a:avLst>
            <a:gd name="adj1" fmla="val 10980"/>
            <a:gd name="adj2" fmla="val 1142322"/>
            <a:gd name="adj3" fmla="val 4500000"/>
            <a:gd name="adj4" fmla="val 13500000"/>
            <a:gd name="adj5" fmla="val 12500"/>
          </a:avLst>
        </a:prstGeom>
        <a:solidFill>
          <a:schemeClr val="tx1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90A1EE2-6A06-4581-9AE5-11C2C32C29B4}">
      <dsp:nvSpPr>
        <dsp:cNvPr id="0" name=""/>
        <dsp:cNvSpPr/>
      </dsp:nvSpPr>
      <dsp:spPr>
        <a:xfrm>
          <a:off x="1287909" y="2450406"/>
          <a:ext cx="901112" cy="93678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600" kern="1200"/>
            <a:t>6,400 Per Day</a:t>
          </a:r>
        </a:p>
      </dsp:txBody>
      <dsp:txXfrm>
        <a:off x="1287909" y="2450406"/>
        <a:ext cx="901112" cy="936780"/>
      </dsp:txXfrm>
    </dsp:sp>
    <dsp:sp modelId="{CD66B65C-6C48-45C0-9D89-6C70FE33C12B}">
      <dsp:nvSpPr>
        <dsp:cNvPr id="0" name=""/>
        <dsp:cNvSpPr/>
      </dsp:nvSpPr>
      <dsp:spPr>
        <a:xfrm>
          <a:off x="597914" y="3144051"/>
          <a:ext cx="1387258" cy="1387929"/>
        </a:xfrm>
        <a:prstGeom prst="blockArc">
          <a:avLst>
            <a:gd name="adj1" fmla="val 0"/>
            <a:gd name="adj2" fmla="val 18900000"/>
            <a:gd name="adj3" fmla="val 12740"/>
          </a:avLst>
        </a:prstGeom>
        <a:solidFill>
          <a:schemeClr val="accent2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CC6576E-7965-4A0E-B75D-01EBEDD067C0}">
      <dsp:nvSpPr>
        <dsp:cNvPr id="0" name=""/>
        <dsp:cNvSpPr/>
      </dsp:nvSpPr>
      <dsp:spPr>
        <a:xfrm>
          <a:off x="837504" y="3371936"/>
          <a:ext cx="901112" cy="953143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600" kern="1200"/>
            <a:t>427 Per Hour</a:t>
          </a:r>
        </a:p>
      </dsp:txBody>
      <dsp:txXfrm>
        <a:off x="837504" y="3371936"/>
        <a:ext cx="901112" cy="95314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layout/CircleArrowProcess">
  <dgm:title val=""/>
  <dgm:desc val=""/>
  <dgm:catLst>
    <dgm:cat type="process" pri="16500"/>
    <dgm:cat type="cycle" pri="16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40" srcId="0" destId="10" srcOrd="0" destOrd="0"/>
        <dgm:cxn modelId="50" srcId="0" destId="20" srcOrd="1" destOrd="0"/>
        <dgm:cxn modelId="6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30" srcId="0" destId="10" srcOrd="0" destOrd="0"/>
        <dgm:cxn modelId="4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50" srcId="0" destId="10" srcOrd="0" destOrd="0"/>
        <dgm:cxn modelId="60" srcId="0" destId="20" srcOrd="1" destOrd="0"/>
        <dgm:cxn modelId="70" srcId="0" destId="30" srcOrd="2" destOrd="0"/>
        <dgm:cxn modelId="80" srcId="0" destId="40" srcOrd="3" destOrd="0"/>
      </dgm:cxnLst>
      <dgm:bg/>
      <dgm:whole/>
    </dgm:dataModel>
  </dgm:clrData>
  <dgm:layoutNode name="Name0">
    <dgm:varLst>
      <dgm:chMax val="7"/>
      <dgm:chPref val="7"/>
      <dgm:dir/>
      <dgm:animLvl val="lvl"/>
    </dgm:varLst>
    <dgm:shape xmlns:r="http://schemas.openxmlformats.org/officeDocument/2006/relationships" r:blip="">
      <dgm:adjLst/>
    </dgm:shape>
    <dgm:choose name="Name1">
      <dgm:if name="Name2" func="var" arg="dir" op="equ" val="norm">
        <dgm:choose name="Name3">
          <dgm:if name="Name4" axis="ch" ptType="node" func="cnt" op="equ" val="1">
            <dgm:alg type="composite">
              <dgm:param type="ar" val="1.599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l" for="ch" forName="Child1" refType="w" fact="0.625"/>
              <dgm:constr type="t" for="ch" forName="Child1" refType="h" fact="0.2981"/>
              <dgm:constr type="w" for="ch" forName="Child1" refType="w" fact="0.375"/>
              <dgm:constr type="h" for="ch" forName="Child1" refType="h" fact="0.4001"/>
              <dgm:constr type="l" for="ch" forName="Accent1" refType="w" fact="0"/>
              <dgm:constr type="t" for="ch" forName="Accent1" refType="h" fact="0"/>
              <dgm:constr type="w" for="ch" forName="Accent1" refType="w" fact="0.6249"/>
              <dgm:constr type="h" for="ch" forName="Accent1" refType="h"/>
              <dgm:constr type="l" for="ch" forName="Parent1" refType="w" fact="0.138"/>
              <dgm:constr type="t" for="ch" forName="Parent1" refType="h" fact="0.362"/>
              <dgm:constr type="w" for="ch" forName="Parent1" refType="w" fact="0.3487"/>
              <dgm:constr type="h" for="ch" forName="Parent1" refType="h" fact="0.2789"/>
            </dgm:constrLst>
          </dgm:if>
          <dgm:if name="Name5" axis="ch" ptType="node" func="cnt" op="equ" val="2">
            <dgm:alg type="composite">
              <dgm:param type="ar" val="1.2026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Parent2" refType="primFontSz" refFor="des" refForName="Parent1" op="equ"/>
              <dgm:constr type="primFontSz" for="des" forName="Child2" refType="primFontSz" refFor="des" refForName="Child1" op="equ"/>
              <dgm:constr type="l" for="ch" forName="Accent1" refType="w" fact="0.1144"/>
              <dgm:constr type="t" for="ch" forName="Accent1" refType="h" fact="0"/>
              <dgm:constr type="w" for="ch" forName="Accent1" refType="w" fact="0.5542"/>
              <dgm:constr type="h" for="ch" forName="Accent1" refType="h" fact="0.6665"/>
              <dgm:constr type="l" for="ch" forName="Parent1" refType="w" fact="0.2368"/>
              <dgm:constr type="t" for="ch" forName="Parent1" refType="h" fact="0.2413"/>
              <dgm:constr type="w" for="ch" forName="Parent1" refType="w" fact="0.3092"/>
              <dgm:constr type="h" for="ch" forName="Parent1" refType="h" fact="0.1859"/>
              <dgm:constr type="l" for="ch" forName="Parent2" refType="w" fact="0.0822"/>
              <dgm:constr type="t" for="ch" forName="Parent2" refType="h" fact="0.625"/>
              <dgm:constr type="w" for="ch" forName="Parent2" refType="w" fact="0.3092"/>
              <dgm:constr type="h" for="ch" forName="Parent2" refType="h" fact="0.1859"/>
              <dgm:constr type="l" for="ch" forName="Child1" refType="w" fact="0.6678"/>
              <dgm:constr type="t" for="ch" forName="Child1" refType="h" fact="0.1978"/>
              <dgm:constr type="w" for="ch" forName="Child1" refType="w" fact="0.3322"/>
              <dgm:constr type="h" for="ch" forName="Child1" refType="h" fact="0.265"/>
              <dgm:constr type="l" for="ch" forName="Child2" refType="w" fact="0.5164"/>
              <dgm:constr type="t" for="ch" forName="Child2" refType="h" fact="0.5855"/>
              <dgm:constr type="w" for="ch" forName="Child2" refType="w" fact="0.3322"/>
              <dgm:constr type="h" for="ch" forName="Child2" refType="h" fact="0.265"/>
              <dgm:constr type="l" for="ch" forName="Accent2" refType="w" fact="0"/>
              <dgm:constr type="t" for="ch" forName="Accent2" refType="h" fact="0.4272"/>
              <dgm:constr type="w" for="ch" forName="Accent2" refType="w" fact="0.4761"/>
              <dgm:constr type="h" for="ch" forName="Accent2" refType="h" fact="0.5728"/>
            </dgm:constrLst>
          </dgm:if>
          <dgm:if name="Name6" axis="ch" ptType="node" func="cnt" op="equ" val="3">
            <dgm:alg type="composite">
              <dgm:param type="ar" val="0.9039"/>
            </dgm:alg>
            <dgm:shape xmlns:r="http://schemas.openxmlformats.org/officeDocument/2006/relationships" r:blip="">
              <dgm:adjLst/>
            </dgm:shape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l" for="ch" forName="Accent1" refType="w" fact="0.1479"/>
              <dgm:constr type="t" for="ch" forName="Accent1" refType="h" fact="0"/>
              <dgm:constr type="w" for="ch" forName="Accent1" refType="w" fact="0.5325"/>
              <dgm:constr type="h" for="ch" forName="Accent1" refType="h" fact="0.4814"/>
              <dgm:constr type="l" for="ch" forName="Accent2" refType="w" fact="0"/>
              <dgm:constr type="t" for="ch" forName="Accent2" refType="h" fact="0.2766"/>
              <dgm:constr type="w" for="ch" forName="Accent2" refType="w" fact="0.5325"/>
              <dgm:constr type="h" for="ch" forName="Accent2" refType="h" fact="0.4814"/>
              <dgm:constr type="l" for="ch" forName="Parent1" refType="w" fact="0.2656"/>
              <dgm:constr type="t" for="ch" forName="Parent1" refType="h" fact="0.1738"/>
              <dgm:constr type="w" for="ch" forName="Parent1" refType="w" fact="0.2959"/>
              <dgm:constr type="h" for="ch" forName="Parent1" refType="h" fact="0.1337"/>
              <dgm:constr type="l" for="ch" forName="Accent3" refType="w" fact="0.1858"/>
              <dgm:constr type="t" for="ch" forName="Accent3" refType="h" fact="0.5863"/>
              <dgm:constr type="w" for="ch" forName="Accent3" refType="w" fact="0.4575"/>
              <dgm:constr type="h" for="ch" forName="Accent3" refType="h" fact="0.4137"/>
              <dgm:constr type="l" for="ch" forName="Parent2" refType="w" fact="0.1183"/>
              <dgm:constr type="t" for="ch" forName="Parent2" refType="h" fact="0.452"/>
              <dgm:constr type="w" for="ch" forName="Parent2" refType="w" fact="0.2959"/>
              <dgm:constr type="h" for="ch" forName="Parent2" refType="h" fact="0.1337"/>
              <dgm:constr type="l" for="ch" forName="Parent3" refType="w" fact="0.2663"/>
              <dgm:constr type="t" for="ch" forName="Parent3" refType="h" fact="0.7306"/>
              <dgm:constr type="w" for="ch" forName="Parent3" refType="w" fact="0.2959"/>
              <dgm:constr type="h" for="ch" forName="Parent3" refType="h" fact="0.1337"/>
              <dgm:constr type="l" for="ch" forName="Child2" refType="w" fact="0.5325"/>
              <dgm:constr type="t" for="ch" forName="Child2" refType="h" fact="0.4217"/>
              <dgm:constr type="w" for="ch" forName="Child2" refType="w" fact="0.3195"/>
              <dgm:constr type="h" for="ch" forName="Child2" refType="h" fact="0.1926"/>
              <dgm:constr type="l" for="ch" forName="Child1" refType="w" fact="0.6805"/>
              <dgm:constr type="t" for="ch" forName="Child1" refType="h" fact="0.1435"/>
              <dgm:constr type="w" for="ch" forName="Child1" refType="w" fact="0.3195"/>
              <dgm:constr type="h" for="ch" forName="Child1" refType="h" fact="0.1926"/>
              <dgm:constr type="l" for="ch" forName="Child3" refType="w" fact="0.6805"/>
              <dgm:constr type="t" for="ch" forName="Child3" refType="h" fact="0.6998"/>
              <dgm:constr type="w" for="ch" forName="Child3" refType="w" fact="0.3195"/>
              <dgm:constr type="h" for="ch" forName="Child3" refType="h" fact="0.1926"/>
            </dgm:constrLst>
          </dgm:if>
          <dgm:if name="Name7" axis="ch" ptType="node" func="cnt" op="equ" val="4">
            <dgm:alg type="composite">
              <dgm:param type="ar" val="0.707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l" for="ch" forName="Accent1" refType="w" fact="0.1481"/>
              <dgm:constr type="t" for="ch" forName="Accent1" refType="h" fact="0"/>
              <dgm:constr type="w" for="ch" forName="Accent1" refType="w" fact="0.5331"/>
              <dgm:constr type="h" for="ch" forName="Accent1" refType="h" fact="0.3771"/>
              <dgm:constr type="l" for="ch" forName="Accent2" refType="w" fact="0"/>
              <dgm:constr type="t" for="ch" forName="Accent2" refType="h" fact="0.2167"/>
              <dgm:constr type="w" for="ch" forName="Accent2" refType="w" fact="0.5331"/>
              <dgm:constr type="h" for="ch" forName="Accent2" refType="h" fact="0.3771"/>
              <dgm:constr type="l" for="ch" forName="Accent3" refType="w" fact="0.1481"/>
              <dgm:constr type="t" for="ch" forName="Accent3" refType="h" fact="0.4342"/>
              <dgm:constr type="w" for="ch" forName="Accent3" refType="w" fact="0.5331"/>
              <dgm:constr type="h" for="ch" forName="Accent3" refType="h" fact="0.3771"/>
              <dgm:constr type="l" for="ch" forName="Parent1" refType="w" fact="0.2658"/>
              <dgm:constr type="t" for="ch" forName="Parent1" refType="h" fact="0.1365"/>
              <dgm:constr type="w" for="ch" forName="Parent1" refType="w" fact="0.2975"/>
              <dgm:constr type="h" for="ch" forName="Parent1" refType="h" fact="0.1052"/>
              <dgm:constr type="l" for="ch" forName="Parent2" refType="w" fact="0.1171"/>
              <dgm:constr type="t" for="ch" forName="Parent2" refType="h" fact="0.3536"/>
              <dgm:constr type="w" for="ch" forName="Parent2" refType="w" fact="0.2975"/>
              <dgm:constr type="h" for="ch" forName="Parent2" refType="h" fact="0.1052"/>
              <dgm:constr type="l" for="ch" forName="Parent3" refType="w" fact="0.2658"/>
              <dgm:constr type="t" for="ch" forName="Parent3" refType="h" fact="0.5707"/>
              <dgm:constr type="w" for="ch" forName="Parent3" refType="w" fact="0.2975"/>
              <dgm:constr type="h" for="ch" forName="Parent3" refType="h" fact="0.1052"/>
              <dgm:constr type="l" for="ch" forName="Parent4" refType="w" fact="0.1171"/>
              <dgm:constr type="t" for="ch" forName="Parent4" refType="h" fact="0.7878"/>
              <dgm:constr type="w" for="ch" forName="Parent4" refType="w" fact="0.2975"/>
              <dgm:constr type="h" for="ch" forName="Parent4" refType="h" fact="0.1052"/>
              <dgm:constr type="l" for="ch" forName="Child1" refType="w" fact="0.6804"/>
              <dgm:constr type="t" for="ch" forName="Child1" refType="h" fact="0.1119"/>
              <dgm:constr type="w" for="ch" forName="Child1" refType="w" fact="0.3196"/>
              <dgm:constr type="h" for="ch" forName="Child1" refType="h" fact="0.15"/>
              <dgm:constr type="l" for="ch" forName="Child2" refType="w" fact="0.5348"/>
              <dgm:constr type="t" for="ch" forName="Child2" refType="h" fact="0.3312"/>
              <dgm:constr type="w" for="ch" forName="Child2" refType="w" fact="0.3196"/>
              <dgm:constr type="h" for="ch" forName="Child2" refType="h" fact="0.15"/>
              <dgm:constr type="l" for="ch" forName="Child3" refType="w" fact="0.6804"/>
              <dgm:constr type="t" for="ch" forName="Child3" refType="h" fact="0.5461"/>
              <dgm:constr type="w" for="ch" forName="Child3" refType="w" fact="0.3196"/>
              <dgm:constr type="h" for="ch" forName="Child3" refType="h" fact="0.15"/>
              <dgm:constr type="l" for="ch" forName="Child4" refType="w" fact="0.5348"/>
              <dgm:constr type="t" for="ch" forName="Child4" refType="h" fact="0.7632"/>
              <dgm:constr type="w" for="ch" forName="Child4" refType="w" fact="0.3196"/>
              <dgm:constr type="h" for="ch" forName="Child4" refType="h" fact="0.15"/>
              <dgm:constr type="l" for="ch" forName="Accent4" refType="w" fact="0.038"/>
              <dgm:constr type="t" for="ch" forName="Accent4" refType="h" fact="0.6759"/>
              <dgm:constr type="w" for="ch" forName="Accent4" refType="w" fact="0.458"/>
              <dgm:constr type="h" for="ch" forName="Accent4" refType="h" fact="0.3241"/>
            </dgm:constrLst>
          </dgm:if>
          <dgm:if name="Name8" axis="ch" ptType="node" func="cnt" op="equ" val="5">
            <dgm:alg type="composite">
              <dgm:param type="ar" val="0.581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l" for="ch" forName="Accent1" refType="w" fact="0.1481"/>
              <dgm:constr type="t" for="ch" forName="Accent1" refType="h" fact="0"/>
              <dgm:constr type="w" for="ch" forName="Accent1" refType="w" fact="0.5331"/>
              <dgm:constr type="h" for="ch" forName="Accent1" refType="h" fact="0.3098"/>
              <dgm:constr type="l" for="ch" forName="Accent2" refType="w" fact="0"/>
              <dgm:constr type="t" for="ch" forName="Accent2" refType="h" fact="0.178"/>
              <dgm:constr type="w" for="ch" forName="Accent2" refType="w" fact="0.5331"/>
              <dgm:constr type="h" for="ch" forName="Accent2" refType="h" fact="0.3098"/>
              <dgm:constr type="l" for="ch" forName="Accent3" refType="w" fact="0.1481"/>
              <dgm:constr type="t" for="ch" forName="Accent3" refType="h" fact="0.3568"/>
              <dgm:constr type="w" for="ch" forName="Accent3" refType="w" fact="0.5331"/>
              <dgm:constr type="h" for="ch" forName="Accent3" refType="h" fact="0.3098"/>
              <dgm:constr type="l" for="ch" forName="Accent4" refType="w" fact="0"/>
              <dgm:constr type="t" for="ch" forName="Accent4" refType="h" fact="0.5351"/>
              <dgm:constr type="w" for="ch" forName="Accent4" refType="w" fact="0.5331"/>
              <dgm:constr type="h" for="ch" forName="Accent4" refType="h" fact="0.3098"/>
              <dgm:constr type="l" for="ch" forName="Accent5" refType="w" fact="0.186"/>
              <dgm:constr type="t" for="ch" forName="Accent5" refType="h" fact="0.7337"/>
              <dgm:constr type="w" for="ch" forName="Accent5" refType="w" fact="0.458"/>
              <dgm:constr type="h" for="ch" forName="Accent5" refType="h" fact="0.2663"/>
              <dgm:constr type="l" for="ch" forName="Parent1" refType="w" fact="0.2658"/>
              <dgm:constr type="t" for="ch" forName="Parent1" refType="h" fact="0.1122"/>
              <dgm:constr type="w" for="ch" forName="Parent1" refType="w" fact="0.2975"/>
              <dgm:constr type="h" for="ch" forName="Parent1" refType="h" fact="0.0864"/>
              <dgm:constr type="l" for="ch" forName="Parent2" refType="w" fact="0.1171"/>
              <dgm:constr type="t" for="ch" forName="Parent2" refType="h" fact="0.2906"/>
              <dgm:constr type="w" for="ch" forName="Parent2" refType="w" fact="0.2975"/>
              <dgm:constr type="h" for="ch" forName="Parent2" refType="h" fact="0.0864"/>
              <dgm:constr type="l" for="ch" forName="Parent3" refType="w" fact="0.2658"/>
              <dgm:constr type="t" for="ch" forName="Parent3" refType="h" fact="0.4689"/>
              <dgm:constr type="w" for="ch" forName="Parent3" refType="w" fact="0.2975"/>
              <dgm:constr type="h" for="ch" forName="Parent3" refType="h" fact="0.0864"/>
              <dgm:constr type="l" for="ch" forName="Parent4" refType="w" fact="0.1171"/>
              <dgm:constr type="t" for="ch" forName="Parent4" refType="h" fact="0.6473"/>
              <dgm:constr type="w" for="ch" forName="Parent4" refType="w" fact="0.2975"/>
              <dgm:constr type="h" for="ch" forName="Parent4" refType="h" fact="0.0864"/>
              <dgm:constr type="l" for="ch" forName="Parent5" refType="w" fact="0.2658"/>
              <dgm:constr type="t" for="ch" forName="Parent5" refType="h" fact="0.8257"/>
              <dgm:constr type="w" for="ch" forName="Parent5" refType="w" fact="0.2975"/>
              <dgm:constr type="h" for="ch" forName="Parent5" refType="h" fact="0.0864"/>
              <dgm:constr type="l" for="ch" forName="Child1" refType="w" fact="0.6804"/>
              <dgm:constr type="t" for="ch" forName="Child1" refType="h" fact="0.0919"/>
              <dgm:constr type="w" for="ch" forName="Child1" refType="w" fact="0.3196"/>
              <dgm:constr type="h" for="ch" forName="Child1" refType="h" fact="0.1232"/>
              <dgm:constr type="l" for="ch" forName="Child2" refType="w" fact="0.5348"/>
              <dgm:constr type="t" for="ch" forName="Child2" refType="h" fact="0.2722"/>
              <dgm:constr type="w" for="ch" forName="Child2" refType="w" fact="0.3196"/>
              <dgm:constr type="h" for="ch" forName="Child2" refType="h" fact="0.1232"/>
              <dgm:constr type="l" for="ch" forName="Child3" refType="w" fact="0.6804"/>
              <dgm:constr type="t" for="ch" forName="Child3" refType="h" fact="0.4487"/>
              <dgm:constr type="w" for="ch" forName="Child3" refType="w" fact="0.3196"/>
              <dgm:constr type="h" for="ch" forName="Child3" refType="h" fact="0.1232"/>
              <dgm:constr type="l" for="ch" forName="Child4" refType="w" fact="0.5348"/>
              <dgm:constr type="t" for="ch" forName="Child4" refType="h" fact="0.6271"/>
              <dgm:constr type="w" for="ch" forName="Child4" refType="w" fact="0.3196"/>
              <dgm:constr type="h" for="ch" forName="Child4" refType="h" fact="0.1232"/>
              <dgm:constr type="l" for="ch" forName="Child5" refType="w" fact="0.6804"/>
              <dgm:constr type="t" for="ch" forName="Child5" refType="h" fact="0.8073"/>
              <dgm:constr type="w" for="ch" forName="Child5" refType="w" fact="0.3196"/>
              <dgm:constr type="h" for="ch" forName="Child5" refType="h" fact="0.1232"/>
            </dgm:constrLst>
          </dgm:if>
          <dgm:if name="Name9" axis="ch" ptType="node" func="cnt" op="equ" val="6">
            <dgm:alg type="composite">
              <dgm:param type="ar" val="0.493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l" for="ch" forName="Accent1" refType="w" fact="0.1481"/>
              <dgm:constr type="t" for="ch" forName="Accent1" refType="h" fact="0"/>
              <dgm:constr type="w" for="ch" forName="Accent1" refType="w" fact="0.5331"/>
              <dgm:constr type="h" for="ch" forName="Accent1" refType="h" fact="0.2629"/>
              <dgm:constr type="l" for="ch" forName="Accent2" refType="w" fact="0"/>
              <dgm:constr type="t" for="ch" forName="Accent2" refType="h" fact="0.1511"/>
              <dgm:constr type="w" for="ch" forName="Accent2" refType="w" fact="0.5331"/>
              <dgm:constr type="h" for="ch" forName="Accent2" refType="h" fact="0.2629"/>
              <dgm:constr type="l" for="ch" forName="Accent3" refType="w" fact="0.1481"/>
              <dgm:constr type="t" for="ch" forName="Accent3" refType="h" fact="0.3027"/>
              <dgm:constr type="w" for="ch" forName="Accent3" refType="w" fact="0.5331"/>
              <dgm:constr type="h" for="ch" forName="Accent3" refType="h" fact="0.2629"/>
              <dgm:constr type="l" for="ch" forName="Accent4" refType="w" fact="0"/>
              <dgm:constr type="t" for="ch" forName="Accent4" refType="h" fact="0.4541"/>
              <dgm:constr type="w" for="ch" forName="Accent4" refType="w" fact="0.5331"/>
              <dgm:constr type="h" for="ch" forName="Accent4" refType="h" fact="0.2629"/>
              <dgm:constr type="l" for="ch" forName="Parent1" refType="w" fact="0.2658"/>
              <dgm:constr type="t" for="ch" forName="Parent1" refType="h" fact="0.0952"/>
              <dgm:constr type="w" for="ch" forName="Parent1" refType="w" fact="0.2975"/>
              <dgm:constr type="h" for="ch" forName="Parent1" refType="h" fact="0.0733"/>
              <dgm:constr type="l" for="ch" forName="Parent2" refType="w" fact="0.1171"/>
              <dgm:constr type="t" for="ch" forName="Parent2" refType="h" fact="0.2466"/>
              <dgm:constr type="w" for="ch" forName="Parent2" refType="w" fact="0.2975"/>
              <dgm:constr type="h" for="ch" forName="Parent2" refType="h" fact="0.0733"/>
              <dgm:constr type="l" for="ch" forName="Parent3" refType="w" fact="0.2658"/>
              <dgm:constr type="t" for="ch" forName="Parent3" refType="h" fact="0.3979"/>
              <dgm:constr type="w" for="ch" forName="Parent3" refType="w" fact="0.2975"/>
              <dgm:constr type="h" for="ch" forName="Parent3" refType="h" fact="0.0733"/>
              <dgm:constr type="l" for="ch" forName="Parent4" refType="w" fact="0.1171"/>
              <dgm:constr type="t" for="ch" forName="Parent4" refType="h" fact="0.5493"/>
              <dgm:constr type="w" for="ch" forName="Parent4" refType="w" fact="0.2975"/>
              <dgm:constr type="h" for="ch" forName="Parent4" refType="h" fact="0.0733"/>
              <dgm:constr type="l" for="ch" forName="Child1" refType="w" fact="0.6804"/>
              <dgm:constr type="t" for="ch" forName="Child1" refType="h" fact="0.078"/>
              <dgm:constr type="w" for="ch" forName="Child1" refType="w" fact="0.3196"/>
              <dgm:constr type="h" for="ch" forName="Child1" refType="h" fact="0.1046"/>
              <dgm:constr type="l" for="ch" forName="Child2" refType="w" fact="0.5348"/>
              <dgm:constr type="t" for="ch" forName="Child2" refType="h" fact="0.231"/>
              <dgm:constr type="w" for="ch" forName="Child2" refType="w" fact="0.3196"/>
              <dgm:constr type="h" for="ch" forName="Child2" refType="h" fact="0.1046"/>
              <dgm:constr type="l" for="ch" forName="Child3" refType="w" fact="0.6804"/>
              <dgm:constr type="t" for="ch" forName="Child3" refType="h" fact="0.3808"/>
              <dgm:constr type="w" for="ch" forName="Child3" refType="w" fact="0.3196"/>
              <dgm:constr type="h" for="ch" forName="Child3" refType="h" fact="0.1046"/>
              <dgm:constr type="l" for="ch" forName="Child4" refType="w" fact="0.5348"/>
              <dgm:constr type="t" for="ch" forName="Child4" refType="h" fact="0.5322"/>
              <dgm:constr type="w" for="ch" forName="Child4" refType="w" fact="0.3196"/>
              <dgm:constr type="h" for="ch" forName="Child4" refType="h" fact="0.1046"/>
              <dgm:constr type="l" for="ch" forName="Accent5" refType="w" fact="0.1481"/>
              <dgm:constr type="t" for="ch" forName="Accent5" refType="h" fact="0.6053"/>
              <dgm:constr type="w" for="ch" forName="Accent5" refType="w" fact="0.5331"/>
              <dgm:constr type="h" for="ch" forName="Accent5" refType="h" fact="0.2629"/>
              <dgm:constr type="l" for="ch" forName="Accent6" refType="w" fact="0.038"/>
              <dgm:constr type="t" for="ch" forName="Accent6" refType="h" fact="0.774"/>
              <dgm:constr type="w" for="ch" forName="Accent6" refType="w" fact="0.458"/>
              <dgm:constr type="h" for="ch" forName="Accent6" refType="h" fact="0.226"/>
              <dgm:constr type="l" for="ch" forName="Parent5" refType="w" fact="0.2658"/>
              <dgm:constr type="t" for="ch" forName="Parent5" refType="h" fact="0.7005"/>
              <dgm:constr type="w" for="ch" forName="Parent5" refType="w" fact="0.2975"/>
              <dgm:constr type="h" for="ch" forName="Parent5" refType="h" fact="0.0733"/>
              <dgm:constr type="l" for="ch" forName="Parent6" refType="w" fact="0.1171"/>
              <dgm:constr type="t" for="ch" forName="Parent6" refType="h" fact="0.8519"/>
              <dgm:constr type="w" for="ch" forName="Parent6" refType="w" fact="0.2975"/>
              <dgm:constr type="h" for="ch" forName="Parent6" refType="h" fact="0.0733"/>
              <dgm:constr type="l" for="ch" forName="Child5" refType="w" fact="0.6804"/>
              <dgm:constr type="t" for="ch" forName="Child5" refType="h" fact="0.6833"/>
              <dgm:constr type="w" for="ch" forName="Child5" refType="w" fact="0.3196"/>
              <dgm:constr type="h" for="ch" forName="Child5" refType="h" fact="0.1046"/>
              <dgm:constr type="l" for="ch" forName="Child6" refType="w" fact="0.5348"/>
              <dgm:constr type="t" for="ch" forName="Child6" refType="h" fact="0.8347"/>
              <dgm:constr type="w" for="ch" forName="Child6" refType="w" fact="0.3196"/>
              <dgm:constr type="h" for="ch" forName="Child6" refType="h" fact="0.1046"/>
            </dgm:constrLst>
          </dgm:if>
          <dgm:else name="Name10">
            <dgm:alg type="composite">
              <dgm:param type="ar" val="0.4284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l" for="ch" forName="Accent1" refType="w" fact="0.1481"/>
              <dgm:constr type="t" for="ch" forName="Accent1" refType="h" fact="0"/>
              <dgm:constr type="w" for="ch" forName="Accent1" refType="w" fact="0.5331"/>
              <dgm:constr type="h" for="ch" forName="Accent1" refType="h" fact="0.2284"/>
              <dgm:constr type="l" for="ch" forName="Accent2" refType="w" fact="0"/>
              <dgm:constr type="t" for="ch" forName="Accent2" refType="h" fact="0.1312"/>
              <dgm:constr type="w" for="ch" forName="Accent2" refType="w" fact="0.5331"/>
              <dgm:constr type="h" for="ch" forName="Accent2" refType="h" fact="0.2284"/>
              <dgm:constr type="l" for="ch" forName="Accent3" refType="w" fact="0.1481"/>
              <dgm:constr type="t" for="ch" forName="Accent3" refType="h" fact="0.263"/>
              <dgm:constr type="w" for="ch" forName="Accent3" refType="w" fact="0.5331"/>
              <dgm:constr type="h" for="ch" forName="Accent3" refType="h" fact="0.2284"/>
              <dgm:constr type="l" for="ch" forName="Accent4" refType="w" fact="0"/>
              <dgm:constr type="t" for="ch" forName="Accent4" refType="h" fact="0.3945"/>
              <dgm:constr type="w" for="ch" forName="Accent4" refType="w" fact="0.5331"/>
              <dgm:constr type="h" for="ch" forName="Accent4" refType="h" fact="0.2284"/>
              <dgm:constr type="l" for="ch" forName="Parent1" refType="w" fact="0.2658"/>
              <dgm:constr type="t" for="ch" forName="Parent1" refType="h" fact="0.0827"/>
              <dgm:constr type="w" for="ch" forName="Parent1" refType="w" fact="0.2975"/>
              <dgm:constr type="h" for="ch" forName="Parent1" refType="h" fact="0.0637"/>
              <dgm:constr type="l" for="ch" forName="Parent2" refType="w" fact="0.1171"/>
              <dgm:constr type="t" for="ch" forName="Parent2" refType="h" fact="0.2142"/>
              <dgm:constr type="w" for="ch" forName="Parent2" refType="w" fact="0.2975"/>
              <dgm:constr type="h" for="ch" forName="Parent2" refType="h" fact="0.0637"/>
              <dgm:constr type="l" for="ch" forName="Parent3" refType="w" fact="0.2658"/>
              <dgm:constr type="t" for="ch" forName="Parent3" refType="h" fact="0.3457"/>
              <dgm:constr type="w" for="ch" forName="Parent3" refType="w" fact="0.2975"/>
              <dgm:constr type="h" for="ch" forName="Parent3" refType="h" fact="0.0637"/>
              <dgm:constr type="l" for="ch" forName="Parent4" refType="w" fact="0.1171"/>
              <dgm:constr type="t" for="ch" forName="Parent4" refType="h" fact="0.4772"/>
              <dgm:constr type="w" for="ch" forName="Parent4" refType="w" fact="0.2975"/>
              <dgm:constr type="h" for="ch" forName="Parent4" refType="h" fact="0.0637"/>
              <dgm:constr type="l" for="ch" forName="Child1" refType="w" fact="0.6804"/>
              <dgm:constr type="t" for="ch" forName="Child1" refType="h" fact="0.0678"/>
              <dgm:constr type="w" for="ch" forName="Child1" refType="w" fact="0.3196"/>
              <dgm:constr type="h" for="ch" forName="Child1" refType="h" fact="0.0908"/>
              <dgm:constr type="l" for="ch" forName="Child2" refType="w" fact="0.5348"/>
              <dgm:constr type="t" for="ch" forName="Child2" refType="h" fact="0.2006"/>
              <dgm:constr type="w" for="ch" forName="Child2" refType="w" fact="0.3196"/>
              <dgm:constr type="h" for="ch" forName="Child2" refType="h" fact="0.0908"/>
              <dgm:constr type="l" for="ch" forName="Child3" refType="w" fact="0.6804"/>
              <dgm:constr type="t" for="ch" forName="Child3" refType="h" fact="0.3308"/>
              <dgm:constr type="w" for="ch" forName="Child3" refType="w" fact="0.3196"/>
              <dgm:constr type="h" for="ch" forName="Child3" refType="h" fact="0.0908"/>
              <dgm:constr type="l" for="ch" forName="Child4" refType="w" fact="0.5348"/>
              <dgm:constr type="t" for="ch" forName="Child4" refType="h" fact="0.4623"/>
              <dgm:constr type="w" for="ch" forName="Child4" refType="w" fact="0.3196"/>
              <dgm:constr type="h" for="ch" forName="Child4" refType="h" fact="0.0908"/>
              <dgm:constr type="l" for="ch" forName="Accent5" refType="w" fact="0.1481"/>
              <dgm:constr type="t" for="ch" forName="Accent5" refType="h" fact="0.5258"/>
              <dgm:constr type="w" for="ch" forName="Accent5" refType="w" fact="0.5331"/>
              <dgm:constr type="h" for="ch" forName="Accent5" refType="h" fact="0.2284"/>
              <dgm:constr type="l" for="ch" forName="Accent6" refType="w" fact="0"/>
              <dgm:constr type="t" for="ch" forName="Accent6" refType="h" fact="0.6573"/>
              <dgm:constr type="w" for="ch" forName="Accent6" refType="w" fact="0.5331"/>
              <dgm:constr type="h" for="ch" forName="Accent6" refType="h" fact="0.2284"/>
              <dgm:constr type="l" for="ch" forName="Accent7" refType="w" fact="0.186"/>
              <dgm:constr type="t" for="ch" forName="Accent7" refType="h" fact="0.8037"/>
              <dgm:constr type="w" for="ch" forName="Accent7" refType="w" fact="0.458"/>
              <dgm:constr type="h" for="ch" forName="Accent7" refType="h" fact="0.1963"/>
              <dgm:constr type="l" for="ch" forName="Parent5" refType="w" fact="0.2658"/>
              <dgm:constr type="t" for="ch" forName="Parent5" refType="h" fact="0.6085"/>
              <dgm:constr type="w" for="ch" forName="Parent5" refType="w" fact="0.2975"/>
              <dgm:constr type="h" for="ch" forName="Parent5" refType="h" fact="0.0637"/>
              <dgm:constr type="l" for="ch" forName="Parent6" refType="w" fact="0.1171"/>
              <dgm:constr type="t" for="ch" forName="Parent6" refType="h" fact="0.74"/>
              <dgm:constr type="w" for="ch" forName="Parent6" refType="w" fact="0.2975"/>
              <dgm:constr type="h" for="ch" forName="Parent6" refType="h" fact="0.0637"/>
              <dgm:constr type="l" for="ch" forName="Parent7" refType="w" fact="0.2658"/>
              <dgm:constr type="t" for="ch" forName="Parent7" refType="h" fact="0.8715"/>
              <dgm:constr type="w" for="ch" forName="Parent7" refType="w" fact="0.2975"/>
              <dgm:constr type="h" for="ch" forName="Parent7" refType="h" fact="0.0637"/>
              <dgm:constr type="l" for="ch" forName="Child5" refType="w" fact="0.6804"/>
              <dgm:constr type="t" for="ch" forName="Child5" refType="h" fact="0.5936"/>
              <dgm:constr type="w" for="ch" forName="Child5" refType="w" fact="0.3196"/>
              <dgm:constr type="h" for="ch" forName="Child5" refType="h" fact="0.0908"/>
              <dgm:constr type="l" for="ch" forName="Child6" refType="w" fact="0.5348"/>
              <dgm:constr type="t" for="ch" forName="Child6" refType="h" fact="0.7251"/>
              <dgm:constr type="w" for="ch" forName="Child6" refType="w" fact="0.3196"/>
              <dgm:constr type="h" for="ch" forName="Child6" refType="h" fact="0.0908"/>
              <dgm:constr type="l" for="ch" forName="Child7" refType="w" fact="0.6804"/>
              <dgm:constr type="t" for="ch" forName="Child7" refType="h" fact="0.8579"/>
              <dgm:constr type="w" for="ch" forName="Child7" refType="w" fact="0.3196"/>
              <dgm:constr type="h" for="ch" forName="Child7" refType="h" fact="0.0908"/>
            </dgm:constrLst>
          </dgm:else>
        </dgm:choose>
      </dgm:if>
      <dgm:else name="Name11">
        <dgm:choose name="Name12">
          <dgm:if name="Name13" axis="ch" ptType="node" func="cnt" op="equ" val="1">
            <dgm:alg type="composite">
              <dgm:param type="ar" val="1.599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l" for="ch" forName="Child1" refType="w" fact="0.625"/>
              <dgm:constr type="t" for="ch" forName="Child1" refType="h" fact="0.2981"/>
              <dgm:constr type="w" for="ch" forName="Child1" refType="w" fact="0.375"/>
              <dgm:constr type="h" for="ch" forName="Child1" refType="h" fact="0.4001"/>
              <dgm:constr type="l" for="ch" forName="Accent1" refType="w" fact="0"/>
              <dgm:constr type="t" for="ch" forName="Accent1" refType="h" fact="0"/>
              <dgm:constr type="w" for="ch" forName="Accent1" refType="w" fact="0.6249"/>
              <dgm:constr type="h" for="ch" forName="Accent1" refType="h"/>
              <dgm:constr type="l" for="ch" forName="Parent1" refType="w" fact="0.138"/>
              <dgm:constr type="t" for="ch" forName="Parent1" refType="h" fact="0.362"/>
              <dgm:constr type="w" for="ch" forName="Parent1" refType="w" fact="0.3487"/>
              <dgm:constr type="h" for="ch" forName="Parent1" refType="h" fact="0.2789"/>
            </dgm:constrLst>
          </dgm:if>
          <dgm:if name="Name14" axis="ch" ptType="node" func="cnt" op="equ" val="2">
            <dgm:alg type="composite">
              <dgm:param type="ar" val="1.2026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Parent2" refType="primFontSz" refFor="des" refForName="Parent1" op="equ"/>
              <dgm:constr type="primFontSz" for="des" forName="Child2" refType="primFontSz" refFor="des" refForName="Child1" op="equ"/>
              <dgm:constr type="l" for="ch" forName="Accent1" refType="w" fact="-0.0407"/>
              <dgm:constr type="t" for="ch" forName="Accent1" refType="h" fact="0"/>
              <dgm:constr type="w" for="ch" forName="Accent1" refType="w" fact="0.5542"/>
              <dgm:constr type="h" for="ch" forName="Accent1" refType="h" fact="0.6665"/>
              <dgm:constr type="l" for="ch" forName="Accent2" refType="w" fact="0.1533"/>
              <dgm:constr type="t" for="ch" forName="Accent2" refType="h" fact="0.4272"/>
              <dgm:constr type="w" for="ch" forName="Accent2" refType="w" fact="0.4761"/>
              <dgm:constr type="h" for="ch" forName="Accent2" refType="h" fact="0.5728"/>
              <dgm:constr type="l" for="ch" forName="Parent1" refType="w" fact="0.0822"/>
              <dgm:constr type="t" for="ch" forName="Parent1" refType="h" fact="0.2413"/>
              <dgm:constr type="w" for="ch" forName="Parent1" refType="w" fact="0.3092"/>
              <dgm:constr type="h" for="ch" forName="Parent1" refType="h" fact="0.1859"/>
              <dgm:constr type="l" for="ch" forName="Parent2" refType="w" fact="0.2368"/>
              <dgm:constr type="t" for="ch" forName="Parent2" refType="h" fact="0.625"/>
              <dgm:constr type="w" for="ch" forName="Parent2" refType="w" fact="0.3092"/>
              <dgm:constr type="h" for="ch" forName="Parent2" refType="h" fact="0.1859"/>
              <dgm:constr type="l" for="ch" forName="Child1" refType="w" fact="0.5164"/>
              <dgm:constr type="t" for="ch" forName="Child1" refType="h" fact="0.1978"/>
              <dgm:constr type="w" for="ch" forName="Child1" refType="w" fact="0.3322"/>
              <dgm:constr type="h" for="ch" forName="Child1" refType="h" fact="0.265"/>
              <dgm:constr type="l" for="ch" forName="Child2" refType="w" fact="0.6678"/>
              <dgm:constr type="t" for="ch" forName="Child2" refType="h" fact="0.5855"/>
              <dgm:constr type="w" for="ch" forName="Child2" refType="w" fact="0.3322"/>
              <dgm:constr type="h" for="ch" forName="Child2" refType="h" fact="0.265"/>
            </dgm:constrLst>
          </dgm:if>
          <dgm:if name="Name15" axis="ch" ptType="node" func="cnt" op="equ" val="3">
            <dgm:alg type="composite">
              <dgm:param type="ar" val="0.9039"/>
            </dgm:alg>
            <dgm:shape xmlns:r="http://schemas.openxmlformats.org/officeDocument/2006/relationships" r:blip="">
              <dgm:adjLst/>
            </dgm:shape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25"/>
              <dgm:constr type="h" for="ch" forName="Accent1" refType="h" fact="0.4814"/>
              <dgm:constr type="l" for="ch" forName="Accent2" refType="w" fact="0.1479"/>
              <dgm:constr type="t" for="ch" forName="Accent2" refType="h" fact="0.2766"/>
              <dgm:constr type="w" for="ch" forName="Accent2" refType="w" fact="0.5325"/>
              <dgm:constr type="h" for="ch" forName="Accent2" refType="h" fact="0.4814"/>
              <dgm:constr type="l" for="ch" forName="Accent3" refType="w" fact="0.0378"/>
              <dgm:constr type="t" for="ch" forName="Accent3" refType="h" fact="0.5863"/>
              <dgm:constr type="w" for="ch" forName="Accent3" refType="w" fact="0.4575"/>
              <dgm:constr type="h" for="ch" forName="Accent3" refType="h" fact="0.4137"/>
              <dgm:constr type="l" for="ch" forName="Parent1" refType="w" fact="0.1183"/>
              <dgm:constr type="t" for="ch" forName="Parent1" refType="h" fact="0.1738"/>
              <dgm:constr type="w" for="ch" forName="Parent1" refType="w" fact="0.2959"/>
              <dgm:constr type="h" for="ch" forName="Parent1" refType="h" fact="0.1337"/>
              <dgm:constr type="l" for="ch" forName="Parent2" refType="w" fact="0.2656"/>
              <dgm:constr type="t" for="ch" forName="Parent2" refType="h" fact="0.452"/>
              <dgm:constr type="w" for="ch" forName="Parent2" refType="w" fact="0.2959"/>
              <dgm:constr type="h" for="ch" forName="Parent2" refType="h" fact="0.1337"/>
              <dgm:constr type="l" for="ch" forName="Parent3" refType="w" fact="0.1183"/>
              <dgm:constr type="t" for="ch" forName="Parent3" refType="h" fact="0.7306"/>
              <dgm:constr type="w" for="ch" forName="Parent3" refType="w" fact="0.2959"/>
              <dgm:constr type="h" for="ch" forName="Parent3" refType="h" fact="0.1337"/>
              <dgm:constr type="l" for="ch" forName="Child1" refType="w" fact="0.5325"/>
              <dgm:constr type="t" for="ch" forName="Child1" refType="h" fact="0.1435"/>
              <dgm:constr type="w" for="ch" forName="Child1" refType="w" fact="0.3195"/>
              <dgm:constr type="h" for="ch" forName="Child1" refType="h" fact="0.1926"/>
              <dgm:constr type="l" for="ch" forName="Child2" refType="w" fact="0.6805"/>
              <dgm:constr type="t" for="ch" forName="Child2" refType="h" fact="0.4217"/>
              <dgm:constr type="w" for="ch" forName="Child2" refType="w" fact="0.3195"/>
              <dgm:constr type="h" for="ch" forName="Child2" refType="h" fact="0.1926"/>
              <dgm:constr type="l" for="ch" forName="Child3" refType="w" fact="0.5325"/>
              <dgm:constr type="t" for="ch" forName="Child3" refType="h" fact="0.6998"/>
              <dgm:constr type="w" for="ch" forName="Child3" refType="w" fact="0.3195"/>
              <dgm:constr type="h" for="ch" forName="Child3" refType="h" fact="0.1926"/>
            </dgm:constrLst>
          </dgm:if>
          <dgm:if name="Name16" axis="ch" ptType="node" func="cnt" op="equ" val="4">
            <dgm:alg type="composite">
              <dgm:param type="ar" val="0.707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31"/>
              <dgm:constr type="h" for="ch" forName="Accent1" refType="h" fact="0.3771"/>
              <dgm:constr type="l" for="ch" forName="Accent2" refType="w" fact="0.1481"/>
              <dgm:constr type="t" for="ch" forName="Accent2" refType="h" fact="0.2167"/>
              <dgm:constr type="w" for="ch" forName="Accent2" refType="w" fact="0.5331"/>
              <dgm:constr type="h" for="ch" forName="Accent2" refType="h" fact="0.3771"/>
              <dgm:constr type="l" for="ch" forName="Accent3" refType="w" fact="0"/>
              <dgm:constr type="t" for="ch" forName="Accent3" refType="h" fact="0.4342"/>
              <dgm:constr type="w" for="ch" forName="Accent3" refType="w" fact="0.5331"/>
              <dgm:constr type="h" for="ch" forName="Accent3" refType="h" fact="0.3771"/>
              <dgm:constr type="l" for="ch" forName="Accent4" refType="w" fact="0.186"/>
              <dgm:constr type="t" for="ch" forName="Accent4" refType="h" fact="0.6759"/>
              <dgm:constr type="w" for="ch" forName="Accent4" refType="w" fact="0.458"/>
              <dgm:constr type="h" for="ch" forName="Accent4" refType="h" fact="0.3241"/>
              <dgm:constr type="l" for="ch" forName="Parent1" refType="w" fact="0.1171"/>
              <dgm:constr type="t" for="ch" forName="Parent1" refType="h" fact="0.1365"/>
              <dgm:constr type="w" for="ch" forName="Parent1" refType="w" fact="0.2975"/>
              <dgm:constr type="h" for="ch" forName="Parent1" refType="h" fact="0.1052"/>
              <dgm:constr type="l" for="ch" forName="Parent2" refType="w" fact="0.2658"/>
              <dgm:constr type="t" for="ch" forName="Parent2" refType="h" fact="0.3536"/>
              <dgm:constr type="w" for="ch" forName="Parent2" refType="w" fact="0.2975"/>
              <dgm:constr type="h" for="ch" forName="Parent2" refType="h" fact="0.1052"/>
              <dgm:constr type="l" for="ch" forName="Parent3" refType="w" fact="0.1171"/>
              <dgm:constr type="t" for="ch" forName="Parent3" refType="h" fact="0.5707"/>
              <dgm:constr type="w" for="ch" forName="Parent3" refType="w" fact="0.2975"/>
              <dgm:constr type="h" for="ch" forName="Parent3" refType="h" fact="0.1052"/>
              <dgm:constr type="l" for="ch" forName="Parent4" refType="w" fact="0.2658"/>
              <dgm:constr type="t" for="ch" forName="Parent4" refType="h" fact="0.7878"/>
              <dgm:constr type="w" for="ch" forName="Parent4" refType="w" fact="0.2975"/>
              <dgm:constr type="h" for="ch" forName="Parent4" refType="h" fact="0.1052"/>
              <dgm:constr type="l" for="ch" forName="Child1" refType="w" fact="0.5348"/>
              <dgm:constr type="t" for="ch" forName="Child1" refType="h" fact="0.1119"/>
              <dgm:constr type="w" for="ch" forName="Child1" refType="w" fact="0.3196"/>
              <dgm:constr type="h" for="ch" forName="Child1" refType="h" fact="0.15"/>
              <dgm:constr type="l" for="ch" forName="Child2" refType="w" fact="0.6804"/>
              <dgm:constr type="t" for="ch" forName="Child2" refType="h" fact="0.3312"/>
              <dgm:constr type="w" for="ch" forName="Child2" refType="w" fact="0.3196"/>
              <dgm:constr type="h" for="ch" forName="Child2" refType="h" fact="0.15"/>
              <dgm:constr type="l" for="ch" forName="Child3" refType="w" fact="0.5348"/>
              <dgm:constr type="t" for="ch" forName="Child3" refType="h" fact="0.5461"/>
              <dgm:constr type="w" for="ch" forName="Child3" refType="w" fact="0.3196"/>
              <dgm:constr type="h" for="ch" forName="Child3" refType="h" fact="0.15"/>
              <dgm:constr type="l" for="ch" forName="Child4" refType="w" fact="0.6804"/>
              <dgm:constr type="t" for="ch" forName="Child4" refType="h" fact="0.7632"/>
              <dgm:constr type="w" for="ch" forName="Child4" refType="w" fact="0.3196"/>
              <dgm:constr type="h" for="ch" forName="Child4" refType="h" fact="0.15"/>
            </dgm:constrLst>
          </dgm:if>
          <dgm:if name="Name17" axis="ch" ptType="node" func="cnt" op="equ" val="5">
            <dgm:alg type="composite">
              <dgm:param type="ar" val="0.581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31"/>
              <dgm:constr type="h" for="ch" forName="Accent1" refType="h" fact="0.3098"/>
              <dgm:constr type="l" for="ch" forName="Accent2" refType="w" fact="0.1481"/>
              <dgm:constr type="t" for="ch" forName="Accent2" refType="h" fact="0.178"/>
              <dgm:constr type="w" for="ch" forName="Accent2" refType="w" fact="0.5331"/>
              <dgm:constr type="h" for="ch" forName="Accent2" refType="h" fact="0.3098"/>
              <dgm:constr type="l" for="ch" forName="Accent3" refType="w" fact="0"/>
              <dgm:constr type="t" for="ch" forName="Accent3" refType="h" fact="0.3568"/>
              <dgm:constr type="w" for="ch" forName="Accent3" refType="w" fact="0.5331"/>
              <dgm:constr type="h" for="ch" forName="Accent3" refType="h" fact="0.3098"/>
              <dgm:constr type="l" for="ch" forName="Accent4" refType="w" fact="0.1481"/>
              <dgm:constr type="t" for="ch" forName="Accent4" refType="h" fact="0.5351"/>
              <dgm:constr type="w" for="ch" forName="Accent4" refType="w" fact="0.5331"/>
              <dgm:constr type="h" for="ch" forName="Accent4" refType="h" fact="0.3098"/>
              <dgm:constr type="l" for="ch" forName="Accent5" refType="w" fact="0.0378"/>
              <dgm:constr type="t" for="ch" forName="Accent5" refType="h" fact="0.7337"/>
              <dgm:constr type="w" for="ch" forName="Accent5" refType="w" fact="0.458"/>
              <dgm:constr type="h" for="ch" forName="Accent5" refType="h" fact="0.2663"/>
              <dgm:constr type="l" for="ch" forName="Parent1" refType="w" fact="0.1171"/>
              <dgm:constr type="t" for="ch" forName="Parent1" refType="h" fact="0.1122"/>
              <dgm:constr type="w" for="ch" forName="Parent1" refType="w" fact="0.2975"/>
              <dgm:constr type="h" for="ch" forName="Parent1" refType="h" fact="0.0864"/>
              <dgm:constr type="l" for="ch" forName="Parent2" refType="w" fact="0.2658"/>
              <dgm:constr type="t" for="ch" forName="Parent2" refType="h" fact="0.2906"/>
              <dgm:constr type="w" for="ch" forName="Parent2" refType="w" fact="0.2975"/>
              <dgm:constr type="h" for="ch" forName="Parent2" refType="h" fact="0.0864"/>
              <dgm:constr type="l" for="ch" forName="Parent3" refType="w" fact="0.1171"/>
              <dgm:constr type="t" for="ch" forName="Parent3" refType="h" fact="0.4689"/>
              <dgm:constr type="w" for="ch" forName="Parent3" refType="w" fact="0.2975"/>
              <dgm:constr type="h" for="ch" forName="Parent3" refType="h" fact="0.0864"/>
              <dgm:constr type="l" for="ch" forName="Parent4" refType="w" fact="0.2658"/>
              <dgm:constr type="t" for="ch" forName="Parent4" refType="h" fact="0.6473"/>
              <dgm:constr type="w" for="ch" forName="Parent4" refType="w" fact="0.2975"/>
              <dgm:constr type="h" for="ch" forName="Parent4" refType="h" fact="0.0864"/>
              <dgm:constr type="l" for="ch" forName="Parent5" refType="w" fact="0.1171"/>
              <dgm:constr type="t" for="ch" forName="Parent5" refType="h" fact="0.8257"/>
              <dgm:constr type="w" for="ch" forName="Parent5" refType="w" fact="0.2975"/>
              <dgm:constr type="h" for="ch" forName="Parent5" refType="h" fact="0.0864"/>
              <dgm:constr type="l" for="ch" forName="Child1" refType="w" fact="0.5348"/>
              <dgm:constr type="t" for="ch" forName="Child1" refType="h" fact="0.0919"/>
              <dgm:constr type="w" for="ch" forName="Child1" refType="w" fact="0.3196"/>
              <dgm:constr type="h" for="ch" forName="Child1" refType="h" fact="0.1232"/>
              <dgm:constr type="l" for="ch" forName="Child2" refType="w" fact="0.6804"/>
              <dgm:constr type="t" for="ch" forName="Child2" refType="h" fact="0.2722"/>
              <dgm:constr type="w" for="ch" forName="Child2" refType="w" fact="0.3196"/>
              <dgm:constr type="h" for="ch" forName="Child2" refType="h" fact="0.1232"/>
              <dgm:constr type="l" for="ch" forName="Child3" refType="w" fact="0.5348"/>
              <dgm:constr type="t" for="ch" forName="Child3" refType="h" fact="0.4487"/>
              <dgm:constr type="w" for="ch" forName="Child3" refType="w" fact="0.3196"/>
              <dgm:constr type="h" for="ch" forName="Child3" refType="h" fact="0.1232"/>
              <dgm:constr type="l" for="ch" forName="Child4" refType="w" fact="0.6804"/>
              <dgm:constr type="t" for="ch" forName="Child4" refType="h" fact="0.6271"/>
              <dgm:constr type="w" for="ch" forName="Child4" refType="w" fact="0.3196"/>
              <dgm:constr type="h" for="ch" forName="Child4" refType="h" fact="0.1232"/>
              <dgm:constr type="l" for="ch" forName="Child5" refType="w" fact="0.5348"/>
              <dgm:constr type="t" for="ch" forName="Child5" refType="h" fact="0.8073"/>
              <dgm:constr type="w" for="ch" forName="Child5" refType="w" fact="0.3196"/>
              <dgm:constr type="h" for="ch" forName="Child5" refType="h" fact="0.1232"/>
            </dgm:constrLst>
          </dgm:if>
          <dgm:if name="Name18" axis="ch" ptType="node" func="cnt" op="equ" val="6">
            <dgm:alg type="composite">
              <dgm:param type="ar" val="0.493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31"/>
              <dgm:constr type="h" for="ch" forName="Accent1" refType="h" fact="0.2629"/>
              <dgm:constr type="l" for="ch" forName="Accent2" refType="w" fact="0.1481"/>
              <dgm:constr type="t" for="ch" forName="Accent2" refType="h" fact="0.1511"/>
              <dgm:constr type="w" for="ch" forName="Accent2" refType="w" fact="0.5331"/>
              <dgm:constr type="h" for="ch" forName="Accent2" refType="h" fact="0.2629"/>
              <dgm:constr type="l" for="ch" forName="Accent3" refType="w" fact="0"/>
              <dgm:constr type="t" for="ch" forName="Accent3" refType="h" fact="0.3027"/>
              <dgm:constr type="w" for="ch" forName="Accent3" refType="w" fact="0.5331"/>
              <dgm:constr type="h" for="ch" forName="Accent3" refType="h" fact="0.2629"/>
              <dgm:constr type="l" for="ch" forName="Accent4" refType="w" fact="0.1481"/>
              <dgm:constr type="t" for="ch" forName="Accent4" refType="h" fact="0.4541"/>
              <dgm:constr type="w" for="ch" forName="Accent4" refType="w" fact="0.5331"/>
              <dgm:constr type="h" for="ch" forName="Accent4" refType="h" fact="0.2629"/>
              <dgm:constr type="l" for="ch" forName="Accent5" refType="w" fact="0"/>
              <dgm:constr type="t" for="ch" forName="Accent5" refType="h" fact="0.6053"/>
              <dgm:constr type="w" for="ch" forName="Accent5" refType="w" fact="0.5331"/>
              <dgm:constr type="h" for="ch" forName="Accent5" refType="h" fact="0.2629"/>
              <dgm:constr type="l" for="ch" forName="Accent6" refType="w" fact="0.186"/>
              <dgm:constr type="t" for="ch" forName="Accent6" refType="h" fact="0.774"/>
              <dgm:constr type="w" for="ch" forName="Accent6" refType="w" fact="0.458"/>
              <dgm:constr type="h" for="ch" forName="Accent6" refType="h" fact="0.226"/>
              <dgm:constr type="l" for="ch" forName="Parent1" refType="w" fact="0.1171"/>
              <dgm:constr type="t" for="ch" forName="Parent1" refType="h" fact="0.0952"/>
              <dgm:constr type="w" for="ch" forName="Parent1" refType="w" fact="0.2975"/>
              <dgm:constr type="h" for="ch" forName="Parent1" refType="h" fact="0.0733"/>
              <dgm:constr type="l" for="ch" forName="Parent2" refType="w" fact="0.2658"/>
              <dgm:constr type="t" for="ch" forName="Parent2" refType="h" fact="0.2466"/>
              <dgm:constr type="w" for="ch" forName="Parent2" refType="w" fact="0.2975"/>
              <dgm:constr type="h" for="ch" forName="Parent2" refType="h" fact="0.0733"/>
              <dgm:constr type="l" for="ch" forName="Parent3" refType="w" fact="0.1171"/>
              <dgm:constr type="t" for="ch" forName="Parent3" refType="h" fact="0.3979"/>
              <dgm:constr type="w" for="ch" forName="Parent3" refType="w" fact="0.2975"/>
              <dgm:constr type="h" for="ch" forName="Parent3" refType="h" fact="0.0733"/>
              <dgm:constr type="l" for="ch" forName="Parent4" refType="w" fact="0.2658"/>
              <dgm:constr type="t" for="ch" forName="Parent4" refType="h" fact="0.5493"/>
              <dgm:constr type="w" for="ch" forName="Parent4" refType="w" fact="0.2975"/>
              <dgm:constr type="h" for="ch" forName="Parent4" refType="h" fact="0.0733"/>
              <dgm:constr type="l" for="ch" forName="Parent5" refType="w" fact="0.1171"/>
              <dgm:constr type="t" for="ch" forName="Parent5" refType="h" fact="0.7005"/>
              <dgm:constr type="w" for="ch" forName="Parent5" refType="w" fact="0.2975"/>
              <dgm:constr type="h" for="ch" forName="Parent5" refType="h" fact="0.0733"/>
              <dgm:constr type="l" for="ch" forName="Parent6" refType="w" fact="0.2658"/>
              <dgm:constr type="t" for="ch" forName="Parent6" refType="h" fact="0.8519"/>
              <dgm:constr type="w" for="ch" forName="Parent6" refType="w" fact="0.2975"/>
              <dgm:constr type="h" for="ch" forName="Parent6" refType="h" fact="0.0733"/>
              <dgm:constr type="l" for="ch" forName="Child1" refType="w" fact="0.5348"/>
              <dgm:constr type="t" for="ch" forName="Child1" refType="h" fact="0.078"/>
              <dgm:constr type="w" for="ch" forName="Child1" refType="w" fact="0.3196"/>
              <dgm:constr type="h" for="ch" forName="Child1" refType="h" fact="0.1046"/>
              <dgm:constr type="l" for="ch" forName="Child2" refType="w" fact="0.6804"/>
              <dgm:constr type="t" for="ch" forName="Child2" refType="h" fact="0.231"/>
              <dgm:constr type="w" for="ch" forName="Child2" refType="w" fact="0.3196"/>
              <dgm:constr type="h" for="ch" forName="Child2" refType="h" fact="0.1046"/>
              <dgm:constr type="l" for="ch" forName="Child3" refType="w" fact="0.5348"/>
              <dgm:constr type="t" for="ch" forName="Child3" refType="h" fact="0.3808"/>
              <dgm:constr type="w" for="ch" forName="Child3" refType="w" fact="0.3196"/>
              <dgm:constr type="h" for="ch" forName="Child3" refType="h" fact="0.1046"/>
              <dgm:constr type="l" for="ch" forName="Child4" refType="w" fact="0.6804"/>
              <dgm:constr type="t" for="ch" forName="Child4" refType="h" fact="0.5322"/>
              <dgm:constr type="w" for="ch" forName="Child4" refType="w" fact="0.3196"/>
              <dgm:constr type="h" for="ch" forName="Child4" refType="h" fact="0.1046"/>
              <dgm:constr type="l" for="ch" forName="Child5" refType="w" fact="0.5348"/>
              <dgm:constr type="t" for="ch" forName="Child5" refType="h" fact="0.6833"/>
              <dgm:constr type="w" for="ch" forName="Child5" refType="w" fact="0.3196"/>
              <dgm:constr type="h" for="ch" forName="Child5" refType="h" fact="0.1046"/>
              <dgm:constr type="l" for="ch" forName="Child6" refType="w" fact="0.6804"/>
              <dgm:constr type="t" for="ch" forName="Child6" refType="h" fact="0.8347"/>
              <dgm:constr type="w" for="ch" forName="Child6" refType="w" fact="0.3196"/>
              <dgm:constr type="h" for="ch" forName="Child6" refType="h" fact="0.1046"/>
            </dgm:constrLst>
          </dgm:if>
          <dgm:else name="Name19">
            <dgm:alg type="composite">
              <dgm:param type="ar" val="0.4284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31"/>
              <dgm:constr type="h" for="ch" forName="Accent1" refType="h" fact="0.2284"/>
              <dgm:constr type="l" for="ch" forName="Accent2" refType="w" fact="0.1481"/>
              <dgm:constr type="t" for="ch" forName="Accent2" refType="h" fact="0.1312"/>
              <dgm:constr type="w" for="ch" forName="Accent2" refType="w" fact="0.5331"/>
              <dgm:constr type="h" for="ch" forName="Accent2" refType="h" fact="0.2284"/>
              <dgm:constr type="l" for="ch" forName="Accent3" refType="w" fact="0"/>
              <dgm:constr type="t" for="ch" forName="Accent3" refType="h" fact="0.263"/>
              <dgm:constr type="w" for="ch" forName="Accent3" refType="w" fact="0.5331"/>
              <dgm:constr type="h" for="ch" forName="Accent3" refType="h" fact="0.2284"/>
              <dgm:constr type="l" for="ch" forName="Accent4" refType="w" fact="0.1481"/>
              <dgm:constr type="t" for="ch" forName="Accent4" refType="h" fact="0.3945"/>
              <dgm:constr type="w" for="ch" forName="Accent4" refType="w" fact="0.5331"/>
              <dgm:constr type="h" for="ch" forName="Accent4" refType="h" fact="0.2284"/>
              <dgm:constr type="l" for="ch" forName="Accent5" refType="w" fact="0"/>
              <dgm:constr type="t" for="ch" forName="Accent5" refType="h" fact="0.5258"/>
              <dgm:constr type="w" for="ch" forName="Accent5" refType="w" fact="0.5331"/>
              <dgm:constr type="h" for="ch" forName="Accent5" refType="h" fact="0.2284"/>
              <dgm:constr type="l" for="ch" forName="Accent6" refType="w" fact="0.1481"/>
              <dgm:constr type="t" for="ch" forName="Accent6" refType="h" fact="0.6573"/>
              <dgm:constr type="w" for="ch" forName="Accent6" refType="w" fact="0.5331"/>
              <dgm:constr type="h" for="ch" forName="Accent6" refType="h" fact="0.2284"/>
              <dgm:constr type="l" for="ch" forName="Accent7" refType="w" fact="0.0378"/>
              <dgm:constr type="t" for="ch" forName="Accent7" refType="h" fact="0.8037"/>
              <dgm:constr type="w" for="ch" forName="Accent7" refType="w" fact="0.458"/>
              <dgm:constr type="h" for="ch" forName="Accent7" refType="h" fact="0.1963"/>
              <dgm:constr type="l" for="ch" forName="Parent1" refType="w" fact="0.1171"/>
              <dgm:constr type="t" for="ch" forName="Parent1" refType="h" fact="0.0827"/>
              <dgm:constr type="w" for="ch" forName="Parent1" refType="w" fact="0.2975"/>
              <dgm:constr type="h" for="ch" forName="Parent1" refType="h" fact="0.0637"/>
              <dgm:constr type="l" for="ch" forName="Parent2" refType="w" fact="0.2658"/>
              <dgm:constr type="t" for="ch" forName="Parent2" refType="h" fact="0.2142"/>
              <dgm:constr type="w" for="ch" forName="Parent2" refType="w" fact="0.2975"/>
              <dgm:constr type="h" for="ch" forName="Parent2" refType="h" fact="0.0637"/>
              <dgm:constr type="l" for="ch" forName="Parent3" refType="w" fact="0.1171"/>
              <dgm:constr type="t" for="ch" forName="Parent3" refType="h" fact="0.3457"/>
              <dgm:constr type="w" for="ch" forName="Parent3" refType="w" fact="0.2975"/>
              <dgm:constr type="h" for="ch" forName="Parent3" refType="h" fact="0.0637"/>
              <dgm:constr type="l" for="ch" forName="Parent4" refType="w" fact="0.2658"/>
              <dgm:constr type="t" for="ch" forName="Parent4" refType="h" fact="0.4772"/>
              <dgm:constr type="w" for="ch" forName="Parent4" refType="w" fact="0.2975"/>
              <dgm:constr type="h" for="ch" forName="Parent4" refType="h" fact="0.0637"/>
              <dgm:constr type="l" for="ch" forName="Parent5" refType="w" fact="0.1171"/>
              <dgm:constr type="t" for="ch" forName="Parent5" refType="h" fact="0.6085"/>
              <dgm:constr type="w" for="ch" forName="Parent5" refType="w" fact="0.2975"/>
              <dgm:constr type="h" for="ch" forName="Parent5" refType="h" fact="0.0637"/>
              <dgm:constr type="l" for="ch" forName="Parent6" refType="w" fact="0.2658"/>
              <dgm:constr type="t" for="ch" forName="Parent6" refType="h" fact="0.74"/>
              <dgm:constr type="w" for="ch" forName="Parent6" refType="w" fact="0.2975"/>
              <dgm:constr type="h" for="ch" forName="Parent6" refType="h" fact="0.0637"/>
              <dgm:constr type="l" for="ch" forName="Parent7" refType="w" fact="0.1171"/>
              <dgm:constr type="t" for="ch" forName="Parent7" refType="h" fact="0.8715"/>
              <dgm:constr type="w" for="ch" forName="Parent7" refType="w" fact="0.2975"/>
              <dgm:constr type="h" for="ch" forName="Parent7" refType="h" fact="0.0637"/>
              <dgm:constr type="l" for="ch" forName="Child1" refType="w" fact="0.5348"/>
              <dgm:constr type="t" for="ch" forName="Child1" refType="h" fact="0.0678"/>
              <dgm:constr type="w" for="ch" forName="Child1" refType="w" fact="0.3196"/>
              <dgm:constr type="h" for="ch" forName="Child1" refType="h" fact="0.0908"/>
              <dgm:constr type="l" for="ch" forName="Child2" refType="w" fact="0.6804"/>
              <dgm:constr type="t" for="ch" forName="Child2" refType="h" fact="0.2006"/>
              <dgm:constr type="w" for="ch" forName="Child2" refType="w" fact="0.3196"/>
              <dgm:constr type="h" for="ch" forName="Child2" refType="h" fact="0.0908"/>
              <dgm:constr type="l" for="ch" forName="Child3" refType="w" fact="0.5348"/>
              <dgm:constr type="t" for="ch" forName="Child3" refType="h" fact="0.3308"/>
              <dgm:constr type="w" for="ch" forName="Child3" refType="w" fact="0.3196"/>
              <dgm:constr type="h" for="ch" forName="Child3" refType="h" fact="0.0908"/>
              <dgm:constr type="l" for="ch" forName="Child4" refType="w" fact="0.6804"/>
              <dgm:constr type="t" for="ch" forName="Child4" refType="h" fact="0.4623"/>
              <dgm:constr type="w" for="ch" forName="Child4" refType="w" fact="0.3196"/>
              <dgm:constr type="h" for="ch" forName="Child4" refType="h" fact="0.0908"/>
              <dgm:constr type="l" for="ch" forName="Child5" refType="w" fact="0.5348"/>
              <dgm:constr type="t" for="ch" forName="Child5" refType="h" fact="0.5936"/>
              <dgm:constr type="w" for="ch" forName="Child5" refType="w" fact="0.3196"/>
              <dgm:constr type="h" for="ch" forName="Child5" refType="h" fact="0.0908"/>
              <dgm:constr type="l" for="ch" forName="Child6" refType="w" fact="0.6804"/>
              <dgm:constr type="t" for="ch" forName="Child6" refType="h" fact="0.7251"/>
              <dgm:constr type="w" for="ch" forName="Child6" refType="w" fact="0.3196"/>
              <dgm:constr type="h" for="ch" forName="Child6" refType="h" fact="0.0908"/>
              <dgm:constr type="l" for="ch" forName="Child7" refType="w" fact="0.5348"/>
              <dgm:constr type="t" for="ch" forName="Child7" refType="h" fact="0.8579"/>
              <dgm:constr type="w" for="ch" forName="Child7" refType="w" fact="0.3196"/>
              <dgm:constr type="h" for="ch" forName="Child7" refType="h" fact="0.0908"/>
            </dgm:constrLst>
          </dgm:else>
        </dgm:choose>
      </dgm:else>
    </dgm:choose>
    <dgm:forEach name="wrapper" axis="self" ptType="parTrans">
      <dgm:forEach name="accentRepeat" axis="self">
        <dgm:layoutNode name="Accent" styleLbl="node1">
          <dgm:alg type="sp"/>
          <dgm:choose name="Name20">
            <dgm:if name="Name21" func="var" arg="dir" op="equ" val="norm">
              <dgm:choose name="Name22">
                <dgm:if name="Name23" axis="precedSib" ptType="node" func="cnt" op="equ" val="0">
                  <dgm:choose name="Name24">
                    <dgm:if name="Name25" axis="followSib" ptType="node" func="cnt" op="equ" val="0">
                      <dgm:shape xmlns:r="http://schemas.openxmlformats.org/officeDocument/2006/relationships" type="circularArrow" r:blip="">
                        <dgm:adjLst>
                          <dgm:adj idx="1" val="0.1098"/>
                          <dgm:adj idx="2" val="19.0387"/>
                          <dgm:adj idx="3" val="150"/>
                          <dgm:adj idx="4" val="180"/>
                          <dgm:adj idx="5" val="0.125"/>
                        </dgm:adjLst>
                      </dgm:shape>
                    </dgm:if>
                    <dgm:else name="Name26">
                      <dgm:shape xmlns:r="http://schemas.openxmlformats.org/officeDocument/2006/relationships" type="circularArrow" r:blip="">
                        <dgm:adjLst>
                          <dgm:adj idx="1" val="0.1098"/>
                          <dgm:adj idx="2" val="19.0387"/>
                          <dgm:adj idx="3" val="75"/>
                          <dgm:adj idx="4" val="180"/>
                          <dgm:adj idx="5" val="0.125"/>
                        </dgm:adjLst>
                      </dgm:shape>
                    </dgm:else>
                  </dgm:choose>
                </dgm:if>
                <dgm:else name="Name27">
                  <dgm:choose name="Name28">
                    <dgm:if name="Name29" axis="followSib" ptType="node" func="cnt" op="equ" val="0">
                      <dgm:choose name="Name30">
                        <dgm:if name="Name31" axis="precedSib" ptType="node" func="cnt" op="equ" val="1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32" axis="precedSib" ptType="node" func="cnt" op="equ" val="2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33" axis="precedSib" ptType="node" func="cnt" op="equ" val="3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34" axis="precedSib" ptType="node" func="cnt" op="equ" val="4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35" axis="precedSib" ptType="node" func="cnt" op="equ" val="5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36" axis="precedSib" ptType="node" func="cnt" op="equ" val="6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else name="Name37"/>
                      </dgm:choose>
                    </dgm:if>
                    <dgm:else name="Name38">
                      <dgm:choose name="Name39">
                        <dgm:if name="Name40" axis="precedSib" ptType="node" func="cnt" op="equ" val="0">
                          <dgm:shape xmlns:r="http://schemas.openxmlformats.org/officeDocument/2006/relationships" type="blockArc" r:blip="">
                            <dgm:adjLst>
                              <dgm:adj idx="1" val="-133.1632"/>
                              <dgm:adj idx="2" val="65"/>
                              <dgm:adj idx="3" val="0.13"/>
                            </dgm:adjLst>
                          </dgm:shape>
                        </dgm:if>
                        <dgm:if name="Name41" axis="precedSib" ptType="node" func="cnt" op="equ" val="1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42" axis="precedSib" ptType="node" func="cnt" op="equ" val="2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43" axis="precedSib" ptType="node" func="cnt" op="equ" val="3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44" axis="precedSib" ptType="node" func="cnt" op="equ" val="4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45" axis="precedSib" ptType="node" func="cnt" op="equ" val="5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46" axis="precedSib" ptType="node" func="cnt" op="equ" val="6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else name="Name47"/>
                      </dgm:choose>
                    </dgm:else>
                  </dgm:choose>
                </dgm:else>
              </dgm:choose>
            </dgm:if>
            <dgm:else name="Name48">
              <dgm:choose name="Name49">
                <dgm:if name="Name50" axis="precedSib" ptType="node" func="cnt" op="equ" val="0">
                  <dgm:choose name="Name51">
                    <dgm:if name="Name52" axis="followSib" ptType="node" func="cnt" op="equ" val="0">
                      <dgm:shape xmlns:r="http://schemas.openxmlformats.org/officeDocument/2006/relationships" type="leftCircularArrow" r:blip="">
                        <dgm:adjLst>
                          <dgm:adj idx="1" val="0.1098"/>
                          <dgm:adj idx="2" val="19.0387"/>
                          <dgm:adj idx="3" val="30"/>
                          <dgm:adj idx="4" val="0"/>
                          <dgm:adj idx="5" val="0.125"/>
                        </dgm:adjLst>
                      </dgm:shape>
                    </dgm:if>
                    <dgm:else name="Name53">
                      <dgm:shape xmlns:r="http://schemas.openxmlformats.org/officeDocument/2006/relationships" type="leftCircularArrow" r:blip="">
                        <dgm:adjLst>
                          <dgm:adj idx="1" val="0.1098"/>
                          <dgm:adj idx="2" val="19.0387"/>
                          <dgm:adj idx="3" val="105"/>
                          <dgm:adj idx="4" val="0"/>
                          <dgm:adj idx="5" val="0.125"/>
                        </dgm:adjLst>
                      </dgm:shape>
                    </dgm:else>
                  </dgm:choose>
                </dgm:if>
                <dgm:else name="Name54">
                  <dgm:choose name="Name55">
                    <dgm:if name="Name56" axis="followSib" ptType="node" func="cnt" op="equ" val="0">
                      <dgm:choose name="Name57">
                        <dgm:if name="Name58" axis="precedSib" ptType="node" func="cnt" op="equ" val="1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59" axis="precedSib" ptType="node" func="cnt" op="equ" val="2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60" axis="precedSib" ptType="node" func="cnt" op="equ" val="3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61" axis="precedSib" ptType="node" func="cnt" op="equ" val="4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62" axis="precedSib" ptType="node" func="cnt" op="equ" val="5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63" axis="precedSib" ptType="node" func="cnt" op="equ" val="6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else name="Name64"/>
                      </dgm:choose>
                    </dgm:if>
                    <dgm:else name="Name65">
                      <dgm:choose name="Name66">
                        <dgm:if name="Name67" axis="precedSib" ptType="node" func="cnt" op="equ" val="0">
                          <dgm:shape xmlns:r="http://schemas.openxmlformats.org/officeDocument/2006/relationships" type="blockArc" r:blip="">
                            <dgm:adjLst>
                              <dgm:adj idx="1" val="-133.1632"/>
                              <dgm:adj idx="2" val="65"/>
                              <dgm:adj idx="3" val="0.13"/>
                            </dgm:adjLst>
                          </dgm:shape>
                        </dgm:if>
                        <dgm:if name="Name68" axis="precedSib" ptType="node" func="cnt" op="equ" val="1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69" axis="precedSib" ptType="node" func="cnt" op="equ" val="2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70" axis="precedSib" ptType="node" func="cnt" op="equ" val="3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71" axis="precedSib" ptType="node" func="cnt" op="equ" val="4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72" axis="precedSib" ptType="node" func="cnt" op="equ" val="5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73" axis="precedSib" ptType="node" func="cnt" op="equ" val="6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else name="Name74"/>
                      </dgm:choose>
                    </dgm:else>
                  </dgm:choose>
                </dgm:else>
              </dgm:choose>
            </dgm:else>
          </dgm:choose>
          <dgm:presOf/>
        </dgm:layoutNode>
      </dgm:forEach>
    </dgm:forEach>
    <dgm:forEach name="Name75" axis="ch" ptType="node" cnt="1">
      <dgm:layoutNode name="Accent1">
        <dgm:alg type="sp"/>
        <dgm:shape xmlns:r="http://schemas.openxmlformats.org/officeDocument/2006/relationships" r:blip="">
          <dgm:adjLst/>
        </dgm:shape>
        <dgm:presOf/>
        <dgm:constrLst/>
        <dgm:forEach name="Name76" ref="accentRepeat"/>
      </dgm:layoutNode>
      <dgm:choose name="Name77">
        <dgm:if name="Name78" axis="ch" ptType="node" func="cnt" op="gte" val="1">
          <dgm:layoutNode name="Child1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79"/>
      </dgm:choose>
      <dgm:layoutNode name="Parent1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80" axis="ch" ptType="node" st="2" cnt="1">
      <dgm:layoutNode name="Accent2">
        <dgm:alg type="sp"/>
        <dgm:shape xmlns:r="http://schemas.openxmlformats.org/officeDocument/2006/relationships" r:blip="">
          <dgm:adjLst/>
        </dgm:shape>
        <dgm:presOf/>
        <dgm:constrLst/>
        <dgm:forEach name="Name81" ref="accentRepeat"/>
      </dgm:layoutNode>
      <dgm:choose name="Name82">
        <dgm:if name="Name83" axis="ch" ptType="node" func="cnt" op="gte" val="1">
          <dgm:layoutNode name="Child2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84"/>
      </dgm:choose>
      <dgm:layoutNode name="Parent2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85" axis="ch" ptType="node" st="3" cnt="1">
      <dgm:layoutNode name="Accent3">
        <dgm:alg type="sp"/>
        <dgm:shape xmlns:r="http://schemas.openxmlformats.org/officeDocument/2006/relationships" r:blip="">
          <dgm:adjLst/>
        </dgm:shape>
        <dgm:presOf/>
        <dgm:constrLst/>
        <dgm:forEach name="Name86" ref="accentRepeat"/>
      </dgm:layoutNode>
      <dgm:choose name="Name87">
        <dgm:if name="Name88" axis="ch" ptType="node" func="cnt" op="gte" val="1">
          <dgm:layoutNode name="Child3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89"/>
      </dgm:choose>
      <dgm:layoutNode name="Parent3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90" axis="ch" ptType="node" st="4" cnt="1">
      <dgm:layoutNode name="Accent4">
        <dgm:alg type="sp"/>
        <dgm:shape xmlns:r="http://schemas.openxmlformats.org/officeDocument/2006/relationships" r:blip="">
          <dgm:adjLst/>
        </dgm:shape>
        <dgm:presOf/>
        <dgm:constrLst/>
        <dgm:forEach name="Name91" ref="accentRepeat"/>
      </dgm:layoutNode>
      <dgm:choose name="Name92">
        <dgm:if name="Name93" axis="ch" ptType="node" func="cnt" op="gte" val="1">
          <dgm:layoutNode name="Child4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94"/>
      </dgm:choose>
      <dgm:layoutNode name="Parent4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95" axis="ch" ptType="node" st="5" cnt="1">
      <dgm:layoutNode name="Accent5">
        <dgm:alg type="sp"/>
        <dgm:shape xmlns:r="http://schemas.openxmlformats.org/officeDocument/2006/relationships" r:blip="">
          <dgm:adjLst/>
        </dgm:shape>
        <dgm:presOf/>
        <dgm:constrLst/>
        <dgm:forEach name="Name96" ref="accentRepeat"/>
      </dgm:layoutNode>
      <dgm:choose name="Name97">
        <dgm:if name="Name98" axis="ch" ptType="node" func="cnt" op="gte" val="1">
          <dgm:layoutNode name="Child5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99"/>
      </dgm:choose>
      <dgm:layoutNode name="Parent5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100" axis="ch" ptType="node" st="6" cnt="1">
      <dgm:layoutNode name="Accent6">
        <dgm:alg type="sp"/>
        <dgm:shape xmlns:r="http://schemas.openxmlformats.org/officeDocument/2006/relationships" r:blip="">
          <dgm:adjLst/>
        </dgm:shape>
        <dgm:presOf/>
        <dgm:constrLst/>
        <dgm:forEach name="Name101" ref="accentRepeat"/>
      </dgm:layoutNode>
      <dgm:choose name="Name102">
        <dgm:if name="Name103" axis="ch" ptType="node" func="cnt" op="gte" val="1">
          <dgm:layoutNode name="Child6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104"/>
      </dgm:choose>
      <dgm:layoutNode name="Parent6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105" axis="ch" ptType="node" st="7" cnt="1">
      <dgm:layoutNode name="Accent7">
        <dgm:alg type="sp"/>
        <dgm:shape xmlns:r="http://schemas.openxmlformats.org/officeDocument/2006/relationships" r:blip="">
          <dgm:adjLst/>
        </dgm:shape>
        <dgm:presOf/>
        <dgm:constrLst/>
        <dgm:forEach name="Name106" ref="accentRepeat"/>
      </dgm:layoutNode>
      <dgm:choose name="Name107">
        <dgm:if name="Name108" axis="ch" ptType="node" func="cnt" op="gte" val="1">
          <dgm:layoutNode name="Child7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109"/>
      </dgm:choose>
      <dgm:layoutNode name="Parent7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.xml"/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11" Type="http://schemas.openxmlformats.org/officeDocument/2006/relationships/chart" Target="../charts/chart60.xml"/><Relationship Id="rId5" Type="http://schemas.openxmlformats.org/officeDocument/2006/relationships/chart" Target="../charts/chart54.xml"/><Relationship Id="rId10" Type="http://schemas.openxmlformats.org/officeDocument/2006/relationships/chart" Target="../charts/chart59.xml"/><Relationship Id="rId4" Type="http://schemas.openxmlformats.org/officeDocument/2006/relationships/chart" Target="../charts/chart53.xml"/><Relationship Id="rId9" Type="http://schemas.openxmlformats.org/officeDocument/2006/relationships/chart" Target="../charts/chart5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86.xml"/><Relationship Id="rId18" Type="http://schemas.openxmlformats.org/officeDocument/2006/relationships/chart" Target="../charts/chart91.xml"/><Relationship Id="rId26" Type="http://schemas.openxmlformats.org/officeDocument/2006/relationships/chart" Target="../charts/chart99.xml"/><Relationship Id="rId3" Type="http://schemas.openxmlformats.org/officeDocument/2006/relationships/chart" Target="../charts/chart76.xml"/><Relationship Id="rId21" Type="http://schemas.openxmlformats.org/officeDocument/2006/relationships/chart" Target="../charts/chart94.xml"/><Relationship Id="rId34" Type="http://schemas.openxmlformats.org/officeDocument/2006/relationships/chart" Target="../charts/chart107.xml"/><Relationship Id="rId7" Type="http://schemas.openxmlformats.org/officeDocument/2006/relationships/chart" Target="../charts/chart80.xml"/><Relationship Id="rId12" Type="http://schemas.openxmlformats.org/officeDocument/2006/relationships/chart" Target="../charts/chart85.xml"/><Relationship Id="rId17" Type="http://schemas.openxmlformats.org/officeDocument/2006/relationships/chart" Target="../charts/chart90.xml"/><Relationship Id="rId25" Type="http://schemas.openxmlformats.org/officeDocument/2006/relationships/chart" Target="../charts/chart98.xml"/><Relationship Id="rId33" Type="http://schemas.openxmlformats.org/officeDocument/2006/relationships/chart" Target="../charts/chart106.xml"/><Relationship Id="rId2" Type="http://schemas.openxmlformats.org/officeDocument/2006/relationships/chart" Target="../charts/chart75.xml"/><Relationship Id="rId16" Type="http://schemas.openxmlformats.org/officeDocument/2006/relationships/chart" Target="../charts/chart89.xml"/><Relationship Id="rId20" Type="http://schemas.openxmlformats.org/officeDocument/2006/relationships/chart" Target="../charts/chart93.xml"/><Relationship Id="rId29" Type="http://schemas.openxmlformats.org/officeDocument/2006/relationships/chart" Target="../charts/chart102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11" Type="http://schemas.openxmlformats.org/officeDocument/2006/relationships/chart" Target="../charts/chart84.xml"/><Relationship Id="rId24" Type="http://schemas.openxmlformats.org/officeDocument/2006/relationships/chart" Target="../charts/chart97.xml"/><Relationship Id="rId32" Type="http://schemas.openxmlformats.org/officeDocument/2006/relationships/chart" Target="../charts/chart105.xml"/><Relationship Id="rId5" Type="http://schemas.openxmlformats.org/officeDocument/2006/relationships/chart" Target="../charts/chart78.xml"/><Relationship Id="rId15" Type="http://schemas.openxmlformats.org/officeDocument/2006/relationships/chart" Target="../charts/chart88.xml"/><Relationship Id="rId23" Type="http://schemas.openxmlformats.org/officeDocument/2006/relationships/chart" Target="../charts/chart96.xml"/><Relationship Id="rId28" Type="http://schemas.openxmlformats.org/officeDocument/2006/relationships/chart" Target="../charts/chart101.xml"/><Relationship Id="rId10" Type="http://schemas.openxmlformats.org/officeDocument/2006/relationships/chart" Target="../charts/chart83.xml"/><Relationship Id="rId19" Type="http://schemas.openxmlformats.org/officeDocument/2006/relationships/chart" Target="../charts/chart92.xml"/><Relationship Id="rId31" Type="http://schemas.openxmlformats.org/officeDocument/2006/relationships/chart" Target="../charts/chart104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Relationship Id="rId14" Type="http://schemas.openxmlformats.org/officeDocument/2006/relationships/chart" Target="../charts/chart87.xml"/><Relationship Id="rId22" Type="http://schemas.openxmlformats.org/officeDocument/2006/relationships/chart" Target="../charts/chart95.xml"/><Relationship Id="rId27" Type="http://schemas.openxmlformats.org/officeDocument/2006/relationships/chart" Target="../charts/chart100.xml"/><Relationship Id="rId30" Type="http://schemas.openxmlformats.org/officeDocument/2006/relationships/chart" Target="../charts/chart103.xml"/><Relationship Id="rId8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0.xml"/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12" Type="http://schemas.openxmlformats.org/officeDocument/2006/relationships/chart" Target="../charts/chart114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Relationship Id="rId6" Type="http://schemas.openxmlformats.org/officeDocument/2006/relationships/diagramColors" Target="../diagrams/colors1.xml"/><Relationship Id="rId11" Type="http://schemas.openxmlformats.org/officeDocument/2006/relationships/chart" Target="../charts/chart113.xml"/><Relationship Id="rId5" Type="http://schemas.openxmlformats.org/officeDocument/2006/relationships/diagramQuickStyle" Target="../diagrams/quickStyle1.xml"/><Relationship Id="rId10" Type="http://schemas.openxmlformats.org/officeDocument/2006/relationships/chart" Target="../charts/chart112.xml"/><Relationship Id="rId4" Type="http://schemas.openxmlformats.org/officeDocument/2006/relationships/diagramLayout" Target="../diagrams/layout1.xml"/><Relationship Id="rId9" Type="http://schemas.openxmlformats.org/officeDocument/2006/relationships/chart" Target="../charts/chart111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2.xml"/><Relationship Id="rId13" Type="http://schemas.openxmlformats.org/officeDocument/2006/relationships/chart" Target="../charts/chart127.xml"/><Relationship Id="rId18" Type="http://schemas.openxmlformats.org/officeDocument/2006/relationships/chart" Target="../charts/chart132.xml"/><Relationship Id="rId3" Type="http://schemas.openxmlformats.org/officeDocument/2006/relationships/chart" Target="../charts/chart117.xml"/><Relationship Id="rId7" Type="http://schemas.openxmlformats.org/officeDocument/2006/relationships/chart" Target="../charts/chart121.xml"/><Relationship Id="rId12" Type="http://schemas.openxmlformats.org/officeDocument/2006/relationships/chart" Target="../charts/chart126.xml"/><Relationship Id="rId17" Type="http://schemas.openxmlformats.org/officeDocument/2006/relationships/chart" Target="../charts/chart131.xml"/><Relationship Id="rId2" Type="http://schemas.openxmlformats.org/officeDocument/2006/relationships/chart" Target="../charts/chart116.xml"/><Relationship Id="rId16" Type="http://schemas.openxmlformats.org/officeDocument/2006/relationships/chart" Target="../charts/chart130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11" Type="http://schemas.openxmlformats.org/officeDocument/2006/relationships/chart" Target="../charts/chart125.xml"/><Relationship Id="rId5" Type="http://schemas.openxmlformats.org/officeDocument/2006/relationships/chart" Target="../charts/chart119.xml"/><Relationship Id="rId15" Type="http://schemas.openxmlformats.org/officeDocument/2006/relationships/chart" Target="../charts/chart129.xml"/><Relationship Id="rId10" Type="http://schemas.openxmlformats.org/officeDocument/2006/relationships/chart" Target="../charts/chart124.xml"/><Relationship Id="rId19" Type="http://schemas.openxmlformats.org/officeDocument/2006/relationships/chart" Target="../charts/chart133.xml"/><Relationship Id="rId4" Type="http://schemas.openxmlformats.org/officeDocument/2006/relationships/chart" Target="../charts/chart118.xml"/><Relationship Id="rId9" Type="http://schemas.openxmlformats.org/officeDocument/2006/relationships/chart" Target="../charts/chart123.xml"/><Relationship Id="rId14" Type="http://schemas.openxmlformats.org/officeDocument/2006/relationships/chart" Target="../charts/chart128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1.xml"/><Relationship Id="rId13" Type="http://schemas.openxmlformats.org/officeDocument/2006/relationships/chart" Target="../charts/chart146.xml"/><Relationship Id="rId18" Type="http://schemas.openxmlformats.org/officeDocument/2006/relationships/chart" Target="../charts/chart151.xml"/><Relationship Id="rId26" Type="http://schemas.openxmlformats.org/officeDocument/2006/relationships/chart" Target="../charts/chart159.xml"/><Relationship Id="rId3" Type="http://schemas.openxmlformats.org/officeDocument/2006/relationships/chart" Target="../charts/chart136.xml"/><Relationship Id="rId21" Type="http://schemas.openxmlformats.org/officeDocument/2006/relationships/chart" Target="../charts/chart154.xml"/><Relationship Id="rId7" Type="http://schemas.openxmlformats.org/officeDocument/2006/relationships/chart" Target="../charts/chart140.xml"/><Relationship Id="rId12" Type="http://schemas.openxmlformats.org/officeDocument/2006/relationships/chart" Target="../charts/chart145.xml"/><Relationship Id="rId17" Type="http://schemas.openxmlformats.org/officeDocument/2006/relationships/chart" Target="../charts/chart150.xml"/><Relationship Id="rId25" Type="http://schemas.openxmlformats.org/officeDocument/2006/relationships/chart" Target="../charts/chart158.xml"/><Relationship Id="rId2" Type="http://schemas.openxmlformats.org/officeDocument/2006/relationships/chart" Target="../charts/chart135.xml"/><Relationship Id="rId16" Type="http://schemas.openxmlformats.org/officeDocument/2006/relationships/chart" Target="../charts/chart149.xml"/><Relationship Id="rId20" Type="http://schemas.openxmlformats.org/officeDocument/2006/relationships/chart" Target="../charts/chart153.xml"/><Relationship Id="rId29" Type="http://schemas.openxmlformats.org/officeDocument/2006/relationships/chart" Target="../charts/chart162.xml"/><Relationship Id="rId1" Type="http://schemas.openxmlformats.org/officeDocument/2006/relationships/chart" Target="../charts/chart134.xml"/><Relationship Id="rId6" Type="http://schemas.openxmlformats.org/officeDocument/2006/relationships/chart" Target="../charts/chart139.xml"/><Relationship Id="rId11" Type="http://schemas.openxmlformats.org/officeDocument/2006/relationships/chart" Target="../charts/chart144.xml"/><Relationship Id="rId24" Type="http://schemas.openxmlformats.org/officeDocument/2006/relationships/chart" Target="../charts/chart157.xml"/><Relationship Id="rId5" Type="http://schemas.openxmlformats.org/officeDocument/2006/relationships/chart" Target="../charts/chart138.xml"/><Relationship Id="rId15" Type="http://schemas.openxmlformats.org/officeDocument/2006/relationships/chart" Target="../charts/chart148.xml"/><Relationship Id="rId23" Type="http://schemas.openxmlformats.org/officeDocument/2006/relationships/chart" Target="../charts/chart156.xml"/><Relationship Id="rId28" Type="http://schemas.openxmlformats.org/officeDocument/2006/relationships/chart" Target="../charts/chart161.xml"/><Relationship Id="rId10" Type="http://schemas.openxmlformats.org/officeDocument/2006/relationships/chart" Target="../charts/chart143.xml"/><Relationship Id="rId19" Type="http://schemas.openxmlformats.org/officeDocument/2006/relationships/chart" Target="../charts/chart152.xml"/><Relationship Id="rId31" Type="http://schemas.openxmlformats.org/officeDocument/2006/relationships/chart" Target="../charts/chart164.xml"/><Relationship Id="rId4" Type="http://schemas.openxmlformats.org/officeDocument/2006/relationships/chart" Target="../charts/chart137.xml"/><Relationship Id="rId9" Type="http://schemas.openxmlformats.org/officeDocument/2006/relationships/chart" Target="../charts/chart142.xml"/><Relationship Id="rId14" Type="http://schemas.openxmlformats.org/officeDocument/2006/relationships/chart" Target="../charts/chart147.xml"/><Relationship Id="rId22" Type="http://schemas.openxmlformats.org/officeDocument/2006/relationships/chart" Target="../charts/chart155.xml"/><Relationship Id="rId27" Type="http://schemas.openxmlformats.org/officeDocument/2006/relationships/chart" Target="../charts/chart160.xml"/><Relationship Id="rId30" Type="http://schemas.openxmlformats.org/officeDocument/2006/relationships/chart" Target="../charts/chart1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6</xdr:row>
      <xdr:rowOff>0</xdr:rowOff>
    </xdr:from>
    <xdr:to>
      <xdr:col>11</xdr:col>
      <xdr:colOff>19049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E578E-B441-4367-A440-4457AAF85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11206</xdr:colOff>
      <xdr:row>6</xdr:row>
      <xdr:rowOff>11206</xdr:rowOff>
    </xdr:from>
    <xdr:to>
      <xdr:col>28</xdr:col>
      <xdr:colOff>9526</xdr:colOff>
      <xdr:row>32</xdr:row>
      <xdr:rowOff>144556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5290F0-99B1-422A-A6A5-96FA57E1A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11209</xdr:colOff>
      <xdr:row>6</xdr:row>
      <xdr:rowOff>0</xdr:rowOff>
    </xdr:from>
    <xdr:to>
      <xdr:col>42</xdr:col>
      <xdr:colOff>6166</xdr:colOff>
      <xdr:row>19</xdr:row>
      <xdr:rowOff>9525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6C3D811-B847-43D7-887C-BAA7F8412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11209</xdr:colOff>
      <xdr:row>19</xdr:row>
      <xdr:rowOff>57150</xdr:rowOff>
    </xdr:from>
    <xdr:to>
      <xdr:col>41</xdr:col>
      <xdr:colOff>601759</xdr:colOff>
      <xdr:row>32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C42F4D9-6CE7-4CF9-B9C0-678A9DCA4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9525</xdr:colOff>
      <xdr:row>36</xdr:row>
      <xdr:rowOff>190499</xdr:rowOff>
    </xdr:from>
    <xdr:to>
      <xdr:col>11</xdr:col>
      <xdr:colOff>9525</xdr:colOff>
      <xdr:row>63</xdr:row>
      <xdr:rowOff>161924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F3A37B7-3A9D-41E2-BCB8-7A7FCAB83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</xdr:colOff>
      <xdr:row>37</xdr:row>
      <xdr:rowOff>11206</xdr:rowOff>
    </xdr:from>
    <xdr:to>
      <xdr:col>28</xdr:col>
      <xdr:colOff>2</xdr:colOff>
      <xdr:row>63</xdr:row>
      <xdr:rowOff>173131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443FDAE-B855-43B0-9D30-71B66E302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11768</xdr:colOff>
      <xdr:row>37</xdr:row>
      <xdr:rowOff>0</xdr:rowOff>
    </xdr:from>
    <xdr:to>
      <xdr:col>42</xdr:col>
      <xdr:colOff>6165</xdr:colOff>
      <xdr:row>50</xdr:row>
      <xdr:rowOff>19050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11BA9F2-137C-44D8-8D7F-3DC416D62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20733</xdr:colOff>
      <xdr:row>50</xdr:row>
      <xdr:rowOff>76200</xdr:rowOff>
    </xdr:from>
    <xdr:to>
      <xdr:col>42</xdr:col>
      <xdr:colOff>15690</xdr:colOff>
      <xdr:row>63</xdr:row>
      <xdr:rowOff>142876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74F82BB-8C04-43F3-A2C5-B59F4855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9524</xdr:colOff>
      <xdr:row>68</xdr:row>
      <xdr:rowOff>180975</xdr:rowOff>
    </xdr:from>
    <xdr:to>
      <xdr:col>11</xdr:col>
      <xdr:colOff>19049</xdr:colOff>
      <xdr:row>95</xdr:row>
      <xdr:rowOff>133351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EAF2505-FAED-4A5F-B58D-52425CCBF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69</xdr:row>
      <xdr:rowOff>11206</xdr:rowOff>
    </xdr:from>
    <xdr:to>
      <xdr:col>28</xdr:col>
      <xdr:colOff>9526</xdr:colOff>
      <xdr:row>95</xdr:row>
      <xdr:rowOff>154082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7EE74B0-6019-4D9E-8F9A-A5B2D81D4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11209</xdr:colOff>
      <xdr:row>68</xdr:row>
      <xdr:rowOff>190499</xdr:rowOff>
    </xdr:from>
    <xdr:to>
      <xdr:col>42</xdr:col>
      <xdr:colOff>6166</xdr:colOff>
      <xdr:row>82</xdr:row>
      <xdr:rowOff>171450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452907A-E6EC-49E0-AF8F-52A9A5087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11209</xdr:colOff>
      <xdr:row>83</xdr:row>
      <xdr:rowOff>38100</xdr:rowOff>
    </xdr:from>
    <xdr:to>
      <xdr:col>42</xdr:col>
      <xdr:colOff>11209</xdr:colOff>
      <xdr:row>95</xdr:row>
      <xdr:rowOff>142875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C483F33-EE3C-4450-B0D6-6B98D5AA1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50</xdr:col>
      <xdr:colOff>20733</xdr:colOff>
      <xdr:row>69</xdr:row>
      <xdr:rowOff>-1</xdr:rowOff>
    </xdr:from>
    <xdr:to>
      <xdr:col>57</xdr:col>
      <xdr:colOff>30258</xdr:colOff>
      <xdr:row>82</xdr:row>
      <xdr:rowOff>173130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F1F6C22-6A18-438C-BB69-4E233227E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50</xdr:col>
      <xdr:colOff>11208</xdr:colOff>
      <xdr:row>83</xdr:row>
      <xdr:rowOff>11206</xdr:rowOff>
    </xdr:from>
    <xdr:to>
      <xdr:col>57</xdr:col>
      <xdr:colOff>20733</xdr:colOff>
      <xdr:row>95</xdr:row>
      <xdr:rowOff>144556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809E129-9117-44C0-96DC-DB7020CF9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50</xdr:col>
      <xdr:colOff>20733</xdr:colOff>
      <xdr:row>6</xdr:row>
      <xdr:rowOff>11206</xdr:rowOff>
    </xdr:from>
    <xdr:to>
      <xdr:col>57</xdr:col>
      <xdr:colOff>11208</xdr:colOff>
      <xdr:row>19</xdr:row>
      <xdr:rowOff>20731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62427EC-C27C-49F4-8494-C0C37E84B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50</xdr:col>
      <xdr:colOff>11209</xdr:colOff>
      <xdr:row>19</xdr:row>
      <xdr:rowOff>68356</xdr:rowOff>
    </xdr:from>
    <xdr:to>
      <xdr:col>57</xdr:col>
      <xdr:colOff>11209</xdr:colOff>
      <xdr:row>32</xdr:row>
      <xdr:rowOff>77881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AF5AD86-2A6F-4B26-A049-D9697CBF8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11206</xdr:colOff>
      <xdr:row>101</xdr:row>
      <xdr:rowOff>0</xdr:rowOff>
    </xdr:from>
    <xdr:to>
      <xdr:col>11</xdr:col>
      <xdr:colOff>20731</xdr:colOff>
      <xdr:row>127</xdr:row>
      <xdr:rowOff>160194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A44D83A-D32B-472D-9006-FCCC1663D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0</xdr:colOff>
      <xdr:row>101</xdr:row>
      <xdr:rowOff>38049</xdr:rowOff>
    </xdr:from>
    <xdr:to>
      <xdr:col>28</xdr:col>
      <xdr:colOff>2</xdr:colOff>
      <xdr:row>127</xdr:row>
      <xdr:rowOff>180925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E759FC-F7C9-4F04-A33A-8D098678B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134117</xdr:colOff>
      <xdr:row>101</xdr:row>
      <xdr:rowOff>9525</xdr:rowOff>
    </xdr:from>
    <xdr:to>
      <xdr:col>41</xdr:col>
      <xdr:colOff>601760</xdr:colOff>
      <xdr:row>113</xdr:row>
      <xdr:rowOff>173183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ECEA24B-04BA-44D4-A590-64DCB16B8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34</xdr:col>
      <xdr:colOff>121127</xdr:colOff>
      <xdr:row>113</xdr:row>
      <xdr:rowOff>178377</xdr:rowOff>
    </xdr:from>
    <xdr:to>
      <xdr:col>42</xdr:col>
      <xdr:colOff>15690</xdr:colOff>
      <xdr:row>127</xdr:row>
      <xdr:rowOff>176646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6032D2F-F11D-4077-A575-8A8F0BE1F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50</xdr:col>
      <xdr:colOff>20733</xdr:colOff>
      <xdr:row>101</xdr:row>
      <xdr:rowOff>11206</xdr:rowOff>
    </xdr:from>
    <xdr:to>
      <xdr:col>57</xdr:col>
      <xdr:colOff>14672</xdr:colOff>
      <xdr:row>113</xdr:row>
      <xdr:rowOff>182655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F103D62-5B02-4514-AEC7-4A70EA0AD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12073</xdr:colOff>
      <xdr:row>114</xdr:row>
      <xdr:rowOff>6876</xdr:rowOff>
    </xdr:from>
    <xdr:to>
      <xdr:col>57</xdr:col>
      <xdr:colOff>1835</xdr:colOff>
      <xdr:row>128</xdr:row>
      <xdr:rowOff>5145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F3D763B-44BF-48B5-A3EF-1BA37F561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65</xdr:col>
      <xdr:colOff>12126</xdr:colOff>
      <xdr:row>101</xdr:row>
      <xdr:rowOff>1</xdr:rowOff>
    </xdr:from>
    <xdr:to>
      <xdr:col>72</xdr:col>
      <xdr:colOff>0</xdr:colOff>
      <xdr:row>113</xdr:row>
      <xdr:rowOff>173132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F860E90-7B77-4454-96DC-AF2220668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38100</xdr:rowOff>
    </xdr:from>
    <xdr:to>
      <xdr:col>6</xdr:col>
      <xdr:colOff>600075</xdr:colOff>
      <xdr:row>16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3448CFB-86AF-4D4F-8387-6A575631D23F}"/>
            </a:ext>
          </a:extLst>
        </xdr:cNvPr>
        <xdr:cNvSpPr/>
      </xdr:nvSpPr>
      <xdr:spPr>
        <a:xfrm>
          <a:off x="609600" y="2514600"/>
          <a:ext cx="364807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13</xdr:col>
      <xdr:colOff>0</xdr:colOff>
      <xdr:row>14</xdr:row>
      <xdr:rowOff>38100</xdr:rowOff>
    </xdr:from>
    <xdr:to>
      <xdr:col>19</xdr:col>
      <xdr:colOff>9525</xdr:colOff>
      <xdr:row>16</xdr:row>
      <xdr:rowOff>152400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BC0A87-8325-447B-B034-CA74A112EFB7}"/>
            </a:ext>
          </a:extLst>
        </xdr:cNvPr>
        <xdr:cNvSpPr/>
      </xdr:nvSpPr>
      <xdr:spPr>
        <a:xfrm>
          <a:off x="7924800" y="2514600"/>
          <a:ext cx="366712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19</xdr:col>
      <xdr:colOff>9525</xdr:colOff>
      <xdr:row>14</xdr:row>
      <xdr:rowOff>38100</xdr:rowOff>
    </xdr:from>
    <xdr:to>
      <xdr:col>25</xdr:col>
      <xdr:colOff>9525</xdr:colOff>
      <xdr:row>16</xdr:row>
      <xdr:rowOff>152400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C9AC916-E1AB-4152-8E84-3C40B4FFC972}"/>
            </a:ext>
          </a:extLst>
        </xdr:cNvPr>
        <xdr:cNvSpPr/>
      </xdr:nvSpPr>
      <xdr:spPr>
        <a:xfrm>
          <a:off x="11591925" y="2514600"/>
          <a:ext cx="3657600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7</xdr:col>
      <xdr:colOff>0</xdr:colOff>
      <xdr:row>14</xdr:row>
      <xdr:rowOff>28575</xdr:rowOff>
    </xdr:from>
    <xdr:to>
      <xdr:col>12</xdr:col>
      <xdr:colOff>600075</xdr:colOff>
      <xdr:row>16</xdr:row>
      <xdr:rowOff>142875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FFAD5C71-CDF3-45DC-872E-53592373DB4C}"/>
            </a:ext>
          </a:extLst>
        </xdr:cNvPr>
        <xdr:cNvSpPr/>
      </xdr:nvSpPr>
      <xdr:spPr>
        <a:xfrm>
          <a:off x="4267200" y="2505075"/>
          <a:ext cx="364807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</xdr:col>
      <xdr:colOff>19049</xdr:colOff>
      <xdr:row>3</xdr:row>
      <xdr:rowOff>0</xdr:rowOff>
    </xdr:from>
    <xdr:to>
      <xdr:col>6</xdr:col>
      <xdr:colOff>152400</xdr:colOff>
      <xdr:row>5</xdr:row>
      <xdr:rowOff>142875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EBC1E08-0681-4EC3-AC53-256BCA035B03}"/>
            </a:ext>
          </a:extLst>
        </xdr:cNvPr>
        <xdr:cNvSpPr txBox="1"/>
      </xdr:nvSpPr>
      <xdr:spPr>
        <a:xfrm>
          <a:off x="628649" y="381000"/>
          <a:ext cx="3181351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2nd Conformal</a:t>
          </a:r>
          <a:r>
            <a:rPr lang="en-NZ" sz="1100" baseline="0"/>
            <a:t> Coating Line</a:t>
          </a:r>
          <a:br>
            <a:rPr lang="en-NZ" sz="1100" baseline="0"/>
          </a:br>
          <a:endParaRPr lang="en-NZ" sz="1100"/>
        </a:p>
      </xdr:txBody>
    </xdr:sp>
    <xdr:clientData/>
  </xdr:twoCellAnchor>
  <xdr:twoCellAnchor>
    <xdr:from>
      <xdr:col>3</xdr:col>
      <xdr:colOff>200025</xdr:colOff>
      <xdr:row>20</xdr:row>
      <xdr:rowOff>28575</xdr:rowOff>
    </xdr:from>
    <xdr:to>
      <xdr:col>4</xdr:col>
      <xdr:colOff>590551</xdr:colOff>
      <xdr:row>27</xdr:row>
      <xdr:rowOff>152400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08461AB-8F0D-4F0E-9A41-4641821D2D59}"/>
            </a:ext>
          </a:extLst>
        </xdr:cNvPr>
        <xdr:cNvSpPr txBox="1"/>
      </xdr:nvSpPr>
      <xdr:spPr>
        <a:xfrm>
          <a:off x="2028825" y="3648075"/>
          <a:ext cx="1000126" cy="1457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Kardex System &amp;</a:t>
          </a:r>
          <a:r>
            <a:rPr lang="en-NZ" sz="1100" baseline="0"/>
            <a:t> 5th Selective Solder Line</a:t>
          </a:r>
          <a:br>
            <a:rPr lang="en-NZ" sz="1100" baseline="0"/>
          </a:br>
          <a:endParaRPr lang="en-NZ" sz="1100"/>
        </a:p>
      </xdr:txBody>
    </xdr:sp>
    <xdr:clientData/>
  </xdr:twoCellAnchor>
  <xdr:twoCellAnchor>
    <xdr:from>
      <xdr:col>6</xdr:col>
      <xdr:colOff>257175</xdr:colOff>
      <xdr:row>5</xdr:row>
      <xdr:rowOff>47625</xdr:rowOff>
    </xdr:from>
    <xdr:to>
      <xdr:col>8</xdr:col>
      <xdr:colOff>47625</xdr:colOff>
      <xdr:row>11</xdr:row>
      <xdr:rowOff>9525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C1D22CC-C64A-431F-AB40-0CBCF8CB48F1}"/>
            </a:ext>
          </a:extLst>
        </xdr:cNvPr>
        <xdr:cNvSpPr txBox="1"/>
      </xdr:nvSpPr>
      <xdr:spPr>
        <a:xfrm>
          <a:off x="3914775" y="809625"/>
          <a:ext cx="100965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SMT YG100 to</a:t>
          </a:r>
          <a:r>
            <a:rPr lang="en-NZ" sz="1100" baseline="0"/>
            <a:t> YSM20</a:t>
          </a:r>
          <a:endParaRPr lang="en-NZ" sz="1100"/>
        </a:p>
      </xdr:txBody>
    </xdr:sp>
    <xdr:clientData/>
  </xdr:twoCellAnchor>
  <xdr:twoCellAnchor>
    <xdr:from>
      <xdr:col>3</xdr:col>
      <xdr:colOff>442912</xdr:colOff>
      <xdr:row>8</xdr:row>
      <xdr:rowOff>161925</xdr:rowOff>
    </xdr:from>
    <xdr:to>
      <xdr:col>3</xdr:col>
      <xdr:colOff>457200</xdr:colOff>
      <xdr:row>14</xdr:row>
      <xdr:rowOff>152400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8239BE2-9D0F-429E-A45C-F14FD5FA4635}"/>
            </a:ext>
          </a:extLst>
        </xdr:cNvPr>
        <xdr:cNvCxnSpPr/>
      </xdr:nvCxnSpPr>
      <xdr:spPr>
        <a:xfrm>
          <a:off x="2271712" y="1495425"/>
          <a:ext cx="14288" cy="1133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428626</xdr:colOff>
      <xdr:row>5</xdr:row>
      <xdr:rowOff>57150</xdr:rowOff>
    </xdr:from>
    <xdr:to>
      <xdr:col>13</xdr:col>
      <xdr:colOff>371476</xdr:colOff>
      <xdr:row>11</xdr:row>
      <xdr:rowOff>19050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07D27CF-842E-40E0-8D6A-8E1DA7624E18}"/>
            </a:ext>
          </a:extLst>
        </xdr:cNvPr>
        <xdr:cNvSpPr txBox="1"/>
      </xdr:nvSpPr>
      <xdr:spPr>
        <a:xfrm>
          <a:off x="7134226" y="819150"/>
          <a:ext cx="116205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NZ" sz="1200" b="1"/>
            <a:t>Final Assembly has</a:t>
          </a:r>
          <a:r>
            <a:rPr lang="en-NZ" sz="1200" b="1" baseline="0"/>
            <a:t> run out of space</a:t>
          </a:r>
          <a:endParaRPr lang="en-NZ" sz="1200" b="1"/>
        </a:p>
      </xdr:txBody>
    </xdr:sp>
    <xdr:clientData/>
  </xdr:twoCellAnchor>
  <xdr:twoCellAnchor>
    <xdr:from>
      <xdr:col>10</xdr:col>
      <xdr:colOff>581025</xdr:colOff>
      <xdr:row>11</xdr:row>
      <xdr:rowOff>85725</xdr:rowOff>
    </xdr:from>
    <xdr:to>
      <xdr:col>15</xdr:col>
      <xdr:colOff>133350</xdr:colOff>
      <xdr:row>13</xdr:row>
      <xdr:rowOff>133353</xdr:rowOff>
    </xdr:to>
    <xdr:sp macro="" textlink="">
      <xdr:nvSpPr>
        <xdr:cNvPr id="16" name="Right Brace 15">
          <a:extLst>
            <a:ext uri="{FF2B5EF4-FFF2-40B4-BE49-F238E27FC236}">
              <a16:creationId xmlns:a16="http://schemas.microsoft.com/office/drawing/2014/main" id="{13EA7819-8203-4167-8131-135C88A5AB63}"/>
            </a:ext>
          </a:extLst>
        </xdr:cNvPr>
        <xdr:cNvSpPr/>
      </xdr:nvSpPr>
      <xdr:spPr>
        <a:xfrm rot="16200000">
          <a:off x="7762874" y="904876"/>
          <a:ext cx="428628" cy="2600325"/>
        </a:xfrm>
        <a:prstGeom prst="rightBrace">
          <a:avLst>
            <a:gd name="adj1" fmla="val 8333"/>
            <a:gd name="adj2" fmla="val 4778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oneCellAnchor>
    <xdr:from>
      <xdr:col>8</xdr:col>
      <xdr:colOff>180975</xdr:colOff>
      <xdr:row>19</xdr:row>
      <xdr:rowOff>85725</xdr:rowOff>
    </xdr:from>
    <xdr:ext cx="800100" cy="36195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309C291-00A0-4499-A59D-0C68489D3038}"/>
            </a:ext>
          </a:extLst>
        </xdr:cNvPr>
        <xdr:cNvSpPr txBox="1"/>
      </xdr:nvSpPr>
      <xdr:spPr>
        <a:xfrm>
          <a:off x="5057775" y="3514725"/>
          <a:ext cx="800100" cy="3619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NZ" sz="1100"/>
        </a:p>
      </xdr:txBody>
    </xdr:sp>
    <xdr:clientData/>
  </xdr:oneCellAnchor>
  <xdr:twoCellAnchor>
    <xdr:from>
      <xdr:col>10</xdr:col>
      <xdr:colOff>571500</xdr:colOff>
      <xdr:row>13</xdr:row>
      <xdr:rowOff>95250</xdr:rowOff>
    </xdr:from>
    <xdr:to>
      <xdr:col>10</xdr:col>
      <xdr:colOff>571500</xdr:colOff>
      <xdr:row>19</xdr:row>
      <xdr:rowOff>171450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32CBD6FA-3AFB-46C1-A6FD-F796839EC335}"/>
            </a:ext>
          </a:extLst>
        </xdr:cNvPr>
        <xdr:cNvCxnSpPr/>
      </xdr:nvCxnSpPr>
      <xdr:spPr>
        <a:xfrm>
          <a:off x="6667500" y="2381250"/>
          <a:ext cx="0" cy="121920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17</xdr:row>
      <xdr:rowOff>104775</xdr:rowOff>
    </xdr:from>
    <xdr:to>
      <xdr:col>10</xdr:col>
      <xdr:colOff>533400</xdr:colOff>
      <xdr:row>19</xdr:row>
      <xdr:rowOff>104775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092131BB-031E-4489-803F-E56EF4D7430A}"/>
            </a:ext>
          </a:extLst>
        </xdr:cNvPr>
        <xdr:cNvSpPr/>
      </xdr:nvSpPr>
      <xdr:spPr>
        <a:xfrm rot="10800000">
          <a:off x="3143250" y="3152775"/>
          <a:ext cx="3486150" cy="381000"/>
        </a:xfrm>
        <a:prstGeom prst="rightArrow">
          <a:avLst/>
        </a:prstGeom>
        <a:solidFill>
          <a:srgbClr val="FF0000">
            <a:alpha val="26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4</xdr:col>
      <xdr:colOff>219075</xdr:colOff>
      <xdr:row>16</xdr:row>
      <xdr:rowOff>85725</xdr:rowOff>
    </xdr:from>
    <xdr:to>
      <xdr:col>4</xdr:col>
      <xdr:colOff>219076</xdr:colOff>
      <xdr:row>19</xdr:row>
      <xdr:rowOff>171451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2C548D8-EC86-45FE-852E-CFFF887DCBD0}"/>
            </a:ext>
          </a:extLst>
        </xdr:cNvPr>
        <xdr:cNvCxnSpPr/>
      </xdr:nvCxnSpPr>
      <xdr:spPr>
        <a:xfrm flipH="1" flipV="1">
          <a:off x="2657475" y="2943225"/>
          <a:ext cx="1" cy="657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13</xdr:row>
      <xdr:rowOff>161925</xdr:rowOff>
    </xdr:from>
    <xdr:to>
      <xdr:col>5</xdr:col>
      <xdr:colOff>76200</xdr:colOff>
      <xdr:row>20</xdr:row>
      <xdr:rowOff>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65802C4C-3D5E-4428-9193-5C0E9001A9A0}"/>
            </a:ext>
          </a:extLst>
        </xdr:cNvPr>
        <xdr:cNvCxnSpPr/>
      </xdr:nvCxnSpPr>
      <xdr:spPr>
        <a:xfrm>
          <a:off x="3114675" y="2447925"/>
          <a:ext cx="9525" cy="117157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11</xdr:row>
      <xdr:rowOff>19050</xdr:rowOff>
    </xdr:from>
    <xdr:to>
      <xdr:col>7</xdr:col>
      <xdr:colOff>161925</xdr:colOff>
      <xdr:row>14</xdr:row>
      <xdr:rowOff>114300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D80D1DA0-69B2-47FA-BAC7-3A00DB4D0A31}"/>
            </a:ext>
          </a:extLst>
        </xdr:cNvPr>
        <xdr:cNvCxnSpPr/>
      </xdr:nvCxnSpPr>
      <xdr:spPr>
        <a:xfrm>
          <a:off x="4429125" y="1924050"/>
          <a:ext cx="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</xdr:row>
      <xdr:rowOff>171450</xdr:rowOff>
    </xdr:from>
    <xdr:to>
      <xdr:col>6</xdr:col>
      <xdr:colOff>171449</xdr:colOff>
      <xdr:row>12</xdr:row>
      <xdr:rowOff>150943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08A86A8-8315-4076-AFBB-6C11121C3978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33450"/>
          <a:ext cx="3219449" cy="1354455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29</xdr:row>
      <xdr:rowOff>57150</xdr:rowOff>
    </xdr:from>
    <xdr:to>
      <xdr:col>12</xdr:col>
      <xdr:colOff>514350</xdr:colOff>
      <xdr:row>39</xdr:row>
      <xdr:rowOff>47625</xdr:rowOff>
    </xdr:to>
    <xdr:pic>
      <xdr:nvPicPr>
        <xdr:cNvPr id="33" name="Picture 5">
          <a:extLst>
            <a:ext uri="{FF2B5EF4-FFF2-40B4-BE49-F238E27FC236}">
              <a16:creationId xmlns:a16="http://schemas.microsoft.com/office/drawing/2014/main" id="{DC13422D-9BA2-4131-ACBB-992E4EA6B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391150"/>
          <a:ext cx="512445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466726</xdr:colOff>
      <xdr:row>29</xdr:row>
      <xdr:rowOff>9525</xdr:rowOff>
    </xdr:from>
    <xdr:to>
      <xdr:col>4</xdr:col>
      <xdr:colOff>238126</xdr:colOff>
      <xdr:row>39</xdr:row>
      <xdr:rowOff>110818</xdr:rowOff>
    </xdr:to>
    <xdr:pic>
      <xdr:nvPicPr>
        <xdr:cNvPr id="34" name="Picture 10">
          <a:extLst>
            <a:ext uri="{FF2B5EF4-FFF2-40B4-BE49-F238E27FC236}">
              <a16:creationId xmlns:a16="http://schemas.microsoft.com/office/drawing/2014/main" id="{58031C1B-F86C-4A01-9DB7-411F439E9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6" y="5343525"/>
          <a:ext cx="1600200" cy="20062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447675</xdr:colOff>
      <xdr:row>20</xdr:row>
      <xdr:rowOff>9526</xdr:rowOff>
    </xdr:from>
    <xdr:to>
      <xdr:col>11</xdr:col>
      <xdr:colOff>228601</xdr:colOff>
      <xdr:row>27</xdr:row>
      <xdr:rowOff>152400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638B4FA-31EE-46ED-A705-2AF838039B7E}"/>
            </a:ext>
          </a:extLst>
        </xdr:cNvPr>
        <xdr:cNvSpPr txBox="1"/>
      </xdr:nvSpPr>
      <xdr:spPr>
        <a:xfrm>
          <a:off x="5934075" y="3629026"/>
          <a:ext cx="1000126" cy="1476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2nd Kardex System? &amp;</a:t>
          </a:r>
          <a:r>
            <a:rPr lang="en-NZ" sz="1100" baseline="0"/>
            <a:t> 6th Selective Solder Line</a:t>
          </a:r>
          <a:endParaRPr lang="en-NZ" sz="1100"/>
        </a:p>
      </xdr:txBody>
    </xdr:sp>
    <xdr:clientData/>
  </xdr:twoCellAnchor>
  <xdr:twoCellAnchor>
    <xdr:from>
      <xdr:col>10</xdr:col>
      <xdr:colOff>338138</xdr:colOff>
      <xdr:row>16</xdr:row>
      <xdr:rowOff>57150</xdr:rowOff>
    </xdr:from>
    <xdr:to>
      <xdr:col>10</xdr:col>
      <xdr:colOff>342900</xdr:colOff>
      <xdr:row>20</xdr:row>
      <xdr:rowOff>9526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DE98FFD-14EE-47A5-91C6-1485900691B4}"/>
            </a:ext>
          </a:extLst>
        </xdr:cNvPr>
        <xdr:cNvCxnSpPr>
          <a:stCxn id="39" idx="0"/>
        </xdr:cNvCxnSpPr>
      </xdr:nvCxnSpPr>
      <xdr:spPr>
        <a:xfrm flipV="1">
          <a:off x="6434138" y="2914650"/>
          <a:ext cx="4762" cy="714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123825</xdr:colOff>
      <xdr:row>21</xdr:row>
      <xdr:rowOff>38100</xdr:rowOff>
    </xdr:from>
    <xdr:to>
      <xdr:col>16</xdr:col>
      <xdr:colOff>514351</xdr:colOff>
      <xdr:row>26</xdr:row>
      <xdr:rowOff>104775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F888D66B-F559-4F51-ACEE-9C68F61E2AF4}"/>
            </a:ext>
          </a:extLst>
        </xdr:cNvPr>
        <xdr:cNvSpPr txBox="1"/>
      </xdr:nvSpPr>
      <xdr:spPr>
        <a:xfrm>
          <a:off x="9267825" y="3848100"/>
          <a:ext cx="1000126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NZ" sz="1100"/>
        </a:p>
      </xdr:txBody>
    </xdr:sp>
    <xdr:clientData/>
  </xdr:twoCellAnchor>
  <xdr:twoCellAnchor>
    <xdr:from>
      <xdr:col>16</xdr:col>
      <xdr:colOff>0</xdr:colOff>
      <xdr:row>16</xdr:row>
      <xdr:rowOff>47625</xdr:rowOff>
    </xdr:from>
    <xdr:to>
      <xdr:col>16</xdr:col>
      <xdr:colOff>0</xdr:colOff>
      <xdr:row>20</xdr:row>
      <xdr:rowOff>180975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1A8A2B7-6AC1-4AC3-8D68-D68FBB1A595C}"/>
            </a:ext>
          </a:extLst>
        </xdr:cNvPr>
        <xdr:cNvCxnSpPr/>
      </xdr:nvCxnSpPr>
      <xdr:spPr>
        <a:xfrm flipV="1">
          <a:off x="9753600" y="2905125"/>
          <a:ext cx="0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542925</xdr:colOff>
      <xdr:row>21</xdr:row>
      <xdr:rowOff>38100</xdr:rowOff>
    </xdr:from>
    <xdr:to>
      <xdr:col>20</xdr:col>
      <xdr:colOff>323851</xdr:colOff>
      <xdr:row>26</xdr:row>
      <xdr:rowOff>104775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8B2B4847-D669-49EC-8BB3-58D86F766C0C}"/>
            </a:ext>
          </a:extLst>
        </xdr:cNvPr>
        <xdr:cNvSpPr txBox="1"/>
      </xdr:nvSpPr>
      <xdr:spPr>
        <a:xfrm>
          <a:off x="11515725" y="3848100"/>
          <a:ext cx="1000126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NZ" sz="1100"/>
        </a:p>
      </xdr:txBody>
    </xdr:sp>
    <xdr:clientData/>
  </xdr:twoCellAnchor>
  <xdr:twoCellAnchor>
    <xdr:from>
      <xdr:col>22</xdr:col>
      <xdr:colOff>38100</xdr:colOff>
      <xdr:row>21</xdr:row>
      <xdr:rowOff>38100</xdr:rowOff>
    </xdr:from>
    <xdr:to>
      <xdr:col>23</xdr:col>
      <xdr:colOff>428626</xdr:colOff>
      <xdr:row>26</xdr:row>
      <xdr:rowOff>104775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4B217DD-0EDB-4ACB-B719-8627FB509FE0}"/>
            </a:ext>
          </a:extLst>
        </xdr:cNvPr>
        <xdr:cNvSpPr txBox="1"/>
      </xdr:nvSpPr>
      <xdr:spPr>
        <a:xfrm>
          <a:off x="13449300" y="3848100"/>
          <a:ext cx="1000126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NZ" sz="1100"/>
        </a:p>
      </xdr:txBody>
    </xdr:sp>
    <xdr:clientData/>
  </xdr:twoCellAnchor>
  <xdr:twoCellAnchor>
    <xdr:from>
      <xdr:col>22</xdr:col>
      <xdr:colOff>542925</xdr:colOff>
      <xdr:row>16</xdr:row>
      <xdr:rowOff>57150</xdr:rowOff>
    </xdr:from>
    <xdr:to>
      <xdr:col>22</xdr:col>
      <xdr:colOff>542925</xdr:colOff>
      <xdr:row>21</xdr:row>
      <xdr:rowOff>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AF10E01-DF52-485D-9985-71A2918BBBC5}"/>
            </a:ext>
          </a:extLst>
        </xdr:cNvPr>
        <xdr:cNvCxnSpPr/>
      </xdr:nvCxnSpPr>
      <xdr:spPr>
        <a:xfrm flipV="1">
          <a:off x="13954125" y="2914650"/>
          <a:ext cx="0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438150</xdr:colOff>
      <xdr:row>16</xdr:row>
      <xdr:rowOff>66675</xdr:rowOff>
    </xdr:from>
    <xdr:to>
      <xdr:col>19</xdr:col>
      <xdr:colOff>438150</xdr:colOff>
      <xdr:row>21</xdr:row>
      <xdr:rowOff>9525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1FF8BCCD-7E80-49BE-A093-878928A53E1A}"/>
            </a:ext>
          </a:extLst>
        </xdr:cNvPr>
        <xdr:cNvCxnSpPr/>
      </xdr:nvCxnSpPr>
      <xdr:spPr>
        <a:xfrm flipV="1">
          <a:off x="12020550" y="2924175"/>
          <a:ext cx="0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123824</xdr:colOff>
      <xdr:row>21</xdr:row>
      <xdr:rowOff>38100</xdr:rowOff>
    </xdr:from>
    <xdr:to>
      <xdr:col>16</xdr:col>
      <xdr:colOff>533399</xdr:colOff>
      <xdr:row>26</xdr:row>
      <xdr:rowOff>93844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8BECF92-7CF5-42C1-AC36-776F97037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67824" y="3848100"/>
          <a:ext cx="1019175" cy="1028975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542924</xdr:colOff>
      <xdr:row>21</xdr:row>
      <xdr:rowOff>38100</xdr:rowOff>
    </xdr:from>
    <xdr:to>
      <xdr:col>20</xdr:col>
      <xdr:colOff>342899</xdr:colOff>
      <xdr:row>26</xdr:row>
      <xdr:rowOff>93844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B5AC788-1A6F-4D97-B796-9FEEB0F70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5724" y="3848100"/>
          <a:ext cx="1019175" cy="1028975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21</xdr:row>
      <xdr:rowOff>38100</xdr:rowOff>
    </xdr:from>
    <xdr:to>
      <xdr:col>23</xdr:col>
      <xdr:colOff>457200</xdr:colOff>
      <xdr:row>26</xdr:row>
      <xdr:rowOff>103460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A13A27-760C-4468-81F3-1AF65014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3848100"/>
          <a:ext cx="1028700" cy="1038591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24</xdr:row>
      <xdr:rowOff>28575</xdr:rowOff>
    </xdr:from>
    <xdr:to>
      <xdr:col>4</xdr:col>
      <xdr:colOff>590550</xdr:colOff>
      <xdr:row>29</xdr:row>
      <xdr:rowOff>66675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BD0F348-9360-4ECB-8825-F39299B34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8350" y="4410075"/>
          <a:ext cx="990600" cy="1000125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23</xdr:row>
      <xdr:rowOff>180975</xdr:rowOff>
    </xdr:from>
    <xdr:to>
      <xdr:col>11</xdr:col>
      <xdr:colOff>228600</xdr:colOff>
      <xdr:row>29</xdr:row>
      <xdr:rowOff>28576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81BEBC0-582A-4801-A35F-909A84F3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0" y="4371975"/>
          <a:ext cx="990600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5</xdr:row>
      <xdr:rowOff>47625</xdr:rowOff>
    </xdr:from>
    <xdr:to>
      <xdr:col>8</xdr:col>
      <xdr:colOff>74717</xdr:colOff>
      <xdr:row>10</xdr:row>
      <xdr:rowOff>160243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48C663-098F-4847-A6B8-B02CB416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14775" y="809625"/>
          <a:ext cx="1036742" cy="1095375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5</xdr:row>
      <xdr:rowOff>85725</xdr:rowOff>
    </xdr:from>
    <xdr:to>
      <xdr:col>15</xdr:col>
      <xdr:colOff>274742</xdr:colOff>
      <xdr:row>11</xdr:row>
      <xdr:rowOff>7844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B19345E-0845-44F6-A95E-5EC4FA4E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0" y="847725"/>
          <a:ext cx="1036742" cy="1095375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11</xdr:row>
      <xdr:rowOff>38100</xdr:rowOff>
    </xdr:from>
    <xdr:to>
      <xdr:col>14</xdr:col>
      <xdr:colOff>38100</xdr:colOff>
      <xdr:row>14</xdr:row>
      <xdr:rowOff>133350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629D573E-63CF-40B3-BE97-3C01159F7610}"/>
            </a:ext>
          </a:extLst>
        </xdr:cNvPr>
        <xdr:cNvCxnSpPr/>
      </xdr:nvCxnSpPr>
      <xdr:spPr>
        <a:xfrm>
          <a:off x="8572500" y="1943100"/>
          <a:ext cx="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504825</xdr:colOff>
      <xdr:row>5</xdr:row>
      <xdr:rowOff>123825</xdr:rowOff>
    </xdr:from>
    <xdr:to>
      <xdr:col>20</xdr:col>
      <xdr:colOff>322367</xdr:colOff>
      <xdr:row>11</xdr:row>
      <xdr:rowOff>45944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656A53D-F3DC-47F8-97EA-CF2A41DE8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77625" y="885825"/>
          <a:ext cx="1036742" cy="1095375"/>
        </a:xfrm>
        <a:prstGeom prst="rect">
          <a:avLst/>
        </a:prstGeom>
      </xdr:spPr>
    </xdr:pic>
    <xdr:clientData/>
  </xdr:twoCellAnchor>
  <xdr:twoCellAnchor>
    <xdr:from>
      <xdr:col>19</xdr:col>
      <xdr:colOff>438150</xdr:colOff>
      <xdr:row>11</xdr:row>
      <xdr:rowOff>38100</xdr:rowOff>
    </xdr:from>
    <xdr:to>
      <xdr:col>19</xdr:col>
      <xdr:colOff>438150</xdr:colOff>
      <xdr:row>14</xdr:row>
      <xdr:rowOff>133350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6B626B57-191D-4599-A103-D148A38D73AB}"/>
            </a:ext>
          </a:extLst>
        </xdr:cNvPr>
        <xdr:cNvCxnSpPr/>
      </xdr:nvCxnSpPr>
      <xdr:spPr>
        <a:xfrm>
          <a:off x="12020550" y="1943100"/>
          <a:ext cx="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37</xdr:row>
      <xdr:rowOff>66675</xdr:rowOff>
    </xdr:from>
    <xdr:to>
      <xdr:col>45</xdr:col>
      <xdr:colOff>9525</xdr:colOff>
      <xdr:row>39</xdr:row>
      <xdr:rowOff>180975</xdr:rowOff>
    </xdr:to>
    <xdr:sp macro="" textlink="">
      <xdr:nvSpPr>
        <xdr:cNvPr id="43" name="Arrow: Right 42">
          <a:extLst>
            <a:ext uri="{FF2B5EF4-FFF2-40B4-BE49-F238E27FC236}">
              <a16:creationId xmlns:a16="http://schemas.microsoft.com/office/drawing/2014/main" id="{AB3F4C5C-B857-4C50-B9FD-E0F672167783}"/>
            </a:ext>
          </a:extLst>
        </xdr:cNvPr>
        <xdr:cNvSpPr/>
      </xdr:nvSpPr>
      <xdr:spPr>
        <a:xfrm>
          <a:off x="34966275" y="6972300"/>
          <a:ext cx="145732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54</xdr:col>
      <xdr:colOff>1</xdr:colOff>
      <xdr:row>37</xdr:row>
      <xdr:rowOff>76200</xdr:rowOff>
    </xdr:from>
    <xdr:to>
      <xdr:col>62</xdr:col>
      <xdr:colOff>342901</xdr:colOff>
      <xdr:row>39</xdr:row>
      <xdr:rowOff>190500</xdr:rowOff>
    </xdr:to>
    <xdr:sp macro="" textlink="">
      <xdr:nvSpPr>
        <xdr:cNvPr id="48" name="Arrow: Right 47">
          <a:extLst>
            <a:ext uri="{FF2B5EF4-FFF2-40B4-BE49-F238E27FC236}">
              <a16:creationId xmlns:a16="http://schemas.microsoft.com/office/drawing/2014/main" id="{4774C57C-CB7A-4766-97A6-1BDCCE6A6B1D}"/>
            </a:ext>
          </a:extLst>
        </xdr:cNvPr>
        <xdr:cNvSpPr/>
      </xdr:nvSpPr>
      <xdr:spPr>
        <a:xfrm>
          <a:off x="39671626" y="6981825"/>
          <a:ext cx="3238500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63</xdr:col>
      <xdr:colOff>9525</xdr:colOff>
      <xdr:row>37</xdr:row>
      <xdr:rowOff>85725</xdr:rowOff>
    </xdr:from>
    <xdr:to>
      <xdr:col>71</xdr:col>
      <xdr:colOff>342900</xdr:colOff>
      <xdr:row>40</xdr:row>
      <xdr:rowOff>0</xdr:rowOff>
    </xdr:to>
    <xdr:sp macro="" textlink="">
      <xdr:nvSpPr>
        <xdr:cNvPr id="53" name="Arrow: Right 52">
          <a:extLst>
            <a:ext uri="{FF2B5EF4-FFF2-40B4-BE49-F238E27FC236}">
              <a16:creationId xmlns:a16="http://schemas.microsoft.com/office/drawing/2014/main" id="{41726E3C-8541-4267-A6C0-7BF0FD9AEE61}"/>
            </a:ext>
          </a:extLst>
        </xdr:cNvPr>
        <xdr:cNvSpPr/>
      </xdr:nvSpPr>
      <xdr:spPr>
        <a:xfrm>
          <a:off x="42938700" y="6991350"/>
          <a:ext cx="322897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45</xdr:col>
      <xdr:colOff>9525</xdr:colOff>
      <xdr:row>37</xdr:row>
      <xdr:rowOff>76200</xdr:rowOff>
    </xdr:from>
    <xdr:to>
      <xdr:col>53</xdr:col>
      <xdr:colOff>342900</xdr:colOff>
      <xdr:row>39</xdr:row>
      <xdr:rowOff>190500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24370C41-EB44-4678-B312-4303DC57368F}"/>
            </a:ext>
          </a:extLst>
        </xdr:cNvPr>
        <xdr:cNvSpPr/>
      </xdr:nvSpPr>
      <xdr:spPr>
        <a:xfrm>
          <a:off x="36423600" y="6981825"/>
          <a:ext cx="322897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45</xdr:col>
      <xdr:colOff>59391</xdr:colOff>
      <xdr:row>11</xdr:row>
      <xdr:rowOff>83203</xdr:rowOff>
    </xdr:from>
    <xdr:to>
      <xdr:col>45</xdr:col>
      <xdr:colOff>100853</xdr:colOff>
      <xdr:row>38</xdr:row>
      <xdr:rowOff>11206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2BD2DBD-4380-4C26-9B39-2430161B1C49}"/>
            </a:ext>
          </a:extLst>
        </xdr:cNvPr>
        <xdr:cNvCxnSpPr>
          <a:stCxn id="22" idx="3"/>
        </xdr:cNvCxnSpPr>
      </xdr:nvCxnSpPr>
      <xdr:spPr>
        <a:xfrm>
          <a:off x="39190332" y="2010615"/>
          <a:ext cx="41462" cy="510512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142875</xdr:colOff>
      <xdr:row>34</xdr:row>
      <xdr:rowOff>114300</xdr:rowOff>
    </xdr:from>
    <xdr:to>
      <xdr:col>47</xdr:col>
      <xdr:colOff>142876</xdr:colOff>
      <xdr:row>38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6EF377F-5AFA-4208-81F9-99596692444D}"/>
            </a:ext>
          </a:extLst>
        </xdr:cNvPr>
        <xdr:cNvCxnSpPr>
          <a:stCxn id="17" idx="3"/>
        </xdr:cNvCxnSpPr>
      </xdr:nvCxnSpPr>
      <xdr:spPr>
        <a:xfrm>
          <a:off x="37452300" y="6448425"/>
          <a:ext cx="1" cy="6477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200025</xdr:colOff>
      <xdr:row>32</xdr:row>
      <xdr:rowOff>114300</xdr:rowOff>
    </xdr:from>
    <xdr:to>
      <xdr:col>47</xdr:col>
      <xdr:colOff>142875</xdr:colOff>
      <xdr:row>36</xdr:row>
      <xdr:rowOff>123825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DFDA3D0-0EF9-47F5-B2B6-5F33B8392021}"/>
            </a:ext>
          </a:extLst>
        </xdr:cNvPr>
        <xdr:cNvSpPr txBox="1"/>
      </xdr:nvSpPr>
      <xdr:spPr>
        <a:xfrm>
          <a:off x="36423600" y="6057900"/>
          <a:ext cx="1028700" cy="7810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Universal Lines Req. for Sec</a:t>
          </a:r>
          <a:br>
            <a:rPr lang="en-NZ" sz="1100"/>
          </a:br>
          <a:r>
            <a:rPr lang="en-NZ" sz="1100"/>
            <a:t>Apr 2022</a:t>
          </a:r>
        </a:p>
      </xdr:txBody>
    </xdr:sp>
    <xdr:clientData/>
  </xdr:twoCellAnchor>
  <xdr:twoCellAnchor>
    <xdr:from>
      <xdr:col>41</xdr:col>
      <xdr:colOff>284629</xdr:colOff>
      <xdr:row>9</xdr:row>
      <xdr:rowOff>110377</xdr:rowOff>
    </xdr:from>
    <xdr:to>
      <xdr:col>45</xdr:col>
      <xdr:colOff>59391</xdr:colOff>
      <xdr:row>13</xdr:row>
      <xdr:rowOff>56029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3103AFC-D852-4338-A70E-EB8145A28029}"/>
            </a:ext>
          </a:extLst>
        </xdr:cNvPr>
        <xdr:cNvSpPr txBox="1"/>
      </xdr:nvSpPr>
      <xdr:spPr>
        <a:xfrm>
          <a:off x="37981217" y="1656789"/>
          <a:ext cx="1209115" cy="70765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Kardex Install x 3</a:t>
          </a:r>
          <a:br>
            <a:rPr lang="en-NZ" sz="1100"/>
          </a:br>
          <a:r>
            <a:rPr lang="en-NZ" sz="1100"/>
            <a:t>RPS Install</a:t>
          </a:r>
          <a:r>
            <a:rPr lang="en-NZ" sz="1100" baseline="0"/>
            <a:t> x 2</a:t>
          </a:r>
          <a:br>
            <a:rPr lang="en-NZ" sz="1100" baseline="0"/>
          </a:br>
          <a:r>
            <a:rPr lang="en-NZ" sz="1100" baseline="0"/>
            <a:t>Test Tower x 2</a:t>
          </a:r>
          <a:br>
            <a:rPr lang="en-NZ" sz="1100" baseline="0"/>
          </a:br>
          <a:endParaRPr lang="en-NZ" sz="1100"/>
        </a:p>
      </xdr:txBody>
    </xdr:sp>
    <xdr:clientData/>
  </xdr:twoCellAnchor>
  <xdr:twoCellAnchor>
    <xdr:from>
      <xdr:col>56</xdr:col>
      <xdr:colOff>291354</xdr:colOff>
      <xdr:row>21</xdr:row>
      <xdr:rowOff>51267</xdr:rowOff>
    </xdr:from>
    <xdr:to>
      <xdr:col>56</xdr:col>
      <xdr:colOff>304800</xdr:colOff>
      <xdr:row>38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346BBF5-DA13-412C-A6AF-E4C8A7DD0E62}"/>
            </a:ext>
          </a:extLst>
        </xdr:cNvPr>
        <xdr:cNvCxnSpPr>
          <a:stCxn id="55" idx="3"/>
        </xdr:cNvCxnSpPr>
      </xdr:nvCxnSpPr>
      <xdr:spPr>
        <a:xfrm flipH="1">
          <a:off x="43680530" y="3894885"/>
          <a:ext cx="13446" cy="320964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19050</xdr:colOff>
      <xdr:row>18</xdr:row>
      <xdr:rowOff>169769</xdr:rowOff>
    </xdr:from>
    <xdr:to>
      <xdr:col>56</xdr:col>
      <xdr:colOff>304800</xdr:colOff>
      <xdr:row>23</xdr:row>
      <xdr:rowOff>123264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813FEBDC-5386-4B2D-A662-C044AF88B0AC}"/>
            </a:ext>
          </a:extLst>
        </xdr:cNvPr>
        <xdr:cNvSpPr txBox="1"/>
      </xdr:nvSpPr>
      <xdr:spPr>
        <a:xfrm>
          <a:off x="42332462" y="3441887"/>
          <a:ext cx="1361514" cy="90599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rgbClr val="FF99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4th SMT Line</a:t>
          </a:r>
          <a:br>
            <a:rPr lang="en-NZ" sz="1100"/>
          </a:br>
          <a:r>
            <a:rPr lang="en-NZ" sz="1100"/>
            <a:t>Or SW upgrade to Yamaha</a:t>
          </a:r>
          <a:br>
            <a:rPr lang="en-NZ" sz="1100"/>
          </a:br>
          <a:r>
            <a:rPr lang="en-NZ" sz="1100"/>
            <a:t>Apr 2023</a:t>
          </a:r>
        </a:p>
      </xdr:txBody>
    </xdr:sp>
    <xdr:clientData/>
  </xdr:twoCellAnchor>
  <xdr:twoCellAnchor>
    <xdr:from>
      <xdr:col>72</xdr:col>
      <xdr:colOff>0</xdr:colOff>
      <xdr:row>37</xdr:row>
      <xdr:rowOff>57150</xdr:rowOff>
    </xdr:from>
    <xdr:to>
      <xdr:col>80</xdr:col>
      <xdr:colOff>333375</xdr:colOff>
      <xdr:row>39</xdr:row>
      <xdr:rowOff>171450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3B537A7C-29F7-49BB-8617-997B5BD8669B}"/>
            </a:ext>
          </a:extLst>
        </xdr:cNvPr>
        <xdr:cNvSpPr/>
      </xdr:nvSpPr>
      <xdr:spPr>
        <a:xfrm>
          <a:off x="46186725" y="6962775"/>
          <a:ext cx="322897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52</xdr:col>
      <xdr:colOff>133350</xdr:colOff>
      <xdr:row>20</xdr:row>
      <xdr:rowOff>156882</xdr:rowOff>
    </xdr:from>
    <xdr:to>
      <xdr:col>52</xdr:col>
      <xdr:colOff>168088</xdr:colOff>
      <xdr:row>38</xdr:row>
      <xdr:rowOff>11206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F8F1D6CE-7825-427E-8EE5-7778E5928829}"/>
            </a:ext>
          </a:extLst>
        </xdr:cNvPr>
        <xdr:cNvCxnSpPr>
          <a:stCxn id="38" idx="3"/>
        </xdr:cNvCxnSpPr>
      </xdr:nvCxnSpPr>
      <xdr:spPr>
        <a:xfrm>
          <a:off x="42088174" y="3810000"/>
          <a:ext cx="34738" cy="33057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</xdr:colOff>
      <xdr:row>18</xdr:row>
      <xdr:rowOff>0</xdr:rowOff>
    </xdr:from>
    <xdr:to>
      <xdr:col>52</xdr:col>
      <xdr:colOff>133350</xdr:colOff>
      <xdr:row>23</xdr:row>
      <xdr:rowOff>123264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4D7109E-0161-4954-A2F4-AECEF145D3F1}"/>
            </a:ext>
          </a:extLst>
        </xdr:cNvPr>
        <xdr:cNvSpPr txBox="1"/>
      </xdr:nvSpPr>
      <xdr:spPr>
        <a:xfrm>
          <a:off x="40888584" y="3272118"/>
          <a:ext cx="1199590" cy="107576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7th RPS Line or Mod to exsisting fluxer</a:t>
          </a:r>
          <a:br>
            <a:rPr lang="en-NZ" sz="1100"/>
          </a:br>
          <a:r>
            <a:rPr lang="en-NZ" sz="1100"/>
            <a:t>Test Tower</a:t>
          </a:r>
          <a:br>
            <a:rPr lang="en-NZ" sz="1100"/>
          </a:br>
          <a:r>
            <a:rPr lang="en-NZ" sz="1100"/>
            <a:t>Nov 2022</a:t>
          </a:r>
        </a:p>
      </xdr:txBody>
    </xdr:sp>
    <xdr:clientData/>
  </xdr:twoCellAnchor>
  <xdr:twoCellAnchor>
    <xdr:from>
      <xdr:col>59</xdr:col>
      <xdr:colOff>209550</xdr:colOff>
      <xdr:row>34</xdr:row>
      <xdr:rowOff>4763</xdr:rowOff>
    </xdr:from>
    <xdr:to>
      <xdr:col>59</xdr:col>
      <xdr:colOff>219075</xdr:colOff>
      <xdr:row>38</xdr:row>
      <xdr:rowOff>9525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8068DF50-9FC5-4226-8DF7-F54DDB9CC753}"/>
            </a:ext>
          </a:extLst>
        </xdr:cNvPr>
        <xdr:cNvCxnSpPr>
          <a:stCxn id="63" idx="3"/>
        </xdr:cNvCxnSpPr>
      </xdr:nvCxnSpPr>
      <xdr:spPr>
        <a:xfrm>
          <a:off x="41690925" y="6338888"/>
          <a:ext cx="9525" cy="766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133350</xdr:colOff>
      <xdr:row>32</xdr:row>
      <xdr:rowOff>152400</xdr:rowOff>
    </xdr:from>
    <xdr:to>
      <xdr:col>59</xdr:col>
      <xdr:colOff>209550</xdr:colOff>
      <xdr:row>35</xdr:row>
      <xdr:rowOff>57150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E59410-3B9C-462A-A487-03DEDBD32198}"/>
            </a:ext>
          </a:extLst>
        </xdr:cNvPr>
        <xdr:cNvSpPr txBox="1"/>
      </xdr:nvSpPr>
      <xdr:spPr>
        <a:xfrm>
          <a:off x="40528875" y="6096000"/>
          <a:ext cx="1162050" cy="4857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SEC FA Line</a:t>
          </a:r>
          <a:br>
            <a:rPr lang="en-NZ" sz="1100"/>
          </a:br>
          <a:r>
            <a:rPr lang="en-NZ" sz="1100"/>
            <a:t>Aug 2023</a:t>
          </a:r>
        </a:p>
      </xdr:txBody>
    </xdr:sp>
    <xdr:clientData/>
  </xdr:twoCellAnchor>
  <xdr:twoCellAnchor>
    <xdr:from>
      <xdr:col>61</xdr:col>
      <xdr:colOff>57151</xdr:colOff>
      <xdr:row>20</xdr:row>
      <xdr:rowOff>156882</xdr:rowOff>
    </xdr:from>
    <xdr:to>
      <xdr:col>61</xdr:col>
      <xdr:colOff>66675</xdr:colOff>
      <xdr:row>38</xdr:row>
      <xdr:rowOff>9525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C9B36A3D-36D0-439F-9901-5C683EF6F171}"/>
            </a:ext>
          </a:extLst>
        </xdr:cNvPr>
        <xdr:cNvCxnSpPr>
          <a:stCxn id="81" idx="3"/>
        </xdr:cNvCxnSpPr>
      </xdr:nvCxnSpPr>
      <xdr:spPr>
        <a:xfrm flipH="1">
          <a:off x="45239269" y="3810000"/>
          <a:ext cx="9524" cy="330405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304800</xdr:colOff>
      <xdr:row>18</xdr:row>
      <xdr:rowOff>0</xdr:rowOff>
    </xdr:from>
    <xdr:to>
      <xdr:col>61</xdr:col>
      <xdr:colOff>66675</xdr:colOff>
      <xdr:row>23</xdr:row>
      <xdr:rowOff>123264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6DFD8A62-CD31-46FD-B5CF-2111C9E35C12}"/>
            </a:ext>
          </a:extLst>
        </xdr:cNvPr>
        <xdr:cNvSpPr txBox="1"/>
      </xdr:nvSpPr>
      <xdr:spPr>
        <a:xfrm>
          <a:off x="44052565" y="3272118"/>
          <a:ext cx="1196228" cy="107576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8th RPS Line or Mod to exsisting fluxer</a:t>
          </a:r>
          <a:br>
            <a:rPr lang="en-NZ" sz="1100"/>
          </a:br>
          <a:r>
            <a:rPr lang="en-NZ" sz="1100"/>
            <a:t>Test Tower</a:t>
          </a:r>
          <a:br>
            <a:rPr lang="en-NZ" sz="1100"/>
          </a:br>
          <a:r>
            <a:rPr lang="en-NZ" sz="1100"/>
            <a:t>Nov 2023</a:t>
          </a:r>
        </a:p>
      </xdr:txBody>
    </xdr:sp>
    <xdr:clientData/>
  </xdr:twoCellAnchor>
  <xdr:twoCellAnchor>
    <xdr:from>
      <xdr:col>66</xdr:col>
      <xdr:colOff>228600</xdr:colOff>
      <xdr:row>34</xdr:row>
      <xdr:rowOff>14288</xdr:rowOff>
    </xdr:from>
    <xdr:to>
      <xdr:col>66</xdr:col>
      <xdr:colOff>238125</xdr:colOff>
      <xdr:row>38</xdr:row>
      <xdr:rowOff>19050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6EA558FD-FEE5-41CF-A4BF-A16C1C6234CE}"/>
            </a:ext>
          </a:extLst>
        </xdr:cNvPr>
        <xdr:cNvCxnSpPr>
          <a:stCxn id="84" idx="3"/>
        </xdr:cNvCxnSpPr>
      </xdr:nvCxnSpPr>
      <xdr:spPr>
        <a:xfrm>
          <a:off x="44243625" y="6348413"/>
          <a:ext cx="9525" cy="766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152400</xdr:colOff>
      <xdr:row>32</xdr:row>
      <xdr:rowOff>161925</xdr:rowOff>
    </xdr:from>
    <xdr:to>
      <xdr:col>66</xdr:col>
      <xdr:colOff>228600</xdr:colOff>
      <xdr:row>35</xdr:row>
      <xdr:rowOff>66675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A8C3556D-51F6-4E38-8407-4286C6B7724E}"/>
            </a:ext>
          </a:extLst>
        </xdr:cNvPr>
        <xdr:cNvSpPr txBox="1"/>
      </xdr:nvSpPr>
      <xdr:spPr>
        <a:xfrm>
          <a:off x="43081575" y="6105525"/>
          <a:ext cx="1162050" cy="4857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SEC FA Line</a:t>
          </a:r>
          <a:br>
            <a:rPr lang="en-NZ" sz="1100"/>
          </a:br>
          <a:r>
            <a:rPr lang="en-NZ" sz="1100"/>
            <a:t>May 2024</a:t>
          </a:r>
        </a:p>
      </xdr:txBody>
    </xdr:sp>
    <xdr:clientData/>
  </xdr:twoCellAnchor>
  <xdr:twoCellAnchor>
    <xdr:from>
      <xdr:col>70</xdr:col>
      <xdr:colOff>142875</xdr:colOff>
      <xdr:row>20</xdr:row>
      <xdr:rowOff>151279</xdr:rowOff>
    </xdr:from>
    <xdr:to>
      <xdr:col>70</xdr:col>
      <xdr:colOff>180975</xdr:colOff>
      <xdr:row>38</xdr:row>
      <xdr:rowOff>38100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09593F65-A5ED-4A0A-849C-30CC6F1F6909}"/>
            </a:ext>
          </a:extLst>
        </xdr:cNvPr>
        <xdr:cNvCxnSpPr>
          <a:stCxn id="86" idx="3"/>
        </xdr:cNvCxnSpPr>
      </xdr:nvCxnSpPr>
      <xdr:spPr>
        <a:xfrm>
          <a:off x="48552287" y="3804397"/>
          <a:ext cx="38100" cy="3338232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19050</xdr:colOff>
      <xdr:row>18</xdr:row>
      <xdr:rowOff>0</xdr:rowOff>
    </xdr:from>
    <xdr:to>
      <xdr:col>70</xdr:col>
      <xdr:colOff>142875</xdr:colOff>
      <xdr:row>23</xdr:row>
      <xdr:rowOff>112058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3F56FDA4-F902-4726-9D7A-B1820D7D1C29}"/>
            </a:ext>
          </a:extLst>
        </xdr:cNvPr>
        <xdr:cNvSpPr txBox="1"/>
      </xdr:nvSpPr>
      <xdr:spPr>
        <a:xfrm>
          <a:off x="47352697" y="3272118"/>
          <a:ext cx="1199590" cy="106455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9th RPS Line or Mod to exsisting fluxer</a:t>
          </a:r>
          <a:br>
            <a:rPr lang="en-NZ" sz="1100"/>
          </a:br>
          <a:r>
            <a:rPr lang="en-NZ" sz="1100"/>
            <a:t>Test Tower</a:t>
          </a:r>
          <a:br>
            <a:rPr lang="en-NZ" sz="1100"/>
          </a:br>
          <a:r>
            <a:rPr lang="en-NZ" sz="1100"/>
            <a:t>Nov 2024</a:t>
          </a:r>
        </a:p>
      </xdr:txBody>
    </xdr:sp>
    <xdr:clientData/>
  </xdr:twoCellAnchor>
  <xdr:twoCellAnchor>
    <xdr:from>
      <xdr:col>77</xdr:col>
      <xdr:colOff>133351</xdr:colOff>
      <xdr:row>20</xdr:row>
      <xdr:rowOff>137832</xdr:rowOff>
    </xdr:from>
    <xdr:to>
      <xdr:col>77</xdr:col>
      <xdr:colOff>142875</xdr:colOff>
      <xdr:row>37</xdr:row>
      <xdr:rowOff>161925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88CFE6A9-054A-442F-A605-BFE00FE3BD56}"/>
            </a:ext>
          </a:extLst>
        </xdr:cNvPr>
        <xdr:cNvCxnSpPr>
          <a:stCxn id="88" idx="3"/>
        </xdr:cNvCxnSpPr>
      </xdr:nvCxnSpPr>
      <xdr:spPr>
        <a:xfrm flipH="1">
          <a:off x="51052880" y="3790950"/>
          <a:ext cx="9524" cy="328500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19050</xdr:colOff>
      <xdr:row>17</xdr:row>
      <xdr:rowOff>152400</xdr:rowOff>
    </xdr:from>
    <xdr:to>
      <xdr:col>77</xdr:col>
      <xdr:colOff>142875</xdr:colOff>
      <xdr:row>23</xdr:row>
      <xdr:rowOff>123264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D3D37062-9E36-41AB-998F-30FBB41EC41D}"/>
            </a:ext>
          </a:extLst>
        </xdr:cNvPr>
        <xdr:cNvSpPr txBox="1"/>
      </xdr:nvSpPr>
      <xdr:spPr>
        <a:xfrm>
          <a:off x="49862815" y="3234018"/>
          <a:ext cx="1199589" cy="111386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10th RPS Line or Mod to exsisting fluxer</a:t>
          </a:r>
          <a:br>
            <a:rPr lang="en-NZ" sz="1100"/>
          </a:br>
          <a:r>
            <a:rPr lang="en-NZ" sz="1100"/>
            <a:t>Test Tower</a:t>
          </a:r>
          <a:br>
            <a:rPr lang="en-NZ" sz="1100"/>
          </a:br>
          <a:r>
            <a:rPr lang="en-NZ" sz="1100"/>
            <a:t>Aug 2025</a:t>
          </a:r>
        </a:p>
      </xdr:txBody>
    </xdr:sp>
    <xdr:clientData/>
  </xdr:twoCellAnchor>
  <xdr:twoCellAnchor>
    <xdr:from>
      <xdr:col>70</xdr:col>
      <xdr:colOff>85725</xdr:colOff>
      <xdr:row>34</xdr:row>
      <xdr:rowOff>147638</xdr:rowOff>
    </xdr:from>
    <xdr:to>
      <xdr:col>70</xdr:col>
      <xdr:colOff>95250</xdr:colOff>
      <xdr:row>38</xdr:row>
      <xdr:rowOff>9525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F55A14E4-3DC0-4D3C-ABB0-C3FFBAB3BFBF}"/>
            </a:ext>
          </a:extLst>
        </xdr:cNvPr>
        <xdr:cNvCxnSpPr>
          <a:stCxn id="90" idx="3"/>
        </xdr:cNvCxnSpPr>
      </xdr:nvCxnSpPr>
      <xdr:spPr>
        <a:xfrm>
          <a:off x="45720000" y="6481763"/>
          <a:ext cx="9525" cy="6238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9525</xdr:colOff>
      <xdr:row>32</xdr:row>
      <xdr:rowOff>152400</xdr:rowOff>
    </xdr:from>
    <xdr:to>
      <xdr:col>70</xdr:col>
      <xdr:colOff>85725</xdr:colOff>
      <xdr:row>36</xdr:row>
      <xdr:rowOff>152400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60CF2FDE-059E-40B1-A950-B529B821801A}"/>
            </a:ext>
          </a:extLst>
        </xdr:cNvPr>
        <xdr:cNvSpPr txBox="1"/>
      </xdr:nvSpPr>
      <xdr:spPr>
        <a:xfrm>
          <a:off x="44557950" y="6096000"/>
          <a:ext cx="1162050" cy="7715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SEC FA Line</a:t>
          </a:r>
          <a:br>
            <a:rPr lang="en-NZ" sz="1100"/>
          </a:br>
          <a:r>
            <a:rPr lang="en-NZ" sz="1100"/>
            <a:t>AM</a:t>
          </a:r>
          <a:r>
            <a:rPr lang="en-NZ" sz="1100" baseline="0"/>
            <a:t> FA Line</a:t>
          </a:r>
          <a:br>
            <a:rPr lang="en-NZ" sz="1100"/>
          </a:br>
          <a:r>
            <a:rPr lang="en-NZ" sz="1100"/>
            <a:t>Nov 2024</a:t>
          </a:r>
        </a:p>
      </xdr:txBody>
    </xdr:sp>
    <xdr:clientData/>
  </xdr:twoCellAnchor>
  <xdr:twoCellAnchor editAs="oneCell">
    <xdr:from>
      <xdr:col>41</xdr:col>
      <xdr:colOff>19050</xdr:colOff>
      <xdr:row>32</xdr:row>
      <xdr:rowOff>73699</xdr:rowOff>
    </xdr:from>
    <xdr:to>
      <xdr:col>44</xdr:col>
      <xdr:colOff>166640</xdr:colOff>
      <xdr:row>36</xdr:row>
      <xdr:rowOff>88490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234C40D-E658-4B04-A68D-E9F72FBD381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85650" y="6017299"/>
          <a:ext cx="1233440" cy="786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142875</xdr:colOff>
      <xdr:row>15</xdr:row>
      <xdr:rowOff>19050</xdr:rowOff>
    </xdr:from>
    <xdr:to>
      <xdr:col>53</xdr:col>
      <xdr:colOff>257175</xdr:colOff>
      <xdr:row>18</xdr:row>
      <xdr:rowOff>104775</xdr:rowOff>
    </xdr:to>
    <xdr:sp macro="" textlink="">
      <xdr:nvSpPr>
        <xdr:cNvPr id="113" name="Arrow: Curved Right 112">
          <a:extLst>
            <a:ext uri="{FF2B5EF4-FFF2-40B4-BE49-F238E27FC236}">
              <a16:creationId xmlns:a16="http://schemas.microsoft.com/office/drawing/2014/main" id="{726471A1-F08F-4DD4-8516-DE743D06F98A}"/>
            </a:ext>
          </a:extLst>
        </xdr:cNvPr>
        <xdr:cNvSpPr/>
      </xdr:nvSpPr>
      <xdr:spPr>
        <a:xfrm rot="10800000">
          <a:off x="41690925" y="2705100"/>
          <a:ext cx="476250" cy="6667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91328</xdr:colOff>
      <xdr:row>6</xdr:row>
      <xdr:rowOff>132230</xdr:rowOff>
    </xdr:from>
    <xdr:to>
      <xdr:col>46</xdr:col>
      <xdr:colOff>205628</xdr:colOff>
      <xdr:row>10</xdr:row>
      <xdr:rowOff>27455</xdr:rowOff>
    </xdr:to>
    <xdr:sp macro="" textlink="">
      <xdr:nvSpPr>
        <xdr:cNvPr id="114" name="Arrow: Curved Right 113">
          <a:extLst>
            <a:ext uri="{FF2B5EF4-FFF2-40B4-BE49-F238E27FC236}">
              <a16:creationId xmlns:a16="http://schemas.microsoft.com/office/drawing/2014/main" id="{331CCD9D-769A-4827-915A-1C487B8089E3}"/>
            </a:ext>
          </a:extLst>
        </xdr:cNvPr>
        <xdr:cNvSpPr/>
      </xdr:nvSpPr>
      <xdr:spPr>
        <a:xfrm rot="10800000">
          <a:off x="39222269" y="1095936"/>
          <a:ext cx="472888" cy="668431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314325</xdr:colOff>
      <xdr:row>7</xdr:row>
      <xdr:rowOff>57149</xdr:rowOff>
    </xdr:from>
    <xdr:to>
      <xdr:col>58</xdr:col>
      <xdr:colOff>66675</xdr:colOff>
      <xdr:row>19</xdr:row>
      <xdr:rowOff>100852</xdr:rowOff>
    </xdr:to>
    <xdr:sp macro="" textlink="">
      <xdr:nvSpPr>
        <xdr:cNvPr id="115" name="Arrow: Curved Right 114">
          <a:extLst>
            <a:ext uri="{FF2B5EF4-FFF2-40B4-BE49-F238E27FC236}">
              <a16:creationId xmlns:a16="http://schemas.microsoft.com/office/drawing/2014/main" id="{A0F15CC7-0BE4-4370-90BB-BC9350C17D0E}"/>
            </a:ext>
          </a:extLst>
        </xdr:cNvPr>
        <xdr:cNvSpPr/>
      </xdr:nvSpPr>
      <xdr:spPr>
        <a:xfrm rot="10800000">
          <a:off x="43389737" y="1222561"/>
          <a:ext cx="469526" cy="2340909"/>
        </a:xfrm>
        <a:prstGeom prst="curved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76200</xdr:colOff>
      <xdr:row>15</xdr:row>
      <xdr:rowOff>9524</xdr:rowOff>
    </xdr:from>
    <xdr:to>
      <xdr:col>62</xdr:col>
      <xdr:colOff>190500</xdr:colOff>
      <xdr:row>18</xdr:row>
      <xdr:rowOff>152399</xdr:rowOff>
    </xdr:to>
    <xdr:sp macro="" textlink="">
      <xdr:nvSpPr>
        <xdr:cNvPr id="116" name="Arrow: Curved Right 115">
          <a:extLst>
            <a:ext uri="{FF2B5EF4-FFF2-40B4-BE49-F238E27FC236}">
              <a16:creationId xmlns:a16="http://schemas.microsoft.com/office/drawing/2014/main" id="{350C51B9-6477-4398-B13F-2FF867DD313F}"/>
            </a:ext>
          </a:extLst>
        </xdr:cNvPr>
        <xdr:cNvSpPr/>
      </xdr:nvSpPr>
      <xdr:spPr>
        <a:xfrm rot="10800000">
          <a:off x="42452925" y="2695574"/>
          <a:ext cx="476250" cy="7239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133350</xdr:colOff>
      <xdr:row>15</xdr:row>
      <xdr:rowOff>47625</xdr:rowOff>
    </xdr:from>
    <xdr:to>
      <xdr:col>71</xdr:col>
      <xdr:colOff>247650</xdr:colOff>
      <xdr:row>18</xdr:row>
      <xdr:rowOff>133350</xdr:rowOff>
    </xdr:to>
    <xdr:sp macro="" textlink="">
      <xdr:nvSpPr>
        <xdr:cNvPr id="117" name="Arrow: Curved Right 116">
          <a:extLst>
            <a:ext uri="{FF2B5EF4-FFF2-40B4-BE49-F238E27FC236}">
              <a16:creationId xmlns:a16="http://schemas.microsoft.com/office/drawing/2014/main" id="{384493BE-F44B-4FB9-87B0-5B3EED2AAFC3}"/>
            </a:ext>
          </a:extLst>
        </xdr:cNvPr>
        <xdr:cNvSpPr/>
      </xdr:nvSpPr>
      <xdr:spPr>
        <a:xfrm rot="10800000">
          <a:off x="48196500" y="2733675"/>
          <a:ext cx="476250" cy="6667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142875</xdr:colOff>
      <xdr:row>15</xdr:row>
      <xdr:rowOff>28575</xdr:rowOff>
    </xdr:from>
    <xdr:to>
      <xdr:col>78</xdr:col>
      <xdr:colOff>257175</xdr:colOff>
      <xdr:row>18</xdr:row>
      <xdr:rowOff>114300</xdr:rowOff>
    </xdr:to>
    <xdr:sp macro="" textlink="">
      <xdr:nvSpPr>
        <xdr:cNvPr id="118" name="Arrow: Curved Right 117">
          <a:extLst>
            <a:ext uri="{FF2B5EF4-FFF2-40B4-BE49-F238E27FC236}">
              <a16:creationId xmlns:a16="http://schemas.microsoft.com/office/drawing/2014/main" id="{214710B3-6727-45CA-9EB9-FB525DE9D1BF}"/>
            </a:ext>
          </a:extLst>
        </xdr:cNvPr>
        <xdr:cNvSpPr/>
      </xdr:nvSpPr>
      <xdr:spPr>
        <a:xfrm rot="10800000">
          <a:off x="50739675" y="2714625"/>
          <a:ext cx="476250" cy="6667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0</xdr:colOff>
      <xdr:row>2</xdr:row>
      <xdr:rowOff>66675</xdr:rowOff>
    </xdr:from>
    <xdr:to>
      <xdr:col>45</xdr:col>
      <xdr:colOff>9525</xdr:colOff>
      <xdr:row>4</xdr:row>
      <xdr:rowOff>180975</xdr:rowOff>
    </xdr:to>
    <xdr:sp macro="" textlink="">
      <xdr:nvSpPr>
        <xdr:cNvPr id="119" name="Arrow: Right 118">
          <a:extLst>
            <a:ext uri="{FF2B5EF4-FFF2-40B4-BE49-F238E27FC236}">
              <a16:creationId xmlns:a16="http://schemas.microsoft.com/office/drawing/2014/main" id="{3247C7C6-EDF7-4723-9FA9-C33B3911C6D9}"/>
            </a:ext>
          </a:extLst>
        </xdr:cNvPr>
        <xdr:cNvSpPr/>
      </xdr:nvSpPr>
      <xdr:spPr>
        <a:xfrm>
          <a:off x="35137725" y="257175"/>
          <a:ext cx="145732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54</xdr:col>
      <xdr:colOff>1</xdr:colOff>
      <xdr:row>2</xdr:row>
      <xdr:rowOff>66675</xdr:rowOff>
    </xdr:from>
    <xdr:to>
      <xdr:col>62</xdr:col>
      <xdr:colOff>342901</xdr:colOff>
      <xdr:row>4</xdr:row>
      <xdr:rowOff>180975</xdr:rowOff>
    </xdr:to>
    <xdr:sp macro="" textlink="">
      <xdr:nvSpPr>
        <xdr:cNvPr id="120" name="Arrow: Right 119">
          <a:extLst>
            <a:ext uri="{FF2B5EF4-FFF2-40B4-BE49-F238E27FC236}">
              <a16:creationId xmlns:a16="http://schemas.microsoft.com/office/drawing/2014/main" id="{3EA438CD-A549-4307-A582-A3B8247C693E}"/>
            </a:ext>
          </a:extLst>
        </xdr:cNvPr>
        <xdr:cNvSpPr/>
      </xdr:nvSpPr>
      <xdr:spPr>
        <a:xfrm>
          <a:off x="39843076" y="257175"/>
          <a:ext cx="3238500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63</xdr:col>
      <xdr:colOff>9525</xdr:colOff>
      <xdr:row>2</xdr:row>
      <xdr:rowOff>66675</xdr:rowOff>
    </xdr:from>
    <xdr:to>
      <xdr:col>71</xdr:col>
      <xdr:colOff>342900</xdr:colOff>
      <xdr:row>4</xdr:row>
      <xdr:rowOff>180975</xdr:rowOff>
    </xdr:to>
    <xdr:sp macro="" textlink="">
      <xdr:nvSpPr>
        <xdr:cNvPr id="121" name="Arrow: Right 120">
          <a:extLst>
            <a:ext uri="{FF2B5EF4-FFF2-40B4-BE49-F238E27FC236}">
              <a16:creationId xmlns:a16="http://schemas.microsoft.com/office/drawing/2014/main" id="{86E16E29-4DE8-43BB-A529-62ABBC9C4A8A}"/>
            </a:ext>
          </a:extLst>
        </xdr:cNvPr>
        <xdr:cNvSpPr/>
      </xdr:nvSpPr>
      <xdr:spPr>
        <a:xfrm>
          <a:off x="43110150" y="257175"/>
          <a:ext cx="322897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45</xdr:col>
      <xdr:colOff>9525</xdr:colOff>
      <xdr:row>2</xdr:row>
      <xdr:rowOff>66675</xdr:rowOff>
    </xdr:from>
    <xdr:to>
      <xdr:col>53</xdr:col>
      <xdr:colOff>342900</xdr:colOff>
      <xdr:row>4</xdr:row>
      <xdr:rowOff>180975</xdr:rowOff>
    </xdr:to>
    <xdr:sp macro="" textlink="">
      <xdr:nvSpPr>
        <xdr:cNvPr id="122" name="Arrow: Right 121">
          <a:extLst>
            <a:ext uri="{FF2B5EF4-FFF2-40B4-BE49-F238E27FC236}">
              <a16:creationId xmlns:a16="http://schemas.microsoft.com/office/drawing/2014/main" id="{3946627C-56D5-429A-BB61-8A248C2F77EF}"/>
            </a:ext>
          </a:extLst>
        </xdr:cNvPr>
        <xdr:cNvSpPr/>
      </xdr:nvSpPr>
      <xdr:spPr>
        <a:xfrm>
          <a:off x="36595050" y="257175"/>
          <a:ext cx="322897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72</xdr:col>
      <xdr:colOff>0</xdr:colOff>
      <xdr:row>2</xdr:row>
      <xdr:rowOff>66675</xdr:rowOff>
    </xdr:from>
    <xdr:to>
      <xdr:col>80</xdr:col>
      <xdr:colOff>333375</xdr:colOff>
      <xdr:row>4</xdr:row>
      <xdr:rowOff>180975</xdr:rowOff>
    </xdr:to>
    <xdr:sp macro="" textlink="">
      <xdr:nvSpPr>
        <xdr:cNvPr id="123" name="Arrow: Right 122">
          <a:extLst>
            <a:ext uri="{FF2B5EF4-FFF2-40B4-BE49-F238E27FC236}">
              <a16:creationId xmlns:a16="http://schemas.microsoft.com/office/drawing/2014/main" id="{587D639E-E948-40A8-9EB6-EC748FE112A7}"/>
            </a:ext>
          </a:extLst>
        </xdr:cNvPr>
        <xdr:cNvSpPr/>
      </xdr:nvSpPr>
      <xdr:spPr>
        <a:xfrm>
          <a:off x="46358175" y="257175"/>
          <a:ext cx="3228975" cy="495300"/>
        </a:xfrm>
        <a:prstGeom prst="rightArrow">
          <a:avLst/>
        </a:prstGeom>
        <a:solidFill>
          <a:schemeClr val="accent2">
            <a:lumMod val="75000"/>
            <a:alpha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47</xdr:col>
      <xdr:colOff>295275</xdr:colOff>
      <xdr:row>13</xdr:row>
      <xdr:rowOff>161925</xdr:rowOff>
    </xdr:from>
    <xdr:to>
      <xdr:col>52</xdr:col>
      <xdr:colOff>142875</xdr:colOff>
      <xdr:row>16</xdr:row>
      <xdr:rowOff>161925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F746136-9906-406F-B437-2E046FA02133}"/>
            </a:ext>
          </a:extLst>
        </xdr:cNvPr>
        <xdr:cNvSpPr txBox="1"/>
      </xdr:nvSpPr>
      <xdr:spPr>
        <a:xfrm>
          <a:off x="40033575" y="2466975"/>
          <a:ext cx="1657350" cy="571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5715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6 month leadtime - order Apr</a:t>
          </a:r>
          <a:r>
            <a:rPr lang="en-NZ" sz="1100" baseline="0"/>
            <a:t> 2022.</a:t>
          </a:r>
          <a:br>
            <a:rPr lang="en-NZ" sz="1100" baseline="0"/>
          </a:br>
          <a:endParaRPr lang="en-NZ" sz="1100"/>
        </a:p>
      </xdr:txBody>
    </xdr:sp>
    <xdr:clientData/>
  </xdr:twoCellAnchor>
  <xdr:twoCellAnchor>
    <xdr:from>
      <xdr:col>47</xdr:col>
      <xdr:colOff>295275</xdr:colOff>
      <xdr:row>4</xdr:row>
      <xdr:rowOff>66677</xdr:rowOff>
    </xdr:from>
    <xdr:to>
      <xdr:col>47</xdr:col>
      <xdr:colOff>304800</xdr:colOff>
      <xdr:row>15</xdr:row>
      <xdr:rowOff>66675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5C5435CC-39E2-4F6A-89DA-851262F32712}"/>
            </a:ext>
          </a:extLst>
        </xdr:cNvPr>
        <xdr:cNvCxnSpPr>
          <a:stCxn id="124" idx="1"/>
        </xdr:cNvCxnSpPr>
      </xdr:nvCxnSpPr>
      <xdr:spPr>
        <a:xfrm flipV="1">
          <a:off x="40033575" y="638177"/>
          <a:ext cx="9525" cy="21145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152400</xdr:colOff>
      <xdr:row>11</xdr:row>
      <xdr:rowOff>19050</xdr:rowOff>
    </xdr:from>
    <xdr:to>
      <xdr:col>53</xdr:col>
      <xdr:colOff>266700</xdr:colOff>
      <xdr:row>14</xdr:row>
      <xdr:rowOff>114300</xdr:rowOff>
    </xdr:to>
    <xdr:sp macro="" textlink="">
      <xdr:nvSpPr>
        <xdr:cNvPr id="127" name="Arrow: Curved Right 126">
          <a:extLst>
            <a:ext uri="{FF2B5EF4-FFF2-40B4-BE49-F238E27FC236}">
              <a16:creationId xmlns:a16="http://schemas.microsoft.com/office/drawing/2014/main" id="{B24E5CDD-CEB2-4B03-BAE6-BAEC6F0EAAD7}"/>
            </a:ext>
          </a:extLst>
        </xdr:cNvPr>
        <xdr:cNvSpPr/>
      </xdr:nvSpPr>
      <xdr:spPr>
        <a:xfrm rot="10800000">
          <a:off x="41700450" y="1943100"/>
          <a:ext cx="476250" cy="6667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219075</xdr:colOff>
      <xdr:row>9</xdr:row>
      <xdr:rowOff>123825</xdr:rowOff>
    </xdr:from>
    <xdr:to>
      <xdr:col>52</xdr:col>
      <xdr:colOff>142875</xdr:colOff>
      <xdr:row>13</xdr:row>
      <xdr:rowOff>19050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F476954-549E-4F3C-93B9-6542EBE44751}"/>
            </a:ext>
          </a:extLst>
        </xdr:cNvPr>
        <xdr:cNvSpPr txBox="1"/>
      </xdr:nvSpPr>
      <xdr:spPr>
        <a:xfrm>
          <a:off x="39233475" y="1666875"/>
          <a:ext cx="2457450" cy="6572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5715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Need to prove concept by April.</a:t>
          </a:r>
          <a:r>
            <a:rPr lang="en-NZ" sz="1100" baseline="0"/>
            <a:t> Best to have completed by Feb 2022</a:t>
          </a:r>
          <a:endParaRPr lang="en-NZ" sz="1100"/>
        </a:p>
      </xdr:txBody>
    </xdr:sp>
    <xdr:clientData/>
  </xdr:twoCellAnchor>
  <xdr:twoCellAnchor>
    <xdr:from>
      <xdr:col>45</xdr:col>
      <xdr:colOff>219075</xdr:colOff>
      <xdr:row>4</xdr:row>
      <xdr:rowOff>57150</xdr:rowOff>
    </xdr:from>
    <xdr:to>
      <xdr:col>45</xdr:col>
      <xdr:colOff>238125</xdr:colOff>
      <xdr:row>11</xdr:row>
      <xdr:rowOff>71438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8A3A7CAE-3BFA-4F42-B153-5BD8B5C7BA5D}"/>
            </a:ext>
          </a:extLst>
        </xdr:cNvPr>
        <xdr:cNvCxnSpPr>
          <a:stCxn id="128" idx="1"/>
        </xdr:cNvCxnSpPr>
      </xdr:nvCxnSpPr>
      <xdr:spPr>
        <a:xfrm flipV="1">
          <a:off x="39233475" y="628650"/>
          <a:ext cx="19050" cy="1366838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295275</xdr:colOff>
      <xdr:row>14</xdr:row>
      <xdr:rowOff>28575</xdr:rowOff>
    </xdr:from>
    <xdr:to>
      <xdr:col>61</xdr:col>
      <xdr:colOff>66674</xdr:colOff>
      <xdr:row>17</xdr:row>
      <xdr:rowOff>19050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D2952B79-5E7A-4A9A-83C5-B6F8704FA4DC}"/>
            </a:ext>
          </a:extLst>
        </xdr:cNvPr>
        <xdr:cNvSpPr txBox="1"/>
      </xdr:nvSpPr>
      <xdr:spPr>
        <a:xfrm>
          <a:off x="43291125" y="2524125"/>
          <a:ext cx="1581149" cy="571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5715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6 month leadtime - order Apr</a:t>
          </a:r>
          <a:r>
            <a:rPr lang="en-NZ" sz="1100" baseline="0"/>
            <a:t> 2023.</a:t>
          </a:r>
          <a:br>
            <a:rPr lang="en-NZ" sz="1100" baseline="0"/>
          </a:br>
          <a:endParaRPr lang="en-NZ" sz="1100"/>
        </a:p>
      </xdr:txBody>
    </xdr:sp>
    <xdr:clientData/>
  </xdr:twoCellAnchor>
  <xdr:twoCellAnchor>
    <xdr:from>
      <xdr:col>65</xdr:col>
      <xdr:colOff>257735</xdr:colOff>
      <xdr:row>14</xdr:row>
      <xdr:rowOff>66675</xdr:rowOff>
    </xdr:from>
    <xdr:to>
      <xdr:col>70</xdr:col>
      <xdr:colOff>142875</xdr:colOff>
      <xdr:row>17</xdr:row>
      <xdr:rowOff>57150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35F445B1-3685-49FF-B46A-10A0093DABEE}"/>
            </a:ext>
          </a:extLst>
        </xdr:cNvPr>
        <xdr:cNvSpPr txBox="1"/>
      </xdr:nvSpPr>
      <xdr:spPr>
        <a:xfrm>
          <a:off x="46874206" y="2565587"/>
          <a:ext cx="1678081" cy="57318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5715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6 month leadtime - order Apr</a:t>
          </a:r>
          <a:r>
            <a:rPr lang="en-NZ" sz="1100" baseline="0"/>
            <a:t> 2024.</a:t>
          </a:r>
          <a:br>
            <a:rPr lang="en-NZ" sz="1100" baseline="0"/>
          </a:br>
          <a:endParaRPr lang="en-NZ" sz="1100"/>
        </a:p>
      </xdr:txBody>
    </xdr:sp>
    <xdr:clientData/>
  </xdr:twoCellAnchor>
  <xdr:twoCellAnchor>
    <xdr:from>
      <xdr:col>73</xdr:col>
      <xdr:colOff>133350</xdr:colOff>
      <xdr:row>14</xdr:row>
      <xdr:rowOff>28575</xdr:rowOff>
    </xdr:from>
    <xdr:to>
      <xdr:col>77</xdr:col>
      <xdr:colOff>133349</xdr:colOff>
      <xdr:row>17</xdr:row>
      <xdr:rowOff>19050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F2967523-E9EA-46D9-9976-5244C8B41CB5}"/>
            </a:ext>
          </a:extLst>
        </xdr:cNvPr>
        <xdr:cNvSpPr txBox="1"/>
      </xdr:nvSpPr>
      <xdr:spPr>
        <a:xfrm>
          <a:off x="49282350" y="2524125"/>
          <a:ext cx="1447799" cy="571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5715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6 month leadtime - order Feb</a:t>
          </a:r>
          <a:r>
            <a:rPr lang="en-NZ" sz="1100" baseline="0"/>
            <a:t> 2025.</a:t>
          </a:r>
          <a:br>
            <a:rPr lang="en-NZ" sz="1100" baseline="0"/>
          </a:br>
          <a:endParaRPr lang="en-NZ" sz="1100"/>
        </a:p>
      </xdr:txBody>
    </xdr:sp>
    <xdr:clientData/>
  </xdr:twoCellAnchor>
  <xdr:twoCellAnchor>
    <xdr:from>
      <xdr:col>41</xdr:col>
      <xdr:colOff>307041</xdr:colOff>
      <xdr:row>5</xdr:row>
      <xdr:rowOff>127188</xdr:rowOff>
    </xdr:from>
    <xdr:to>
      <xdr:col>45</xdr:col>
      <xdr:colOff>91328</xdr:colOff>
      <xdr:row>8</xdr:row>
      <xdr:rowOff>39781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6E73427-960C-4009-99FE-E3F92E964256}"/>
            </a:ext>
          </a:extLst>
        </xdr:cNvPr>
        <xdr:cNvSpPr txBox="1"/>
      </xdr:nvSpPr>
      <xdr:spPr>
        <a:xfrm>
          <a:off x="38003629" y="889188"/>
          <a:ext cx="1218640" cy="50650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See table below</a:t>
          </a:r>
        </a:p>
      </xdr:txBody>
    </xdr:sp>
    <xdr:clientData/>
  </xdr:twoCellAnchor>
  <xdr:twoCellAnchor>
    <xdr:from>
      <xdr:col>47</xdr:col>
      <xdr:colOff>352425</xdr:colOff>
      <xdr:row>5</xdr:row>
      <xdr:rowOff>112059</xdr:rowOff>
    </xdr:from>
    <xdr:to>
      <xdr:col>56</xdr:col>
      <xdr:colOff>304800</xdr:colOff>
      <xdr:row>9</xdr:row>
      <xdr:rowOff>38099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CD6DD28-2B56-48C0-BC25-CD6B162A91B5}"/>
            </a:ext>
          </a:extLst>
        </xdr:cNvPr>
        <xdr:cNvSpPr txBox="1"/>
      </xdr:nvSpPr>
      <xdr:spPr>
        <a:xfrm>
          <a:off x="40514307" y="874059"/>
          <a:ext cx="3179669" cy="710452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57150" cmpd="sng">
          <a:solidFill>
            <a:srgbClr val="FF99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9</a:t>
          </a:r>
          <a:r>
            <a:rPr lang="en-NZ" sz="1100" baseline="0"/>
            <a:t> Month lead-time for 4th line to be ordered. 12 Month lead-time to sort building work if not done at SMT install Jan 2022</a:t>
          </a:r>
          <a:endParaRPr lang="en-NZ" sz="1100"/>
        </a:p>
      </xdr:txBody>
    </xdr:sp>
    <xdr:clientData/>
  </xdr:twoCellAnchor>
  <xdr:twoCellAnchor>
    <xdr:from>
      <xdr:col>47</xdr:col>
      <xdr:colOff>352425</xdr:colOff>
      <xdr:row>4</xdr:row>
      <xdr:rowOff>66677</xdr:rowOff>
    </xdr:from>
    <xdr:to>
      <xdr:col>47</xdr:col>
      <xdr:colOff>352425</xdr:colOff>
      <xdr:row>7</xdr:row>
      <xdr:rowOff>63873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BBB6580C-2EA0-4C6C-A7A6-475C6A911BD1}"/>
            </a:ext>
          </a:extLst>
        </xdr:cNvPr>
        <xdr:cNvCxnSpPr>
          <a:stCxn id="145" idx="1"/>
        </xdr:cNvCxnSpPr>
      </xdr:nvCxnSpPr>
      <xdr:spPr>
        <a:xfrm flipV="1">
          <a:off x="40514307" y="638177"/>
          <a:ext cx="0" cy="59110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49</xdr:col>
      <xdr:colOff>76200</xdr:colOff>
      <xdr:row>4</xdr:row>
      <xdr:rowOff>66675</xdr:rowOff>
    </xdr:from>
    <xdr:to>
      <xdr:col>49</xdr:col>
      <xdr:colOff>76200</xdr:colOff>
      <xdr:row>6</xdr:row>
      <xdr:rowOff>9525</xdr:rowOff>
    </xdr:to>
    <xdr:cxnSp macro="">
      <xdr:nvCxnSpPr>
        <xdr:cNvPr id="149" name="Straight Arrow Connector 148">
          <a:extLst>
            <a:ext uri="{FF2B5EF4-FFF2-40B4-BE49-F238E27FC236}">
              <a16:creationId xmlns:a16="http://schemas.microsoft.com/office/drawing/2014/main" id="{FFD19B10-F1E1-402D-A078-AFAF3AB253CE}"/>
            </a:ext>
          </a:extLst>
        </xdr:cNvPr>
        <xdr:cNvCxnSpPr/>
      </xdr:nvCxnSpPr>
      <xdr:spPr>
        <a:xfrm flipV="1">
          <a:off x="40538400" y="638175"/>
          <a:ext cx="0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295275</xdr:colOff>
      <xdr:row>4</xdr:row>
      <xdr:rowOff>66675</xdr:rowOff>
    </xdr:from>
    <xdr:to>
      <xdr:col>56</xdr:col>
      <xdr:colOff>314325</xdr:colOff>
      <xdr:row>15</xdr:row>
      <xdr:rowOff>123825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91571511-0C92-4B20-9EC7-E151428ADDE7}"/>
            </a:ext>
          </a:extLst>
        </xdr:cNvPr>
        <xdr:cNvCxnSpPr>
          <a:stCxn id="133" idx="1"/>
        </xdr:cNvCxnSpPr>
      </xdr:nvCxnSpPr>
      <xdr:spPr>
        <a:xfrm flipV="1">
          <a:off x="43291125" y="638175"/>
          <a:ext cx="19050" cy="21717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219075</xdr:colOff>
      <xdr:row>4</xdr:row>
      <xdr:rowOff>85726</xdr:rowOff>
    </xdr:from>
    <xdr:to>
      <xdr:col>65</xdr:col>
      <xdr:colOff>257735</xdr:colOff>
      <xdr:row>15</xdr:row>
      <xdr:rowOff>162766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96CF8CCA-8D29-4679-8E31-8419C5D02648}"/>
            </a:ext>
          </a:extLst>
        </xdr:cNvPr>
        <xdr:cNvCxnSpPr>
          <a:stCxn id="134" idx="1"/>
        </xdr:cNvCxnSpPr>
      </xdr:nvCxnSpPr>
      <xdr:spPr>
        <a:xfrm flipH="1" flipV="1">
          <a:off x="46835546" y="657226"/>
          <a:ext cx="38660" cy="2194952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51547</xdr:colOff>
      <xdr:row>20</xdr:row>
      <xdr:rowOff>129687</xdr:rowOff>
    </xdr:from>
    <xdr:to>
      <xdr:col>70</xdr:col>
      <xdr:colOff>95809</xdr:colOff>
      <xdr:row>22</xdr:row>
      <xdr:rowOff>139787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6E020F5B-819B-42FA-8465-26A931A97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88606" y="3782805"/>
          <a:ext cx="402850" cy="413512"/>
        </a:xfrm>
        <a:prstGeom prst="rect">
          <a:avLst/>
        </a:prstGeom>
      </xdr:spPr>
    </xdr:pic>
    <xdr:clientData/>
  </xdr:twoCellAnchor>
  <xdr:twoCellAnchor editAs="oneCell">
    <xdr:from>
      <xdr:col>76</xdr:col>
      <xdr:colOff>27455</xdr:colOff>
      <xdr:row>20</xdr:row>
      <xdr:rowOff>47987</xdr:rowOff>
    </xdr:from>
    <xdr:to>
      <xdr:col>77</xdr:col>
      <xdr:colOff>119343</xdr:colOff>
      <xdr:row>22</xdr:row>
      <xdr:rowOff>106170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5751FF63-284A-4238-9C14-4E33C976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74631" y="3701105"/>
          <a:ext cx="450476" cy="461595"/>
        </a:xfrm>
        <a:prstGeom prst="rect">
          <a:avLst/>
        </a:prstGeom>
      </xdr:spPr>
    </xdr:pic>
    <xdr:clientData/>
  </xdr:twoCellAnchor>
  <xdr:twoCellAnchor editAs="oneCell">
    <xdr:from>
      <xdr:col>59</xdr:col>
      <xdr:colOff>313765</xdr:colOff>
      <xdr:row>20</xdr:row>
      <xdr:rowOff>87951</xdr:rowOff>
    </xdr:from>
    <xdr:to>
      <xdr:col>61</xdr:col>
      <xdr:colOff>31375</xdr:colOff>
      <xdr:row>22</xdr:row>
      <xdr:rowOff>126901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765757F4-D38B-46EA-B219-0D11FE693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64941" y="3741069"/>
          <a:ext cx="434787" cy="442362"/>
        </a:xfrm>
        <a:prstGeom prst="rect">
          <a:avLst/>
        </a:prstGeom>
      </xdr:spPr>
    </xdr:pic>
    <xdr:clientData/>
  </xdr:twoCellAnchor>
  <xdr:twoCellAnchor editAs="oneCell">
    <xdr:from>
      <xdr:col>51</xdr:col>
      <xdr:colOff>44263</xdr:colOff>
      <xdr:row>20</xdr:row>
      <xdr:rowOff>119602</xdr:rowOff>
    </xdr:from>
    <xdr:to>
      <xdr:col>52</xdr:col>
      <xdr:colOff>91886</xdr:colOff>
      <xdr:row>22</xdr:row>
      <xdr:rowOff>129702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987368DE-08D3-469B-A16D-BD33C4D3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326734" y="3772720"/>
          <a:ext cx="406212" cy="413512"/>
        </a:xfrm>
        <a:prstGeom prst="rect">
          <a:avLst/>
        </a:prstGeom>
      </xdr:spPr>
    </xdr:pic>
    <xdr:clientData/>
  </xdr:twoCellAnchor>
  <xdr:twoCellAnchor editAs="oneCell">
    <xdr:from>
      <xdr:col>55</xdr:col>
      <xdr:colOff>257735</xdr:colOff>
      <xdr:row>20</xdr:row>
      <xdr:rowOff>16827</xdr:rowOff>
    </xdr:from>
    <xdr:to>
      <xdr:col>56</xdr:col>
      <xdr:colOff>273061</xdr:colOff>
      <xdr:row>22</xdr:row>
      <xdr:rowOff>12048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7C1EC7DD-C20A-48F9-BBB1-61B069DD6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74559" y="3669945"/>
          <a:ext cx="373914" cy="398633"/>
        </a:xfrm>
        <a:prstGeom prst="rect">
          <a:avLst/>
        </a:prstGeom>
      </xdr:spPr>
    </xdr:pic>
    <xdr:clientData/>
  </xdr:twoCellAnchor>
  <xdr:twoCellAnchor>
    <xdr:from>
      <xdr:col>73</xdr:col>
      <xdr:colOff>133350</xdr:colOff>
      <xdr:row>4</xdr:row>
      <xdr:rowOff>66675</xdr:rowOff>
    </xdr:from>
    <xdr:to>
      <xdr:col>73</xdr:col>
      <xdr:colOff>133350</xdr:colOff>
      <xdr:row>15</xdr:row>
      <xdr:rowOff>123825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D069B0C5-28C4-48BC-9144-84F72864ADCF}"/>
            </a:ext>
          </a:extLst>
        </xdr:cNvPr>
        <xdr:cNvCxnSpPr>
          <a:stCxn id="135" idx="1"/>
        </xdr:cNvCxnSpPr>
      </xdr:nvCxnSpPr>
      <xdr:spPr>
        <a:xfrm flipV="1">
          <a:off x="49282350" y="638175"/>
          <a:ext cx="0" cy="21717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145677</xdr:colOff>
      <xdr:row>45</xdr:row>
      <xdr:rowOff>156883</xdr:rowOff>
    </xdr:from>
    <xdr:to>
      <xdr:col>55</xdr:col>
      <xdr:colOff>179294</xdr:colOff>
      <xdr:row>48</xdr:row>
      <xdr:rowOff>33618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E19C3FD-205B-4327-A31C-73DC7BE46777}"/>
            </a:ext>
          </a:extLst>
        </xdr:cNvPr>
        <xdr:cNvSpPr txBox="1"/>
      </xdr:nvSpPr>
      <xdr:spPr>
        <a:xfrm>
          <a:off x="42145324" y="8606118"/>
          <a:ext cx="750794" cy="448235"/>
        </a:xfrm>
        <a:prstGeom prst="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Kardex</a:t>
          </a:r>
          <a:r>
            <a:rPr lang="en-NZ" sz="1100" baseline="0"/>
            <a:t> Arrives</a:t>
          </a:r>
        </a:p>
      </xdr:txBody>
    </xdr:sp>
    <xdr:clientData/>
  </xdr:twoCellAnchor>
  <xdr:twoCellAnchor>
    <xdr:from>
      <xdr:col>54</xdr:col>
      <xdr:colOff>156883</xdr:colOff>
      <xdr:row>44</xdr:row>
      <xdr:rowOff>11206</xdr:rowOff>
    </xdr:from>
    <xdr:to>
      <xdr:col>54</xdr:col>
      <xdr:colOff>162486</xdr:colOff>
      <xdr:row>45</xdr:row>
      <xdr:rowOff>156883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6430C99-A65A-4972-B99E-E9BC811FE223}"/>
            </a:ext>
          </a:extLst>
        </xdr:cNvPr>
        <xdr:cNvCxnSpPr>
          <a:stCxn id="4" idx="0"/>
        </xdr:cNvCxnSpPr>
      </xdr:nvCxnSpPr>
      <xdr:spPr>
        <a:xfrm flipH="1" flipV="1">
          <a:off x="42515118" y="8269941"/>
          <a:ext cx="5603" cy="336177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56</xdr:col>
      <xdr:colOff>22412</xdr:colOff>
      <xdr:row>45</xdr:row>
      <xdr:rowOff>145677</xdr:rowOff>
    </xdr:from>
    <xdr:to>
      <xdr:col>61</xdr:col>
      <xdr:colOff>11206</xdr:colOff>
      <xdr:row>48</xdr:row>
      <xdr:rowOff>22412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41F1341-51A8-483D-850A-8608E3FBEA5B}"/>
            </a:ext>
          </a:extLst>
        </xdr:cNvPr>
        <xdr:cNvSpPr txBox="1"/>
      </xdr:nvSpPr>
      <xdr:spPr>
        <a:xfrm>
          <a:off x="43097824" y="8594912"/>
          <a:ext cx="1781735" cy="448235"/>
        </a:xfrm>
        <a:prstGeom prst="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Install Kardex</a:t>
          </a:r>
        </a:p>
      </xdr:txBody>
    </xdr:sp>
    <xdr:clientData/>
  </xdr:twoCellAnchor>
  <xdr:twoCellAnchor>
    <xdr:from>
      <xdr:col>56</xdr:col>
      <xdr:colOff>22412</xdr:colOff>
      <xdr:row>44</xdr:row>
      <xdr:rowOff>33619</xdr:rowOff>
    </xdr:from>
    <xdr:to>
      <xdr:col>56</xdr:col>
      <xdr:colOff>22413</xdr:colOff>
      <xdr:row>46</xdr:row>
      <xdr:rowOff>179295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7767CA4-BD4C-40D1-84F8-B8C1AF11853C}"/>
            </a:ext>
          </a:extLst>
        </xdr:cNvPr>
        <xdr:cNvCxnSpPr>
          <a:stCxn id="25" idx="1"/>
        </xdr:cNvCxnSpPr>
      </xdr:nvCxnSpPr>
      <xdr:spPr>
        <a:xfrm flipV="1">
          <a:off x="43097824" y="8292354"/>
          <a:ext cx="1" cy="52667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11206</xdr:colOff>
      <xdr:row>43</xdr:row>
      <xdr:rowOff>179295</xdr:rowOff>
    </xdr:from>
    <xdr:to>
      <xdr:col>61</xdr:col>
      <xdr:colOff>11206</xdr:colOff>
      <xdr:row>46</xdr:row>
      <xdr:rowOff>179295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6326ECEF-8DB6-431D-BAE1-55B50FBDA6BF}"/>
            </a:ext>
          </a:extLst>
        </xdr:cNvPr>
        <xdr:cNvCxnSpPr>
          <a:stCxn id="25" idx="3"/>
        </xdr:cNvCxnSpPr>
      </xdr:nvCxnSpPr>
      <xdr:spPr>
        <a:xfrm flipV="1">
          <a:off x="44879559" y="8247530"/>
          <a:ext cx="0" cy="571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60</xdr:col>
      <xdr:colOff>201705</xdr:colOff>
      <xdr:row>48</xdr:row>
      <xdr:rowOff>145677</xdr:rowOff>
    </xdr:from>
    <xdr:to>
      <xdr:col>62</xdr:col>
      <xdr:colOff>168088</xdr:colOff>
      <xdr:row>51</xdr:row>
      <xdr:rowOff>56029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670BE9C4-03A2-4C70-95AD-E1FE5AFE358F}"/>
            </a:ext>
          </a:extLst>
        </xdr:cNvPr>
        <xdr:cNvSpPr txBox="1"/>
      </xdr:nvSpPr>
      <xdr:spPr>
        <a:xfrm>
          <a:off x="45025234" y="9188824"/>
          <a:ext cx="683560" cy="481852"/>
        </a:xfrm>
        <a:prstGeom prst="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Kardex</a:t>
          </a:r>
          <a:r>
            <a:rPr lang="en-NZ" sz="1100" baseline="0"/>
            <a:t> Training</a:t>
          </a:r>
          <a:endParaRPr lang="en-NZ" sz="1100"/>
        </a:p>
      </xdr:txBody>
    </xdr:sp>
    <xdr:clientData/>
  </xdr:twoCellAnchor>
  <xdr:twoCellAnchor>
    <xdr:from>
      <xdr:col>61</xdr:col>
      <xdr:colOff>179296</xdr:colOff>
      <xdr:row>44</xdr:row>
      <xdr:rowOff>11207</xdr:rowOff>
    </xdr:from>
    <xdr:to>
      <xdr:col>61</xdr:col>
      <xdr:colOff>184896</xdr:colOff>
      <xdr:row>48</xdr:row>
      <xdr:rowOff>145677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13ACA632-8EEF-4B14-8792-F9CED88CF308}"/>
            </a:ext>
          </a:extLst>
        </xdr:cNvPr>
        <xdr:cNvCxnSpPr>
          <a:stCxn id="70" idx="0"/>
        </xdr:cNvCxnSpPr>
      </xdr:nvCxnSpPr>
      <xdr:spPr>
        <a:xfrm flipH="1" flipV="1">
          <a:off x="45361414" y="8292354"/>
          <a:ext cx="5600" cy="89647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62</xdr:col>
      <xdr:colOff>33618</xdr:colOff>
      <xdr:row>45</xdr:row>
      <xdr:rowOff>145677</xdr:rowOff>
    </xdr:from>
    <xdr:to>
      <xdr:col>64</xdr:col>
      <xdr:colOff>336177</xdr:colOff>
      <xdr:row>48</xdr:row>
      <xdr:rowOff>11206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F2ABD4A7-055A-428A-8B95-C34BD4FB6159}"/>
            </a:ext>
          </a:extLst>
        </xdr:cNvPr>
        <xdr:cNvSpPr txBox="1"/>
      </xdr:nvSpPr>
      <xdr:spPr>
        <a:xfrm>
          <a:off x="45260559" y="8594912"/>
          <a:ext cx="1019736" cy="437029"/>
        </a:xfrm>
        <a:prstGeom prst="rect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EL Stock 1st, then EFA</a:t>
          </a:r>
        </a:p>
      </xdr:txBody>
    </xdr:sp>
    <xdr:clientData/>
  </xdr:twoCellAnchor>
  <xdr:twoCellAnchor>
    <xdr:from>
      <xdr:col>62</xdr:col>
      <xdr:colOff>22412</xdr:colOff>
      <xdr:row>43</xdr:row>
      <xdr:rowOff>179296</xdr:rowOff>
    </xdr:from>
    <xdr:to>
      <xdr:col>62</xdr:col>
      <xdr:colOff>33618</xdr:colOff>
      <xdr:row>46</xdr:row>
      <xdr:rowOff>173692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AFED6134-DF30-4426-8C36-A1D430C2A1D0}"/>
            </a:ext>
          </a:extLst>
        </xdr:cNvPr>
        <xdr:cNvCxnSpPr>
          <a:stCxn id="74" idx="1"/>
        </xdr:cNvCxnSpPr>
      </xdr:nvCxnSpPr>
      <xdr:spPr>
        <a:xfrm flipH="1" flipV="1">
          <a:off x="45249353" y="8247531"/>
          <a:ext cx="11206" cy="5658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336177</xdr:colOff>
      <xdr:row>44</xdr:row>
      <xdr:rowOff>2</xdr:rowOff>
    </xdr:from>
    <xdr:to>
      <xdr:col>64</xdr:col>
      <xdr:colOff>336177</xdr:colOff>
      <xdr:row>46</xdr:row>
      <xdr:rowOff>173692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DD4AE68B-BCFB-41E0-B8F5-69414D064321}"/>
            </a:ext>
          </a:extLst>
        </xdr:cNvPr>
        <xdr:cNvCxnSpPr>
          <a:stCxn id="74" idx="3"/>
        </xdr:cNvCxnSpPr>
      </xdr:nvCxnSpPr>
      <xdr:spPr>
        <a:xfrm flipV="1">
          <a:off x="46280295" y="8258737"/>
          <a:ext cx="0" cy="55469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212913</xdr:colOff>
      <xdr:row>45</xdr:row>
      <xdr:rowOff>145677</xdr:rowOff>
    </xdr:from>
    <xdr:to>
      <xdr:col>49</xdr:col>
      <xdr:colOff>145678</xdr:colOff>
      <xdr:row>48</xdr:row>
      <xdr:rowOff>78441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D03251CB-6AAA-438D-920E-FF46627FA7DC}"/>
            </a:ext>
          </a:extLst>
        </xdr:cNvPr>
        <xdr:cNvSpPr txBox="1"/>
      </xdr:nvSpPr>
      <xdr:spPr>
        <a:xfrm>
          <a:off x="40061031" y="8594912"/>
          <a:ext cx="649941" cy="504264"/>
        </a:xfrm>
        <a:prstGeom prst="rect">
          <a:avLst/>
        </a:prstGeom>
        <a:ln/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YSM20 Install</a:t>
          </a:r>
        </a:p>
      </xdr:txBody>
    </xdr:sp>
    <xdr:clientData/>
  </xdr:twoCellAnchor>
  <xdr:twoCellAnchor>
    <xdr:from>
      <xdr:col>48</xdr:col>
      <xdr:colOff>179296</xdr:colOff>
      <xdr:row>44</xdr:row>
      <xdr:rowOff>0</xdr:rowOff>
    </xdr:from>
    <xdr:to>
      <xdr:col>48</xdr:col>
      <xdr:colOff>190500</xdr:colOff>
      <xdr:row>45</xdr:row>
      <xdr:rowOff>145677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1B39D19E-F33A-4E67-8137-769D6821281E}"/>
            </a:ext>
          </a:extLst>
        </xdr:cNvPr>
        <xdr:cNvCxnSpPr>
          <a:stCxn id="96" idx="0"/>
        </xdr:cNvCxnSpPr>
      </xdr:nvCxnSpPr>
      <xdr:spPr>
        <a:xfrm flipV="1">
          <a:off x="40386002" y="8258735"/>
          <a:ext cx="11204" cy="336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280146</xdr:colOff>
      <xdr:row>53</xdr:row>
      <xdr:rowOff>78444</xdr:rowOff>
    </xdr:from>
    <xdr:to>
      <xdr:col>60</xdr:col>
      <xdr:colOff>67234</xdr:colOff>
      <xdr:row>58</xdr:row>
      <xdr:rowOff>67235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2D80C0B-7570-4F3F-9A18-E1C50DE5A2E7}"/>
            </a:ext>
          </a:extLst>
        </xdr:cNvPr>
        <xdr:cNvSpPr txBox="1"/>
      </xdr:nvSpPr>
      <xdr:spPr>
        <a:xfrm>
          <a:off x="43714146" y="10051679"/>
          <a:ext cx="862853" cy="941291"/>
        </a:xfrm>
        <a:prstGeom prst="rect">
          <a:avLst/>
        </a:prstGeom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1 x RPS Line Arrive</a:t>
          </a:r>
        </a:p>
      </xdr:txBody>
    </xdr:sp>
    <xdr:clientData/>
  </xdr:twoCellAnchor>
  <xdr:twoCellAnchor>
    <xdr:from>
      <xdr:col>62</xdr:col>
      <xdr:colOff>257736</xdr:colOff>
      <xdr:row>48</xdr:row>
      <xdr:rowOff>100852</xdr:rowOff>
    </xdr:from>
    <xdr:to>
      <xdr:col>64</xdr:col>
      <xdr:colOff>212912</xdr:colOff>
      <xdr:row>52</xdr:row>
      <xdr:rowOff>145677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3DE6D55-B6AD-4592-88E7-ACD876476ED3}"/>
            </a:ext>
          </a:extLst>
        </xdr:cNvPr>
        <xdr:cNvSpPr txBox="1"/>
      </xdr:nvSpPr>
      <xdr:spPr>
        <a:xfrm>
          <a:off x="45484677" y="9121587"/>
          <a:ext cx="672353" cy="806825"/>
        </a:xfrm>
        <a:prstGeom prst="rect">
          <a:avLst/>
        </a:prstGeom>
        <a:ln w="57150">
          <a:solidFill>
            <a:srgbClr val="00B05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NZ" sz="1100"/>
            <a:t>Re-  arrange</a:t>
          </a:r>
          <a:r>
            <a:rPr lang="en-NZ" sz="1100" baseline="0"/>
            <a:t> EL Stores</a:t>
          </a:r>
          <a:endParaRPr lang="en-NZ" sz="1100"/>
        </a:p>
      </xdr:txBody>
    </xdr:sp>
    <xdr:clientData/>
  </xdr:twoCellAnchor>
  <xdr:twoCellAnchor>
    <xdr:from>
      <xdr:col>63</xdr:col>
      <xdr:colOff>224118</xdr:colOff>
      <xdr:row>44</xdr:row>
      <xdr:rowOff>0</xdr:rowOff>
    </xdr:from>
    <xdr:to>
      <xdr:col>63</xdr:col>
      <xdr:colOff>235325</xdr:colOff>
      <xdr:row>48</xdr:row>
      <xdr:rowOff>100852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A80A020E-EA41-4872-BFE0-04B1B14A7521}"/>
            </a:ext>
          </a:extLst>
        </xdr:cNvPr>
        <xdr:cNvCxnSpPr>
          <a:stCxn id="100" idx="0"/>
        </xdr:cNvCxnSpPr>
      </xdr:nvCxnSpPr>
      <xdr:spPr>
        <a:xfrm flipH="1" flipV="1">
          <a:off x="45809647" y="8258735"/>
          <a:ext cx="11207" cy="86285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58</xdr:col>
      <xdr:colOff>352985</xdr:colOff>
      <xdr:row>44</xdr:row>
      <xdr:rowOff>22414</xdr:rowOff>
    </xdr:from>
    <xdr:to>
      <xdr:col>59</xdr:col>
      <xdr:colOff>11206</xdr:colOff>
      <xdr:row>53</xdr:row>
      <xdr:rowOff>78444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D636DEDC-BADA-45AD-8A37-5103DDA83779}"/>
            </a:ext>
          </a:extLst>
        </xdr:cNvPr>
        <xdr:cNvCxnSpPr>
          <a:stCxn id="99" idx="0"/>
        </xdr:cNvCxnSpPr>
      </xdr:nvCxnSpPr>
      <xdr:spPr>
        <a:xfrm flipV="1">
          <a:off x="44145573" y="8281149"/>
          <a:ext cx="16809" cy="177053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68</xdr:col>
      <xdr:colOff>201706</xdr:colOff>
      <xdr:row>44</xdr:row>
      <xdr:rowOff>44823</xdr:rowOff>
    </xdr:from>
    <xdr:to>
      <xdr:col>68</xdr:col>
      <xdr:colOff>225238</xdr:colOff>
      <xdr:row>48</xdr:row>
      <xdr:rowOff>85168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5BC10D38-081D-4F67-834B-52042CBA6F2B}"/>
            </a:ext>
          </a:extLst>
        </xdr:cNvPr>
        <xdr:cNvCxnSpPr>
          <a:cxnSpLocks/>
        </xdr:cNvCxnSpPr>
      </xdr:nvCxnSpPr>
      <xdr:spPr>
        <a:xfrm flipH="1" flipV="1">
          <a:off x="47893941" y="8337176"/>
          <a:ext cx="23532" cy="8023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78442</xdr:colOff>
      <xdr:row>18</xdr:row>
      <xdr:rowOff>112058</xdr:rowOff>
    </xdr:from>
    <xdr:to>
      <xdr:col>48</xdr:col>
      <xdr:colOff>323850</xdr:colOff>
      <xdr:row>23</xdr:row>
      <xdr:rowOff>112058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352B2A04-613A-40F9-8E58-C10F23088FC5}"/>
            </a:ext>
          </a:extLst>
        </xdr:cNvPr>
        <xdr:cNvSpPr txBox="1"/>
      </xdr:nvSpPr>
      <xdr:spPr>
        <a:xfrm>
          <a:off x="39881736" y="3384176"/>
          <a:ext cx="962585" cy="952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SMT Line</a:t>
          </a:r>
        </a:p>
        <a:p>
          <a:r>
            <a:rPr lang="en-NZ" sz="1100"/>
            <a:t>Replacement</a:t>
          </a:r>
          <a:br>
            <a:rPr lang="en-NZ" sz="1100"/>
          </a:br>
          <a:r>
            <a:rPr lang="en-NZ" sz="1100"/>
            <a:t>Mar</a:t>
          </a:r>
          <a:br>
            <a:rPr lang="en-NZ" sz="1100"/>
          </a:br>
          <a:r>
            <a:rPr lang="en-NZ" sz="1100"/>
            <a:t>2022</a:t>
          </a:r>
        </a:p>
      </xdr:txBody>
    </xdr:sp>
    <xdr:clientData/>
  </xdr:twoCellAnchor>
  <xdr:twoCellAnchor editAs="oneCell">
    <xdr:from>
      <xdr:col>47</xdr:col>
      <xdr:colOff>242048</xdr:colOff>
      <xdr:row>21</xdr:row>
      <xdr:rowOff>34757</xdr:rowOff>
    </xdr:from>
    <xdr:to>
      <xdr:col>48</xdr:col>
      <xdr:colOff>257373</xdr:colOff>
      <xdr:row>23</xdr:row>
      <xdr:rowOff>41184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519DE5E-D43A-4242-9E40-1848656E2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403930" y="4068875"/>
          <a:ext cx="373914" cy="398633"/>
        </a:xfrm>
        <a:prstGeom prst="rect">
          <a:avLst/>
        </a:prstGeom>
      </xdr:spPr>
    </xdr:pic>
    <xdr:clientData/>
  </xdr:twoCellAnchor>
  <xdr:twoCellAnchor>
    <xdr:from>
      <xdr:col>46</xdr:col>
      <xdr:colOff>67235</xdr:colOff>
      <xdr:row>21</xdr:row>
      <xdr:rowOff>16808</xdr:rowOff>
    </xdr:from>
    <xdr:to>
      <xdr:col>46</xdr:col>
      <xdr:colOff>78442</xdr:colOff>
      <xdr:row>37</xdr:row>
      <xdr:rowOff>179295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44A22A61-4944-4086-80CB-B3C73933C76B}"/>
            </a:ext>
          </a:extLst>
        </xdr:cNvPr>
        <xdr:cNvCxnSpPr>
          <a:stCxn id="151" idx="1"/>
        </xdr:cNvCxnSpPr>
      </xdr:nvCxnSpPr>
      <xdr:spPr>
        <a:xfrm flipH="1">
          <a:off x="39870529" y="3860426"/>
          <a:ext cx="11207" cy="323289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358587</xdr:colOff>
      <xdr:row>51</xdr:row>
      <xdr:rowOff>134470</xdr:rowOff>
    </xdr:from>
    <xdr:to>
      <xdr:col>34</xdr:col>
      <xdr:colOff>420133</xdr:colOff>
      <xdr:row>76</xdr:row>
      <xdr:rowOff>103620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777C8F61-C179-485A-8951-FC6640AB2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00675" y="9760323"/>
          <a:ext cx="5171429" cy="4742857"/>
        </a:xfrm>
        <a:prstGeom prst="rect">
          <a:avLst/>
        </a:prstGeom>
      </xdr:spPr>
    </xdr:pic>
    <xdr:clientData/>
  </xdr:twoCellAnchor>
  <xdr:twoCellAnchor>
    <xdr:from>
      <xdr:col>42</xdr:col>
      <xdr:colOff>11209</xdr:colOff>
      <xdr:row>18</xdr:row>
      <xdr:rowOff>78441</xdr:rowOff>
    </xdr:from>
    <xdr:to>
      <xdr:col>44</xdr:col>
      <xdr:colOff>256617</xdr:colOff>
      <xdr:row>22</xdr:row>
      <xdr:rowOff>174812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3DE8DFFB-22CF-42A3-B906-6D2BE1DB7427}"/>
            </a:ext>
          </a:extLst>
        </xdr:cNvPr>
        <xdr:cNvSpPr txBox="1"/>
      </xdr:nvSpPr>
      <xdr:spPr>
        <a:xfrm>
          <a:off x="38256885" y="3350559"/>
          <a:ext cx="962585" cy="8583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221 SMT</a:t>
          </a:r>
          <a:r>
            <a:rPr lang="en-NZ" sz="1100" baseline="0"/>
            <a:t> Upgrade</a:t>
          </a:r>
          <a:br>
            <a:rPr lang="en-NZ" sz="1100"/>
          </a:br>
          <a:r>
            <a:rPr lang="en-NZ" sz="1100"/>
            <a:t>Oct 2021</a:t>
          </a:r>
        </a:p>
      </xdr:txBody>
    </xdr:sp>
    <xdr:clientData/>
  </xdr:twoCellAnchor>
  <xdr:twoCellAnchor>
    <xdr:from>
      <xdr:col>43</xdr:col>
      <xdr:colOff>133913</xdr:colOff>
      <xdr:row>22</xdr:row>
      <xdr:rowOff>174812</xdr:rowOff>
    </xdr:from>
    <xdr:to>
      <xdr:col>43</xdr:col>
      <xdr:colOff>156882</xdr:colOff>
      <xdr:row>38</xdr:row>
      <xdr:rowOff>11206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3375F709-6854-4907-828C-7AB3563F128F}"/>
            </a:ext>
          </a:extLst>
        </xdr:cNvPr>
        <xdr:cNvCxnSpPr>
          <a:stCxn id="125" idx="2"/>
        </xdr:cNvCxnSpPr>
      </xdr:nvCxnSpPr>
      <xdr:spPr>
        <a:xfrm>
          <a:off x="38738178" y="4208930"/>
          <a:ext cx="22969" cy="290680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115421</xdr:colOff>
      <xdr:row>32</xdr:row>
      <xdr:rowOff>123264</xdr:rowOff>
    </xdr:from>
    <xdr:to>
      <xdr:col>75</xdr:col>
      <xdr:colOff>191621</xdr:colOff>
      <xdr:row>36</xdr:row>
      <xdr:rowOff>123264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56544739-6FEF-4580-9217-D32C30393153}"/>
            </a:ext>
          </a:extLst>
        </xdr:cNvPr>
        <xdr:cNvSpPr txBox="1"/>
      </xdr:nvSpPr>
      <xdr:spPr>
        <a:xfrm>
          <a:off x="49242009" y="6073588"/>
          <a:ext cx="1151965" cy="77320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SEC FA Line</a:t>
          </a:r>
          <a:br>
            <a:rPr lang="en-NZ" sz="1100"/>
          </a:br>
          <a:r>
            <a:rPr lang="en-NZ" sz="1100"/>
            <a:t>AM</a:t>
          </a:r>
          <a:r>
            <a:rPr lang="en-NZ" sz="1100" baseline="0"/>
            <a:t> FA Line</a:t>
          </a:r>
          <a:br>
            <a:rPr lang="en-NZ" sz="1100"/>
          </a:br>
          <a:r>
            <a:rPr lang="en-NZ" sz="1100"/>
            <a:t>Nov 2024</a:t>
          </a:r>
        </a:p>
      </xdr:txBody>
    </xdr:sp>
    <xdr:clientData/>
  </xdr:twoCellAnchor>
  <xdr:twoCellAnchor>
    <xdr:from>
      <xdr:col>75</xdr:col>
      <xdr:colOff>191621</xdr:colOff>
      <xdr:row>34</xdr:row>
      <xdr:rowOff>117662</xdr:rowOff>
    </xdr:from>
    <xdr:to>
      <xdr:col>75</xdr:col>
      <xdr:colOff>214033</xdr:colOff>
      <xdr:row>37</xdr:row>
      <xdr:rowOff>189940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69F17BFA-059B-40E1-B2A8-81C23DBC87E6}"/>
            </a:ext>
          </a:extLst>
        </xdr:cNvPr>
        <xdr:cNvCxnSpPr>
          <a:stCxn id="137" idx="3"/>
        </xdr:cNvCxnSpPr>
      </xdr:nvCxnSpPr>
      <xdr:spPr>
        <a:xfrm>
          <a:off x="50393974" y="6460191"/>
          <a:ext cx="22412" cy="6437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201706</xdr:colOff>
      <xdr:row>29</xdr:row>
      <xdr:rowOff>189939</xdr:rowOff>
    </xdr:from>
    <xdr:to>
      <xdr:col>76</xdr:col>
      <xdr:colOff>316006</xdr:colOff>
      <xdr:row>33</xdr:row>
      <xdr:rowOff>85164</xdr:rowOff>
    </xdr:to>
    <xdr:sp macro="" textlink="">
      <xdr:nvSpPr>
        <xdr:cNvPr id="146" name="Arrow: Curved Right 145">
          <a:extLst>
            <a:ext uri="{FF2B5EF4-FFF2-40B4-BE49-F238E27FC236}">
              <a16:creationId xmlns:a16="http://schemas.microsoft.com/office/drawing/2014/main" id="{6D8E5B01-0EE1-45A6-8E35-8FAD358DA6FF}"/>
            </a:ext>
          </a:extLst>
        </xdr:cNvPr>
        <xdr:cNvSpPr/>
      </xdr:nvSpPr>
      <xdr:spPr>
        <a:xfrm rot="10800000">
          <a:off x="50404059" y="5568763"/>
          <a:ext cx="472888" cy="66843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246528</xdr:colOff>
      <xdr:row>24</xdr:row>
      <xdr:rowOff>78441</xdr:rowOff>
    </xdr:from>
    <xdr:to>
      <xdr:col>75</xdr:col>
      <xdr:colOff>189938</xdr:colOff>
      <xdr:row>31</xdr:row>
      <xdr:rowOff>95250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7161568F-A0EF-43D3-BE2C-D62F2C8CD581}"/>
            </a:ext>
          </a:extLst>
        </xdr:cNvPr>
        <xdr:cNvSpPr txBox="1"/>
      </xdr:nvSpPr>
      <xdr:spPr>
        <a:xfrm>
          <a:off x="49014528" y="4493559"/>
          <a:ext cx="1377763" cy="136151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6 Extra Assembly Lines Required based on 9% growth</a:t>
          </a:r>
          <a:r>
            <a:rPr lang="en-NZ" sz="1100" baseline="0"/>
            <a:t> from AM and 20% growth from SEC</a:t>
          </a:r>
          <a:endParaRPr lang="en-NZ" sz="1100"/>
        </a:p>
      </xdr:txBody>
    </xdr:sp>
    <xdr:clientData/>
  </xdr:twoCellAnchor>
  <xdr:twoCellAnchor>
    <xdr:from>
      <xdr:col>44</xdr:col>
      <xdr:colOff>206188</xdr:colOff>
      <xdr:row>32</xdr:row>
      <xdr:rowOff>129988</xdr:rowOff>
    </xdr:from>
    <xdr:to>
      <xdr:col>47</xdr:col>
      <xdr:colOff>149038</xdr:colOff>
      <xdr:row>36</xdr:row>
      <xdr:rowOff>139513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A5000C5-D2B3-4FA3-9F65-554206A8FF6E}"/>
            </a:ext>
          </a:extLst>
        </xdr:cNvPr>
        <xdr:cNvSpPr txBox="1"/>
      </xdr:nvSpPr>
      <xdr:spPr>
        <a:xfrm>
          <a:off x="39292306" y="6080312"/>
          <a:ext cx="1018614" cy="78273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Universal Lines Req. for Sec</a:t>
          </a:r>
          <a:br>
            <a:rPr lang="en-NZ" sz="1100"/>
          </a:br>
          <a:r>
            <a:rPr lang="en-NZ" sz="1100"/>
            <a:t>Apr 2022</a:t>
          </a:r>
        </a:p>
      </xdr:txBody>
    </xdr:sp>
    <xdr:clientData/>
  </xdr:twoCellAnchor>
  <xdr:twoCellAnchor>
    <xdr:from>
      <xdr:col>67</xdr:col>
      <xdr:colOff>156881</xdr:colOff>
      <xdr:row>53</xdr:row>
      <xdr:rowOff>145680</xdr:rowOff>
    </xdr:from>
    <xdr:to>
      <xdr:col>69</xdr:col>
      <xdr:colOff>302556</xdr:colOff>
      <xdr:row>58</xdr:row>
      <xdr:rowOff>134471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4555907-4BED-42D4-89DC-95E68A7745DF}"/>
            </a:ext>
          </a:extLst>
        </xdr:cNvPr>
        <xdr:cNvSpPr txBox="1"/>
      </xdr:nvSpPr>
      <xdr:spPr>
        <a:xfrm>
          <a:off x="47490528" y="10152533"/>
          <a:ext cx="862852" cy="941291"/>
        </a:xfrm>
        <a:prstGeom prst="rect">
          <a:avLst/>
        </a:prstGeom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1 x RPS Line Arrive</a:t>
          </a:r>
        </a:p>
        <a:p>
          <a:pPr algn="ctr"/>
          <a:r>
            <a:rPr lang="en-NZ" sz="1100"/>
            <a:t>1 x SMT line</a:t>
          </a:r>
        </a:p>
      </xdr:txBody>
    </xdr:sp>
    <xdr:clientData/>
  </xdr:twoCellAnchor>
  <xdr:twoCellAnchor>
    <xdr:from>
      <xdr:col>68</xdr:col>
      <xdr:colOff>212912</xdr:colOff>
      <xdr:row>44</xdr:row>
      <xdr:rowOff>33618</xdr:rowOff>
    </xdr:from>
    <xdr:to>
      <xdr:col>68</xdr:col>
      <xdr:colOff>229719</xdr:colOff>
      <xdr:row>53</xdr:row>
      <xdr:rowOff>145680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12B77039-5C7D-4790-9598-C018E3606452}"/>
            </a:ext>
          </a:extLst>
        </xdr:cNvPr>
        <xdr:cNvCxnSpPr>
          <a:stCxn id="160" idx="0"/>
        </xdr:cNvCxnSpPr>
      </xdr:nvCxnSpPr>
      <xdr:spPr>
        <a:xfrm flipH="1" flipV="1">
          <a:off x="47905147" y="8325971"/>
          <a:ext cx="16807" cy="18265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156882</xdr:colOff>
      <xdr:row>48</xdr:row>
      <xdr:rowOff>145676</xdr:rowOff>
    </xdr:from>
    <xdr:to>
      <xdr:col>69</xdr:col>
      <xdr:colOff>302558</xdr:colOff>
      <xdr:row>53</xdr:row>
      <xdr:rowOff>116537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91E770C-6213-44A6-B7F2-519327B8B50D}"/>
            </a:ext>
          </a:extLst>
        </xdr:cNvPr>
        <xdr:cNvSpPr txBox="1"/>
      </xdr:nvSpPr>
      <xdr:spPr>
        <a:xfrm>
          <a:off x="47490529" y="9200029"/>
          <a:ext cx="862853" cy="923361"/>
        </a:xfrm>
        <a:prstGeom prst="rect">
          <a:avLst/>
        </a:prstGeom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NZ" sz="1100"/>
            <a:t>Install 2 x RPS Lines</a:t>
          </a:r>
          <a:br>
            <a:rPr lang="en-NZ" sz="1100"/>
          </a:br>
          <a:r>
            <a:rPr lang="en-NZ" sz="1100"/>
            <a:t>Hawkers Required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657225</xdr:colOff>
      <xdr:row>35</xdr:row>
      <xdr:rowOff>85725</xdr:rowOff>
    </xdr:from>
    <xdr:to>
      <xdr:col>23</xdr:col>
      <xdr:colOff>790575</xdr:colOff>
      <xdr:row>56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46F272-1B8D-4EAF-8EEB-D33562801D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0</xdr:row>
      <xdr:rowOff>0</xdr:rowOff>
    </xdr:from>
    <xdr:to>
      <xdr:col>23</xdr:col>
      <xdr:colOff>542924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040FA-7FED-41F5-860F-6178EA0D71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114299</xdr:colOff>
      <xdr:row>23</xdr:row>
      <xdr:rowOff>28575</xdr:rowOff>
    </xdr:from>
    <xdr:to>
      <xdr:col>23</xdr:col>
      <xdr:colOff>533399</xdr:colOff>
      <xdr:row>44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B93242-2138-42B6-9675-AE0A9D5A1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7</xdr:col>
      <xdr:colOff>304800</xdr:colOff>
      <xdr:row>60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837736-9E85-45C7-8E3B-7C1B17678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</xdr:colOff>
      <xdr:row>0</xdr:row>
      <xdr:rowOff>171450</xdr:rowOff>
    </xdr:from>
    <xdr:to>
      <xdr:col>9</xdr:col>
      <xdr:colOff>223837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A6427-DE7E-4117-B136-DDDD204E7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485775</xdr:colOff>
      <xdr:row>1</xdr:row>
      <xdr:rowOff>47625</xdr:rowOff>
    </xdr:from>
    <xdr:to>
      <xdr:col>28</xdr:col>
      <xdr:colOff>533400</xdr:colOff>
      <xdr:row>15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C188D-23AD-43CA-A328-772A342D7B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176212</xdr:colOff>
      <xdr:row>1</xdr:row>
      <xdr:rowOff>119062</xdr:rowOff>
    </xdr:from>
    <xdr:to>
      <xdr:col>36</xdr:col>
      <xdr:colOff>14287</xdr:colOff>
      <xdr:row>16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617810-882F-47B1-9FF7-A4552B0FE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209550</xdr:colOff>
      <xdr:row>1</xdr:row>
      <xdr:rowOff>114300</xdr:rowOff>
    </xdr:from>
    <xdr:to>
      <xdr:col>43</xdr:col>
      <xdr:colOff>514350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AD79C8-7712-4127-AAC5-2C83789F0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381000</xdr:colOff>
      <xdr:row>1</xdr:row>
      <xdr:rowOff>76200</xdr:rowOff>
    </xdr:from>
    <xdr:to>
      <xdr:col>67</xdr:col>
      <xdr:colOff>76200</xdr:colOff>
      <xdr:row>15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CFF31D-EE28-483A-9D72-81FAD246A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552450</xdr:colOff>
      <xdr:row>1</xdr:row>
      <xdr:rowOff>76200</xdr:rowOff>
    </xdr:from>
    <xdr:to>
      <xdr:col>59</xdr:col>
      <xdr:colOff>247650</xdr:colOff>
      <xdr:row>15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6F46C1-ED46-4D09-AF4C-A7EA4A9D35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47625</xdr:colOff>
      <xdr:row>1</xdr:row>
      <xdr:rowOff>85725</xdr:rowOff>
    </xdr:from>
    <xdr:to>
      <xdr:col>51</xdr:col>
      <xdr:colOff>352425</xdr:colOff>
      <xdr:row>15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1A75C7D-7AAF-486D-B063-146EAADC6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314325</xdr:colOff>
      <xdr:row>1</xdr:row>
      <xdr:rowOff>100012</xdr:rowOff>
    </xdr:from>
    <xdr:to>
      <xdr:col>75</xdr:col>
      <xdr:colOff>9525</xdr:colOff>
      <xdr:row>15</xdr:row>
      <xdr:rowOff>176212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C1975F-22E6-463A-B4B5-9D80FDB23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361950</xdr:colOff>
      <xdr:row>1</xdr:row>
      <xdr:rowOff>38100</xdr:rowOff>
    </xdr:from>
    <xdr:to>
      <xdr:col>18</xdr:col>
      <xdr:colOff>428625</xdr:colOff>
      <xdr:row>15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091DEAA-DC12-4989-80DC-D22B5F364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0</xdr:colOff>
      <xdr:row>88</xdr:row>
      <xdr:rowOff>0</xdr:rowOff>
    </xdr:from>
    <xdr:to>
      <xdr:col>58</xdr:col>
      <xdr:colOff>304800</xdr:colOff>
      <xdr:row>102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75C607-CB32-4C85-A6CC-254B145A8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59</xdr:col>
      <xdr:colOff>0</xdr:colOff>
      <xdr:row>88</xdr:row>
      <xdr:rowOff>0</xdr:rowOff>
    </xdr:from>
    <xdr:to>
      <xdr:col>66</xdr:col>
      <xdr:colOff>304800</xdr:colOff>
      <xdr:row>102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2B67F7-F72A-4B00-ADA9-305D9FE1C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542925</xdr:colOff>
      <xdr:row>33</xdr:row>
      <xdr:rowOff>95250</xdr:rowOff>
    </xdr:from>
    <xdr:to>
      <xdr:col>33</xdr:col>
      <xdr:colOff>133350</xdr:colOff>
      <xdr:row>47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EC6E0-B091-4E35-AE9E-640F4AC83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581025</xdr:colOff>
      <xdr:row>18</xdr:row>
      <xdr:rowOff>152400</xdr:rowOff>
    </xdr:from>
    <xdr:to>
      <xdr:col>33</xdr:col>
      <xdr:colOff>152400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C2D3A-78F9-4E3C-BA90-F1BBD1D4C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209550</xdr:colOff>
      <xdr:row>48</xdr:row>
      <xdr:rowOff>9525</xdr:rowOff>
    </xdr:from>
    <xdr:to>
      <xdr:col>23</xdr:col>
      <xdr:colOff>409575</xdr:colOff>
      <xdr:row>62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651F65-782A-490A-AFD9-844E6567F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200025</xdr:colOff>
      <xdr:row>33</xdr:row>
      <xdr:rowOff>9525</xdr:rowOff>
    </xdr:from>
    <xdr:to>
      <xdr:col>23</xdr:col>
      <xdr:colOff>400050</xdr:colOff>
      <xdr:row>47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641D66-6F6D-454E-96BB-8888B2CD7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276225</xdr:colOff>
      <xdr:row>92</xdr:row>
      <xdr:rowOff>114300</xdr:rowOff>
    </xdr:from>
    <xdr:to>
      <xdr:col>23</xdr:col>
      <xdr:colOff>552450</xdr:colOff>
      <xdr:row>107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28A6DD-D010-4594-88BB-7CB3DEE95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245969</xdr:colOff>
      <xdr:row>1</xdr:row>
      <xdr:rowOff>179294</xdr:rowOff>
    </xdr:from>
    <xdr:to>
      <xdr:col>23</xdr:col>
      <xdr:colOff>426944</xdr:colOff>
      <xdr:row>16</xdr:row>
      <xdr:rowOff>64994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450F511-ED8A-4AB3-82B0-925CA8E41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266699</xdr:colOff>
      <xdr:row>18</xdr:row>
      <xdr:rowOff>57150</xdr:rowOff>
    </xdr:from>
    <xdr:to>
      <xdr:col>23</xdr:col>
      <xdr:colOff>428624</xdr:colOff>
      <xdr:row>32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0E1BDE-A181-4D49-9193-7082FA4C65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67236</xdr:colOff>
      <xdr:row>2</xdr:row>
      <xdr:rowOff>11206</xdr:rowOff>
    </xdr:from>
    <xdr:to>
      <xdr:col>33</xdr:col>
      <xdr:colOff>248211</xdr:colOff>
      <xdr:row>16</xdr:row>
      <xdr:rowOff>87406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A22458-2053-492E-B42B-786EC6B0C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593913</xdr:colOff>
      <xdr:row>2</xdr:row>
      <xdr:rowOff>44824</xdr:rowOff>
    </xdr:from>
    <xdr:to>
      <xdr:col>42</xdr:col>
      <xdr:colOff>407335</xdr:colOff>
      <xdr:row>16</xdr:row>
      <xdr:rowOff>121024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B91077E-F082-4E72-9B7F-1A6A73EC7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44823</xdr:colOff>
      <xdr:row>19</xdr:row>
      <xdr:rowOff>0</xdr:rowOff>
    </xdr:from>
    <xdr:to>
      <xdr:col>42</xdr:col>
      <xdr:colOff>463363</xdr:colOff>
      <xdr:row>33</xdr:row>
      <xdr:rowOff>33618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053B691-D4C5-48F9-BD99-20276E9AB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33619</xdr:colOff>
      <xdr:row>33</xdr:row>
      <xdr:rowOff>100853</xdr:rowOff>
    </xdr:from>
    <xdr:to>
      <xdr:col>42</xdr:col>
      <xdr:colOff>452159</xdr:colOff>
      <xdr:row>47</xdr:row>
      <xdr:rowOff>177053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BEE0BA2-676C-4E77-BA1C-24FCBF6E2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299758</xdr:colOff>
      <xdr:row>2</xdr:row>
      <xdr:rowOff>22412</xdr:rowOff>
    </xdr:from>
    <xdr:to>
      <xdr:col>36</xdr:col>
      <xdr:colOff>474010</xdr:colOff>
      <xdr:row>21</xdr:row>
      <xdr:rowOff>70037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690E603-C13A-4152-B4C2-E6369817A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294995</xdr:colOff>
      <xdr:row>22</xdr:row>
      <xdr:rowOff>18490</xdr:rowOff>
    </xdr:from>
    <xdr:to>
      <xdr:col>36</xdr:col>
      <xdr:colOff>469247</xdr:colOff>
      <xdr:row>41</xdr:row>
      <xdr:rowOff>66115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7396188-68D6-4B5B-B7C3-6F3D14CA0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297797</xdr:colOff>
      <xdr:row>42</xdr:row>
      <xdr:rowOff>561</xdr:rowOff>
    </xdr:from>
    <xdr:to>
      <xdr:col>36</xdr:col>
      <xdr:colOff>472049</xdr:colOff>
      <xdr:row>61</xdr:row>
      <xdr:rowOff>48186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FE2504B-C319-476B-A86C-E7A1A9EC9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349624</xdr:colOff>
      <xdr:row>62</xdr:row>
      <xdr:rowOff>22414</xdr:rowOff>
    </xdr:from>
    <xdr:to>
      <xdr:col>36</xdr:col>
      <xdr:colOff>470649</xdr:colOff>
      <xdr:row>81</xdr:row>
      <xdr:rowOff>70039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3F68143-95C4-441F-B06D-B3751A6E6E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331693</xdr:colOff>
      <xdr:row>82</xdr:row>
      <xdr:rowOff>36981</xdr:rowOff>
    </xdr:from>
    <xdr:to>
      <xdr:col>36</xdr:col>
      <xdr:colOff>493059</xdr:colOff>
      <xdr:row>101</xdr:row>
      <xdr:rowOff>84606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6748DB0-9470-4885-805A-7D829595C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145677</xdr:colOff>
      <xdr:row>76</xdr:row>
      <xdr:rowOff>22412</xdr:rowOff>
    </xdr:from>
    <xdr:to>
      <xdr:col>24</xdr:col>
      <xdr:colOff>697288</xdr:colOff>
      <xdr:row>98</xdr:row>
      <xdr:rowOff>41462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90971096-9097-42F5-84A2-72DCD7C5F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44</xdr:col>
      <xdr:colOff>401731</xdr:colOff>
      <xdr:row>21</xdr:row>
      <xdr:rowOff>28575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8BC2AFCF-0341-4C9C-A65F-53230AF0D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11206</xdr:colOff>
      <xdr:row>21</xdr:row>
      <xdr:rowOff>164165</xdr:rowOff>
    </xdr:from>
    <xdr:to>
      <xdr:col>44</xdr:col>
      <xdr:colOff>412937</xdr:colOff>
      <xdr:row>41</xdr:row>
      <xdr:rowOff>2240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EAEBA6F-B408-41F6-BB7E-B4F92BB11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38380</xdr:colOff>
      <xdr:row>41</xdr:row>
      <xdr:rowOff>138392</xdr:rowOff>
    </xdr:from>
    <xdr:to>
      <xdr:col>44</xdr:col>
      <xdr:colOff>422182</xdr:colOff>
      <xdr:row>61</xdr:row>
      <xdr:rowOff>24092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992D6598-660A-487F-89DB-03FFBE989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25773</xdr:colOff>
      <xdr:row>61</xdr:row>
      <xdr:rowOff>168088</xdr:rowOff>
    </xdr:from>
    <xdr:to>
      <xdr:col>44</xdr:col>
      <xdr:colOff>392206</xdr:colOff>
      <xdr:row>81</xdr:row>
      <xdr:rowOff>25213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1FDC9459-BDFF-4D1F-899B-1D20C838C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0</xdr:colOff>
      <xdr:row>82</xdr:row>
      <xdr:rowOff>36981</xdr:rowOff>
    </xdr:from>
    <xdr:to>
      <xdr:col>44</xdr:col>
      <xdr:colOff>344907</xdr:colOff>
      <xdr:row>101</xdr:row>
      <xdr:rowOff>75081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FCF3730-055E-444F-B491-96D7B32ED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365125</xdr:colOff>
      <xdr:row>90</xdr:row>
      <xdr:rowOff>44450</xdr:rowOff>
    </xdr:from>
    <xdr:to>
      <xdr:col>15</xdr:col>
      <xdr:colOff>939803</xdr:colOff>
      <xdr:row>98</xdr:row>
      <xdr:rowOff>60325</xdr:rowOff>
    </xdr:to>
    <xdr:sp macro="" textlink="">
      <xdr:nvSpPr>
        <xdr:cNvPr id="2" name="Arrow: Bent-Up 1">
          <a:extLst>
            <a:ext uri="{FF2B5EF4-FFF2-40B4-BE49-F238E27FC236}">
              <a16:creationId xmlns:a16="http://schemas.microsoft.com/office/drawing/2014/main" id="{D8C9F943-A822-4ACB-AE9E-1A5E772D4EF4}"/>
            </a:ext>
          </a:extLst>
        </xdr:cNvPr>
        <xdr:cNvSpPr/>
      </xdr:nvSpPr>
      <xdr:spPr>
        <a:xfrm rot="5400000">
          <a:off x="8156576" y="1784349"/>
          <a:ext cx="1508125" cy="4708528"/>
        </a:xfrm>
        <a:prstGeom prst="bentUpArrow">
          <a:avLst>
            <a:gd name="adj1" fmla="val 25000"/>
            <a:gd name="adj2" fmla="val 23621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23</xdr:col>
      <xdr:colOff>95250</xdr:colOff>
      <xdr:row>95</xdr:row>
      <xdr:rowOff>152400</xdr:rowOff>
    </xdr:from>
    <xdr:to>
      <xdr:col>23</xdr:col>
      <xdr:colOff>673100</xdr:colOff>
      <xdr:row>98</xdr:row>
      <xdr:rowOff>6350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D3B40F2-A7A0-4EAA-89CF-5D72901C4323}"/>
            </a:ext>
          </a:extLst>
        </xdr:cNvPr>
        <xdr:cNvSpPr/>
      </xdr:nvSpPr>
      <xdr:spPr>
        <a:xfrm>
          <a:off x="16129000" y="4425950"/>
          <a:ext cx="577850" cy="412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32</xdr:col>
      <xdr:colOff>196850</xdr:colOff>
      <xdr:row>95</xdr:row>
      <xdr:rowOff>158750</xdr:rowOff>
    </xdr:from>
    <xdr:to>
      <xdr:col>33</xdr:col>
      <xdr:colOff>381000</xdr:colOff>
      <xdr:row>98</xdr:row>
      <xdr:rowOff>12700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D6F7924C-12CC-4423-B6E8-867F380729FC}"/>
            </a:ext>
          </a:extLst>
        </xdr:cNvPr>
        <xdr:cNvSpPr/>
      </xdr:nvSpPr>
      <xdr:spPr>
        <a:xfrm>
          <a:off x="22974300" y="4432300"/>
          <a:ext cx="914400" cy="412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20</xdr:col>
      <xdr:colOff>355600</xdr:colOff>
      <xdr:row>102</xdr:row>
      <xdr:rowOff>95250</xdr:rowOff>
    </xdr:from>
    <xdr:to>
      <xdr:col>20</xdr:col>
      <xdr:colOff>768350</xdr:colOff>
      <xdr:row>104</xdr:row>
      <xdr:rowOff>120650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82F13AF-B908-4A36-8040-95649945254B}"/>
            </a:ext>
          </a:extLst>
        </xdr:cNvPr>
        <xdr:cNvSpPr/>
      </xdr:nvSpPr>
      <xdr:spPr>
        <a:xfrm rot="5400000">
          <a:off x="14417675" y="5114925"/>
          <a:ext cx="406400" cy="412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23</xdr:col>
      <xdr:colOff>184150</xdr:colOff>
      <xdr:row>108</xdr:row>
      <xdr:rowOff>127000</xdr:rowOff>
    </xdr:from>
    <xdr:to>
      <xdr:col>23</xdr:col>
      <xdr:colOff>730250</xdr:colOff>
      <xdr:row>134</xdr:row>
      <xdr:rowOff>19050</xdr:rowOff>
    </xdr:to>
    <xdr:sp macro="" textlink="">
      <xdr:nvSpPr>
        <xdr:cNvPr id="6" name="Arrow: Bent-Up 5">
          <a:extLst>
            <a:ext uri="{FF2B5EF4-FFF2-40B4-BE49-F238E27FC236}">
              <a16:creationId xmlns:a16="http://schemas.microsoft.com/office/drawing/2014/main" id="{2931429B-31A7-4DE9-8234-7D5E3A63F980}"/>
            </a:ext>
          </a:extLst>
        </xdr:cNvPr>
        <xdr:cNvSpPr/>
      </xdr:nvSpPr>
      <xdr:spPr>
        <a:xfrm rot="10800000">
          <a:off x="16217900" y="6832600"/>
          <a:ext cx="546100" cy="4781550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29</xdr:col>
      <xdr:colOff>107950</xdr:colOff>
      <xdr:row>137</xdr:row>
      <xdr:rowOff>158750</xdr:rowOff>
    </xdr:from>
    <xdr:to>
      <xdr:col>32</xdr:col>
      <xdr:colOff>539750</xdr:colOff>
      <xdr:row>139</xdr:row>
      <xdr:rowOff>165100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C9A2AB1-AA70-492E-894E-C97C66843292}"/>
            </a:ext>
          </a:extLst>
        </xdr:cNvPr>
        <xdr:cNvSpPr/>
      </xdr:nvSpPr>
      <xdr:spPr>
        <a:xfrm>
          <a:off x="20694650" y="12319000"/>
          <a:ext cx="2622550" cy="374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31</xdr:col>
      <xdr:colOff>158750</xdr:colOff>
      <xdr:row>153</xdr:row>
      <xdr:rowOff>101600</xdr:rowOff>
    </xdr:from>
    <xdr:to>
      <xdr:col>33</xdr:col>
      <xdr:colOff>82550</xdr:colOff>
      <xdr:row>154</xdr:row>
      <xdr:rowOff>82550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DDC18D3E-3838-426B-9FC7-51FFF196A4CC}"/>
            </a:ext>
          </a:extLst>
        </xdr:cNvPr>
        <xdr:cNvSpPr/>
      </xdr:nvSpPr>
      <xdr:spPr>
        <a:xfrm>
          <a:off x="22205950" y="15233650"/>
          <a:ext cx="1384300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27</xdr:col>
      <xdr:colOff>12700</xdr:colOff>
      <xdr:row>167</xdr:row>
      <xdr:rowOff>82550</xdr:rowOff>
    </xdr:from>
    <xdr:to>
      <xdr:col>27</xdr:col>
      <xdr:colOff>381000</xdr:colOff>
      <xdr:row>170</xdr:row>
      <xdr:rowOff>25400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82761870-EE10-4BEA-8056-6545CE42C6C6}"/>
            </a:ext>
          </a:extLst>
        </xdr:cNvPr>
        <xdr:cNvSpPr/>
      </xdr:nvSpPr>
      <xdr:spPr>
        <a:xfrm>
          <a:off x="19405600" y="17951450"/>
          <a:ext cx="368300" cy="501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 editAs="oneCell">
    <xdr:from>
      <xdr:col>37</xdr:col>
      <xdr:colOff>161925</xdr:colOff>
      <xdr:row>13</xdr:row>
      <xdr:rowOff>19050</xdr:rowOff>
    </xdr:from>
    <xdr:to>
      <xdr:col>43</xdr:col>
      <xdr:colOff>132896</xdr:colOff>
      <xdr:row>27</xdr:row>
      <xdr:rowOff>152034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BA216E-1910-49D3-98EB-C341574DE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60350" y="2686050"/>
          <a:ext cx="3628571" cy="29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593725</xdr:colOff>
      <xdr:row>2</xdr:row>
      <xdr:rowOff>120650</xdr:rowOff>
    </xdr:from>
    <xdr:to>
      <xdr:col>80</xdr:col>
      <xdr:colOff>288925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88FFE-40DC-4E04-87B2-61312FA8C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263525</xdr:colOff>
      <xdr:row>88</xdr:row>
      <xdr:rowOff>79375</xdr:rowOff>
    </xdr:from>
    <xdr:to>
      <xdr:col>3</xdr:col>
      <xdr:colOff>1489075</xdr:colOff>
      <xdr:row>103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7A68D-8409-41C6-2EDF-768504B78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1584325</xdr:colOff>
      <xdr:row>88</xdr:row>
      <xdr:rowOff>79375</xdr:rowOff>
    </xdr:from>
    <xdr:to>
      <xdr:col>6</xdr:col>
      <xdr:colOff>777875</xdr:colOff>
      <xdr:row>103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D44427-3EED-EB76-ED69-8AD57B6B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</xdr:colOff>
      <xdr:row>88</xdr:row>
      <xdr:rowOff>85725</xdr:rowOff>
    </xdr:from>
    <xdr:to>
      <xdr:col>10</xdr:col>
      <xdr:colOff>1177925</xdr:colOff>
      <xdr:row>103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F1FE73-C804-EAAF-B402-C29D11E50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9525</xdr:colOff>
      <xdr:row>88</xdr:row>
      <xdr:rowOff>92075</xdr:rowOff>
    </xdr:from>
    <xdr:to>
      <xdr:col>17</xdr:col>
      <xdr:colOff>161925</xdr:colOff>
      <xdr:row>103</xdr:row>
      <xdr:rowOff>73025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98A1EE-9B42-4EFA-8F21-377292C9D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250825</xdr:colOff>
      <xdr:row>88</xdr:row>
      <xdr:rowOff>98425</xdr:rowOff>
    </xdr:from>
    <xdr:to>
      <xdr:col>24</xdr:col>
      <xdr:colOff>555625</xdr:colOff>
      <xdr:row>103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771C1B-4406-5B79-41C5-8A0F8D052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47625</xdr:colOff>
      <xdr:row>88</xdr:row>
      <xdr:rowOff>104775</xdr:rowOff>
    </xdr:from>
    <xdr:to>
      <xdr:col>32</xdr:col>
      <xdr:colOff>352425</xdr:colOff>
      <xdr:row>103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6B55F2-6009-5099-77F3-8836E44D4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257175</xdr:colOff>
      <xdr:row>103</xdr:row>
      <xdr:rowOff>168275</xdr:rowOff>
    </xdr:from>
    <xdr:to>
      <xdr:col>3</xdr:col>
      <xdr:colOff>1482725</xdr:colOff>
      <xdr:row>118</xdr:row>
      <xdr:rowOff>149225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BA69A84-8C86-2D5B-4BA3-0504FF347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1593850</xdr:colOff>
      <xdr:row>103</xdr:row>
      <xdr:rowOff>165100</xdr:rowOff>
    </xdr:from>
    <xdr:to>
      <xdr:col>6</xdr:col>
      <xdr:colOff>787400</xdr:colOff>
      <xdr:row>118</xdr:row>
      <xdr:rowOff>146050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8430F0-B269-43EE-B039-F8CCDC90B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15875</xdr:colOff>
      <xdr:row>103</xdr:row>
      <xdr:rowOff>168275</xdr:rowOff>
    </xdr:from>
    <xdr:to>
      <xdr:col>10</xdr:col>
      <xdr:colOff>1165225</xdr:colOff>
      <xdr:row>118</xdr:row>
      <xdr:rowOff>149225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CD14D0D-9A97-7DF8-9345-CED846189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0</xdr:colOff>
      <xdr:row>104</xdr:row>
      <xdr:rowOff>0</xdr:rowOff>
    </xdr:from>
    <xdr:to>
      <xdr:col>16</xdr:col>
      <xdr:colOff>419100</xdr:colOff>
      <xdr:row>118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0A4BAC1-6DDF-4C8E-9DCA-FF0A6DBB3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104</xdr:row>
      <xdr:rowOff>0</xdr:rowOff>
    </xdr:from>
    <xdr:to>
      <xdr:col>24</xdr:col>
      <xdr:colOff>295275</xdr:colOff>
      <xdr:row>118</xdr:row>
      <xdr:rowOff>158750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D825FA1-120F-422E-A4FA-9F1C42887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82550</xdr:colOff>
      <xdr:row>143</xdr:row>
      <xdr:rowOff>58737</xdr:rowOff>
    </xdr:from>
    <xdr:to>
      <xdr:col>95</xdr:col>
      <xdr:colOff>323850</xdr:colOff>
      <xdr:row>158</xdr:row>
      <xdr:rowOff>93662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CC1D51-E0B4-B0A0-3137-144BD31E2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309273</xdr:colOff>
      <xdr:row>0</xdr:row>
      <xdr:rowOff>175492</xdr:rowOff>
    </xdr:from>
    <xdr:to>
      <xdr:col>54</xdr:col>
      <xdr:colOff>271173</xdr:colOff>
      <xdr:row>15</xdr:row>
      <xdr:rowOff>61192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84800-4EA6-BDB6-FBC7-DF40AAC26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269153</xdr:colOff>
      <xdr:row>17</xdr:row>
      <xdr:rowOff>108238</xdr:rowOff>
    </xdr:from>
    <xdr:to>
      <xdr:col>9</xdr:col>
      <xdr:colOff>231053</xdr:colOff>
      <xdr:row>31</xdr:row>
      <xdr:rowOff>178665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D32CC-7C10-626C-0BD5-085DF9B70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309706</xdr:colOff>
      <xdr:row>17</xdr:row>
      <xdr:rowOff>115455</xdr:rowOff>
    </xdr:from>
    <xdr:to>
      <xdr:col>36</xdr:col>
      <xdr:colOff>346364</xdr:colOff>
      <xdr:row>32</xdr:row>
      <xdr:rowOff>6928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509BE-F98E-3063-EF50-10E02F839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320675</xdr:colOff>
      <xdr:row>0</xdr:row>
      <xdr:rowOff>121805</xdr:rowOff>
    </xdr:from>
    <xdr:to>
      <xdr:col>27</xdr:col>
      <xdr:colOff>311727</xdr:colOff>
      <xdr:row>15</xdr:row>
      <xdr:rowOff>7505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8CCDA0-4432-8AB1-96E3-237DD5AE5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0</xdr:colOff>
      <xdr:row>17</xdr:row>
      <xdr:rowOff>180975</xdr:rowOff>
    </xdr:from>
    <xdr:to>
      <xdr:col>54</xdr:col>
      <xdr:colOff>323850</xdr:colOff>
      <xdr:row>32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29B725-E8A4-4F04-8E2B-D2849A3F1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400050</xdr:colOff>
      <xdr:row>34</xdr:row>
      <xdr:rowOff>180975</xdr:rowOff>
    </xdr:from>
    <xdr:to>
      <xdr:col>27</xdr:col>
      <xdr:colOff>295275</xdr:colOff>
      <xdr:row>49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E3DF52E-3E1E-4AFB-8929-665914E7A8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366712</xdr:colOff>
      <xdr:row>0</xdr:row>
      <xdr:rowOff>152400</xdr:rowOff>
    </xdr:from>
    <xdr:to>
      <xdr:col>9</xdr:col>
      <xdr:colOff>266700</xdr:colOff>
      <xdr:row>15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11CB2DF-80F0-A62B-ED0C-8A413C85C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0</xdr:row>
      <xdr:rowOff>161925</xdr:rowOff>
    </xdr:from>
    <xdr:to>
      <xdr:col>18</xdr:col>
      <xdr:colOff>238125</xdr:colOff>
      <xdr:row>15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28C28FD-F3C3-45E8-9048-F288CA00B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327603</xdr:colOff>
      <xdr:row>34</xdr:row>
      <xdr:rowOff>152399</xdr:rowOff>
    </xdr:from>
    <xdr:to>
      <xdr:col>36</xdr:col>
      <xdr:colOff>232353</xdr:colOff>
      <xdr:row>49</xdr:row>
      <xdr:rowOff>38099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D69E8F6-F7E2-4416-806A-AC81959DB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334241</xdr:colOff>
      <xdr:row>35</xdr:row>
      <xdr:rowOff>0</xdr:rowOff>
    </xdr:from>
    <xdr:to>
      <xdr:col>9</xdr:col>
      <xdr:colOff>323274</xdr:colOff>
      <xdr:row>49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D78A024-AEA2-4752-B922-D7D339907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400050</xdr:colOff>
      <xdr:row>51</xdr:row>
      <xdr:rowOff>180975</xdr:rowOff>
    </xdr:from>
    <xdr:to>
      <xdr:col>27</xdr:col>
      <xdr:colOff>295275</xdr:colOff>
      <xdr:row>66</xdr:row>
      <xdr:rowOff>66675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C7D84C-C57A-4B8A-9335-7DB7F0EFF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0</xdr:colOff>
      <xdr:row>17</xdr:row>
      <xdr:rowOff>180975</xdr:rowOff>
    </xdr:from>
    <xdr:to>
      <xdr:col>27</xdr:col>
      <xdr:colOff>323850</xdr:colOff>
      <xdr:row>32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A29098B-1848-4167-B362-032F5D871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334819</xdr:colOff>
      <xdr:row>0</xdr:row>
      <xdr:rowOff>123248</xdr:rowOff>
    </xdr:from>
    <xdr:to>
      <xdr:col>45</xdr:col>
      <xdr:colOff>161636</xdr:colOff>
      <xdr:row>15</xdr:row>
      <xdr:rowOff>8948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27E4970-64AA-43BA-9F0D-29ED100EC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369455</xdr:colOff>
      <xdr:row>18</xdr:row>
      <xdr:rowOff>7792</xdr:rowOff>
    </xdr:from>
    <xdr:to>
      <xdr:col>45</xdr:col>
      <xdr:colOff>173182</xdr:colOff>
      <xdr:row>32</xdr:row>
      <xdr:rowOff>78220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2A27165-0B33-4A9C-8587-D51ED9885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369455</xdr:colOff>
      <xdr:row>34</xdr:row>
      <xdr:rowOff>134796</xdr:rowOff>
    </xdr:from>
    <xdr:to>
      <xdr:col>45</xdr:col>
      <xdr:colOff>127000</xdr:colOff>
      <xdr:row>49</xdr:row>
      <xdr:rowOff>20496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6FCEB92-643F-4853-BB5D-3E05B48F2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280698</xdr:colOff>
      <xdr:row>35</xdr:row>
      <xdr:rowOff>4330</xdr:rowOff>
    </xdr:from>
    <xdr:to>
      <xdr:col>18</xdr:col>
      <xdr:colOff>242598</xdr:colOff>
      <xdr:row>49</xdr:row>
      <xdr:rowOff>74757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3CF5E18-63D0-4E53-8684-537B47813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46</xdr:col>
      <xdr:colOff>358749</xdr:colOff>
      <xdr:row>51</xdr:row>
      <xdr:rowOff>142875</xdr:rowOff>
    </xdr:from>
    <xdr:to>
      <xdr:col>54</xdr:col>
      <xdr:colOff>311728</xdr:colOff>
      <xdr:row>66</xdr:row>
      <xdr:rowOff>28575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A86B687-3C4D-4656-9FB7-41EC3D4D7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28</xdr:col>
      <xdr:colOff>404092</xdr:colOff>
      <xdr:row>0</xdr:row>
      <xdr:rowOff>142875</xdr:rowOff>
    </xdr:from>
    <xdr:to>
      <xdr:col>36</xdr:col>
      <xdr:colOff>280148</xdr:colOff>
      <xdr:row>15</xdr:row>
      <xdr:rowOff>28575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1D6BBB5-7D52-46CD-B71F-DA58BBA5B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29</xdr:col>
      <xdr:colOff>0</xdr:colOff>
      <xdr:row>51</xdr:row>
      <xdr:rowOff>161925</xdr:rowOff>
    </xdr:from>
    <xdr:to>
      <xdr:col>36</xdr:col>
      <xdr:colOff>238125</xdr:colOff>
      <xdr:row>66</xdr:row>
      <xdr:rowOff>47625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F734449-1184-423C-A4EF-4374495D3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404092</xdr:colOff>
      <xdr:row>51</xdr:row>
      <xdr:rowOff>173471</xdr:rowOff>
    </xdr:from>
    <xdr:to>
      <xdr:col>45</xdr:col>
      <xdr:colOff>103909</xdr:colOff>
      <xdr:row>66</xdr:row>
      <xdr:rowOff>59171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01A8C0A-F1E5-47AE-8D1B-0F1AF20BD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269153</xdr:colOff>
      <xdr:row>68</xdr:row>
      <xdr:rowOff>108238</xdr:rowOff>
    </xdr:from>
    <xdr:to>
      <xdr:col>9</xdr:col>
      <xdr:colOff>231053</xdr:colOff>
      <xdr:row>82</xdr:row>
      <xdr:rowOff>178665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8BFF5AD-D57E-4552-AC3B-7F018616A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269153</xdr:colOff>
      <xdr:row>85</xdr:row>
      <xdr:rowOff>108238</xdr:rowOff>
    </xdr:from>
    <xdr:to>
      <xdr:col>9</xdr:col>
      <xdr:colOff>231053</xdr:colOff>
      <xdr:row>99</xdr:row>
      <xdr:rowOff>178665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0C7E941-5538-43F5-B8A6-EF6504831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269153</xdr:colOff>
      <xdr:row>68</xdr:row>
      <xdr:rowOff>108238</xdr:rowOff>
    </xdr:from>
    <xdr:to>
      <xdr:col>18</xdr:col>
      <xdr:colOff>231053</xdr:colOff>
      <xdr:row>82</xdr:row>
      <xdr:rowOff>178665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EA4E1E8-8FC2-4F53-B2EB-168D2E4F6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269153</xdr:colOff>
      <xdr:row>68</xdr:row>
      <xdr:rowOff>108238</xdr:rowOff>
    </xdr:from>
    <xdr:to>
      <xdr:col>27</xdr:col>
      <xdr:colOff>231053</xdr:colOff>
      <xdr:row>82</xdr:row>
      <xdr:rowOff>178665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CFE6857-CC80-4840-BD4F-218E48683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269153</xdr:colOff>
      <xdr:row>68</xdr:row>
      <xdr:rowOff>108238</xdr:rowOff>
    </xdr:from>
    <xdr:to>
      <xdr:col>36</xdr:col>
      <xdr:colOff>231053</xdr:colOff>
      <xdr:row>82</xdr:row>
      <xdr:rowOff>178665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8250B69-5563-4F49-AAE2-08E57021D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37</xdr:col>
      <xdr:colOff>269153</xdr:colOff>
      <xdr:row>68</xdr:row>
      <xdr:rowOff>108238</xdr:rowOff>
    </xdr:from>
    <xdr:to>
      <xdr:col>45</xdr:col>
      <xdr:colOff>231053</xdr:colOff>
      <xdr:row>82</xdr:row>
      <xdr:rowOff>178665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B6C79AF-001C-4B72-9BCC-77B1053EA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269153</xdr:colOff>
      <xdr:row>85</xdr:row>
      <xdr:rowOff>108238</xdr:rowOff>
    </xdr:from>
    <xdr:to>
      <xdr:col>18</xdr:col>
      <xdr:colOff>231053</xdr:colOff>
      <xdr:row>99</xdr:row>
      <xdr:rowOff>178665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485FD6D9-8243-415E-AB46-F43267BEC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19</xdr:col>
      <xdr:colOff>269153</xdr:colOff>
      <xdr:row>85</xdr:row>
      <xdr:rowOff>108238</xdr:rowOff>
    </xdr:from>
    <xdr:to>
      <xdr:col>27</xdr:col>
      <xdr:colOff>231053</xdr:colOff>
      <xdr:row>99</xdr:row>
      <xdr:rowOff>178665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E726B55-0CAA-40E1-B4A1-CEA84491D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28</xdr:col>
      <xdr:colOff>269153</xdr:colOff>
      <xdr:row>85</xdr:row>
      <xdr:rowOff>108238</xdr:rowOff>
    </xdr:from>
    <xdr:to>
      <xdr:col>36</xdr:col>
      <xdr:colOff>231053</xdr:colOff>
      <xdr:row>99</xdr:row>
      <xdr:rowOff>178665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A9702A7-6918-43EA-AA69-3BA955EFE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37</xdr:col>
      <xdr:colOff>269153</xdr:colOff>
      <xdr:row>85</xdr:row>
      <xdr:rowOff>108238</xdr:rowOff>
    </xdr:from>
    <xdr:to>
      <xdr:col>45</xdr:col>
      <xdr:colOff>231053</xdr:colOff>
      <xdr:row>99</xdr:row>
      <xdr:rowOff>178665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7E6D368-925E-43A9-B9D4-C9330A694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269153</xdr:colOff>
      <xdr:row>51</xdr:row>
      <xdr:rowOff>108238</xdr:rowOff>
    </xdr:from>
    <xdr:to>
      <xdr:col>18</xdr:col>
      <xdr:colOff>231053</xdr:colOff>
      <xdr:row>65</xdr:row>
      <xdr:rowOff>178665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E5D242F2-ED63-4627-AE46-F0E6895D8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269153</xdr:colOff>
      <xdr:row>51</xdr:row>
      <xdr:rowOff>108238</xdr:rowOff>
    </xdr:from>
    <xdr:to>
      <xdr:col>9</xdr:col>
      <xdr:colOff>231053</xdr:colOff>
      <xdr:row>65</xdr:row>
      <xdr:rowOff>178665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E4895010-7837-47CF-A4B7-47E040A76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0</xdr:colOff>
      <xdr:row>17</xdr:row>
      <xdr:rowOff>161925</xdr:rowOff>
    </xdr:from>
    <xdr:to>
      <xdr:col>18</xdr:col>
      <xdr:colOff>238125</xdr:colOff>
      <xdr:row>32</xdr:row>
      <xdr:rowOff>47625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141B357E-563D-4996-A441-474A89474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</xdr:col>
      <xdr:colOff>459441</xdr:colOff>
      <xdr:row>85</xdr:row>
      <xdr:rowOff>29135</xdr:rowOff>
    </xdr:from>
    <xdr:to>
      <xdr:col>53</xdr:col>
      <xdr:colOff>425823</xdr:colOff>
      <xdr:row>99</xdr:row>
      <xdr:rowOff>105335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4425FE3-A438-C5AB-19B4-67604CA9B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5</xdr:col>
      <xdr:colOff>19050</xdr:colOff>
      <xdr:row>16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9322E-B677-4621-9EDE-E2EB27AA1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69851</xdr:colOff>
      <xdr:row>3</xdr:row>
      <xdr:rowOff>120649</xdr:rowOff>
    </xdr:from>
    <xdr:to>
      <xdr:col>4</xdr:col>
      <xdr:colOff>498475</xdr:colOff>
      <xdr:row>7</xdr:row>
      <xdr:rowOff>44450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84DA2D7-9359-41AE-AF13-16BA7B69F7A7}"/>
            </a:ext>
          </a:extLst>
        </xdr:cNvPr>
        <xdr:cNvSpPr txBox="1"/>
      </xdr:nvSpPr>
      <xdr:spPr>
        <a:xfrm>
          <a:off x="1517651" y="685799"/>
          <a:ext cx="1038224" cy="6604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800"/>
            <a:t>49% </a:t>
          </a:r>
          <a:r>
            <a:rPr lang="en-NZ" sz="1400"/>
            <a:t>Increase </a:t>
          </a:r>
          <a:endParaRPr lang="en-NZ" sz="1800"/>
        </a:p>
      </xdr:txBody>
    </xdr:sp>
    <xdr:clientData/>
  </xdr:twoCellAnchor>
  <xdr:twoCellAnchor>
    <xdr:from>
      <xdr:col>5</xdr:col>
      <xdr:colOff>19050</xdr:colOff>
      <xdr:row>2</xdr:row>
      <xdr:rowOff>190499</xdr:rowOff>
    </xdr:from>
    <xdr:to>
      <xdr:col>8</xdr:col>
      <xdr:colOff>638175</xdr:colOff>
      <xdr:row>16</xdr:row>
      <xdr:rowOff>180973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6BBE0B-AE24-45FE-8DE4-CA2BA8BEA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</xdr:colOff>
      <xdr:row>2</xdr:row>
      <xdr:rowOff>180974</xdr:rowOff>
    </xdr:from>
    <xdr:to>
      <xdr:col>13</xdr:col>
      <xdr:colOff>600074</xdr:colOff>
      <xdr:row>28</xdr:row>
      <xdr:rowOff>9525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D4FEF2A2-69E1-4CD8-8B6E-21B74B001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4</xdr:col>
      <xdr:colOff>571500</xdr:colOff>
      <xdr:row>19</xdr:row>
      <xdr:rowOff>9525</xdr:rowOff>
    </xdr:from>
    <xdr:to>
      <xdr:col>9</xdr:col>
      <xdr:colOff>6350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C898357-54D0-4356-B99F-0C19878EE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9525</xdr:colOff>
      <xdr:row>19</xdr:row>
      <xdr:rowOff>9525</xdr:rowOff>
    </xdr:from>
    <xdr:to>
      <xdr:col>4</xdr:col>
      <xdr:colOff>600075</xdr:colOff>
      <xdr:row>30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E1B377-9772-4558-9106-96759740A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471114</xdr:colOff>
      <xdr:row>48</xdr:row>
      <xdr:rowOff>19236</xdr:rowOff>
    </xdr:from>
    <xdr:to>
      <xdr:col>20</xdr:col>
      <xdr:colOff>574208</xdr:colOff>
      <xdr:row>62</xdr:row>
      <xdr:rowOff>91700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31CB5EE-7941-48DE-A854-CB5D0A37C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291353</xdr:colOff>
      <xdr:row>52</xdr:row>
      <xdr:rowOff>134471</xdr:rowOff>
    </xdr:from>
    <xdr:to>
      <xdr:col>12</xdr:col>
      <xdr:colOff>545353</xdr:colOff>
      <xdr:row>67</xdr:row>
      <xdr:rowOff>76201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3EA53A2-5789-4F33-8DCD-009612B10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358588</xdr:colOff>
      <xdr:row>48</xdr:row>
      <xdr:rowOff>36605</xdr:rowOff>
    </xdr:from>
    <xdr:to>
      <xdr:col>29</xdr:col>
      <xdr:colOff>29883</xdr:colOff>
      <xdr:row>62</xdr:row>
      <xdr:rowOff>165099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5F9FF3-9F3A-8D62-57D7-6CDED7FF1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0.31422</cdr:x>
      <cdr:y>0.31905</cdr:y>
    </cdr:from>
    <cdr:to>
      <cdr:x>0.69428</cdr:x>
      <cdr:y>0.7639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784DA2D7-9359-41AE-AF13-16BA7B69F7A7}"/>
            </a:ext>
          </a:extLst>
        </cdr:cNvPr>
        <cdr:cNvSpPr txBox="1"/>
      </cdr:nvSpPr>
      <cdr:spPr>
        <a:xfrm xmlns:a="http://schemas.openxmlformats.org/drawingml/2006/main">
          <a:off x="754233" y="847877"/>
          <a:ext cx="912255" cy="11821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NZ" sz="1800"/>
            <a:t>44% </a:t>
          </a:r>
          <a:r>
            <a:rPr lang="en-NZ" sz="1400"/>
            <a:t>New Team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900113</xdr:colOff>
      <xdr:row>5</xdr:row>
      <xdr:rowOff>19050</xdr:rowOff>
    </xdr:from>
    <xdr:to>
      <xdr:col>13</xdr:col>
      <xdr:colOff>166688</xdr:colOff>
      <xdr:row>6</xdr:row>
      <xdr:rowOff>176214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0B71940-157B-4D8F-B4BA-DA9B2E4B4450}"/>
            </a:ext>
          </a:extLst>
        </xdr:cNvPr>
        <xdr:cNvSpPr/>
      </xdr:nvSpPr>
      <xdr:spPr>
        <a:xfrm rot="16200000">
          <a:off x="9270206" y="5155407"/>
          <a:ext cx="347664" cy="323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10</xdr:col>
      <xdr:colOff>76200</xdr:colOff>
      <xdr:row>8</xdr:row>
      <xdr:rowOff>114300</xdr:rowOff>
    </xdr:from>
    <xdr:to>
      <xdr:col>10</xdr:col>
      <xdr:colOff>600075</xdr:colOff>
      <xdr:row>24</xdr:row>
      <xdr:rowOff>295275</xdr:rowOff>
    </xdr:to>
    <xdr:sp macro="" textlink="">
      <xdr:nvSpPr>
        <xdr:cNvPr id="5" name="Arrow: Curved Left 4">
          <a:extLst>
            <a:ext uri="{FF2B5EF4-FFF2-40B4-BE49-F238E27FC236}">
              <a16:creationId xmlns:a16="http://schemas.microsoft.com/office/drawing/2014/main" id="{66FFBA28-AF3E-4429-9727-5F62968302A5}"/>
            </a:ext>
          </a:extLst>
        </xdr:cNvPr>
        <xdr:cNvSpPr/>
      </xdr:nvSpPr>
      <xdr:spPr>
        <a:xfrm rot="10800000">
          <a:off x="6791325" y="5953125"/>
          <a:ext cx="523875" cy="31908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9525</xdr:colOff>
      <xdr:row>24</xdr:row>
      <xdr:rowOff>342900</xdr:rowOff>
    </xdr:from>
    <xdr:to>
      <xdr:col>15</xdr:col>
      <xdr:colOff>600075</xdr:colOff>
      <xdr:row>25</xdr:row>
      <xdr:rowOff>152400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1CADF276-0ADC-4BAB-B75D-CADAC6549127}"/>
            </a:ext>
          </a:extLst>
        </xdr:cNvPr>
        <xdr:cNvSpPr/>
      </xdr:nvSpPr>
      <xdr:spPr>
        <a:xfrm>
          <a:off x="11953875" y="10086975"/>
          <a:ext cx="590550" cy="2190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3</xdr:colOff>
      <xdr:row>16</xdr:row>
      <xdr:rowOff>371474</xdr:rowOff>
    </xdr:from>
    <xdr:to>
      <xdr:col>15</xdr:col>
      <xdr:colOff>476253</xdr:colOff>
      <xdr:row>24</xdr:row>
      <xdr:rowOff>390524</xdr:rowOff>
    </xdr:to>
    <xdr:sp macro="" textlink="">
      <xdr:nvSpPr>
        <xdr:cNvPr id="7" name="Arrow: Bent-Up 6">
          <a:extLst>
            <a:ext uri="{FF2B5EF4-FFF2-40B4-BE49-F238E27FC236}">
              <a16:creationId xmlns:a16="http://schemas.microsoft.com/office/drawing/2014/main" id="{3C925805-085A-430E-A372-449CA9945904}"/>
            </a:ext>
          </a:extLst>
        </xdr:cNvPr>
        <xdr:cNvSpPr/>
      </xdr:nvSpPr>
      <xdr:spPr>
        <a:xfrm rot="16200000">
          <a:off x="11206165" y="8920162"/>
          <a:ext cx="1952625" cy="476250"/>
        </a:xfrm>
        <a:prstGeom prst="bentUpArrow">
          <a:avLst>
            <a:gd name="adj1" fmla="val 20454"/>
            <a:gd name="adj2" fmla="val 25000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154700</xdr:colOff>
      <xdr:row>28</xdr:row>
      <xdr:rowOff>92659</xdr:rowOff>
    </xdr:from>
    <xdr:to>
      <xdr:col>15</xdr:col>
      <xdr:colOff>393586</xdr:colOff>
      <xdr:row>33</xdr:row>
      <xdr:rowOff>114306</xdr:rowOff>
    </xdr:to>
    <xdr:sp macro="" textlink="">
      <xdr:nvSpPr>
        <xdr:cNvPr id="8" name="Arrow: Left 7">
          <a:extLst>
            <a:ext uri="{FF2B5EF4-FFF2-40B4-BE49-F238E27FC236}">
              <a16:creationId xmlns:a16="http://schemas.microsoft.com/office/drawing/2014/main" id="{A6297F0E-F863-4E0E-A9CB-E315BF7954AE}"/>
            </a:ext>
          </a:extLst>
        </xdr:cNvPr>
        <xdr:cNvSpPr/>
      </xdr:nvSpPr>
      <xdr:spPr>
        <a:xfrm rot="2814447">
          <a:off x="16164466" y="10984481"/>
          <a:ext cx="970412" cy="2388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11</xdr:col>
      <xdr:colOff>22415</xdr:colOff>
      <xdr:row>29</xdr:row>
      <xdr:rowOff>76945</xdr:rowOff>
    </xdr:from>
    <xdr:to>
      <xdr:col>20</xdr:col>
      <xdr:colOff>31940</xdr:colOff>
      <xdr:row>32</xdr:row>
      <xdr:rowOff>85110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569EE5DD-3832-48AB-A48D-DD056B6CBAED}"/>
            </a:ext>
          </a:extLst>
        </xdr:cNvPr>
        <xdr:cNvSpPr/>
      </xdr:nvSpPr>
      <xdr:spPr>
        <a:xfrm rot="16200000">
          <a:off x="16424771" y="6527118"/>
          <a:ext cx="568459" cy="9108702"/>
        </a:xfrm>
        <a:prstGeom prst="leftBrace">
          <a:avLst>
            <a:gd name="adj1" fmla="val 8333"/>
            <a:gd name="adj2" fmla="val 23272"/>
          </a:avLst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10</xdr:col>
      <xdr:colOff>9525</xdr:colOff>
      <xdr:row>42</xdr:row>
      <xdr:rowOff>66675</xdr:rowOff>
    </xdr:from>
    <xdr:to>
      <xdr:col>10</xdr:col>
      <xdr:colOff>590550</xdr:colOff>
      <xdr:row>42</xdr:row>
      <xdr:rowOff>304800</xdr:rowOff>
    </xdr:to>
    <xdr:sp macro="" textlink="">
      <xdr:nvSpPr>
        <xdr:cNvPr id="10" name="Arrow: Left 9">
          <a:extLst>
            <a:ext uri="{FF2B5EF4-FFF2-40B4-BE49-F238E27FC236}">
              <a16:creationId xmlns:a16="http://schemas.microsoft.com/office/drawing/2014/main" id="{1D4EF987-7D9B-412E-A909-6510E1477E01}"/>
            </a:ext>
          </a:extLst>
        </xdr:cNvPr>
        <xdr:cNvSpPr/>
      </xdr:nvSpPr>
      <xdr:spPr>
        <a:xfrm>
          <a:off x="11591925" y="13515975"/>
          <a:ext cx="581025" cy="2381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14</xdr:col>
      <xdr:colOff>1063625</xdr:colOff>
      <xdr:row>42</xdr:row>
      <xdr:rowOff>104775</xdr:rowOff>
    </xdr:from>
    <xdr:to>
      <xdr:col>15</xdr:col>
      <xdr:colOff>577850</xdr:colOff>
      <xdr:row>42</xdr:row>
      <xdr:rowOff>342900</xdr:rowOff>
    </xdr:to>
    <xdr:sp macro="" textlink="">
      <xdr:nvSpPr>
        <xdr:cNvPr id="11" name="Arrow: Left 10">
          <a:extLst>
            <a:ext uri="{FF2B5EF4-FFF2-40B4-BE49-F238E27FC236}">
              <a16:creationId xmlns:a16="http://schemas.microsoft.com/office/drawing/2014/main" id="{994E4645-3E26-4EAA-A2ED-9E38794B972F}"/>
            </a:ext>
          </a:extLst>
        </xdr:cNvPr>
        <xdr:cNvSpPr/>
      </xdr:nvSpPr>
      <xdr:spPr>
        <a:xfrm rot="10800000">
          <a:off x="16456025" y="13554075"/>
          <a:ext cx="581025" cy="2381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12</xdr:col>
      <xdr:colOff>933825</xdr:colOff>
      <xdr:row>36</xdr:row>
      <xdr:rowOff>187324</xdr:rowOff>
    </xdr:from>
    <xdr:to>
      <xdr:col>13</xdr:col>
      <xdr:colOff>129431</xdr:colOff>
      <xdr:row>40</xdr:row>
      <xdr:rowOff>186765</xdr:rowOff>
    </xdr:to>
    <xdr:sp macro="" textlink="">
      <xdr:nvSpPr>
        <xdr:cNvPr id="12" name="Arrow: Left 11">
          <a:extLst>
            <a:ext uri="{FF2B5EF4-FFF2-40B4-BE49-F238E27FC236}">
              <a16:creationId xmlns:a16="http://schemas.microsoft.com/office/drawing/2014/main" id="{AF9E4FBD-3E6A-4469-920B-83F47F9EF3A7}"/>
            </a:ext>
          </a:extLst>
        </xdr:cNvPr>
        <xdr:cNvSpPr/>
      </xdr:nvSpPr>
      <xdr:spPr>
        <a:xfrm rot="16200000">
          <a:off x="13870643" y="12844741"/>
          <a:ext cx="768912" cy="25642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9524</xdr:colOff>
      <xdr:row>7</xdr:row>
      <xdr:rowOff>38099</xdr:rowOff>
    </xdr:from>
    <xdr:to>
      <xdr:col>15</xdr:col>
      <xdr:colOff>590549</xdr:colOff>
      <xdr:row>7</xdr:row>
      <xdr:rowOff>276224</xdr:rowOff>
    </xdr:to>
    <xdr:sp macro="" textlink="">
      <xdr:nvSpPr>
        <xdr:cNvPr id="13" name="Arrow: Left 12">
          <a:extLst>
            <a:ext uri="{FF2B5EF4-FFF2-40B4-BE49-F238E27FC236}">
              <a16:creationId xmlns:a16="http://schemas.microsoft.com/office/drawing/2014/main" id="{796F5766-3441-4B88-AF4C-EF25F4BDA6F5}"/>
            </a:ext>
          </a:extLst>
        </xdr:cNvPr>
        <xdr:cNvSpPr/>
      </xdr:nvSpPr>
      <xdr:spPr>
        <a:xfrm rot="10800000">
          <a:off x="11344274" y="5581649"/>
          <a:ext cx="581025" cy="2381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9526</xdr:colOff>
      <xdr:row>2</xdr:row>
      <xdr:rowOff>85725</xdr:rowOff>
    </xdr:from>
    <xdr:to>
      <xdr:col>16</xdr:col>
      <xdr:colOff>409576</xdr:colOff>
      <xdr:row>6</xdr:row>
      <xdr:rowOff>190500</xdr:rowOff>
    </xdr:to>
    <xdr:sp macro="" textlink="">
      <xdr:nvSpPr>
        <xdr:cNvPr id="14" name="Arrow: Bent-Up 13">
          <a:extLst>
            <a:ext uri="{FF2B5EF4-FFF2-40B4-BE49-F238E27FC236}">
              <a16:creationId xmlns:a16="http://schemas.microsoft.com/office/drawing/2014/main" id="{8FD770DC-CB78-4184-A4CF-0797FB7A6CEF}"/>
            </a:ext>
          </a:extLst>
        </xdr:cNvPr>
        <xdr:cNvSpPr/>
      </xdr:nvSpPr>
      <xdr:spPr>
        <a:xfrm rot="10800000" flipH="1">
          <a:off x="16385055" y="4343960"/>
          <a:ext cx="1012639" cy="1083422"/>
        </a:xfrm>
        <a:prstGeom prst="bentUpArrow">
          <a:avLst>
            <a:gd name="adj1" fmla="val 14415"/>
            <a:gd name="adj2" fmla="val 12069"/>
            <a:gd name="adj3" fmla="val 172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7</xdr:col>
      <xdr:colOff>966303</xdr:colOff>
      <xdr:row>27</xdr:row>
      <xdr:rowOff>5</xdr:rowOff>
    </xdr:from>
    <xdr:to>
      <xdr:col>8</xdr:col>
      <xdr:colOff>118312</xdr:colOff>
      <xdr:row>32</xdr:row>
      <xdr:rowOff>182218</xdr:rowOff>
    </xdr:to>
    <xdr:sp macro="" textlink="">
      <xdr:nvSpPr>
        <xdr:cNvPr id="15" name="Arrow: Left 14">
          <a:extLst>
            <a:ext uri="{FF2B5EF4-FFF2-40B4-BE49-F238E27FC236}">
              <a16:creationId xmlns:a16="http://schemas.microsoft.com/office/drawing/2014/main" id="{2B512935-AA3F-4881-8ABC-C4723A82BB3B}"/>
            </a:ext>
          </a:extLst>
        </xdr:cNvPr>
        <xdr:cNvSpPr/>
      </xdr:nvSpPr>
      <xdr:spPr>
        <a:xfrm rot="5400000">
          <a:off x="8838724" y="10686150"/>
          <a:ext cx="1120908" cy="21218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5</xdr:col>
      <xdr:colOff>6162</xdr:colOff>
      <xdr:row>8</xdr:row>
      <xdr:rowOff>73958</xdr:rowOff>
    </xdr:from>
    <xdr:to>
      <xdr:col>5</xdr:col>
      <xdr:colOff>587187</xdr:colOff>
      <xdr:row>8</xdr:row>
      <xdr:rowOff>305920</xdr:rowOff>
    </xdr:to>
    <xdr:sp macro="" textlink="">
      <xdr:nvSpPr>
        <xdr:cNvPr id="17" name="Arrow: Left 16">
          <a:extLst>
            <a:ext uri="{FF2B5EF4-FFF2-40B4-BE49-F238E27FC236}">
              <a16:creationId xmlns:a16="http://schemas.microsoft.com/office/drawing/2014/main" id="{567E003E-5CB1-4495-A3DC-BBAA26A31C47}"/>
            </a:ext>
          </a:extLst>
        </xdr:cNvPr>
        <xdr:cNvSpPr/>
      </xdr:nvSpPr>
      <xdr:spPr>
        <a:xfrm>
          <a:off x="6669927" y="5833782"/>
          <a:ext cx="581025" cy="23196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7</xdr:col>
      <xdr:colOff>936814</xdr:colOff>
      <xdr:row>11</xdr:row>
      <xdr:rowOff>10464</xdr:rowOff>
    </xdr:from>
    <xdr:to>
      <xdr:col>8</xdr:col>
      <xdr:colOff>113833</xdr:colOff>
      <xdr:row>15</xdr:row>
      <xdr:rowOff>2336</xdr:rowOff>
    </xdr:to>
    <xdr:sp macro="" textlink="">
      <xdr:nvSpPr>
        <xdr:cNvPr id="18" name="Arrow: Left 17">
          <a:extLst>
            <a:ext uri="{FF2B5EF4-FFF2-40B4-BE49-F238E27FC236}">
              <a16:creationId xmlns:a16="http://schemas.microsoft.com/office/drawing/2014/main" id="{0A39A61F-24C2-4854-936D-420DEEA77931}"/>
            </a:ext>
          </a:extLst>
        </xdr:cNvPr>
        <xdr:cNvSpPr/>
      </xdr:nvSpPr>
      <xdr:spPr>
        <a:xfrm rot="16200000">
          <a:off x="9012241" y="6823919"/>
          <a:ext cx="761342" cy="23784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</xdr:col>
      <xdr:colOff>941292</xdr:colOff>
      <xdr:row>2</xdr:row>
      <xdr:rowOff>74705</xdr:rowOff>
    </xdr:from>
    <xdr:to>
      <xdr:col>10</xdr:col>
      <xdr:colOff>612587</xdr:colOff>
      <xdr:row>6</xdr:row>
      <xdr:rowOff>186763</xdr:rowOff>
    </xdr:to>
    <xdr:sp macro="" textlink="">
      <xdr:nvSpPr>
        <xdr:cNvPr id="19" name="Arrow: Bent-Up 18">
          <a:extLst>
            <a:ext uri="{FF2B5EF4-FFF2-40B4-BE49-F238E27FC236}">
              <a16:creationId xmlns:a16="http://schemas.microsoft.com/office/drawing/2014/main" id="{90FFA9A0-5316-4C9A-BE78-695DE006AB17}"/>
            </a:ext>
          </a:extLst>
        </xdr:cNvPr>
        <xdr:cNvSpPr/>
      </xdr:nvSpPr>
      <xdr:spPr>
        <a:xfrm rot="10800000">
          <a:off x="4422586" y="4332940"/>
          <a:ext cx="7709648" cy="1090705"/>
        </a:xfrm>
        <a:prstGeom prst="bentUpArrow">
          <a:avLst>
            <a:gd name="adj1" fmla="val 11813"/>
            <a:gd name="adj2" fmla="val 12121"/>
            <a:gd name="adj3" fmla="val 213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12</xdr:col>
      <xdr:colOff>896471</xdr:colOff>
      <xdr:row>13</xdr:row>
      <xdr:rowOff>22413</xdr:rowOff>
    </xdr:from>
    <xdr:to>
      <xdr:col>13</xdr:col>
      <xdr:colOff>163046</xdr:colOff>
      <xdr:row>14</xdr:row>
      <xdr:rowOff>179576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8DA73925-2494-4FA2-92B7-25E3A8562B54}"/>
            </a:ext>
          </a:extLst>
        </xdr:cNvPr>
        <xdr:cNvSpPr/>
      </xdr:nvSpPr>
      <xdr:spPr>
        <a:xfrm rot="16200000">
          <a:off x="14081265" y="6970854"/>
          <a:ext cx="343928" cy="32739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12514</xdr:colOff>
      <xdr:row>11</xdr:row>
      <xdr:rowOff>141006</xdr:rowOff>
    </xdr:from>
    <xdr:to>
      <xdr:col>16</xdr:col>
      <xdr:colOff>381000</xdr:colOff>
      <xdr:row>14</xdr:row>
      <xdr:rowOff>187884</xdr:rowOff>
    </xdr:to>
    <xdr:sp macro="" textlink="">
      <xdr:nvSpPr>
        <xdr:cNvPr id="21" name="Arrow: Bent-Up 20">
          <a:extLst>
            <a:ext uri="{FF2B5EF4-FFF2-40B4-BE49-F238E27FC236}">
              <a16:creationId xmlns:a16="http://schemas.microsoft.com/office/drawing/2014/main" id="{A56C7799-56C2-4868-8348-A163C7657CF9}"/>
            </a:ext>
          </a:extLst>
        </xdr:cNvPr>
        <xdr:cNvSpPr/>
      </xdr:nvSpPr>
      <xdr:spPr>
        <a:xfrm rot="10800000" flipH="1">
          <a:off x="16388043" y="6692712"/>
          <a:ext cx="981075" cy="622113"/>
        </a:xfrm>
        <a:prstGeom prst="bentUpArrow">
          <a:avLst>
            <a:gd name="adj1" fmla="val 20395"/>
            <a:gd name="adj2" fmla="val 17448"/>
            <a:gd name="adj3" fmla="val 25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</xdr:col>
      <xdr:colOff>934357</xdr:colOff>
      <xdr:row>11</xdr:row>
      <xdr:rowOff>7472</xdr:rowOff>
    </xdr:from>
    <xdr:to>
      <xdr:col>3</xdr:col>
      <xdr:colOff>111376</xdr:colOff>
      <xdr:row>14</xdr:row>
      <xdr:rowOff>189844</xdr:rowOff>
    </xdr:to>
    <xdr:sp macro="" textlink="">
      <xdr:nvSpPr>
        <xdr:cNvPr id="22" name="Arrow: Left 21">
          <a:extLst>
            <a:ext uri="{FF2B5EF4-FFF2-40B4-BE49-F238E27FC236}">
              <a16:creationId xmlns:a16="http://schemas.microsoft.com/office/drawing/2014/main" id="{974C8264-6183-480C-8670-E9B208B3FE6E}"/>
            </a:ext>
          </a:extLst>
        </xdr:cNvPr>
        <xdr:cNvSpPr/>
      </xdr:nvSpPr>
      <xdr:spPr>
        <a:xfrm rot="16200000">
          <a:off x="4155769" y="6819060"/>
          <a:ext cx="757607" cy="23784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</xdr:col>
      <xdr:colOff>941294</xdr:colOff>
      <xdr:row>19</xdr:row>
      <xdr:rowOff>7471</xdr:rowOff>
    </xdr:from>
    <xdr:to>
      <xdr:col>3</xdr:col>
      <xdr:colOff>141943</xdr:colOff>
      <xdr:row>22</xdr:row>
      <xdr:rowOff>179294</xdr:rowOff>
    </xdr:to>
    <xdr:sp macro="" textlink="">
      <xdr:nvSpPr>
        <xdr:cNvPr id="23" name="Arrow: Left 22">
          <a:extLst>
            <a:ext uri="{FF2B5EF4-FFF2-40B4-BE49-F238E27FC236}">
              <a16:creationId xmlns:a16="http://schemas.microsoft.com/office/drawing/2014/main" id="{2E0A21DA-1639-44C0-B60C-DFDA386893EC}"/>
            </a:ext>
          </a:extLst>
        </xdr:cNvPr>
        <xdr:cNvSpPr/>
      </xdr:nvSpPr>
      <xdr:spPr>
        <a:xfrm rot="16200000">
          <a:off x="4179796" y="8692028"/>
          <a:ext cx="747058" cy="26147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900113</xdr:colOff>
      <xdr:row>5</xdr:row>
      <xdr:rowOff>19050</xdr:rowOff>
    </xdr:from>
    <xdr:to>
      <xdr:col>13</xdr:col>
      <xdr:colOff>166688</xdr:colOff>
      <xdr:row>6</xdr:row>
      <xdr:rowOff>176214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E10C269-90EF-4DC2-961B-43D1E1BA711D}"/>
            </a:ext>
          </a:extLst>
        </xdr:cNvPr>
        <xdr:cNvSpPr/>
      </xdr:nvSpPr>
      <xdr:spPr>
        <a:xfrm rot="16200000">
          <a:off x="12335669" y="1467644"/>
          <a:ext cx="341314" cy="3270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10</xdr:col>
      <xdr:colOff>76200</xdr:colOff>
      <xdr:row>8</xdr:row>
      <xdr:rowOff>114300</xdr:rowOff>
    </xdr:from>
    <xdr:to>
      <xdr:col>10</xdr:col>
      <xdr:colOff>600075</xdr:colOff>
      <xdr:row>24</xdr:row>
      <xdr:rowOff>295275</xdr:rowOff>
    </xdr:to>
    <xdr:sp macro="" textlink="">
      <xdr:nvSpPr>
        <xdr:cNvPr id="3" name="Arrow: Curved Left 2">
          <a:extLst>
            <a:ext uri="{FF2B5EF4-FFF2-40B4-BE49-F238E27FC236}">
              <a16:creationId xmlns:a16="http://schemas.microsoft.com/office/drawing/2014/main" id="{24D7308F-F652-4B55-9246-F8C9E6F270F0}"/>
            </a:ext>
          </a:extLst>
        </xdr:cNvPr>
        <xdr:cNvSpPr/>
      </xdr:nvSpPr>
      <xdr:spPr>
        <a:xfrm rot="10800000">
          <a:off x="9848850" y="2260600"/>
          <a:ext cx="523875" cy="39401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9525</xdr:colOff>
      <xdr:row>24</xdr:row>
      <xdr:rowOff>342900</xdr:rowOff>
    </xdr:from>
    <xdr:to>
      <xdr:col>15</xdr:col>
      <xdr:colOff>600075</xdr:colOff>
      <xdr:row>25</xdr:row>
      <xdr:rowOff>152400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B89CB239-FDBF-413B-878D-6DD4DB23448B}"/>
            </a:ext>
          </a:extLst>
        </xdr:cNvPr>
        <xdr:cNvSpPr/>
      </xdr:nvSpPr>
      <xdr:spPr>
        <a:xfrm>
          <a:off x="14633575" y="6248400"/>
          <a:ext cx="590550" cy="2095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3</xdr:colOff>
      <xdr:row>16</xdr:row>
      <xdr:rowOff>371474</xdr:rowOff>
    </xdr:from>
    <xdr:to>
      <xdr:col>15</xdr:col>
      <xdr:colOff>476253</xdr:colOff>
      <xdr:row>24</xdr:row>
      <xdr:rowOff>390524</xdr:rowOff>
    </xdr:to>
    <xdr:sp macro="" textlink="">
      <xdr:nvSpPr>
        <xdr:cNvPr id="5" name="Arrow: Bent-Up 4">
          <a:extLst>
            <a:ext uri="{FF2B5EF4-FFF2-40B4-BE49-F238E27FC236}">
              <a16:creationId xmlns:a16="http://schemas.microsoft.com/office/drawing/2014/main" id="{D32A5861-3431-4E16-8C3D-77003E654F6F}"/>
            </a:ext>
          </a:extLst>
        </xdr:cNvPr>
        <xdr:cNvSpPr/>
      </xdr:nvSpPr>
      <xdr:spPr>
        <a:xfrm rot="16200000">
          <a:off x="13912853" y="5108574"/>
          <a:ext cx="1898650" cy="476250"/>
        </a:xfrm>
        <a:prstGeom prst="bentUpArrow">
          <a:avLst>
            <a:gd name="adj1" fmla="val 20454"/>
            <a:gd name="adj2" fmla="val 25000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154700</xdr:colOff>
      <xdr:row>28</xdr:row>
      <xdr:rowOff>92659</xdr:rowOff>
    </xdr:from>
    <xdr:to>
      <xdr:col>15</xdr:col>
      <xdr:colOff>393586</xdr:colOff>
      <xdr:row>33</xdr:row>
      <xdr:rowOff>114306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D18735E8-DAE9-4352-B4BF-25AF8FF85003}"/>
            </a:ext>
          </a:extLst>
        </xdr:cNvPr>
        <xdr:cNvSpPr/>
      </xdr:nvSpPr>
      <xdr:spPr>
        <a:xfrm rot="2814447">
          <a:off x="14420644" y="7340515"/>
          <a:ext cx="955097" cy="2388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11</xdr:col>
      <xdr:colOff>22415</xdr:colOff>
      <xdr:row>29</xdr:row>
      <xdr:rowOff>76945</xdr:rowOff>
    </xdr:from>
    <xdr:to>
      <xdr:col>20</xdr:col>
      <xdr:colOff>31940</xdr:colOff>
      <xdr:row>32</xdr:row>
      <xdr:rowOff>85110</xdr:rowOff>
    </xdr:to>
    <xdr:sp macro="" textlink="">
      <xdr:nvSpPr>
        <xdr:cNvPr id="7" name="Left Brace 6">
          <a:extLst>
            <a:ext uri="{FF2B5EF4-FFF2-40B4-BE49-F238E27FC236}">
              <a16:creationId xmlns:a16="http://schemas.microsoft.com/office/drawing/2014/main" id="{388630C1-0238-44CD-A464-0E249B962022}"/>
            </a:ext>
          </a:extLst>
        </xdr:cNvPr>
        <xdr:cNvSpPr/>
      </xdr:nvSpPr>
      <xdr:spPr>
        <a:xfrm rot="16200000">
          <a:off x="14675720" y="2886140"/>
          <a:ext cx="560615" cy="9102725"/>
        </a:xfrm>
        <a:prstGeom prst="leftBrace">
          <a:avLst>
            <a:gd name="adj1" fmla="val 8333"/>
            <a:gd name="adj2" fmla="val 23272"/>
          </a:avLst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10</xdr:col>
      <xdr:colOff>9525</xdr:colOff>
      <xdr:row>42</xdr:row>
      <xdr:rowOff>66675</xdr:rowOff>
    </xdr:from>
    <xdr:to>
      <xdr:col>10</xdr:col>
      <xdr:colOff>590550</xdr:colOff>
      <xdr:row>42</xdr:row>
      <xdr:rowOff>304800</xdr:rowOff>
    </xdr:to>
    <xdr:sp macro="" textlink="">
      <xdr:nvSpPr>
        <xdr:cNvPr id="8" name="Arrow: Left 7">
          <a:extLst>
            <a:ext uri="{FF2B5EF4-FFF2-40B4-BE49-F238E27FC236}">
              <a16:creationId xmlns:a16="http://schemas.microsoft.com/office/drawing/2014/main" id="{92255FB2-5A3B-4CD9-9CD8-C9702CB8A266}"/>
            </a:ext>
          </a:extLst>
        </xdr:cNvPr>
        <xdr:cNvSpPr/>
      </xdr:nvSpPr>
      <xdr:spPr>
        <a:xfrm>
          <a:off x="9782175" y="10099675"/>
          <a:ext cx="581025" cy="2381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14</xdr:col>
      <xdr:colOff>1063625</xdr:colOff>
      <xdr:row>42</xdr:row>
      <xdr:rowOff>104775</xdr:rowOff>
    </xdr:from>
    <xdr:to>
      <xdr:col>15</xdr:col>
      <xdr:colOff>577850</xdr:colOff>
      <xdr:row>42</xdr:row>
      <xdr:rowOff>342900</xdr:rowOff>
    </xdr:to>
    <xdr:sp macro="" textlink="">
      <xdr:nvSpPr>
        <xdr:cNvPr id="9" name="Arrow: Left 8">
          <a:extLst>
            <a:ext uri="{FF2B5EF4-FFF2-40B4-BE49-F238E27FC236}">
              <a16:creationId xmlns:a16="http://schemas.microsoft.com/office/drawing/2014/main" id="{3C1EA83A-E80E-46EA-9D7A-4795ADFAE28E}"/>
            </a:ext>
          </a:extLst>
        </xdr:cNvPr>
        <xdr:cNvSpPr/>
      </xdr:nvSpPr>
      <xdr:spPr>
        <a:xfrm rot="10800000">
          <a:off x="14620875" y="10137775"/>
          <a:ext cx="581025" cy="2381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12</xdr:col>
      <xdr:colOff>933825</xdr:colOff>
      <xdr:row>36</xdr:row>
      <xdr:rowOff>187324</xdr:rowOff>
    </xdr:from>
    <xdr:to>
      <xdr:col>13</xdr:col>
      <xdr:colOff>129431</xdr:colOff>
      <xdr:row>40</xdr:row>
      <xdr:rowOff>186765</xdr:rowOff>
    </xdr:to>
    <xdr:sp macro="" textlink="">
      <xdr:nvSpPr>
        <xdr:cNvPr id="10" name="Arrow: Left 9">
          <a:extLst>
            <a:ext uri="{FF2B5EF4-FFF2-40B4-BE49-F238E27FC236}">
              <a16:creationId xmlns:a16="http://schemas.microsoft.com/office/drawing/2014/main" id="{DD36AA6A-C8CA-423E-9586-21D49D5C1F2E}"/>
            </a:ext>
          </a:extLst>
        </xdr:cNvPr>
        <xdr:cNvSpPr/>
      </xdr:nvSpPr>
      <xdr:spPr>
        <a:xfrm rot="16200000">
          <a:off x="12123832" y="9190317"/>
          <a:ext cx="761441" cy="25605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9524</xdr:colOff>
      <xdr:row>7</xdr:row>
      <xdr:rowOff>38099</xdr:rowOff>
    </xdr:from>
    <xdr:to>
      <xdr:col>15</xdr:col>
      <xdr:colOff>590549</xdr:colOff>
      <xdr:row>7</xdr:row>
      <xdr:rowOff>276224</xdr:rowOff>
    </xdr:to>
    <xdr:sp macro="" textlink="">
      <xdr:nvSpPr>
        <xdr:cNvPr id="11" name="Arrow: Left 10">
          <a:extLst>
            <a:ext uri="{FF2B5EF4-FFF2-40B4-BE49-F238E27FC236}">
              <a16:creationId xmlns:a16="http://schemas.microsoft.com/office/drawing/2014/main" id="{194C05BF-7912-4F76-A18C-CE50756D1390}"/>
            </a:ext>
          </a:extLst>
        </xdr:cNvPr>
        <xdr:cNvSpPr/>
      </xdr:nvSpPr>
      <xdr:spPr>
        <a:xfrm rot="10800000">
          <a:off x="14633574" y="1854199"/>
          <a:ext cx="581025" cy="2381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9526</xdr:colOff>
      <xdr:row>2</xdr:row>
      <xdr:rowOff>85725</xdr:rowOff>
    </xdr:from>
    <xdr:to>
      <xdr:col>16</xdr:col>
      <xdr:colOff>409576</xdr:colOff>
      <xdr:row>6</xdr:row>
      <xdr:rowOff>190500</xdr:rowOff>
    </xdr:to>
    <xdr:sp macro="" textlink="">
      <xdr:nvSpPr>
        <xdr:cNvPr id="12" name="Arrow: Bent-Up 11">
          <a:extLst>
            <a:ext uri="{FF2B5EF4-FFF2-40B4-BE49-F238E27FC236}">
              <a16:creationId xmlns:a16="http://schemas.microsoft.com/office/drawing/2014/main" id="{A361CC0E-6494-475C-B71C-282C90DA403F}"/>
            </a:ext>
          </a:extLst>
        </xdr:cNvPr>
        <xdr:cNvSpPr/>
      </xdr:nvSpPr>
      <xdr:spPr>
        <a:xfrm rot="10800000" flipH="1">
          <a:off x="14633576" y="739775"/>
          <a:ext cx="1009650" cy="1076325"/>
        </a:xfrm>
        <a:prstGeom prst="bentUpArrow">
          <a:avLst>
            <a:gd name="adj1" fmla="val 14415"/>
            <a:gd name="adj2" fmla="val 12069"/>
            <a:gd name="adj3" fmla="val 172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7</xdr:col>
      <xdr:colOff>966303</xdr:colOff>
      <xdr:row>27</xdr:row>
      <xdr:rowOff>5</xdr:rowOff>
    </xdr:from>
    <xdr:to>
      <xdr:col>8</xdr:col>
      <xdr:colOff>118312</xdr:colOff>
      <xdr:row>32</xdr:row>
      <xdr:rowOff>182218</xdr:rowOff>
    </xdr:to>
    <xdr:sp macro="" textlink="">
      <xdr:nvSpPr>
        <xdr:cNvPr id="13" name="Arrow: Left 12">
          <a:extLst>
            <a:ext uri="{FF2B5EF4-FFF2-40B4-BE49-F238E27FC236}">
              <a16:creationId xmlns:a16="http://schemas.microsoft.com/office/drawing/2014/main" id="{AFC932FC-C111-456E-998E-C46348B2EB0F}"/>
            </a:ext>
          </a:extLst>
        </xdr:cNvPr>
        <xdr:cNvSpPr/>
      </xdr:nvSpPr>
      <xdr:spPr>
        <a:xfrm rot="5400000">
          <a:off x="7102826" y="7147682"/>
          <a:ext cx="1122013" cy="21245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5</xdr:col>
      <xdr:colOff>6162</xdr:colOff>
      <xdr:row>8</xdr:row>
      <xdr:rowOff>73958</xdr:rowOff>
    </xdr:from>
    <xdr:to>
      <xdr:col>5</xdr:col>
      <xdr:colOff>587187</xdr:colOff>
      <xdr:row>8</xdr:row>
      <xdr:rowOff>305920</xdr:rowOff>
    </xdr:to>
    <xdr:sp macro="" textlink="">
      <xdr:nvSpPr>
        <xdr:cNvPr id="14" name="Arrow: Left 13">
          <a:extLst>
            <a:ext uri="{FF2B5EF4-FFF2-40B4-BE49-F238E27FC236}">
              <a16:creationId xmlns:a16="http://schemas.microsoft.com/office/drawing/2014/main" id="{384F43E4-827F-4DD5-B857-6E90C79279E4}"/>
            </a:ext>
          </a:extLst>
        </xdr:cNvPr>
        <xdr:cNvSpPr/>
      </xdr:nvSpPr>
      <xdr:spPr>
        <a:xfrm>
          <a:off x="4927412" y="2220258"/>
          <a:ext cx="581025" cy="23196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7</xdr:col>
      <xdr:colOff>936814</xdr:colOff>
      <xdr:row>11</xdr:row>
      <xdr:rowOff>10464</xdr:rowOff>
    </xdr:from>
    <xdr:to>
      <xdr:col>8</xdr:col>
      <xdr:colOff>113833</xdr:colOff>
      <xdr:row>15</xdr:row>
      <xdr:rowOff>2336</xdr:rowOff>
    </xdr:to>
    <xdr:sp macro="" textlink="">
      <xdr:nvSpPr>
        <xdr:cNvPr id="15" name="Arrow: Left 14">
          <a:extLst>
            <a:ext uri="{FF2B5EF4-FFF2-40B4-BE49-F238E27FC236}">
              <a16:creationId xmlns:a16="http://schemas.microsoft.com/office/drawing/2014/main" id="{9090A75F-3D0E-4CA0-8FE9-B9A90017C18C}"/>
            </a:ext>
          </a:extLst>
        </xdr:cNvPr>
        <xdr:cNvSpPr/>
      </xdr:nvSpPr>
      <xdr:spPr>
        <a:xfrm rot="16200000">
          <a:off x="7269913" y="3202365"/>
          <a:ext cx="753872" cy="23746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</xdr:col>
      <xdr:colOff>941292</xdr:colOff>
      <xdr:row>2</xdr:row>
      <xdr:rowOff>74705</xdr:rowOff>
    </xdr:from>
    <xdr:to>
      <xdr:col>10</xdr:col>
      <xdr:colOff>612587</xdr:colOff>
      <xdr:row>6</xdr:row>
      <xdr:rowOff>186763</xdr:rowOff>
    </xdr:to>
    <xdr:sp macro="" textlink="">
      <xdr:nvSpPr>
        <xdr:cNvPr id="16" name="Arrow: Bent-Up 15">
          <a:extLst>
            <a:ext uri="{FF2B5EF4-FFF2-40B4-BE49-F238E27FC236}">
              <a16:creationId xmlns:a16="http://schemas.microsoft.com/office/drawing/2014/main" id="{6A2974D3-782C-417C-ABB1-9737D1627D1D}"/>
            </a:ext>
          </a:extLst>
        </xdr:cNvPr>
        <xdr:cNvSpPr/>
      </xdr:nvSpPr>
      <xdr:spPr>
        <a:xfrm rot="10800000">
          <a:off x="2681192" y="728755"/>
          <a:ext cx="7704045" cy="1083608"/>
        </a:xfrm>
        <a:prstGeom prst="bentUpArrow">
          <a:avLst>
            <a:gd name="adj1" fmla="val 11813"/>
            <a:gd name="adj2" fmla="val 12121"/>
            <a:gd name="adj3" fmla="val 213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12</xdr:col>
      <xdr:colOff>896471</xdr:colOff>
      <xdr:row>13</xdr:row>
      <xdr:rowOff>22413</xdr:rowOff>
    </xdr:from>
    <xdr:to>
      <xdr:col>13</xdr:col>
      <xdr:colOff>163046</xdr:colOff>
      <xdr:row>14</xdr:row>
      <xdr:rowOff>179576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2F46D99A-96EA-4994-936F-815054C5564C}"/>
            </a:ext>
          </a:extLst>
        </xdr:cNvPr>
        <xdr:cNvSpPr/>
      </xdr:nvSpPr>
      <xdr:spPr>
        <a:xfrm rot="16200000">
          <a:off x="12332027" y="3350607"/>
          <a:ext cx="341313" cy="3270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15</xdr:col>
      <xdr:colOff>12514</xdr:colOff>
      <xdr:row>11</xdr:row>
      <xdr:rowOff>141006</xdr:rowOff>
    </xdr:from>
    <xdr:to>
      <xdr:col>16</xdr:col>
      <xdr:colOff>381000</xdr:colOff>
      <xdr:row>14</xdr:row>
      <xdr:rowOff>187884</xdr:rowOff>
    </xdr:to>
    <xdr:sp macro="" textlink="">
      <xdr:nvSpPr>
        <xdr:cNvPr id="18" name="Arrow: Bent-Up 17">
          <a:extLst>
            <a:ext uri="{FF2B5EF4-FFF2-40B4-BE49-F238E27FC236}">
              <a16:creationId xmlns:a16="http://schemas.microsoft.com/office/drawing/2014/main" id="{3BE4CF81-0F49-4C9D-A081-C7A3BEBE6053}"/>
            </a:ext>
          </a:extLst>
        </xdr:cNvPr>
        <xdr:cNvSpPr/>
      </xdr:nvSpPr>
      <xdr:spPr>
        <a:xfrm rot="10800000" flipH="1">
          <a:off x="14636564" y="3074706"/>
          <a:ext cx="978086" cy="618378"/>
        </a:xfrm>
        <a:prstGeom prst="bentUpArrow">
          <a:avLst>
            <a:gd name="adj1" fmla="val 20395"/>
            <a:gd name="adj2" fmla="val 17448"/>
            <a:gd name="adj3" fmla="val 25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</xdr:col>
      <xdr:colOff>934357</xdr:colOff>
      <xdr:row>11</xdr:row>
      <xdr:rowOff>7472</xdr:rowOff>
    </xdr:from>
    <xdr:to>
      <xdr:col>3</xdr:col>
      <xdr:colOff>111376</xdr:colOff>
      <xdr:row>14</xdr:row>
      <xdr:rowOff>189844</xdr:rowOff>
    </xdr:to>
    <xdr:sp macro="" textlink="">
      <xdr:nvSpPr>
        <xdr:cNvPr id="19" name="Arrow: Left 18">
          <a:extLst>
            <a:ext uri="{FF2B5EF4-FFF2-40B4-BE49-F238E27FC236}">
              <a16:creationId xmlns:a16="http://schemas.microsoft.com/office/drawing/2014/main" id="{E4F659B5-EEFC-4BE5-97BA-71892BEAA2E4}"/>
            </a:ext>
          </a:extLst>
        </xdr:cNvPr>
        <xdr:cNvSpPr/>
      </xdr:nvSpPr>
      <xdr:spPr>
        <a:xfrm rot="16200000">
          <a:off x="2416056" y="3199373"/>
          <a:ext cx="753872" cy="23746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2</xdr:col>
      <xdr:colOff>941294</xdr:colOff>
      <xdr:row>19</xdr:row>
      <xdr:rowOff>7471</xdr:rowOff>
    </xdr:from>
    <xdr:to>
      <xdr:col>3</xdr:col>
      <xdr:colOff>141943</xdr:colOff>
      <xdr:row>22</xdr:row>
      <xdr:rowOff>179294</xdr:rowOff>
    </xdr:to>
    <xdr:sp macro="" textlink="">
      <xdr:nvSpPr>
        <xdr:cNvPr id="20" name="Arrow: Left 19">
          <a:extLst>
            <a:ext uri="{FF2B5EF4-FFF2-40B4-BE49-F238E27FC236}">
              <a16:creationId xmlns:a16="http://schemas.microsoft.com/office/drawing/2014/main" id="{7C155896-950D-46C7-A7D3-7548731EDD81}"/>
            </a:ext>
          </a:extLst>
        </xdr:cNvPr>
        <xdr:cNvSpPr/>
      </xdr:nvSpPr>
      <xdr:spPr>
        <a:xfrm rot="16200000">
          <a:off x="2440082" y="5061883"/>
          <a:ext cx="743323" cy="26109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0</xdr:col>
      <xdr:colOff>673100</xdr:colOff>
      <xdr:row>8</xdr:row>
      <xdr:rowOff>11546</xdr:rowOff>
    </xdr:from>
    <xdr:to>
      <xdr:col>5</xdr:col>
      <xdr:colOff>0</xdr:colOff>
      <xdr:row>12</xdr:row>
      <xdr:rowOff>171449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9C860AA-CFA0-4AB3-BA13-2A786C6CC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673100</xdr:colOff>
      <xdr:row>16</xdr:row>
      <xdr:rowOff>12700</xdr:rowOff>
    </xdr:from>
    <xdr:to>
      <xdr:col>5</xdr:col>
      <xdr:colOff>0</xdr:colOff>
      <xdr:row>20</xdr:row>
      <xdr:rowOff>127000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39E3C59-278B-44CF-8C4E-424BD696D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638629</xdr:colOff>
      <xdr:row>24</xdr:row>
      <xdr:rowOff>12700</xdr:rowOff>
    </xdr:from>
    <xdr:to>
      <xdr:col>5</xdr:col>
      <xdr:colOff>0</xdr:colOff>
      <xdr:row>28</xdr:row>
      <xdr:rowOff>139700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5748050-4445-4418-A795-E5F336689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597147</xdr:colOff>
      <xdr:row>2</xdr:row>
      <xdr:rowOff>9979</xdr:rowOff>
    </xdr:from>
    <xdr:to>
      <xdr:col>15</xdr:col>
      <xdr:colOff>1154</xdr:colOff>
      <xdr:row>5</xdr:row>
      <xdr:rowOff>6350</xdr:rowOff>
    </xdr:to>
    <xdr:graphicFrame macro="">
      <xdr:nvGraphicFramePr>
        <xdr:cNvPr id="43" name="Chart 23">
          <a:extLst>
            <a:ext uri="{FF2B5EF4-FFF2-40B4-BE49-F238E27FC236}">
              <a16:creationId xmlns:a16="http://schemas.microsoft.com/office/drawing/2014/main" id="{AC0F848B-039C-426C-9D2F-5E7EE6F5D045}"/>
            </a:ext>
            <a:ext uri="{147F2762-F138-4A5C-976F-8EAC2B608ADB}">
              <a16:predDERef xmlns:a16="http://schemas.microsoft.com/office/drawing/2014/main" pred="{C5748050-4445-4418-A795-E5F336689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601407</xdr:colOff>
      <xdr:row>8</xdr:row>
      <xdr:rowOff>7470</xdr:rowOff>
    </xdr:from>
    <xdr:to>
      <xdr:col>19</xdr:col>
      <xdr:colOff>1000744</xdr:colOff>
      <xdr:row>11</xdr:row>
      <xdr:rowOff>97117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4467B47-A30D-44A4-9BF7-694EA15E8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587799</xdr:colOff>
      <xdr:row>8</xdr:row>
      <xdr:rowOff>7472</xdr:rowOff>
    </xdr:from>
    <xdr:to>
      <xdr:col>14</xdr:col>
      <xdr:colOff>987137</xdr:colOff>
      <xdr:row>13</xdr:row>
      <xdr:rowOff>22413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03A4E45-8BAF-4857-B147-A294FB11E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605119</xdr:colOff>
      <xdr:row>16</xdr:row>
      <xdr:rowOff>14942</xdr:rowOff>
    </xdr:from>
    <xdr:to>
      <xdr:col>15</xdr:col>
      <xdr:colOff>0</xdr:colOff>
      <xdr:row>21</xdr:row>
      <xdr:rowOff>7471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9870B64-4986-4AF3-8A3F-52271E200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585107</xdr:colOff>
      <xdr:row>24</xdr:row>
      <xdr:rowOff>7472</xdr:rowOff>
    </xdr:from>
    <xdr:to>
      <xdr:col>15</xdr:col>
      <xdr:colOff>13607</xdr:colOff>
      <xdr:row>29</xdr:row>
      <xdr:rowOff>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57E45DC-C168-45FE-B3F0-E78754742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605118</xdr:colOff>
      <xdr:row>34</xdr:row>
      <xdr:rowOff>7471</xdr:rowOff>
    </xdr:from>
    <xdr:to>
      <xdr:col>20</xdr:col>
      <xdr:colOff>7471</xdr:colOff>
      <xdr:row>39</xdr:row>
      <xdr:rowOff>29883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F8F7518-4CC8-49F0-BBC0-13A3AEF32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597648</xdr:colOff>
      <xdr:row>24</xdr:row>
      <xdr:rowOff>7470</xdr:rowOff>
    </xdr:from>
    <xdr:to>
      <xdr:col>20</xdr:col>
      <xdr:colOff>7470</xdr:colOff>
      <xdr:row>29</xdr:row>
      <xdr:rowOff>29882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1BD1203-4549-4748-B34B-5EB82ECB3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605119</xdr:colOff>
      <xdr:row>16</xdr:row>
      <xdr:rowOff>7471</xdr:rowOff>
    </xdr:from>
    <xdr:to>
      <xdr:col>20</xdr:col>
      <xdr:colOff>7470</xdr:colOff>
      <xdr:row>21</xdr:row>
      <xdr:rowOff>7471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BB6DCF2-E2C2-4F7F-AD91-7C33F072B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605117</xdr:colOff>
      <xdr:row>8</xdr:row>
      <xdr:rowOff>13608</xdr:rowOff>
    </xdr:from>
    <xdr:to>
      <xdr:col>10</xdr:col>
      <xdr:colOff>5523</xdr:colOff>
      <xdr:row>12</xdr:row>
      <xdr:rowOff>173511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6E7D250-35CE-41C3-9682-AFB7BA2F1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596046</xdr:colOff>
      <xdr:row>16</xdr:row>
      <xdr:rowOff>13607</xdr:rowOff>
    </xdr:from>
    <xdr:to>
      <xdr:col>10</xdr:col>
      <xdr:colOff>5977</xdr:colOff>
      <xdr:row>20</xdr:row>
      <xdr:rowOff>173510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C841C578-FDD7-4190-A5B1-173D2C58D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596046</xdr:colOff>
      <xdr:row>24</xdr:row>
      <xdr:rowOff>13607</xdr:rowOff>
    </xdr:from>
    <xdr:to>
      <xdr:col>10</xdr:col>
      <xdr:colOff>4456</xdr:colOff>
      <xdr:row>28</xdr:row>
      <xdr:rowOff>173510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FD94AB0D-208C-47A4-ACC3-C3F2E9510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595137</xdr:colOff>
      <xdr:row>34</xdr:row>
      <xdr:rowOff>13607</xdr:rowOff>
    </xdr:from>
    <xdr:to>
      <xdr:col>10</xdr:col>
      <xdr:colOff>0</xdr:colOff>
      <xdr:row>39</xdr:row>
      <xdr:rowOff>36019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448944C-2F23-4472-A87E-554D2A001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589643</xdr:colOff>
      <xdr:row>42</xdr:row>
      <xdr:rowOff>13607</xdr:rowOff>
    </xdr:from>
    <xdr:to>
      <xdr:col>10</xdr:col>
      <xdr:colOff>5523</xdr:colOff>
      <xdr:row>46</xdr:row>
      <xdr:rowOff>180981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034748C-C37B-49CF-83B6-89E98ABE9F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605117</xdr:colOff>
      <xdr:row>34</xdr:row>
      <xdr:rowOff>13607</xdr:rowOff>
    </xdr:from>
    <xdr:to>
      <xdr:col>15</xdr:col>
      <xdr:colOff>5522</xdr:colOff>
      <xdr:row>39</xdr:row>
      <xdr:rowOff>43490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6A12FEA-5A32-4FB4-84D5-D129E63DC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605118</xdr:colOff>
      <xdr:row>42</xdr:row>
      <xdr:rowOff>13607</xdr:rowOff>
    </xdr:from>
    <xdr:to>
      <xdr:col>20</xdr:col>
      <xdr:colOff>5524</xdr:colOff>
      <xdr:row>46</xdr:row>
      <xdr:rowOff>180981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03F1EB4-402A-463D-8B09-1506C5263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600364</xdr:colOff>
      <xdr:row>42</xdr:row>
      <xdr:rowOff>13607</xdr:rowOff>
    </xdr:from>
    <xdr:to>
      <xdr:col>15</xdr:col>
      <xdr:colOff>8082</xdr:colOff>
      <xdr:row>46</xdr:row>
      <xdr:rowOff>185056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CE9E543-9AF2-42BA-AE33-7336A12F7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</xdr:row>
      <xdr:rowOff>0</xdr:rowOff>
    </xdr:from>
    <xdr:to>
      <xdr:col>9</xdr:col>
      <xdr:colOff>333375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645AC-37F9-455E-B5EA-BBC713846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17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67FD65-1E9D-4B4F-AB4E-999B8C273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16</xdr:row>
      <xdr:rowOff>0</xdr:rowOff>
    </xdr:from>
    <xdr:to>
      <xdr:col>9</xdr:col>
      <xdr:colOff>304800</xdr:colOff>
      <xdr:row>30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F13EA9-3891-466E-AEBD-23CA97B04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16</xdr:row>
      <xdr:rowOff>0</xdr:rowOff>
    </xdr:from>
    <xdr:to>
      <xdr:col>17</xdr:col>
      <xdr:colOff>304800</xdr:colOff>
      <xdr:row>30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D2EE15-6006-481D-B285-C12FAE8DB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25</xdr:col>
      <xdr:colOff>304800</xdr:colOff>
      <xdr:row>15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DF8389-7ADC-44D9-BF67-69F176D02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25</xdr:col>
      <xdr:colOff>304800</xdr:colOff>
      <xdr:row>30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9EB5B51-8808-4DF6-B546-BCB8CEE93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33</xdr:row>
      <xdr:rowOff>0</xdr:rowOff>
    </xdr:from>
    <xdr:to>
      <xdr:col>9</xdr:col>
      <xdr:colOff>336176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90ADC69-267F-49C1-8E2E-F4DB090B4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336176</xdr:colOff>
      <xdr:row>47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1D16A7B-6BF0-405C-A9F2-9738AA0DB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48</xdr:row>
      <xdr:rowOff>0</xdr:rowOff>
    </xdr:from>
    <xdr:to>
      <xdr:col>9</xdr:col>
      <xdr:colOff>336176</xdr:colOff>
      <xdr:row>62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84D5EC2-D32C-49EA-9185-DA96BD6C3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48</xdr:row>
      <xdr:rowOff>0</xdr:rowOff>
    </xdr:from>
    <xdr:to>
      <xdr:col>17</xdr:col>
      <xdr:colOff>336176</xdr:colOff>
      <xdr:row>62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A62E983-895E-45CF-81D6-A32BAAE22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25</xdr:col>
      <xdr:colOff>336177</xdr:colOff>
      <xdr:row>62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B380D4B-ECEB-4068-85AF-2CB36B7B2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33</xdr:row>
      <xdr:rowOff>0</xdr:rowOff>
    </xdr:from>
    <xdr:to>
      <xdr:col>25</xdr:col>
      <xdr:colOff>336177</xdr:colOff>
      <xdr:row>47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F3EB8D7-071C-4F12-85B6-D1A1ED924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65</xdr:row>
      <xdr:rowOff>0</xdr:rowOff>
    </xdr:from>
    <xdr:to>
      <xdr:col>17</xdr:col>
      <xdr:colOff>336176</xdr:colOff>
      <xdr:row>79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3EB3ECD-E3B9-41A6-943E-D96D62D91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605117</xdr:colOff>
      <xdr:row>65</xdr:row>
      <xdr:rowOff>0</xdr:rowOff>
    </xdr:from>
    <xdr:to>
      <xdr:col>25</xdr:col>
      <xdr:colOff>336176</xdr:colOff>
      <xdr:row>79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1352D0-C3A8-4F19-9495-1DD0E8A89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80</xdr:row>
      <xdr:rowOff>0</xdr:rowOff>
    </xdr:from>
    <xdr:to>
      <xdr:col>17</xdr:col>
      <xdr:colOff>336176</xdr:colOff>
      <xdr:row>94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6B68DC-ECEF-4DE0-912E-DAB9C0E76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605117</xdr:colOff>
      <xdr:row>80</xdr:row>
      <xdr:rowOff>0</xdr:rowOff>
    </xdr:from>
    <xdr:to>
      <xdr:col>25</xdr:col>
      <xdr:colOff>336176</xdr:colOff>
      <xdr:row>94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DFA2CBB-EAEC-4E0E-94D9-8CDA07A61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9</xdr:col>
      <xdr:colOff>336176</xdr:colOff>
      <xdr:row>79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7FE580C-1A2A-4D5F-ABF5-A77C97879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80</xdr:row>
      <xdr:rowOff>0</xdr:rowOff>
    </xdr:from>
    <xdr:to>
      <xdr:col>9</xdr:col>
      <xdr:colOff>336176</xdr:colOff>
      <xdr:row>94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B94E3CB-204C-4F70-BBB6-29BE76F3D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28575</xdr:colOff>
      <xdr:row>95</xdr:row>
      <xdr:rowOff>66675</xdr:rowOff>
    </xdr:from>
    <xdr:to>
      <xdr:col>17</xdr:col>
      <xdr:colOff>361576</xdr:colOff>
      <xdr:row>112</xdr:row>
      <xdr:rowOff>19050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DABF8BD-F1BE-4ED8-A162-3B944A2E2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0</xdr:colOff>
      <xdr:row>95</xdr:row>
      <xdr:rowOff>95250</xdr:rowOff>
    </xdr:from>
    <xdr:to>
      <xdr:col>25</xdr:col>
      <xdr:colOff>333002</xdr:colOff>
      <xdr:row>109</xdr:row>
      <xdr:rowOff>161925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E536543-F312-42AA-A865-58C4524BA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47625</xdr:colOff>
      <xdr:row>95</xdr:row>
      <xdr:rowOff>85725</xdr:rowOff>
    </xdr:from>
    <xdr:to>
      <xdr:col>9</xdr:col>
      <xdr:colOff>383802</xdr:colOff>
      <xdr:row>111</xdr:row>
      <xdr:rowOff>158750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B51313E-88ED-41B9-BC7D-092683A1D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25</xdr:col>
      <xdr:colOff>514350</xdr:colOff>
      <xdr:row>41</xdr:row>
      <xdr:rowOff>19050</xdr:rowOff>
    </xdr:from>
    <xdr:to>
      <xdr:col>33</xdr:col>
      <xdr:colOff>237752</xdr:colOff>
      <xdr:row>55</xdr:row>
      <xdr:rowOff>95250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E49AECE-6716-46A6-B20B-D1DA83F70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130176</xdr:colOff>
      <xdr:row>112</xdr:row>
      <xdr:rowOff>130175</xdr:rowOff>
    </xdr:from>
    <xdr:to>
      <xdr:col>9</xdr:col>
      <xdr:colOff>415926</xdr:colOff>
      <xdr:row>130</xdr:row>
      <xdr:rowOff>84232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448FB-2406-4F5A-BD7D-A3BEA825FA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19050</xdr:colOff>
      <xdr:row>112</xdr:row>
      <xdr:rowOff>161925</xdr:rowOff>
    </xdr:from>
    <xdr:to>
      <xdr:col>17</xdr:col>
      <xdr:colOff>266700</xdr:colOff>
      <xdr:row>129</xdr:row>
      <xdr:rowOff>120650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0BF0E51-5974-4D8C-BB99-8D67D07B2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18</xdr:col>
      <xdr:colOff>9525</xdr:colOff>
      <xdr:row>110</xdr:row>
      <xdr:rowOff>22224</xdr:rowOff>
    </xdr:from>
    <xdr:to>
      <xdr:col>25</xdr:col>
      <xdr:colOff>314324</xdr:colOff>
      <xdr:row>127</xdr:row>
      <xdr:rowOff>69849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AC8677D-A507-41DC-AE15-86DB3DE5C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139701</xdr:colOff>
      <xdr:row>130</xdr:row>
      <xdr:rowOff>120651</xdr:rowOff>
    </xdr:from>
    <xdr:to>
      <xdr:col>9</xdr:col>
      <xdr:colOff>381001</xdr:colOff>
      <xdr:row>144</xdr:row>
      <xdr:rowOff>38101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31DD024-6AB8-4D9E-8D44-14412E0D3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219076</xdr:colOff>
      <xdr:row>144</xdr:row>
      <xdr:rowOff>76200</xdr:rowOff>
    </xdr:from>
    <xdr:to>
      <xdr:col>9</xdr:col>
      <xdr:colOff>371475</xdr:colOff>
      <xdr:row>157</xdr:row>
      <xdr:rowOff>76201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5552FCC-3F80-47F5-A26E-59CB83D8B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18</xdr:col>
      <xdr:colOff>3174</xdr:colOff>
      <xdr:row>127</xdr:row>
      <xdr:rowOff>123825</xdr:rowOff>
    </xdr:from>
    <xdr:to>
      <xdr:col>25</xdr:col>
      <xdr:colOff>581025</xdr:colOff>
      <xdr:row>157</xdr:row>
      <xdr:rowOff>133350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0A109CB-8066-40A6-A09B-9DC3059CD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590550</xdr:colOff>
      <xdr:row>130</xdr:row>
      <xdr:rowOff>3174</xdr:rowOff>
    </xdr:from>
    <xdr:to>
      <xdr:col>17</xdr:col>
      <xdr:colOff>504825</xdr:colOff>
      <xdr:row>157</xdr:row>
      <xdr:rowOff>152400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9174877-44E5-4892-B913-E67856296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25</xdr:col>
      <xdr:colOff>542925</xdr:colOff>
      <xdr:row>56</xdr:row>
      <xdr:rowOff>28575</xdr:rowOff>
    </xdr:from>
    <xdr:to>
      <xdr:col>33</xdr:col>
      <xdr:colOff>295275</xdr:colOff>
      <xdr:row>74</xdr:row>
      <xdr:rowOff>144463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5E9C09DE-6112-4175-97AB-38189B245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25</xdr:col>
      <xdr:colOff>590550</xdr:colOff>
      <xdr:row>95</xdr:row>
      <xdr:rowOff>95250</xdr:rowOff>
    </xdr:from>
    <xdr:to>
      <xdr:col>33</xdr:col>
      <xdr:colOff>475877</xdr:colOff>
      <xdr:row>109</xdr:row>
      <xdr:rowOff>149225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5EF36B4-F6A6-4523-89CD-C12CB098E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ita Deacon" id="{2749C95F-4EF1-41B7-8B8B-7CF1B50DCD98}" userId="S::Rita.Deacon@gallagher.com::9d96d4a8-5033-4139-b28c-49dd2abc258f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Rowson" refreshedDate="44425.330408333335" createdVersion="7" refreshedVersion="7" minRefreshableVersion="3" recordCount="122" xr:uid="{936D8595-5AFB-40AB-B6C0-753C8BEB5CE1}">
  <cacheSource type="worksheet">
    <worksheetSource ref="A3:CH125" sheet="Group Totals"/>
  </cacheSource>
  <cacheFields count="86">
    <cacheField name="Date" numFmtId="17">
      <sharedItems containsSemiMixedTypes="0" containsNonDate="0" containsDate="1" containsString="0" minDate="2011-11-01T00:00:00" maxDate="2021-12-02T00:00:00" count="122"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</sharedItems>
    </cacheField>
    <cacheField name="Total Tested" numFmtId="0">
      <sharedItems containsString="0" containsBlank="1" containsNumber="1" containsInteger="1" minValue="31586" maxValue="107756"/>
    </cacheField>
    <cacheField name="Failed Operator Caused" numFmtId="0">
      <sharedItems containsString="0" containsBlank="1" containsNumber="1" containsInteger="1" minValue="466" maxValue="2607"/>
    </cacheField>
    <cacheField name="Operator Caused Failure Rate" numFmtId="0">
      <sharedItems containsString="0" containsBlank="1" containsNumber="1" minValue="1.2087570035277028E-2" maxValue="3.8015677326758181E-2"/>
    </cacheField>
    <cacheField name="Total Passed 1st time" numFmtId="0">
      <sharedItems containsString="0" containsBlank="1" containsNumber="1" minValue="37678.227599999998" maxValue="111959"/>
    </cacheField>
    <cacheField name="FPY" numFmtId="0">
      <sharedItems containsString="0" containsBlank="1" containsNumber="1" minValue="0.86009530121099276" maxValue="0.97957840129560625"/>
    </cacheField>
    <cacheField name="Total Fails" numFmtId="0">
      <sharedItems containsNonDate="0" containsString="0" containsBlank="1"/>
    </cacheField>
    <cacheField name="Non Operator Caused Failure Rate" numFmtId="0">
      <sharedItems containsString="0" containsBlank="1" containsNumber="1" minValue="-2.6582976224327759E-6" maxValue="0.11841768835294733"/>
    </cacheField>
    <cacheField name="$ Transfer to FG" numFmtId="0">
      <sharedItems containsString="0" containsBlank="1" containsNumber="1" minValue="2311650.86" maxValue="7451275"/>
    </cacheField>
    <cacheField name="$ Transfer to FG - 12 Month Average" numFmtId="0">
      <sharedItems containsString="0" containsBlank="1" containsNumber="1" minValue="4771042.96" maxValue="5649280.7283333344"/>
    </cacheField>
    <cacheField name="Total Finished Goods Units (SEC&amp;AM)" numFmtId="0">
      <sharedItems containsString="0" containsBlank="1" containsNumber="1" containsInteger="1" minValue="8390" maxValue="53732"/>
    </cacheField>
    <cacheField name="Total Finished Goods Units (SEC&amp;AM) 12 month Average" numFmtId="0">
      <sharedItems containsString="0" containsBlank="1" containsNumber="1" minValue="23969.25" maxValue="43091.916666666664"/>
    </cacheField>
    <cacheField name="Total FG's W/O's (SEC&amp;AM)" numFmtId="0">
      <sharedItems containsString="0" containsBlank="1" containsNumber="1" containsInteger="1" minValue="56" maxValue="440"/>
    </cacheField>
    <cacheField name="Total FG's W/O 12 mnth avg" numFmtId="0">
      <sharedItems containsString="0" containsBlank="1" containsNumber="1" minValue="281.91666666666669" maxValue="376.08333333333331"/>
    </cacheField>
    <cacheField name="Total FG's SKU's (SEC&amp;AM)" numFmtId="0">
      <sharedItems containsString="0" containsBlank="1" containsNumber="1" containsInteger="1" minValue="41" maxValue="217"/>
    </cacheField>
    <cacheField name="Total FG'sSKU  12 mnth avg" numFmtId="0">
      <sharedItems containsBlank="1" containsMixedTypes="1" containsNumber="1" minValue="159.83333333333334" maxValue="206"/>
    </cacheField>
    <cacheField name="SEC Completed Units" numFmtId="0">
      <sharedItems containsString="0" containsBlank="1" containsNumber="1" containsInteger="1" minValue="3659" maxValue="26657"/>
    </cacheField>
    <cacheField name="SEC Completed Units (12 Mnth Average)" numFmtId="0">
      <sharedItems containsString="0" containsBlank="1" containsNumber="1" minValue="6247" maxValue="17092.416666666668"/>
    </cacheField>
    <cacheField name="SEC W/O's (excludes 2A's)" numFmtId="0">
      <sharedItems containsString="0" containsBlank="1" containsNumber="1" containsInteger="1" minValue="28" maxValue="160"/>
    </cacheField>
    <cacheField name="SEC W/O's Avg" numFmtId="0">
      <sharedItems containsString="0" containsBlank="1" containsNumber="1" minValue="69.75" maxValue="121.25"/>
    </cacheField>
    <cacheField name="SEC SKU's (excludes 2A's)" numFmtId="0">
      <sharedItems containsString="0" containsBlank="1" containsNumber="1" containsInteger="1" minValue="23" maxValue="75"/>
    </cacheField>
    <cacheField name="SEC SKU's 12 mnth avg" numFmtId="0">
      <sharedItems containsBlank="1" containsMixedTypes="1" containsNumber="1" minValue="45.833333333333336" maxValue="64.75"/>
    </cacheField>
    <cacheField name="AM Completed Units" numFmtId="0">
      <sharedItems containsString="0" containsBlank="1" containsNumber="1" containsInteger="1" minValue="2666" maxValue="35222"/>
    </cacheField>
    <cacheField name="AM Completed Units (12 month avg)" numFmtId="0">
      <sharedItems containsString="0" containsBlank="1" containsNumber="1" minValue="15046.5" maxValue="28138.083333333332"/>
    </cacheField>
    <cacheField name="AM W/O's (excludes 2A's)" numFmtId="0">
      <sharedItems containsString="0" containsBlank="1" containsNumber="1" containsInteger="1" minValue="28" maxValue="323"/>
    </cacheField>
    <cacheField name="AM W/O's 12 month avg" numFmtId="0">
      <sharedItems containsString="0" containsBlank="1" containsNumber="1" minValue="184.58333333333334" maxValue="279"/>
    </cacheField>
    <cacheField name="AM SKU's (excludes 2A's)" numFmtId="0">
      <sharedItems containsString="0" containsBlank="1" containsNumber="1" containsInteger="1" minValue="18" maxValue="155"/>
    </cacheField>
    <cacheField name="AM SKU's 12 mnth avg" numFmtId="0">
      <sharedItems containsBlank="1" containsMixedTypes="1" containsNumber="1" minValue="111.83333333333333" maxValue="154"/>
    </cacheField>
    <cacheField name="Modules PCB's" numFmtId="0">
      <sharedItems containsString="0" containsBlank="1" containsNumber="1" containsInteger="1" minValue="7734" maxValue="65536"/>
    </cacheField>
    <cacheField name="XFMR's " numFmtId="0">
      <sharedItems containsString="0" containsBlank="1" containsNumber="1" containsInteger="1" minValue="3349" maxValue="33106"/>
    </cacheField>
    <cacheField name="Total Team" numFmtId="0">
      <sharedItems containsString="0" containsBlank="1" containsNumber="1" containsInteger="1" minValue="67" maxValue="147"/>
    </cacheField>
    <cacheField name="Directs" numFmtId="0">
      <sharedItems containsBlank="1" containsMixedTypes="1" containsNumber="1" containsInteger="1" minValue="62" maxValue="95"/>
    </cacheField>
    <cacheField name="Indirect" numFmtId="0">
      <sharedItems containsString="0" containsBlank="1" containsNumber="1" containsInteger="1" minValue="32" maxValue="50"/>
    </cacheField>
    <cacheField name="Stores" numFmtId="0">
      <sharedItems containsString="0" containsBlank="1" containsNumber="1" containsInteger="1" minValue="7" maxValue="10"/>
    </cacheField>
    <cacheField name="S/L" numFmtId="0">
      <sharedItems containsString="0" containsBlank="1" containsNumber="1" minValue="5.0000000000000044E-3" maxValue="9.7699999999999995E-2"/>
    </cacheField>
    <cacheField name="A/L" numFmtId="0">
      <sharedItems containsString="0" containsBlank="1" containsNumber="1" minValue="2.3E-3" maxValue="0.26350000000000001"/>
    </cacheField>
    <cacheField name="Expenses" numFmtId="0">
      <sharedItems containsString="0" containsBlank="1" containsNumber="1" minValue="821898" maxValue="1515606"/>
    </cacheField>
    <cacheField name="Recovery" numFmtId="0">
      <sharedItems containsString="0" containsBlank="1" containsNumber="1" minValue="472308" maxValue="1512163"/>
    </cacheField>
    <cacheField name="Scrap" numFmtId="0">
      <sharedItems containsString="0" containsBlank="1" containsNumber="1" containsInteger="1" minValue="-15475" maxValue="131001"/>
    </cacheField>
    <cacheField name="Total Labour Hours" numFmtId="0">
      <sharedItems containsString="0" containsBlank="1" containsNumber="1" minValue="2996.288" maxValue="12131"/>
    </cacheField>
    <cacheField name="Scrap per FG unit produced" numFmtId="0">
      <sharedItems containsString="0" containsBlank="1" containsNumber="1" minValue="-0.50757675150879034" maxValue="3.631150040191812"/>
    </cacheField>
    <cacheField name="Scrap per total units" numFmtId="0">
      <sharedItems containsBlank="1" containsMixedTypes="1" containsNumber="1" minValue="-0.13261133353442839" maxValue="0.82969088444795358"/>
    </cacheField>
    <cacheField name="Scrap per direct team member" numFmtId="0">
      <sharedItems containsString="0" containsBlank="1" containsNumber="1" minValue="-191.04938271604939" maxValue="1658.2405063291139"/>
    </cacheField>
    <cacheField name="Scrap per total team member" numFmtId="0">
      <sharedItems containsString="0" containsBlank="1" containsNumber="1" minValue="-119.03846153846153" maxValue="984.96992481203006"/>
    </cacheField>
    <cacheField name="Scrap as a % of Expenses" numFmtId="0">
      <sharedItems containsString="0" containsBlank="1" containsNumber="1" minValue="-1.882837043039404E-2" maxValue="0.10170948266759421"/>
    </cacheField>
    <cacheField name="Expenses per FG unit produced" numFmtId="0">
      <sharedItems containsString="0" containsBlank="1" containsNumber="1" minValue="18.783528091988408" maxValue="122.1057210965435"/>
    </cacheField>
    <cacheField name="Expenses per total units" numFmtId="0">
      <sharedItems containsBlank="1" containsMixedTypes="1" containsNumber="1" minValue="5.876808588115491" maxValue="19.317082828549474"/>
    </cacheField>
    <cacheField name="Expense per direct team member" numFmtId="0">
      <sharedItems containsString="0" containsBlank="1" containsNumber="1" minValue="10110.032967032967" maxValue="17215.734375"/>
    </cacheField>
    <cacheField name="Expense per total team" numFmtId="0">
      <sharedItems containsString="0" containsBlank="1" containsNumber="1" minValue="6322.292307692308" maxValue="10310.244897959185"/>
    </cacheField>
    <cacheField name="Recovery %" numFmtId="0">
      <sharedItems containsString="0" containsBlank="1" containsNumber="1" minValue="0.46102802725710051" maxValue="1.3285563757791357"/>
    </cacheField>
    <cacheField name="Recovery per FG unit produced" numFmtId="0">
      <sharedItems containsString="0" containsBlank="1" containsNumber="1" minValue="18.308940668502942" maxValue="56.29415971394517"/>
    </cacheField>
    <cacheField name="Recovery per total units" numFmtId="0">
      <sharedItems containsBlank="1" containsMixedTypes="1" containsNumber="1" minValue="5.5884562256265955" maxValue="9.9273940609464475"/>
    </cacheField>
    <cacheField name="Recovery per direct team member" numFmtId="0">
      <sharedItems containsString="0" containsBlank="1" containsNumber="1" minValue="7617.8709677419356" maxValue="19657.863636363636"/>
    </cacheField>
    <cacheField name="Recovery per total team" numFmtId="0">
      <sharedItems containsString="0" containsBlank="1" containsNumber="1" minValue="4036.8205128205127" maxValue="11201.207407407408"/>
    </cacheField>
    <cacheField name="Units to FG per direct team" numFmtId="0">
      <sharedItems containsString="0" containsBlank="1" containsNumber="1" minValue="135.32258064516128" maxValue="621.20779220779218"/>
    </cacheField>
    <cacheField name="Units to FG per total team" numFmtId="0">
      <sharedItems containsString="0" containsBlank="1" containsNumber="1" minValue="71.709401709401703" maxValue="389.36231884057969"/>
    </cacheField>
    <cacheField name="$ to FG per FG Unit" numFmtId="0">
      <sharedItems containsString="0" containsBlank="1" containsNumber="1" minValue="102.17294568570627" maxValue="275.52453635280096"/>
    </cacheField>
    <cacheField name="$ to FG per Direct Team Member" numFmtId="0">
      <sharedItems containsString="0" containsBlank="1" containsNumber="1" minValue="37284.691290322582" maxValue="93011.39"/>
    </cacheField>
    <cacheField name="$ to FG per Lab Hour" numFmtId="0">
      <sharedItems containsString="0" containsBlank="1" containsNumber="1" minValue="517.27469210635002" maxValue="771.50489539056321"/>
    </cacheField>
    <cacheField name="$ to FG per W/O (G/C Level)" numFmtId="0">
      <sharedItems containsString="0" containsBlank="1" containsNumber="1" minValue="10407.787055961071" maxValue="41279.479642857143"/>
    </cacheField>
    <cacheField name="$ to FG per SKU (G/C Level)" numFmtId="0">
      <sharedItems containsString="0" containsBlank="1" containsNumber="1" minValue="20968.629803921573" maxValue="56381.728292682921"/>
    </cacheField>
    <cacheField name="Date2" numFmtId="0">
      <sharedItems containsNonDate="0" containsDate="1" containsString="0" containsBlank="1" minDate="2011-11-01T00:00:00" maxDate="2021-07-02T00:00:00"/>
    </cacheField>
    <cacheField name="PCB's 12 mnth avg" numFmtId="0">
      <sharedItems containsString="0" containsBlank="1" containsNumber="1" minValue="29260.666666666668" maxValue="49235.416666666664"/>
    </cacheField>
    <cacheField name="XFMR's 12 mnth avg" numFmtId="0">
      <sharedItems containsString="0" containsBlank="1" containsNumber="1" minValue="15328.916666666666" maxValue="22740.166666666668"/>
    </cacheField>
    <cacheField name="GATE 12 month Avg" numFmtId="0">
      <sharedItems containsString="0" containsBlank="1" containsNumber="1" minValue="46465.583333333336" maxValue="90745.916666666672"/>
    </cacheField>
    <cacheField name="Labour Hours per direct team member" numFmtId="0">
      <sharedItems containsString="0" containsBlank="1" containsNumber="1" minValue="48.327225806451615" maxValue="127.69473684210526"/>
    </cacheField>
    <cacheField name="Recovery per labour hour" numFmtId="0">
      <sharedItems containsString="0" containsBlank="1" containsNumber="1" minValue="101.9140163679685" maxValue="159.09496962414579"/>
    </cacheField>
    <cacheField name="$ to FG per Lab Hour2" numFmtId="0">
      <sharedItems containsString="0" containsBlank="1" containsNumber="1" minValue="597.86131062122206" maxValue="705.71902238908672"/>
    </cacheField>
    <cacheField name="Lab hours 12 mnth avg" numFmtId="0">
      <sharedItems containsString="0" containsBlank="1" containsNumber="1" minValue="7090.0332500000004" maxValue="9155.1666666666661"/>
    </cacheField>
    <cacheField name="$ to FG per FG Unit 12 mnth avg" numFmtId="0">
      <sharedItems containsString="0" containsBlank="1" containsNumber="1" minValue="129.20898189631666" maxValue="155.24395716951824"/>
    </cacheField>
    <cacheField name="Expense per direct 12 mnth avg" numFmtId="0">
      <sharedItems containsString="0" containsBlank="1" containsNumber="1" minValue="11493.040030680671" maxValue="14713.037070150036"/>
    </cacheField>
    <cacheField name="Date3" numFmtId="0">
      <sharedItems containsNonDate="0" containsDate="1" containsString="0" containsBlank="1" minDate="2011-11-01T00:00:00" maxDate="2021-07-02T00:00:00"/>
    </cacheField>
    <cacheField name="Recovery per labour hour 12 mnth avg" numFmtId="0">
      <sharedItems containsString="0" containsBlank="1" containsNumber="1" minValue="115.39941122553087" maxValue="144.42339798001342"/>
    </cacheField>
    <cacheField name="Scrap per FG unit produced 12 mnth avg" numFmtId="0">
      <sharedItems containsString="0" containsBlank="1" containsNumber="1" minValue="0.37732476982776469" maxValue="0.79966936861109339"/>
    </cacheField>
    <cacheField name="Direct Staff 12 month avg" numFmtId="0">
      <sharedItems containsString="0" containsBlank="1" containsNumber="1" minValue="71.916666666666671" maxValue="86.5"/>
    </cacheField>
    <cacheField name="$ to FG per SKU (G/C Level) 12 mnth avg" numFmtId="0">
      <sharedItems containsString="0" containsBlank="1" containsNumber="1" minValue="27020.48823542464" maxValue="34077.091344954039"/>
    </cacheField>
    <cacheField name="$ to FG per W/O (G/C Level) 12 mnth avg" numFmtId="0">
      <sharedItems containsString="0" containsBlank="1" containsNumber="1" minValue="14105.617956157279" maxValue="19669.967564361516"/>
    </cacheField>
    <cacheField name="FPY 12 mnth avg" numFmtId="0">
      <sharedItems containsString="0" containsBlank="1" containsNumber="1" minValue="0.95161604306671232" maxValue="0.97651728541589122"/>
    </cacheField>
    <cacheField name="Operator errors 12 mnth avg" numFmtId="0">
      <sharedItems containsString="0" containsBlank="1" containsNumber="1" minValue="1.4940077110171755E-2" maxValue="3.0510282747126156E-2"/>
    </cacheField>
    <cacheField name="Other errors 12 mnth avg" numFmtId="0">
      <sharedItems containsBlank="1" containsMixedTypes="1" containsNumber="1" minValue="2.3733932353632602E-3" maxValue="5.3525957012438397E-2"/>
    </cacheField>
    <cacheField name="Expense over Transfer to FG" numFmtId="0">
      <sharedItems containsBlank="1" containsMixedTypes="1" containsNumber="1" minValue="0" maxValue="6.2860785632877763"/>
    </cacheField>
    <cacheField name="Modules W/O's" numFmtId="0">
      <sharedItems containsString="0" containsBlank="1" containsNumber="1" containsInteger="1" minValue="93" maxValue="190"/>
    </cacheField>
    <cacheField name="Modules SKU's" numFmtId="0">
      <sharedItems containsString="0" containsBlank="1" containsNumber="1" containsInteger="1" minValue="70" maxValue="113"/>
    </cacheField>
    <cacheField name="XFMR W/O's" numFmtId="0">
      <sharedItems containsString="0" containsBlank="1" containsNumber="1" containsInteger="1" minValue="33" maxValue="71"/>
    </cacheField>
    <cacheField name="XFMR SKU's" numFmtId="0">
      <sharedItems containsString="0" containsBlank="1" containsNumber="1" containsInteger="1" minValue="20" maxValue="33"/>
    </cacheField>
    <cacheField name="$ to FG per Total Team Member" numFmtId="0">
      <sharedItems containsString="0" containsBlank="1" containsNumber="1" minValue="19757.699658119658" maxValue="55194.6296296296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Rowson" refreshedDate="44993.539652083331" createdVersion="8" refreshedVersion="8" minRefreshableVersion="3" recordCount="71" xr:uid="{E9DFB228-1D0A-4948-B647-0BD7F22BBFDE}">
  <cacheSource type="worksheet">
    <worksheetSource ref="A126:E197" sheet="Financial Tracking of the Team"/>
  </cacheSource>
  <cacheFields count="7">
    <cacheField name="Month" numFmtId="17">
      <sharedItems containsSemiMixedTypes="0" containsNonDate="0" containsDate="1" containsString="0" minDate="2017-04-01T00:00:00" maxDate="2023-02-02T00:00:00" count="71">
        <d v="2023-02-01T00:00:00"/>
        <d v="2023-01-01T00:00:00"/>
        <d v="2022-12-01T00:00:00"/>
        <d v="2022-11-01T00:00:00"/>
        <d v="2022-10-01T00:00:00"/>
        <d v="2022-09-01T00:00:00"/>
        <d v="2022-08-01T00:00:00"/>
        <d v="2022-07-01T00:00:00"/>
        <d v="2022-06-01T00:00:00"/>
        <d v="2022-05-01T00:00:00"/>
        <d v="2022-04-01T00:00:00"/>
        <d v="2022-03-01T00:00:00"/>
        <d v="2022-02-01T00:00:00"/>
        <d v="2022-01-01T00:00:00"/>
        <d v="2021-12-01T00:00:00"/>
        <d v="2021-11-01T00:00:00"/>
        <d v="2021-10-01T00:00:00"/>
        <d v="2021-09-01T00:00:00"/>
        <d v="2021-08-01T00:00:00"/>
        <d v="2021-07-01T00:00:00"/>
        <d v="2021-06-01T00:00:00"/>
        <d v="2021-05-01T00:00:00"/>
        <d v="2021-04-01T00:00:00"/>
        <d v="2021-03-01T00:00:00"/>
        <d v="2021-02-01T00:00:00"/>
        <d v="2021-01-01T00:00:00"/>
        <d v="2020-12-01T00:00:00"/>
        <d v="2020-11-01T00:00:00"/>
        <d v="2020-10-01T00:00:00"/>
        <d v="2020-09-01T00:00:00"/>
        <d v="2020-08-01T00:00:00"/>
        <d v="2020-07-01T00:00:00"/>
        <d v="2020-06-01T00:00:00"/>
        <d v="2020-05-01T00:00:00"/>
        <d v="2020-04-01T00:00:00"/>
        <d v="2020-03-01T00:00:00"/>
        <d v="2020-02-01T00:00:00"/>
        <d v="2020-01-01T00:00:00"/>
        <d v="2019-12-01T00:00:00"/>
        <d v="2019-11-01T00:00:00"/>
        <d v="2019-10-01T00:00:00"/>
        <d v="2019-09-01T00:00:00"/>
        <d v="2019-08-01T00:00:00"/>
        <d v="2019-07-01T00:00:00"/>
        <d v="2019-06-01T00:00:00"/>
        <d v="2019-05-01T00:00:00"/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  <d v="2018-01-01T00:00:00"/>
        <d v="2017-12-01T00:00:00"/>
        <d v="2017-11-01T00:00:00"/>
        <d v="2017-10-01T00:00:00"/>
        <d v="2017-09-01T00:00:00"/>
        <d v="2017-08-01T00:00:00"/>
        <d v="2017-07-01T00:00:00"/>
        <d v="2017-06-01T00:00:00"/>
        <d v="2017-05-01T00:00:00"/>
        <d v="2017-04-01T00:00:00"/>
      </sharedItems>
      <fieldGroup par="6" base="0">
        <rangePr groupBy="months" startDate="2017-04-01T00:00:00" endDate="2023-02-02T00:00:00"/>
        <groupItems count="14">
          <s v="&lt;1/04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02/2023"/>
        </groupItems>
      </fieldGroup>
    </cacheField>
    <cacheField name="Expenses" numFmtId="44">
      <sharedItems containsSemiMixedTypes="0" containsString="0" containsNumber="1" minValue="1881848.12" maxValue="4595930.9400000004"/>
    </cacheField>
    <cacheField name="Recoveries" numFmtId="44">
      <sharedItems containsSemiMixedTypes="0" containsString="0" containsNumber="1" minValue="-4206781.9336400004" maxValue="-915676.57"/>
    </cacheField>
    <cacheField name="Over/(Under) Recovery" numFmtId="8">
      <sharedItems containsSemiMixedTypes="0" containsString="0" containsNumber="1" minValue="-1457927.4100000001" maxValue="633578.49364000047"/>
    </cacheField>
    <cacheField name="Recovery %" numFmtId="9">
      <sharedItems containsSemiMixedTypes="0" containsString="0" containsNumber="1" minValue="-0.61422521291862686" maxValue="0.24693315873304503"/>
    </cacheField>
    <cacheField name="Quarters" numFmtId="0" databaseField="0">
      <fieldGroup base="0">
        <rangePr groupBy="quarters" startDate="2017-04-01T00:00:00" endDate="2023-02-02T00:00:00"/>
        <groupItems count="6">
          <s v="&lt;1/04/2017"/>
          <s v="Qtr1"/>
          <s v="Qtr2"/>
          <s v="Qtr3"/>
          <s v="Qtr4"/>
          <s v="&gt;2/02/2023"/>
        </groupItems>
      </fieldGroup>
    </cacheField>
    <cacheField name="Years" numFmtId="0" databaseField="0">
      <fieldGroup base="0">
        <rangePr groupBy="years" startDate="2017-04-01T00:00:00" endDate="2023-02-02T00:00:00"/>
        <groupItems count="9">
          <s v="&lt;1/04/2017"/>
          <s v="2017"/>
          <s v="2018"/>
          <s v="2019"/>
          <s v="2020"/>
          <s v="2021"/>
          <s v="2022"/>
          <s v="2023"/>
          <s v="&gt;2/0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Rowson" refreshedDate="44993.603896643515" createdVersion="8" refreshedVersion="8" minRefreshableVersion="3" recordCount="151" xr:uid="{E9445CA3-AB09-403F-A704-D3B1A20D6EE7}">
  <cacheSource type="worksheet">
    <worksheetSource ref="A3:DB154" sheet="Group Totals"/>
  </cacheSource>
  <cacheFields count="106">
    <cacheField name="Date" numFmtId="0">
      <sharedItems containsNonDate="0" containsDate="1" containsString="0" containsBlank="1" minDate="2011-11-01T00:00:00" maxDate="2023-07-02T00:00:00" count="142"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m/>
      </sharedItems>
      <fieldGroup par="105" base="0">
        <rangePr groupBy="months" startDate="2011-11-01T00:00:00" endDate="2023-07-02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07/2023"/>
        </groupItems>
      </fieldGroup>
    </cacheField>
    <cacheField name="Total Tested" numFmtId="0">
      <sharedItems containsString="0" containsBlank="1" containsNumber="1" containsInteger="1" minValue="31586" maxValue="155119"/>
    </cacheField>
    <cacheField name="Failed Operator Caused" numFmtId="0">
      <sharedItems containsString="0" containsBlank="1" containsNumber="1" containsInteger="1" minValue="466" maxValue="3341"/>
    </cacheField>
    <cacheField name="Operator Caused Failure Rate" numFmtId="0">
      <sharedItems containsString="0" containsBlank="1" containsNumber="1" minValue="1.2087570035277028E-2" maxValue="3.8015677326758181E-2"/>
    </cacheField>
    <cacheField name="Total Passed 1st time" numFmtId="0">
      <sharedItems containsString="0" containsBlank="1" containsNumber="1" minValue="37678.227599999998" maxValue="150756"/>
    </cacheField>
    <cacheField name="FPY" numFmtId="0">
      <sharedItems containsString="0" containsBlank="1" containsNumber="1" minValue="0.86009530121099276" maxValue="0.97957840129560625"/>
    </cacheField>
    <cacheField name="Total Fails" numFmtId="0">
      <sharedItems containsNonDate="0" containsString="0" containsBlank="1"/>
    </cacheField>
    <cacheField name="Non Operator Caused Failure Rate" numFmtId="0">
      <sharedItems containsString="0" containsBlank="1" containsNumber="1" minValue="-5.3156358523126571E-3" maxValue="0.11841768835294733"/>
    </cacheField>
    <cacheField name="$ Transfer to FG" numFmtId="0">
      <sharedItems containsString="0" containsBlank="1" containsNumber="1" minValue="2311650.86" maxValue="17127174"/>
    </cacheField>
    <cacheField name="$ Transfer to FG - 12 Month Average" numFmtId="0">
      <sharedItems containsString="0" containsBlank="1" containsNumber="1" minValue="4771042.96" maxValue="11471355.083333334"/>
    </cacheField>
    <cacheField name="Total Finished Goods Units (SEC&amp;AM)" numFmtId="0">
      <sharedItems containsString="0" containsBlank="1" containsNumber="1" containsInteger="1" minValue="8390" maxValue="68326"/>
    </cacheField>
    <cacheField name="Total Finished Goods Units (SEC&amp;AM) 12 month Average" numFmtId="0">
      <sharedItems containsString="0" containsBlank="1" containsNumber="1" minValue="23969.25" maxValue="57531.583333333336"/>
    </cacheField>
    <cacheField name="Total FG's W/O's (SEC&amp;AM)" numFmtId="0">
      <sharedItems containsString="0" containsBlank="1" containsNumber="1" containsInteger="1" minValue="56" maxValue="440"/>
    </cacheField>
    <cacheField name="Total FG's W/O 12 mnth avg" numFmtId="0">
      <sharedItems containsString="0" containsBlank="1" containsNumber="1" minValue="281.91666666666669" maxValue="376.08333333333331"/>
    </cacheField>
    <cacheField name="Total FG's SKU's (SEC&amp;AM)" numFmtId="0">
      <sharedItems containsString="0" containsBlank="1" containsNumber="1" containsInteger="1" minValue="41" maxValue="233"/>
    </cacheField>
    <cacheField name="Total FG'sSKU  12 mnth avg" numFmtId="0">
      <sharedItems containsBlank="1" containsMixedTypes="1" containsNumber="1" minValue="159.83333333333334" maxValue="206"/>
    </cacheField>
    <cacheField name="SEC Completed Units" numFmtId="0">
      <sharedItems containsString="0" containsBlank="1" containsNumber="1" containsInteger="1" minValue="3659" maxValue="39831"/>
    </cacheField>
    <cacheField name="SEC Completed Units (12 Mnth Average)" numFmtId="0">
      <sharedItems containsString="0" containsBlank="1" containsNumber="1" minValue="6247" maxValue="30218.083333333332"/>
    </cacheField>
    <cacheField name="SEC W/O's (excludes 2A's)" numFmtId="0">
      <sharedItems containsString="0" containsBlank="1" containsNumber="1" containsInteger="1" minValue="28" maxValue="160"/>
    </cacheField>
    <cacheField name="SEC W/O's Avg" numFmtId="0">
      <sharedItems containsString="0" containsBlank="1" containsNumber="1" minValue="69.75" maxValue="121.25"/>
    </cacheField>
    <cacheField name="SEC SKU's (excludes 2A's)" numFmtId="0">
      <sharedItems containsString="0" containsBlank="1" containsNumber="1" containsInteger="1" minValue="23" maxValue="88"/>
    </cacheField>
    <cacheField name="SEC SKU's 12 mnth avg" numFmtId="0">
      <sharedItems containsBlank="1" containsMixedTypes="1" containsNumber="1" minValue="45.833333333333336" maxValue="67.166666666666671"/>
    </cacheField>
    <cacheField name="AM Completed Units" numFmtId="0">
      <sharedItems containsString="0" containsBlank="1" containsNumber="1" containsInteger="1" minValue="2666" maxValue="36422"/>
    </cacheField>
    <cacheField name="AM Completed Units (12 month avg)" numFmtId="0">
      <sharedItems containsString="0" containsBlank="1" containsNumber="1" minValue="15046.5" maxValue="28448.416666666668"/>
    </cacheField>
    <cacheField name="AM W/O's (excludes 2A's)" numFmtId="0">
      <sharedItems containsString="0" containsBlank="1" containsNumber="1" containsInteger="1" minValue="28" maxValue="323"/>
    </cacheField>
    <cacheField name="AM W/O's 12 month avg" numFmtId="0">
      <sharedItems containsString="0" containsBlank="1" containsNumber="1" minValue="184.58333333333334" maxValue="279"/>
    </cacheField>
    <cacheField name="AM SKU's (excludes 2A's)" numFmtId="0">
      <sharedItems containsString="0" containsBlank="1" containsNumber="1" containsInteger="1" minValue="18" maxValue="155"/>
    </cacheField>
    <cacheField name="AM SKU's 12 mnth avg" numFmtId="0">
      <sharedItems containsBlank="1" containsMixedTypes="1" containsNumber="1" minValue="111.83333333333333" maxValue="154"/>
    </cacheField>
    <cacheField name="Modules PCB's" numFmtId="0">
      <sharedItems containsString="0" containsBlank="1" containsNumber="1" containsInteger="1" minValue="7734" maxValue="84812"/>
    </cacheField>
    <cacheField name="XFMR's " numFmtId="0">
      <sharedItems containsString="0" containsBlank="1" containsNumber="1" containsInteger="1" minValue="3349" maxValue="33106"/>
    </cacheField>
    <cacheField name="Total Team" numFmtId="0">
      <sharedItems containsString="0" containsBlank="1" containsNumber="1" containsInteger="1" minValue="58" maxValue="200"/>
    </cacheField>
    <cacheField name="Directs" numFmtId="0">
      <sharedItems containsBlank="1" containsMixedTypes="1" containsNumber="1" containsInteger="1" minValue="46" maxValue="139"/>
    </cacheField>
    <cacheField name="Indirect" numFmtId="0">
      <sharedItems containsString="0" containsBlank="1" containsNumber="1" containsInteger="1" minValue="9" maxValue="65"/>
    </cacheField>
    <cacheField name="Stores" numFmtId="0">
      <sharedItems containsString="0" containsBlank="1" containsNumber="1" containsInteger="1" minValue="0" maxValue="15"/>
    </cacheField>
    <cacheField name="S/L" numFmtId="0">
      <sharedItems containsString="0" containsBlank="1" containsNumber="1" minValue="5.0000000000000044E-3" maxValue="9.7699999999999995E-2"/>
    </cacheField>
    <cacheField name="A/L" numFmtId="0">
      <sharedItems containsString="0" containsBlank="1" containsNumber="1" minValue="2.3E-3" maxValue="0.51690000000000003"/>
    </cacheField>
    <cacheField name="Expenses" numFmtId="0">
      <sharedItems containsString="0" containsBlank="1" containsNumber="1" minValue="821898" maxValue="2087019"/>
    </cacheField>
    <cacheField name="Recovery" numFmtId="0">
      <sharedItems containsString="0" containsBlank="1" containsNumber="1" minValue="472308" maxValue="2217482"/>
    </cacheField>
    <cacheField name="Scrap" numFmtId="0">
      <sharedItems containsString="0" containsBlank="1" containsNumber="1" containsInteger="1" minValue="-15475" maxValue="131001"/>
    </cacheField>
    <cacheField name="Total Labour Hours" numFmtId="0">
      <sharedItems containsString="0" containsBlank="1" containsNumber="1" minValue="2996.288" maxValue="15405"/>
    </cacheField>
    <cacheField name="Scrap as % of FG Value" numFmtId="0">
      <sharedItems containsString="0" containsBlank="1" containsNumber="1" minValue="-3.5083064942974512E-3" maxValue="2.6131867622562553E-2"/>
    </cacheField>
    <cacheField name="Scrap per $100 to FG" numFmtId="0">
      <sharedItems containsString="0" containsBlank="1" containsNumber="1" minValue="-0.35083064942974512" maxValue="2.6131867622562552"/>
    </cacheField>
    <cacheField name="Scrap per direct team member" numFmtId="0">
      <sharedItems containsString="0" containsBlank="1" containsNumber="1" minValue="-191.04938271604939" maxValue="1658.2405063291139"/>
    </cacheField>
    <cacheField name="Scrap per total team member" numFmtId="0">
      <sharedItems containsString="0" containsBlank="1" containsNumber="1" minValue="-119.03846153846153" maxValue="984.96992481203006"/>
    </cacheField>
    <cacheField name="Scrap as a % of Expenses" numFmtId="0">
      <sharedItems containsString="0" containsBlank="1" containsNumber="1" minValue="-1.882837043039404E-2" maxValue="0.10170948266759421"/>
    </cacheField>
    <cacheField name="Expenses per FG unit produced" numFmtId="0">
      <sharedItems containsString="0" containsBlank="1" containsNumber="1" minValue="19.978860495177489" maxValue="122.1057210965435"/>
    </cacheField>
    <cacheField name="Expenses per total units" numFmtId="0">
      <sharedItems containsBlank="1" containsMixedTypes="1" containsNumber="1" minValue="6.0344810498384964" maxValue="19.317082828549474"/>
    </cacheField>
    <cacheField name="Expense per direct team member" numFmtId="0">
      <sharedItems containsString="0" containsBlank="1" containsNumber="1" minValue="9489.7194244604325" maxValue="19274.504950495051"/>
    </cacheField>
    <cacheField name="Expense per total team" numFmtId="0">
      <sharedItems containsString="0" containsBlank="1" containsNumber="1" minValue="6322.292307692308" maxValue="11519.082840236686"/>
    </cacheField>
    <cacheField name="Recovery %" numFmtId="0">
      <sharedItems containsString="0" containsBlank="1" containsNumber="1" minValue="0.46102802725710051" maxValue="1.4703208276034008"/>
    </cacheField>
    <cacheField name="Recovery per FG unit produced" numFmtId="0">
      <sharedItems containsString="0" containsBlank="1" containsNumber="1" minValue="19.468376474313306" maxValue="56.29415971394517"/>
    </cacheField>
    <cacheField name="Recovery per total units" numFmtId="0">
      <sharedItems containsBlank="1" containsMixedTypes="1" containsNumber="1" minValue="5.7183922466366273" maxValue="10.652196748191395"/>
    </cacheField>
    <cacheField name="Recovery per direct team member" numFmtId="0">
      <sharedItems containsString="0" containsBlank="1" containsNumber="1" minValue="6670.6206896551721" maxValue="21955.267326732672"/>
    </cacheField>
    <cacheField name="Recovery per total team" numFmtId="0">
      <sharedItems containsString="0" containsBlank="1" containsNumber="1" minValue="3947.9183673469388" maxValue="14399.233766233767"/>
    </cacheField>
    <cacheField name="Units to FG per direct team" numFmtId="0">
      <sharedItems containsString="0" containsBlank="1" containsNumber="1" minValue="135.32258064516128" maxValue="621.20779220779218"/>
    </cacheField>
    <cacheField name="Units to FG per total team" numFmtId="0">
      <sharedItems containsString="0" containsBlank="1" containsNumber="1" minValue="71.709401709401703" maxValue="405.99350649350652"/>
    </cacheField>
    <cacheField name="$ to FG per FG Unit" numFmtId="0">
      <sharedItems containsString="0" containsBlank="1" containsNumber="1" minValue="108.67495276921547" maxValue="277.3002720031086"/>
    </cacheField>
    <cacheField name="$ to FG per Direct Team Member" numFmtId="0">
      <sharedItems containsString="0" containsBlank="1" containsNumber="1" minValue="33614.80459770115" maxValue="162855.91089108912"/>
    </cacheField>
    <cacheField name="$ to FG per Lab Hour" numFmtId="0">
      <sharedItems containsString="0" containsBlank="1" containsNumber="1" minValue="517.27469210635002" maxValue="1468.9171136753791"/>
    </cacheField>
    <cacheField name="$ to FG per W/O (G/C Level)" numFmtId="0">
      <sharedItems containsString="0" containsBlank="1" containsNumber="1" minValue="10407.787055961071" maxValue="54545.140127388535"/>
    </cacheField>
    <cacheField name="$ to FG per SKU (G/C Level)" numFmtId="0">
      <sharedItems containsString="0" containsBlank="1" containsNumber="1" minValue="20968.629803921573" maxValue="101344.22485207101"/>
    </cacheField>
    <cacheField name="Date2" numFmtId="0">
      <sharedItems containsNonDate="0" containsDate="1" containsString="0" containsBlank="1" minDate="2011-11-01T00:00:00" maxDate="2023-02-02T00:00:00"/>
    </cacheField>
    <cacheField name="PCB's 12 mnth avg" numFmtId="0">
      <sharedItems containsString="0" containsBlank="1" containsNumber="1" minValue="29260.666666666668" maxValue="70436"/>
    </cacheField>
    <cacheField name="XFMR's 12 mnth avg" numFmtId="0">
      <sharedItems containsString="0" containsBlank="1" containsNumber="1" minValue="15004.166666666666" maxValue="23903.083333333332"/>
    </cacheField>
    <cacheField name="GATE 12 month Avg" numFmtId="0">
      <sharedItems containsString="0" containsBlank="1" containsNumber="1" minValue="46465.583333333336" maxValue="121857.16666666667"/>
    </cacheField>
    <cacheField name="Labour Hours per direct team member" numFmtId="0">
      <sharedItems containsString="0" containsBlank="1" containsNumber="1" minValue="48.327225806451615" maxValue="131.66666666666666"/>
    </cacheField>
    <cacheField name="Recovery per labour hour" numFmtId="0">
      <sharedItems containsString="0" containsBlank="1" containsNumber="1" minValue="101.9140163679685" maxValue="195.73501632977315"/>
    </cacheField>
    <cacheField name="$ to FG per Lab Hour2" numFmtId="0">
      <sharedItems containsString="0" containsBlank="1" containsNumber="1" minValue="597.86131062122206" maxValue="1008.6125015207455"/>
    </cacheField>
    <cacheField name="Lab hours 12 mnth avg" numFmtId="0">
      <sharedItems containsString="0" containsBlank="1" containsNumber="1" minValue="7090.0332500000004" maxValue="12186.996083333333"/>
    </cacheField>
    <cacheField name="$ to FG per FG Unit 12 mnth avg" numFmtId="0">
      <sharedItems containsString="0" containsBlank="1" containsNumber="1" minValue="134.87999375208932" maxValue="200.95431776474962"/>
    </cacheField>
    <cacheField name="Expense per direct 12 mnth avg" numFmtId="0">
      <sharedItems containsString="0" containsBlank="1" containsNumber="1" minValue="11477.977123432749" maxValue="14713.037070150036"/>
    </cacheField>
    <cacheField name="Date3" numFmtId="0">
      <sharedItems containsNonDate="0" containsDate="1" containsString="0" containsBlank="1" minDate="2011-11-01T00:00:00" maxDate="2023-02-02T00:00:00"/>
    </cacheField>
    <cacheField name="Recovery per labour hour 12 mnth avg" numFmtId="0">
      <sharedItems containsString="0" containsBlank="1" containsNumber="1" minValue="115.39941122553087" maxValue="144.42339798001342"/>
    </cacheField>
    <cacheField name="Scrap per FG unit produced 12 mnth avg" numFmtId="0">
      <sharedItems containsBlank="1" containsMixedTypes="1" containsNumber="1" minValue="2.544085955466372E-3" maxValue="6.3680654384533058E-3"/>
    </cacheField>
    <cacheField name="Direct Staff 12 month avg" numFmtId="0">
      <sharedItems containsString="0" containsBlank="1" containsNumber="1" minValue="71.916666666666671" maxValue="124.25"/>
    </cacheField>
    <cacheField name="$ to FG per SKU (G/C Level) 12 mnth avg" numFmtId="0">
      <sharedItems containsString="0" containsBlank="1" containsNumber="1" minValue="27020.48823542464" maxValue="60142.662607206876"/>
    </cacheField>
    <cacheField name="$ to FG per W/O (G/C Level) 12 mnth avg" numFmtId="0">
      <sharedItems containsString="0" containsBlank="1" containsNumber="1" minValue="14105.617956157279" maxValue="34691.797448142912"/>
    </cacheField>
    <cacheField name="FPY 12 mnth avg" numFmtId="0">
      <sharedItems containsString="0" containsBlank="1" containsNumber="1" minValue="0.95161604306671232" maxValue="0.97651728541589122"/>
    </cacheField>
    <cacheField name="Operator errors 12 mnth avg" numFmtId="0">
      <sharedItems containsString="0" containsBlank="1" containsNumber="1" minValue="1.4940077110171755E-2" maxValue="3.0510282747126156E-2"/>
    </cacheField>
    <cacheField name="Other errors 12 mnth avg" numFmtId="0">
      <sharedItems containsBlank="1" containsMixedTypes="1" containsNumber="1" minValue="2.3733932353632602E-3" maxValue="5.3525957012438397E-2"/>
    </cacheField>
    <cacheField name="Expense over Transfer to FG" numFmtId="0">
      <sharedItems containsBlank="1" containsMixedTypes="1" containsNumber="1" minValue="0" maxValue="10.989686726207701"/>
    </cacheField>
    <cacheField name="Modules W/O's" numFmtId="0">
      <sharedItems containsString="0" containsBlank="1" containsNumber="1" containsInteger="1" minValue="53" maxValue="190"/>
    </cacheField>
    <cacheField name="Modules SKU's" numFmtId="0">
      <sharedItems containsString="0" containsBlank="1" containsNumber="1" containsInteger="1" minValue="50" maxValue="113"/>
    </cacheField>
    <cacheField name="XFMR W/O's" numFmtId="0">
      <sharedItems containsString="0" containsBlank="1" containsNumber="1" containsInteger="1" minValue="13" maxValue="71"/>
    </cacheField>
    <cacheField name="XFMR SKU's" numFmtId="0">
      <sharedItems containsString="0" containsBlank="1" containsNumber="1" containsInteger="1" minValue="12" maxValue="33"/>
    </cacheField>
    <cacheField name="$ to FG per Total Team Member" numFmtId="0">
      <sharedItems containsString="0" containsBlank="1" containsNumber="1" minValue="19757.699658119658" maxValue="106808.0974025974"/>
    </cacheField>
    <cacheField name="PFR's Raised" numFmtId="0">
      <sharedItems containsString="0" containsBlank="1" containsNumber="1" containsInteger="1" minValue="1" maxValue="23"/>
    </cacheField>
    <cacheField name="PFR's 12 month Avg" numFmtId="0">
      <sharedItems containsString="0" containsBlank="1" containsNumber="1" minValue="3.3333333333333335" maxValue="13.916666666666666"/>
    </cacheField>
    <cacheField name="PFR's 12 Month Avg against units produced" numFmtId="0">
      <sharedItems containsString="0" containsBlank="1" containsNumber="1" minValue="5.0544873738905401E-5" maxValue="9.9324592769169649E-4"/>
    </cacheField>
    <cacheField name="Overtime" numFmtId="0">
      <sharedItems containsNonDate="0" containsString="0" containsBlank="1"/>
    </cacheField>
    <cacheField name="AM FA FY Unit Growth" numFmtId="0">
      <sharedItems containsString="0" containsBlank="1" containsNumber="1" minValue="-0.3432120118687283" maxValue="0.56698296983024399"/>
    </cacheField>
    <cacheField name="SEC FA FY Unit Growth" numFmtId="0">
      <sharedItems containsString="0" containsBlank="1" containsNumber="1" minValue="-8.7322256542776144E-2" maxValue="0.58102543914713434"/>
    </cacheField>
    <cacheField name="PCB FY Unit Growth" numFmtId="0">
      <sharedItems containsString="0" containsBlank="1" containsNumber="1" minValue="-0.205203694215636" maxValue="0.3804653963268112"/>
    </cacheField>
    <cacheField name="XFMR FY Unit Growth" numFmtId="0">
      <sharedItems containsString="0" containsBlank="1" containsNumber="1" minValue="-0.48062404576803608" maxValue="0.20968186200247896"/>
    </cacheField>
    <cacheField name="12month avg scrap as % of FG" numFmtId="0">
      <sharedItems containsString="0" containsBlank="1" containsNumber="1" minValue="2.544085955466372E-3" maxValue="5.6070946916425115E-3"/>
    </cacheField>
    <cacheField name="12month avg scrap per $100 to FG" numFmtId="0">
      <sharedItems containsString="0" containsBlank="1" containsNumber="1" minValue="0.2544085955466372" maxValue="0.56070946916425113"/>
    </cacheField>
    <cacheField name="Expenses Per Labour Hours" numFmtId="0">
      <sharedItems containsString="0" containsBlank="1" containsNumber="1" minValue="100.81861120902362" maxValue="341.91205918790183"/>
    </cacheField>
    <cacheField name="Recovery over Expenses  per labour Hr " numFmtId="0">
      <sharedItems containsString="0" containsBlank="1" containsNumber="1" minValue="0.46102802725710051" maxValue="1.4703208276034005"/>
    </cacheField>
    <cacheField name="Recovery over expenses per Direct " numFmtId="0">
      <sharedItems containsBlank="1" containsMixedTypes="1" containsNumber="1" minValue="0.46102802725710057" maxValue="1.4703208276034005"/>
    </cacheField>
    <cacheField name="Recovery over expenses per total team" numFmtId="0">
      <sharedItems containsString="0" containsBlank="1" containsNumber="1" minValue="0" maxValue="1.4703208276034008"/>
    </cacheField>
    <cacheField name="expenses over FG" numFmtId="0">
      <sharedItems containsBlank="1" containsMixedTypes="1" containsNumber="1" minValue="0.13431227661463324" maxValue="0.27687946002264147"/>
    </cacheField>
    <cacheField name="Over/Under Recovery %" numFmtId="0">
      <sharedItems containsString="0" containsBlank="1" containsNumber="1" minValue="-0.53897197274289943" maxValue="0.47032082760340077"/>
    </cacheField>
    <cacheField name="Over Recovery Target" numFmtId="0">
      <sharedItems containsString="0" containsBlank="1" containsNumber="1" minValue="0.05" maxValue="0.05"/>
    </cacheField>
    <cacheField name="Under Recovery Target" numFmtId="0">
      <sharedItems containsString="0" containsBlank="1" containsNumber="1" minValue="-0.05" maxValue="-0.05"/>
    </cacheField>
    <cacheField name="Quarters" numFmtId="0" databaseField="0">
      <fieldGroup base="0">
        <rangePr groupBy="quarters" startDate="2011-11-01T00:00:00" endDate="2023-07-02T00:00:00"/>
        <groupItems count="6">
          <s v="&lt;1/11/2011"/>
          <s v="Qtr1"/>
          <s v="Qtr2"/>
          <s v="Qtr3"/>
          <s v="Qtr4"/>
          <s v="&gt;2/07/2023"/>
        </groupItems>
      </fieldGroup>
    </cacheField>
    <cacheField name="Years" numFmtId="0" databaseField="0">
      <fieldGroup base="0">
        <rangePr groupBy="years" startDate="2011-11-01T00:00:00" endDate="2023-07-02T00:00:00"/>
        <groupItems count="15">
          <s v="&lt;1/11/2011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2/0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">
  <r>
    <x v="0"/>
    <n v="56196"/>
    <n v="1264"/>
    <n v="2.2492704107053882E-2"/>
    <m/>
    <m/>
    <m/>
    <m/>
    <m/>
    <m/>
    <n v="28128"/>
    <m/>
    <n v="308"/>
    <m/>
    <m/>
    <m/>
    <n v="11273"/>
    <m/>
    <n v="142"/>
    <m/>
    <m/>
    <m/>
    <n v="16855"/>
    <m/>
    <n v="166"/>
    <m/>
    <m/>
    <m/>
    <n v="33535"/>
    <n v="2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1-11-01T00:00:00"/>
    <m/>
    <m/>
    <m/>
    <m/>
    <m/>
    <m/>
    <m/>
    <m/>
    <m/>
    <d v="2011-11-01T00:00:00"/>
    <m/>
    <m/>
    <m/>
    <m/>
    <m/>
    <m/>
    <m/>
    <m/>
    <e v="#DIV/0!"/>
    <m/>
    <m/>
    <m/>
    <m/>
    <m/>
  </r>
  <r>
    <x v="1"/>
    <n v="40310"/>
    <n v="1223"/>
    <n v="3.0339866038203919E-2"/>
    <m/>
    <m/>
    <m/>
    <m/>
    <m/>
    <m/>
    <n v="23350"/>
    <m/>
    <n v="242"/>
    <m/>
    <m/>
    <m/>
    <n v="6609"/>
    <m/>
    <n v="95"/>
    <m/>
    <m/>
    <m/>
    <n v="16741"/>
    <m/>
    <n v="147"/>
    <m/>
    <m/>
    <m/>
    <n v="24467"/>
    <n v="15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1-12-01T00:00:00"/>
    <m/>
    <m/>
    <m/>
    <m/>
    <m/>
    <m/>
    <m/>
    <m/>
    <m/>
    <d v="2011-12-01T00:00:00"/>
    <m/>
    <m/>
    <m/>
    <m/>
    <m/>
    <m/>
    <m/>
    <m/>
    <e v="#DIV/0!"/>
    <m/>
    <m/>
    <m/>
    <m/>
    <m/>
  </r>
  <r>
    <x v="2"/>
    <n v="36682"/>
    <n v="1152"/>
    <n v="3.1405048797775476E-2"/>
    <m/>
    <m/>
    <m/>
    <m/>
    <m/>
    <m/>
    <n v="21991"/>
    <m/>
    <n v="241"/>
    <m/>
    <m/>
    <m/>
    <n v="4929"/>
    <m/>
    <n v="94"/>
    <m/>
    <m/>
    <m/>
    <n v="17062"/>
    <m/>
    <n v="147"/>
    <m/>
    <m/>
    <m/>
    <n v="31484"/>
    <n v="15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1-01T00:00:00"/>
    <m/>
    <m/>
    <m/>
    <m/>
    <m/>
    <m/>
    <m/>
    <m/>
    <m/>
    <d v="2012-01-01T00:00:00"/>
    <m/>
    <m/>
    <m/>
    <m/>
    <m/>
    <m/>
    <m/>
    <m/>
    <e v="#DIV/0!"/>
    <m/>
    <m/>
    <m/>
    <m/>
    <m/>
  </r>
  <r>
    <x v="3"/>
    <n v="52260"/>
    <n v="1732"/>
    <n v="3.314198239571374E-2"/>
    <m/>
    <m/>
    <m/>
    <m/>
    <m/>
    <m/>
    <n v="33777"/>
    <m/>
    <n v="326"/>
    <m/>
    <m/>
    <m/>
    <n v="5199"/>
    <m/>
    <n v="106"/>
    <m/>
    <m/>
    <m/>
    <n v="28578"/>
    <m/>
    <n v="220"/>
    <m/>
    <m/>
    <m/>
    <n v="32651"/>
    <n v="2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2-01T00:00:00"/>
    <m/>
    <m/>
    <m/>
    <m/>
    <m/>
    <m/>
    <m/>
    <m/>
    <m/>
    <d v="2012-02-01T00:00:00"/>
    <m/>
    <m/>
    <m/>
    <m/>
    <m/>
    <m/>
    <m/>
    <m/>
    <e v="#DIV/0!"/>
    <m/>
    <m/>
    <m/>
    <m/>
    <m/>
  </r>
  <r>
    <x v="4"/>
    <n v="66642"/>
    <n v="1843"/>
    <n v="2.765523243600132E-2"/>
    <m/>
    <m/>
    <m/>
    <m/>
    <m/>
    <m/>
    <n v="41233"/>
    <m/>
    <n v="341"/>
    <m/>
    <m/>
    <m/>
    <n v="7178"/>
    <m/>
    <n v="98"/>
    <m/>
    <m/>
    <m/>
    <n v="34055"/>
    <m/>
    <n v="243"/>
    <m/>
    <m/>
    <m/>
    <n v="36444"/>
    <n v="25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3-01T00:00:00"/>
    <m/>
    <m/>
    <m/>
    <m/>
    <m/>
    <m/>
    <m/>
    <m/>
    <m/>
    <d v="2012-03-01T00:00:00"/>
    <m/>
    <m/>
    <m/>
    <m/>
    <m/>
    <m/>
    <m/>
    <m/>
    <e v="#DIV/0!"/>
    <m/>
    <m/>
    <m/>
    <m/>
    <m/>
  </r>
  <r>
    <x v="5"/>
    <n v="47794"/>
    <n v="1450"/>
    <n v="3.0338536217935305E-2"/>
    <m/>
    <m/>
    <m/>
    <m/>
    <m/>
    <m/>
    <n v="36339"/>
    <m/>
    <n v="353"/>
    <m/>
    <m/>
    <m/>
    <n v="6802"/>
    <m/>
    <n v="135"/>
    <m/>
    <m/>
    <m/>
    <n v="29537"/>
    <m/>
    <n v="218"/>
    <m/>
    <m/>
    <m/>
    <n v="36853"/>
    <n v="27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4-01T00:00:00"/>
    <m/>
    <m/>
    <m/>
    <m/>
    <m/>
    <m/>
    <m/>
    <m/>
    <m/>
    <d v="2012-04-01T00:00:00"/>
    <m/>
    <m/>
    <m/>
    <m/>
    <m/>
    <m/>
    <m/>
    <m/>
    <e v="#DIV/0!"/>
    <m/>
    <m/>
    <m/>
    <m/>
    <m/>
  </r>
  <r>
    <x v="6"/>
    <n v="61375"/>
    <n v="1777"/>
    <n v="2.8953156822810591E-2"/>
    <m/>
    <m/>
    <m/>
    <m/>
    <m/>
    <m/>
    <n v="34359"/>
    <m/>
    <n v="365"/>
    <m/>
    <m/>
    <m/>
    <n v="6297"/>
    <m/>
    <n v="125"/>
    <m/>
    <m/>
    <m/>
    <n v="28062"/>
    <m/>
    <n v="240"/>
    <m/>
    <m/>
    <m/>
    <n v="33983"/>
    <n v="26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5-01T00:00:00"/>
    <m/>
    <m/>
    <m/>
    <m/>
    <m/>
    <m/>
    <m/>
    <m/>
    <m/>
    <d v="2012-05-01T00:00:00"/>
    <m/>
    <m/>
    <m/>
    <m/>
    <m/>
    <m/>
    <m/>
    <m/>
    <e v="#DIV/0!"/>
    <m/>
    <m/>
    <m/>
    <m/>
    <m/>
  </r>
  <r>
    <x v="7"/>
    <n v="48214"/>
    <n v="1745"/>
    <n v="3.6192807068486335E-2"/>
    <m/>
    <m/>
    <m/>
    <m/>
    <m/>
    <m/>
    <n v="34609"/>
    <m/>
    <n v="356"/>
    <m/>
    <m/>
    <m/>
    <n v="7326"/>
    <m/>
    <n v="114"/>
    <m/>
    <m/>
    <m/>
    <n v="27283"/>
    <m/>
    <n v="242"/>
    <m/>
    <m/>
    <m/>
    <n v="29250"/>
    <n v="20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6-01T00:00:00"/>
    <m/>
    <m/>
    <m/>
    <m/>
    <m/>
    <m/>
    <m/>
    <m/>
    <m/>
    <d v="2012-06-01T00:00:00"/>
    <m/>
    <m/>
    <m/>
    <m/>
    <m/>
    <m/>
    <m/>
    <m/>
    <e v="#DIV/0!"/>
    <m/>
    <m/>
    <m/>
    <m/>
    <m/>
  </r>
  <r>
    <x v="8"/>
    <n v="51384"/>
    <n v="1494"/>
    <n v="2.9075198505371321E-2"/>
    <m/>
    <m/>
    <m/>
    <m/>
    <m/>
    <m/>
    <n v="31616"/>
    <m/>
    <n v="391"/>
    <m/>
    <m/>
    <m/>
    <n v="9335"/>
    <m/>
    <n v="156"/>
    <m/>
    <m/>
    <m/>
    <n v="22281"/>
    <m/>
    <n v="235"/>
    <m/>
    <m/>
    <m/>
    <n v="36694"/>
    <n v="26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7-01T00:00:00"/>
    <m/>
    <m/>
    <m/>
    <m/>
    <m/>
    <m/>
    <m/>
    <m/>
    <m/>
    <d v="2012-07-01T00:00:00"/>
    <m/>
    <m/>
    <m/>
    <m/>
    <m/>
    <m/>
    <m/>
    <m/>
    <e v="#DIV/0!"/>
    <m/>
    <m/>
    <m/>
    <m/>
    <m/>
  </r>
  <r>
    <x v="9"/>
    <n v="49348"/>
    <n v="1625"/>
    <n v="3.2929399367755532E-2"/>
    <m/>
    <m/>
    <m/>
    <m/>
    <m/>
    <m/>
    <n v="25948"/>
    <m/>
    <n v="358"/>
    <m/>
    <m/>
    <m/>
    <n v="7473"/>
    <m/>
    <n v="121"/>
    <m/>
    <m/>
    <m/>
    <n v="18475"/>
    <m/>
    <n v="237"/>
    <m/>
    <m/>
    <m/>
    <n v="28996"/>
    <n v="18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8-01T00:00:00"/>
    <m/>
    <m/>
    <m/>
    <m/>
    <m/>
    <m/>
    <m/>
    <m/>
    <m/>
    <d v="2012-08-01T00:00:00"/>
    <m/>
    <m/>
    <m/>
    <m/>
    <m/>
    <m/>
    <m/>
    <m/>
    <e v="#DIV/0!"/>
    <m/>
    <m/>
    <m/>
    <m/>
    <m/>
  </r>
  <r>
    <x v="10"/>
    <n v="42668"/>
    <n v="1308"/>
    <n v="3.065529202212431E-2"/>
    <m/>
    <m/>
    <m/>
    <m/>
    <m/>
    <m/>
    <n v="25083"/>
    <m/>
    <n v="316"/>
    <m/>
    <m/>
    <m/>
    <n v="8059"/>
    <m/>
    <n v="125"/>
    <m/>
    <m/>
    <m/>
    <n v="17024"/>
    <m/>
    <n v="191"/>
    <m/>
    <m/>
    <m/>
    <n v="32303"/>
    <n v="17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9-01T00:00:00"/>
    <m/>
    <m/>
    <m/>
    <m/>
    <m/>
    <m/>
    <m/>
    <m/>
    <m/>
    <d v="2012-09-01T00:00:00"/>
    <m/>
    <m/>
    <m/>
    <m/>
    <m/>
    <m/>
    <m/>
    <m/>
    <e v="#DIV/0!"/>
    <m/>
    <m/>
    <m/>
    <m/>
    <m/>
  </r>
  <r>
    <x v="11"/>
    <n v="43789"/>
    <n v="1305"/>
    <n v="2.980200506976638E-2"/>
    <m/>
    <m/>
    <m/>
    <m/>
    <m/>
    <m/>
    <n v="26991"/>
    <n v="30285.333333333332"/>
    <n v="337"/>
    <n v="327.83333333333331"/>
    <m/>
    <e v="#DIV/0!"/>
    <n v="7137"/>
    <n v="7301.416666666667"/>
    <n v="142"/>
    <n v="121.08333333333333"/>
    <m/>
    <e v="#DIV/0!"/>
    <n v="19854"/>
    <n v="22983.916666666668"/>
    <n v="195"/>
    <n v="206.75"/>
    <m/>
    <e v="#DIV/0!"/>
    <n v="30241"/>
    <n v="30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10-01T00:00:00"/>
    <n v="32241.75"/>
    <n v="22244.25"/>
    <n v="49721.833333333336"/>
    <m/>
    <m/>
    <m/>
    <m/>
    <m/>
    <m/>
    <d v="2012-10-01T00:00:00"/>
    <m/>
    <m/>
    <m/>
    <m/>
    <m/>
    <m/>
    <n v="3.0248435737416507E-2"/>
    <e v="#DIV/0!"/>
    <e v="#DIV/0!"/>
    <m/>
    <m/>
    <m/>
    <m/>
    <m/>
  </r>
  <r>
    <x v="12"/>
    <n v="49971"/>
    <n v="1281"/>
    <n v="2.5634868223569671E-2"/>
    <m/>
    <m/>
    <m/>
    <m/>
    <m/>
    <m/>
    <n v="23531"/>
    <n v="29902.25"/>
    <n v="319"/>
    <n v="328.75"/>
    <m/>
    <e v="#DIV/0!"/>
    <n v="6454"/>
    <n v="6899.833333333333"/>
    <n v="144"/>
    <n v="121.25"/>
    <m/>
    <e v="#DIV/0!"/>
    <n v="17077"/>
    <n v="23002.416666666668"/>
    <n v="175"/>
    <n v="207.5"/>
    <m/>
    <e v="#DIV/0!"/>
    <n v="32527"/>
    <n v="23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11-01T00:00:00"/>
    <n v="32157.75"/>
    <n v="22269.083333333332"/>
    <n v="49203.083333333336"/>
    <m/>
    <m/>
    <m/>
    <m/>
    <m/>
    <m/>
    <d v="2012-11-01T00:00:00"/>
    <m/>
    <m/>
    <m/>
    <m/>
    <m/>
    <m/>
    <n v="3.0510282747126156E-2"/>
    <e v="#DIV/0!"/>
    <e v="#DIV/0!"/>
    <m/>
    <m/>
    <m/>
    <m/>
    <m/>
  </r>
  <r>
    <x v="13"/>
    <n v="32695"/>
    <n v="696"/>
    <n v="2.128765866340419E-2"/>
    <m/>
    <m/>
    <m/>
    <m/>
    <m/>
    <m/>
    <n v="18951"/>
    <n v="29535.666666666668"/>
    <n v="225"/>
    <n v="327.33333333333331"/>
    <m/>
    <e v="#DIV/0!"/>
    <n v="5070"/>
    <n v="6771.583333333333"/>
    <n v="95"/>
    <n v="121.25"/>
    <m/>
    <e v="#DIV/0!"/>
    <n v="13881"/>
    <n v="22764.083333333332"/>
    <n v="130"/>
    <n v="206.08333333333334"/>
    <m/>
    <e v="#DIV/0!"/>
    <n v="22586"/>
    <n v="21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12-01T00:00:00"/>
    <n v="32001"/>
    <n v="22718.5"/>
    <n v="48568.5"/>
    <m/>
    <m/>
    <m/>
    <m/>
    <m/>
    <m/>
    <d v="2012-12-01T00:00:00"/>
    <m/>
    <m/>
    <m/>
    <m/>
    <m/>
    <m/>
    <n v="2.9755932132559518E-2"/>
    <e v="#DIV/0!"/>
    <e v="#DIV/0!"/>
    <m/>
    <m/>
    <m/>
    <m/>
    <m/>
  </r>
  <r>
    <x v="14"/>
    <n v="32589"/>
    <n v="864"/>
    <n v="2.6512013256006627E-2"/>
    <m/>
    <m/>
    <m/>
    <m/>
    <m/>
    <m/>
    <n v="20549"/>
    <n v="29415.5"/>
    <n v="211"/>
    <n v="324.83333333333331"/>
    <m/>
    <e v="#DIV/0!"/>
    <n v="3659"/>
    <n v="6665.75"/>
    <n v="75"/>
    <n v="119.66666666666667"/>
    <m/>
    <e v="#DIV/0!"/>
    <n v="16890"/>
    <n v="22749.75"/>
    <n v="136"/>
    <n v="205.16666666666666"/>
    <m/>
    <e v="#DIV/0!"/>
    <n v="17710"/>
    <n v="15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1-01T00:00:00"/>
    <n v="30853.166666666668"/>
    <n v="22740.166666666668"/>
    <n v="48227.416666666664"/>
    <m/>
    <m/>
    <m/>
    <m/>
    <m/>
    <m/>
    <d v="2013-01-01T00:00:00"/>
    <m/>
    <m/>
    <m/>
    <m/>
    <m/>
    <m/>
    <n v="2.9348179170745444E-2"/>
    <e v="#DIV/0!"/>
    <e v="#DIV/0!"/>
    <m/>
    <m/>
    <m/>
    <m/>
    <m/>
  </r>
  <r>
    <x v="15"/>
    <n v="47417"/>
    <n v="1474"/>
    <n v="3.1085897462935233E-2"/>
    <m/>
    <m/>
    <m/>
    <m/>
    <m/>
    <m/>
    <n v="25691"/>
    <n v="28741.666666666668"/>
    <n v="307"/>
    <n v="323.25"/>
    <m/>
    <e v="#DIV/0!"/>
    <n v="5707"/>
    <n v="6708.083333333333"/>
    <n v="114"/>
    <n v="120.33333333333333"/>
    <m/>
    <e v="#DIV/0!"/>
    <n v="19984"/>
    <n v="22033.583333333332"/>
    <n v="193"/>
    <n v="202.91666666666666"/>
    <m/>
    <e v="#DIV/0!"/>
    <n v="29768"/>
    <n v="20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2-01T00:00:00"/>
    <n v="30612.916666666668"/>
    <n v="22712.333333333332"/>
    <n v="47823.833333333336"/>
    <m/>
    <m/>
    <m/>
    <m/>
    <m/>
    <m/>
    <d v="2013-02-01T00:00:00"/>
    <m/>
    <m/>
    <m/>
    <m/>
    <m/>
    <m/>
    <n v="2.9176838759680569E-2"/>
    <e v="#DIV/0!"/>
    <e v="#DIV/0!"/>
    <m/>
    <m/>
    <m/>
    <m/>
    <m/>
  </r>
  <r>
    <x v="16"/>
    <n v="50343"/>
    <n v="1409"/>
    <n v="2.7988002304193235E-2"/>
    <m/>
    <m/>
    <m/>
    <m/>
    <m/>
    <m/>
    <n v="29280"/>
    <n v="27745.583333333332"/>
    <n v="287"/>
    <n v="318.75"/>
    <m/>
    <e v="#DIV/0!"/>
    <n v="5219"/>
    <n v="6544.833333333333"/>
    <n v="103"/>
    <n v="120.75"/>
    <m/>
    <e v="#DIV/0!"/>
    <n v="24061"/>
    <n v="21200.75"/>
    <n v="184"/>
    <n v="198"/>
    <m/>
    <e v="#DIV/0!"/>
    <n v="35856"/>
    <n v="21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3-01T00:00:00"/>
    <n v="30563.916666666668"/>
    <n v="22362.25"/>
    <n v="46465.583333333336"/>
    <m/>
    <m/>
    <m/>
    <m/>
    <m/>
    <m/>
    <d v="2013-03-01T00:00:00"/>
    <m/>
    <m/>
    <m/>
    <m/>
    <m/>
    <m/>
    <n v="2.9204569582029893E-2"/>
    <e v="#DIV/0!"/>
    <e v="#DIV/0!"/>
    <m/>
    <m/>
    <m/>
    <m/>
    <m/>
  </r>
  <r>
    <x v="17"/>
    <n v="59996"/>
    <n v="1654"/>
    <n v="2.756850456697113E-2"/>
    <m/>
    <m/>
    <m/>
    <m/>
    <m/>
    <m/>
    <n v="31196"/>
    <n v="27317"/>
    <n v="320"/>
    <n v="316"/>
    <m/>
    <e v="#DIV/0!"/>
    <n v="5946"/>
    <n v="6473.5"/>
    <n v="116"/>
    <n v="119.16666666666667"/>
    <m/>
    <e v="#DIV/0!"/>
    <n v="25250"/>
    <n v="20843.5"/>
    <n v="204"/>
    <n v="196.83333333333334"/>
    <m/>
    <e v="#DIV/0!"/>
    <n v="37309"/>
    <n v="2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4-01T00:00:00"/>
    <n v="30601.916666666668"/>
    <n v="21912"/>
    <n v="47482.416666666664"/>
    <m/>
    <m/>
    <m/>
    <m/>
    <m/>
    <m/>
    <d v="2013-04-01T00:00:00"/>
    <m/>
    <m/>
    <m/>
    <m/>
    <m/>
    <m/>
    <n v="2.8973733611116211E-2"/>
    <e v="#DIV/0!"/>
    <e v="#DIV/0!"/>
    <m/>
    <m/>
    <m/>
    <m/>
    <m/>
  </r>
  <r>
    <x v="18"/>
    <n v="64443"/>
    <n v="1552"/>
    <n v="2.4083298418757663E-2"/>
    <m/>
    <m/>
    <m/>
    <m/>
    <m/>
    <m/>
    <n v="35649"/>
    <n v="27424.5"/>
    <n v="370"/>
    <n v="316.41666666666669"/>
    <m/>
    <e v="#DIV/0!"/>
    <n v="5823"/>
    <n v="6434"/>
    <n v="108"/>
    <n v="117.75"/>
    <m/>
    <e v="#DIV/0!"/>
    <n v="29826"/>
    <n v="20990.5"/>
    <n v="262"/>
    <n v="198.66666666666666"/>
    <m/>
    <e v="#DIV/0!"/>
    <n v="34075"/>
    <n v="1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5-01T00:00:00"/>
    <n v="30609.583333333332"/>
    <n v="21368.416666666668"/>
    <n v="47738.083333333336"/>
    <m/>
    <m/>
    <m/>
    <m/>
    <m/>
    <m/>
    <d v="2013-05-01T00:00:00"/>
    <m/>
    <m/>
    <m/>
    <m/>
    <m/>
    <m/>
    <n v="2.8567912077445134E-2"/>
    <e v="#DIV/0!"/>
    <e v="#DIV/0!"/>
    <m/>
    <m/>
    <m/>
    <m/>
    <m/>
  </r>
  <r>
    <x v="19"/>
    <n v="54439"/>
    <n v="1688"/>
    <n v="3.100718235088815E-2"/>
    <m/>
    <m/>
    <m/>
    <m/>
    <m/>
    <m/>
    <n v="21345"/>
    <n v="26319.166666666668"/>
    <n v="250"/>
    <n v="307.58333333333331"/>
    <m/>
    <e v="#DIV/0!"/>
    <n v="5710"/>
    <n v="6299.333333333333"/>
    <n v="95"/>
    <n v="116.16666666666667"/>
    <m/>
    <e v="#DIV/0!"/>
    <n v="15635"/>
    <n v="20019.833333333332"/>
    <n v="155"/>
    <n v="191.41666666666666"/>
    <m/>
    <e v="#DIV/0!"/>
    <n v="30584"/>
    <n v="15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6-01T00:00:00"/>
    <n v="30720.75"/>
    <n v="20985.166666666668"/>
    <n v="48256.833333333336"/>
    <m/>
    <m/>
    <m/>
    <m/>
    <m/>
    <m/>
    <d v="2013-06-01T00:00:00"/>
    <m/>
    <m/>
    <m/>
    <m/>
    <m/>
    <m/>
    <n v="2.8135776684311956E-2"/>
    <e v="#DIV/0!"/>
    <e v="#DIV/0!"/>
    <m/>
    <m/>
    <m/>
    <m/>
    <m/>
  </r>
  <r>
    <x v="20"/>
    <n v="54346"/>
    <n v="2066"/>
    <n v="3.8015677326758181E-2"/>
    <m/>
    <m/>
    <m/>
    <m/>
    <m/>
    <m/>
    <n v="32091"/>
    <n v="26358.75"/>
    <n v="385"/>
    <n v="307.08333333333331"/>
    <m/>
    <e v="#DIV/0!"/>
    <n v="8707"/>
    <n v="6247"/>
    <n v="160"/>
    <n v="116.5"/>
    <m/>
    <e v="#DIV/0!"/>
    <n v="23384"/>
    <n v="20111.75"/>
    <n v="225"/>
    <n v="190.58333333333334"/>
    <m/>
    <e v="#DIV/0!"/>
    <n v="33525"/>
    <n v="1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7-01T00:00:00"/>
    <n v="30456.666666666668"/>
    <n v="20374.666666666668"/>
    <n v="48503.666666666664"/>
    <m/>
    <m/>
    <m/>
    <m/>
    <m/>
    <m/>
    <d v="2013-07-01T00:00:00"/>
    <m/>
    <m/>
    <m/>
    <m/>
    <m/>
    <m/>
    <n v="2.8880816586094194E-2"/>
    <e v="#DIV/0!"/>
    <e v="#DIV/0!"/>
    <m/>
    <m/>
    <m/>
    <m/>
    <m/>
  </r>
  <r>
    <x v="21"/>
    <n v="40743"/>
    <n v="844"/>
    <n v="2.0715214883538276E-2"/>
    <m/>
    <m/>
    <m/>
    <m/>
    <m/>
    <m/>
    <n v="22295"/>
    <n v="26054.333333333332"/>
    <n v="281"/>
    <n v="300.66666666666669"/>
    <m/>
    <e v="#DIV/0!"/>
    <n v="7474"/>
    <n v="6247.083333333333"/>
    <n v="109"/>
    <n v="115.5"/>
    <m/>
    <e v="#DIV/0!"/>
    <n v="14821"/>
    <n v="19807.25"/>
    <n v="172"/>
    <n v="185.16666666666666"/>
    <m/>
    <e v="#DIV/0!"/>
    <n v="22249"/>
    <n v="14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8-01T00:00:00"/>
    <n v="29894.416666666668"/>
    <n v="20122.916666666668"/>
    <n v="47786.583333333336"/>
    <m/>
    <m/>
    <m/>
    <m/>
    <m/>
    <m/>
    <d v="2013-08-01T00:00:00"/>
    <m/>
    <m/>
    <m/>
    <m/>
    <m/>
    <m/>
    <n v="2.7862967879076092E-2"/>
    <e v="#DIV/0!"/>
    <e v="#DIV/0!"/>
    <m/>
    <m/>
    <m/>
    <m/>
    <m/>
  </r>
  <r>
    <x v="22"/>
    <n v="40290"/>
    <n v="900"/>
    <n v="2.2338049143708117E-2"/>
    <m/>
    <m/>
    <m/>
    <m/>
    <m/>
    <m/>
    <n v="24245"/>
    <n v="25984.5"/>
    <n v="336"/>
    <n v="302.33333333333331"/>
    <m/>
    <e v="#DIV/0!"/>
    <n v="9721"/>
    <n v="6385.583333333333"/>
    <n v="145"/>
    <n v="117.16666666666667"/>
    <m/>
    <e v="#DIV/0!"/>
    <n v="14524"/>
    <n v="19598.916666666668"/>
    <n v="191"/>
    <n v="185.16666666666666"/>
    <m/>
    <e v="#DIV/0!"/>
    <n v="25564"/>
    <n v="16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9-01T00:00:00"/>
    <n v="29332.833333333332"/>
    <n v="19980.5"/>
    <n v="47588.416666666664"/>
    <m/>
    <m/>
    <m/>
    <m/>
    <m/>
    <m/>
    <d v="2013-09-01T00:00:00"/>
    <m/>
    <m/>
    <m/>
    <m/>
    <m/>
    <m/>
    <n v="2.7169864305874741E-2"/>
    <e v="#DIV/0!"/>
    <e v="#DIV/0!"/>
    <m/>
    <m/>
    <m/>
    <m/>
    <m/>
  </r>
  <r>
    <x v="23"/>
    <n v="50631"/>
    <n v="1219"/>
    <n v="2.407615887499753E-2"/>
    <m/>
    <m/>
    <m/>
    <m/>
    <m/>
    <m/>
    <n v="23074"/>
    <n v="25658.083333333332"/>
    <n v="297"/>
    <n v="299"/>
    <m/>
    <e v="#DIV/0!"/>
    <n v="7762"/>
    <n v="6437.666666666667"/>
    <n v="109"/>
    <n v="114.41666666666667"/>
    <m/>
    <e v="#DIV/0!"/>
    <n v="15312"/>
    <n v="19220.416666666668"/>
    <n v="188"/>
    <n v="184.58333333333334"/>
    <m/>
    <e v="#DIV/0!"/>
    <n v="30297"/>
    <n v="18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10-01T00:00:00"/>
    <n v="29337.5"/>
    <n v="18932"/>
    <n v="48158.583333333336"/>
    <m/>
    <m/>
    <m/>
    <m/>
    <m/>
    <m/>
    <d v="2013-10-01T00:00:00"/>
    <m/>
    <m/>
    <m/>
    <m/>
    <m/>
    <m/>
    <n v="2.6692710456310668E-2"/>
    <e v="#DIV/0!"/>
    <e v="#DIV/0!"/>
    <m/>
    <m/>
    <m/>
    <m/>
    <m/>
  </r>
  <r>
    <x v="24"/>
    <n v="54632"/>
    <n v="1509"/>
    <n v="2.762117440328013E-2"/>
    <m/>
    <m/>
    <m/>
    <m/>
    <m/>
    <m/>
    <n v="26348"/>
    <n v="25892.833333333332"/>
    <n v="327"/>
    <n v="299.66666666666669"/>
    <m/>
    <e v="#DIV/0!"/>
    <n v="7811"/>
    <n v="6550.75"/>
    <n v="109"/>
    <n v="111.5"/>
    <m/>
    <e v="#DIV/0!"/>
    <n v="18537"/>
    <n v="19342.083333333332"/>
    <n v="218"/>
    <n v="188.16666666666666"/>
    <m/>
    <e v="#DIV/0!"/>
    <n v="31605"/>
    <n v="16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11-01T00:00:00"/>
    <n v="29260.666666666668"/>
    <n v="18334.833333333332"/>
    <n v="48547"/>
    <m/>
    <m/>
    <m/>
    <m/>
    <m/>
    <m/>
    <d v="2013-11-01T00:00:00"/>
    <m/>
    <m/>
    <m/>
    <m/>
    <m/>
    <m/>
    <n v="2.6858235971286542E-2"/>
    <e v="#DIV/0!"/>
    <e v="#DIV/0!"/>
    <m/>
    <m/>
    <m/>
    <m/>
    <m/>
  </r>
  <r>
    <x v="25"/>
    <n v="47337"/>
    <n v="1103"/>
    <n v="2.3301011893444874E-2"/>
    <m/>
    <m/>
    <m/>
    <m/>
    <m/>
    <m/>
    <n v="21029"/>
    <n v="26066"/>
    <n v="239"/>
    <n v="300.83333333333331"/>
    <m/>
    <e v="#DIV/0!"/>
    <n v="6813"/>
    <n v="6696"/>
    <n v="88"/>
    <n v="110.91666666666667"/>
    <m/>
    <e v="#DIV/0!"/>
    <n v="14216"/>
    <n v="19370"/>
    <n v="151"/>
    <n v="189.91666666666666"/>
    <m/>
    <e v="#DIV/0!"/>
    <n v="24957"/>
    <n v="1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3-12-01T00:00:00"/>
    <n v="29458.25"/>
    <n v="17748.166666666668"/>
    <n v="49767.166666666664"/>
    <m/>
    <m/>
    <m/>
    <m/>
    <m/>
    <m/>
    <d v="2013-12-01T00:00:00"/>
    <m/>
    <m/>
    <m/>
    <m/>
    <m/>
    <m/>
    <n v="2.7026015407123263E-2"/>
    <e v="#DIV/0!"/>
    <e v="#DIV/0!"/>
    <m/>
    <m/>
    <m/>
    <m/>
    <m/>
  </r>
  <r>
    <x v="26"/>
    <n v="41085"/>
    <n v="927"/>
    <n v="2.2562979189485213E-2"/>
    <m/>
    <m/>
    <m/>
    <m/>
    <m/>
    <m/>
    <n v="23137"/>
    <n v="26281.666666666668"/>
    <n v="231"/>
    <n v="302.5"/>
    <m/>
    <e v="#DIV/0!"/>
    <n v="7401"/>
    <n v="7007.833333333333"/>
    <n v="78"/>
    <n v="111.16666666666667"/>
    <m/>
    <e v="#DIV/0!"/>
    <n v="15736"/>
    <n v="19273.833333333332"/>
    <n v="153"/>
    <n v="191.33333333333334"/>
    <m/>
    <e v="#DIV/0!"/>
    <n v="28779"/>
    <n v="15346"/>
    <m/>
    <m/>
    <m/>
    <m/>
    <m/>
    <m/>
    <m/>
    <m/>
    <n v="6269"/>
    <m/>
    <n v="0.27095129014133207"/>
    <e v="#DIV/0!"/>
    <m/>
    <m/>
    <m/>
    <m/>
    <m/>
    <m/>
    <m/>
    <m/>
    <m/>
    <m/>
    <m/>
    <m/>
    <m/>
    <m/>
    <m/>
    <m/>
    <m/>
    <m/>
    <m/>
    <d v="2014-01-01T00:00:00"/>
    <n v="30380.666666666668"/>
    <n v="17750.666666666668"/>
    <n v="50475.166666666664"/>
    <m/>
    <m/>
    <m/>
    <m/>
    <m/>
    <m/>
    <d v="2014-01-01T00:00:00"/>
    <m/>
    <m/>
    <m/>
    <m/>
    <m/>
    <m/>
    <n v="2.6696929234913142E-2"/>
    <e v="#DIV/0!"/>
    <e v="#DIV/0!"/>
    <m/>
    <m/>
    <m/>
    <m/>
    <m/>
  </r>
  <r>
    <x v="27"/>
    <n v="50657"/>
    <n v="1348"/>
    <n v="2.6610340130682829E-2"/>
    <m/>
    <m/>
    <m/>
    <m/>
    <m/>
    <m/>
    <n v="26175"/>
    <n v="26322"/>
    <n v="277"/>
    <n v="300"/>
    <m/>
    <e v="#DIV/0!"/>
    <n v="7749"/>
    <n v="7178"/>
    <n v="90"/>
    <n v="109.16666666666667"/>
    <m/>
    <e v="#DIV/0!"/>
    <n v="18426"/>
    <n v="19144"/>
    <n v="187"/>
    <n v="190.83333333333334"/>
    <m/>
    <e v="#DIV/0!"/>
    <n v="27233"/>
    <n v="17261"/>
    <m/>
    <m/>
    <m/>
    <m/>
    <m/>
    <m/>
    <m/>
    <m/>
    <n v="4899"/>
    <m/>
    <n v="0.18716332378223496"/>
    <e v="#DIV/0!"/>
    <m/>
    <m/>
    <m/>
    <m/>
    <m/>
    <m/>
    <m/>
    <m/>
    <m/>
    <m/>
    <m/>
    <m/>
    <m/>
    <m/>
    <m/>
    <m/>
    <m/>
    <m/>
    <m/>
    <d v="2014-02-01T00:00:00"/>
    <n v="30169.416666666668"/>
    <n v="17511.666666666668"/>
    <n v="50745.166666666664"/>
    <m/>
    <m/>
    <m/>
    <m/>
    <m/>
    <m/>
    <d v="2014-02-01T00:00:00"/>
    <m/>
    <m/>
    <m/>
    <m/>
    <m/>
    <m/>
    <n v="2.6323966123892109E-2"/>
    <e v="#DIV/0!"/>
    <e v="#DIV/0!"/>
    <m/>
    <m/>
    <m/>
    <m/>
    <m/>
  </r>
  <r>
    <x v="28"/>
    <n v="56116"/>
    <n v="1136"/>
    <n v="2.0243780739895929E-2"/>
    <m/>
    <m/>
    <m/>
    <m/>
    <m/>
    <m/>
    <n v="36342"/>
    <n v="26910.5"/>
    <n v="357"/>
    <n v="305.83333333333331"/>
    <m/>
    <e v="#DIV/0!"/>
    <n v="10664"/>
    <n v="7631.75"/>
    <n v="125"/>
    <n v="111"/>
    <m/>
    <e v="#DIV/0!"/>
    <n v="25678"/>
    <n v="19278.75"/>
    <n v="232"/>
    <n v="194.83333333333334"/>
    <m/>
    <e v="#DIV/0!"/>
    <n v="39842"/>
    <n v="21458"/>
    <m/>
    <m/>
    <m/>
    <m/>
    <m/>
    <m/>
    <m/>
    <m/>
    <n v="9425"/>
    <m/>
    <n v="0.2593418083759837"/>
    <e v="#DIV/0!"/>
    <m/>
    <m/>
    <m/>
    <m/>
    <m/>
    <m/>
    <m/>
    <m/>
    <m/>
    <m/>
    <m/>
    <m/>
    <m/>
    <m/>
    <m/>
    <m/>
    <m/>
    <m/>
    <m/>
    <d v="2014-03-01T00:00:00"/>
    <n v="30501.583333333332"/>
    <n v="17549.083333333332"/>
    <n v="51226.25"/>
    <m/>
    <m/>
    <m/>
    <m/>
    <m/>
    <m/>
    <d v="2014-03-01T00:00:00"/>
    <m/>
    <m/>
    <m/>
    <m/>
    <m/>
    <m/>
    <n v="2.5678614326867331E-2"/>
    <e v="#DIV/0!"/>
    <e v="#DIV/0!"/>
    <m/>
    <m/>
    <m/>
    <m/>
    <m/>
  </r>
  <r>
    <x v="29"/>
    <n v="48690"/>
    <n v="1208"/>
    <n v="2.4810022591907989E-2"/>
    <m/>
    <m/>
    <m/>
    <m/>
    <m/>
    <m/>
    <n v="29124"/>
    <n v="26737.833333333332"/>
    <n v="318"/>
    <n v="305.66666666666669"/>
    <m/>
    <e v="#DIV/0!"/>
    <n v="6020"/>
    <n v="7637.916666666667"/>
    <n v="77"/>
    <n v="107.75"/>
    <m/>
    <e v="#DIV/0!"/>
    <n v="23104"/>
    <n v="19099.916666666668"/>
    <n v="241"/>
    <n v="197.91666666666666"/>
    <m/>
    <e v="#DIV/0!"/>
    <n v="24245"/>
    <n v="13717"/>
    <m/>
    <m/>
    <m/>
    <m/>
    <m/>
    <m/>
    <m/>
    <m/>
    <n v="6683"/>
    <m/>
    <n v="0.22946710616673535"/>
    <e v="#DIV/0!"/>
    <m/>
    <m/>
    <m/>
    <m/>
    <m/>
    <m/>
    <m/>
    <m/>
    <m/>
    <m/>
    <m/>
    <m/>
    <m/>
    <m/>
    <m/>
    <m/>
    <m/>
    <m/>
    <m/>
    <d v="2014-04-01T00:00:00"/>
    <n v="29412.916666666668"/>
    <n v="16861.416666666668"/>
    <n v="50284.083333333336"/>
    <m/>
    <m/>
    <m/>
    <m/>
    <m/>
    <m/>
    <d v="2014-04-01T00:00:00"/>
    <m/>
    <m/>
    <m/>
    <m/>
    <m/>
    <m/>
    <n v="2.544874082894541E-2"/>
    <e v="#DIV/0!"/>
    <e v="#DIV/0!"/>
    <m/>
    <m/>
    <m/>
    <m/>
    <m/>
  </r>
  <r>
    <x v="30"/>
    <n v="65660"/>
    <n v="1456"/>
    <n v="2.2174840085287847E-2"/>
    <m/>
    <m/>
    <m/>
    <m/>
    <m/>
    <m/>
    <n v="30773"/>
    <n v="26331.5"/>
    <n v="334"/>
    <n v="302.66666666666669"/>
    <m/>
    <e v="#DIV/0!"/>
    <n v="7584"/>
    <n v="7784.666666666667"/>
    <n v="95"/>
    <n v="106.66666666666667"/>
    <m/>
    <e v="#DIV/0!"/>
    <n v="23189"/>
    <n v="18546.833333333332"/>
    <n v="239"/>
    <n v="196"/>
    <m/>
    <e v="#DIV/0!"/>
    <n v="34148"/>
    <n v="17172"/>
    <m/>
    <m/>
    <m/>
    <m/>
    <m/>
    <m/>
    <m/>
    <m/>
    <n v="10778"/>
    <m/>
    <n v="0.35024209534332046"/>
    <e v="#DIV/0!"/>
    <m/>
    <m/>
    <m/>
    <m/>
    <m/>
    <m/>
    <m/>
    <m/>
    <m/>
    <m/>
    <m/>
    <m/>
    <m/>
    <m/>
    <m/>
    <m/>
    <m/>
    <m/>
    <m/>
    <d v="2014-05-01T00:00:00"/>
    <n v="29419"/>
    <n v="16666.916666666668"/>
    <n v="50385.5"/>
    <m/>
    <m/>
    <m/>
    <m/>
    <m/>
    <m/>
    <d v="2014-05-01T00:00:00"/>
    <m/>
    <m/>
    <m/>
    <m/>
    <m/>
    <m/>
    <n v="2.5289702634489594E-2"/>
    <e v="#DIV/0!"/>
    <e v="#DIV/0!"/>
    <m/>
    <m/>
    <m/>
    <m/>
    <m/>
  </r>
  <r>
    <x v="31"/>
    <n v="66768"/>
    <n v="1540"/>
    <n v="2.3064941289240356E-2"/>
    <m/>
    <m/>
    <m/>
    <m/>
    <m/>
    <m/>
    <n v="29256"/>
    <n v="26990.75"/>
    <n v="362"/>
    <n v="312"/>
    <m/>
    <e v="#DIV/0!"/>
    <n v="8342"/>
    <n v="8004"/>
    <n v="119"/>
    <n v="108.66666666666667"/>
    <m/>
    <e v="#DIV/0!"/>
    <n v="20914"/>
    <n v="18986.75"/>
    <n v="243"/>
    <n v="203.33333333333334"/>
    <m/>
    <e v="#DIV/0!"/>
    <n v="39607"/>
    <n v="17788"/>
    <m/>
    <m/>
    <m/>
    <m/>
    <m/>
    <m/>
    <m/>
    <m/>
    <n v="15465"/>
    <m/>
    <n v="0.52860951599671857"/>
    <e v="#DIV/0!"/>
    <m/>
    <m/>
    <m/>
    <m/>
    <m/>
    <m/>
    <m/>
    <m/>
    <m/>
    <m/>
    <m/>
    <m/>
    <m/>
    <m/>
    <m/>
    <m/>
    <m/>
    <m/>
    <m/>
    <d v="2014-06-01T00:00:00"/>
    <n v="30170.916666666668"/>
    <n v="16846.25"/>
    <n v="51412.916666666664"/>
    <m/>
    <m/>
    <m/>
    <m/>
    <m/>
    <m/>
    <d v="2014-06-01T00:00:00"/>
    <m/>
    <m/>
    <m/>
    <m/>
    <m/>
    <m/>
    <n v="2.4627849212685612E-2"/>
    <e v="#DIV/0!"/>
    <e v="#DIV/0!"/>
    <m/>
    <m/>
    <m/>
    <m/>
    <m/>
  </r>
  <r>
    <x v="32"/>
    <n v="63409"/>
    <n v="1543"/>
    <n v="2.4334085066788625E-2"/>
    <m/>
    <m/>
    <m/>
    <m/>
    <m/>
    <m/>
    <n v="33141"/>
    <n v="27078.25"/>
    <n v="426"/>
    <n v="315.41666666666669"/>
    <m/>
    <e v="#DIV/0!"/>
    <n v="8072"/>
    <n v="7951.083333333333"/>
    <n v="108"/>
    <n v="104.33333333333333"/>
    <m/>
    <e v="#DIV/0!"/>
    <n v="25069"/>
    <n v="19127.166666666668"/>
    <n v="318"/>
    <n v="211.08333333333334"/>
    <m/>
    <e v="#DIV/0!"/>
    <n v="31017"/>
    <n v="21415"/>
    <m/>
    <m/>
    <m/>
    <m/>
    <m/>
    <m/>
    <m/>
    <m/>
    <n v="12557"/>
    <m/>
    <n v="0.37889623125433752"/>
    <e v="#DIV/0!"/>
    <m/>
    <m/>
    <m/>
    <m/>
    <m/>
    <m/>
    <m/>
    <m/>
    <m/>
    <m/>
    <m/>
    <m/>
    <m/>
    <m/>
    <m/>
    <m/>
    <m/>
    <m/>
    <m/>
    <d v="2014-07-01T00:00:00"/>
    <n v="29961.916666666668"/>
    <n v="17010.25"/>
    <n v="52168.166666666664"/>
    <m/>
    <m/>
    <m/>
    <m/>
    <m/>
    <m/>
    <d v="2014-07-01T00:00:00"/>
    <m/>
    <m/>
    <m/>
    <m/>
    <m/>
    <m/>
    <n v="2.3487716524354812E-2"/>
    <e v="#DIV/0!"/>
    <e v="#DIV/0!"/>
    <m/>
    <m/>
    <m/>
    <m/>
    <m/>
  </r>
  <r>
    <x v="33"/>
    <n v="58404"/>
    <n v="1261"/>
    <n v="2.1590986918704199E-2"/>
    <m/>
    <m/>
    <m/>
    <m/>
    <m/>
    <m/>
    <n v="28932"/>
    <n v="27631.333333333332"/>
    <n v="386"/>
    <n v="324.16666666666669"/>
    <m/>
    <e v="#DIV/0!"/>
    <n v="8169"/>
    <n v="8009"/>
    <n v="110"/>
    <n v="104.41666666666667"/>
    <m/>
    <e v="#DIV/0!"/>
    <n v="20763"/>
    <n v="19622.333333333332"/>
    <n v="276"/>
    <n v="219.75"/>
    <m/>
    <e v="#DIV/0!"/>
    <n v="35217"/>
    <n v="24623"/>
    <m/>
    <m/>
    <m/>
    <m/>
    <m/>
    <m/>
    <m/>
    <m/>
    <n v="17314"/>
    <m/>
    <n v="0.59843771602377993"/>
    <e v="#DIV/0!"/>
    <m/>
    <m/>
    <m/>
    <m/>
    <m/>
    <m/>
    <m/>
    <m/>
    <m/>
    <m/>
    <m/>
    <m/>
    <m/>
    <m/>
    <m/>
    <m/>
    <m/>
    <m/>
    <m/>
    <d v="2014-08-01T00:00:00"/>
    <n v="31042.583333333332"/>
    <n v="17812.583333333332"/>
    <n v="53639.916666666664"/>
    <m/>
    <m/>
    <m/>
    <m/>
    <m/>
    <m/>
    <d v="2014-08-01T00:00:00"/>
    <m/>
    <m/>
    <m/>
    <m/>
    <m/>
    <m/>
    <n v="2.3560697527285304E-2"/>
    <e v="#DIV/0!"/>
    <e v="#DIV/0!"/>
    <m/>
    <m/>
    <m/>
    <m/>
    <m/>
  </r>
  <r>
    <x v="34"/>
    <n v="77005"/>
    <n v="1494"/>
    <n v="1.9401337575482111E-2"/>
    <m/>
    <m/>
    <m/>
    <m/>
    <m/>
    <m/>
    <n v="33981"/>
    <n v="28442.666666666668"/>
    <n v="395"/>
    <n v="329.08333333333331"/>
    <m/>
    <e v="#DIV/0!"/>
    <n v="11567"/>
    <n v="8162.833333333333"/>
    <n v="145"/>
    <n v="104.41666666666667"/>
    <m/>
    <e v="#DIV/0!"/>
    <n v="22414"/>
    <n v="20279.833333333332"/>
    <n v="250"/>
    <n v="224.66666666666666"/>
    <m/>
    <e v="#DIV/0!"/>
    <n v="47299"/>
    <n v="27334"/>
    <m/>
    <m/>
    <m/>
    <m/>
    <m/>
    <m/>
    <m/>
    <m/>
    <n v="22431"/>
    <m/>
    <n v="0.6601041758629822"/>
    <e v="#DIV/0!"/>
    <m/>
    <m/>
    <m/>
    <m/>
    <m/>
    <m/>
    <m/>
    <m/>
    <m/>
    <m/>
    <m/>
    <m/>
    <m/>
    <m/>
    <m/>
    <m/>
    <m/>
    <m/>
    <m/>
    <d v="2014-09-01T00:00:00"/>
    <n v="32853.833333333336"/>
    <n v="18756.25"/>
    <n v="56699.5"/>
    <m/>
    <m/>
    <m/>
    <m/>
    <m/>
    <m/>
    <d v="2014-09-01T00:00:00"/>
    <m/>
    <m/>
    <m/>
    <m/>
    <m/>
    <m/>
    <n v="2.3315971563266469E-2"/>
    <e v="#DIV/0!"/>
    <e v="#DIV/0!"/>
    <m/>
    <m/>
    <m/>
    <m/>
    <m/>
  </r>
  <r>
    <x v="35"/>
    <n v="70950"/>
    <n v="1513"/>
    <n v="2.1324876673713883E-2"/>
    <m/>
    <m/>
    <m/>
    <m/>
    <m/>
    <m/>
    <n v="29060"/>
    <n v="28941.5"/>
    <n v="338"/>
    <n v="332.5"/>
    <m/>
    <e v="#DIV/0!"/>
    <n v="9726"/>
    <n v="8326.5"/>
    <n v="124"/>
    <n v="105.66666666666667"/>
    <m/>
    <e v="#DIV/0!"/>
    <n v="19334"/>
    <n v="20615"/>
    <n v="214"/>
    <n v="226.83333333333334"/>
    <m/>
    <e v="#DIV/0!"/>
    <n v="38249"/>
    <n v="22160"/>
    <m/>
    <m/>
    <m/>
    <m/>
    <m/>
    <m/>
    <m/>
    <m/>
    <n v="9684"/>
    <m/>
    <n v="0.33324156916724018"/>
    <e v="#DIV/0!"/>
    <m/>
    <m/>
    <m/>
    <m/>
    <m/>
    <m/>
    <m/>
    <m/>
    <m/>
    <m/>
    <m/>
    <m/>
    <m/>
    <m/>
    <m/>
    <m/>
    <m/>
    <m/>
    <m/>
    <d v="2014-10-01T00:00:00"/>
    <n v="33516.5"/>
    <n v="19096.666666666668"/>
    <n v="58392.75"/>
    <m/>
    <m/>
    <m/>
    <m/>
    <m/>
    <m/>
    <d v="2014-10-01T00:00:00"/>
    <m/>
    <m/>
    <m/>
    <m/>
    <m/>
    <m/>
    <n v="2.3086698046492837E-2"/>
    <e v="#DIV/0!"/>
    <e v="#DIV/0!"/>
    <m/>
    <m/>
    <m/>
    <m/>
    <m/>
  </r>
  <r>
    <x v="36"/>
    <n v="59164"/>
    <n v="1503"/>
    <n v="2.5403961868703941E-2"/>
    <m/>
    <m/>
    <m/>
    <m/>
    <m/>
    <m/>
    <n v="29813"/>
    <n v="29230.25"/>
    <n v="336"/>
    <n v="333.25"/>
    <m/>
    <e v="#DIV/0!"/>
    <n v="9499"/>
    <n v="8467.1666666666661"/>
    <n v="106"/>
    <n v="105.41666666666667"/>
    <m/>
    <e v="#DIV/0!"/>
    <n v="20314"/>
    <n v="20763.083333333332"/>
    <n v="230"/>
    <n v="227.83333333333334"/>
    <m/>
    <e v="#DIV/0!"/>
    <n v="36920"/>
    <n v="23749"/>
    <m/>
    <m/>
    <m/>
    <m/>
    <m/>
    <m/>
    <m/>
    <m/>
    <n v="12669"/>
    <m/>
    <n v="0.42494884781806597"/>
    <e v="#DIV/0!"/>
    <m/>
    <m/>
    <m/>
    <m/>
    <m/>
    <m/>
    <m/>
    <m/>
    <m/>
    <m/>
    <m/>
    <m/>
    <m/>
    <m/>
    <m/>
    <m/>
    <m/>
    <m/>
    <m/>
    <d v="2014-11-01T00:00:00"/>
    <n v="33959.416666666664"/>
    <n v="19687.25"/>
    <n v="58770.416666666664"/>
    <m/>
    <m/>
    <m/>
    <m/>
    <m/>
    <m/>
    <d v="2014-11-01T00:00:00"/>
    <m/>
    <m/>
    <m/>
    <m/>
    <m/>
    <m/>
    <n v="2.2901930335278153E-2"/>
    <e v="#DIV/0!"/>
    <e v="#DIV/0!"/>
    <m/>
    <m/>
    <m/>
    <m/>
    <m/>
  </r>
  <r>
    <x v="37"/>
    <n v="47240"/>
    <n v="1124"/>
    <n v="2.3793395427603725E-2"/>
    <m/>
    <m/>
    <m/>
    <m/>
    <m/>
    <m/>
    <n v="27720"/>
    <n v="29787.833333333332"/>
    <n v="337"/>
    <n v="341.41666666666669"/>
    <m/>
    <e v="#DIV/0!"/>
    <n v="10661"/>
    <n v="8787.8333333333339"/>
    <n v="117"/>
    <n v="107.83333333333333"/>
    <m/>
    <e v="#DIV/0!"/>
    <n v="17059"/>
    <n v="21000"/>
    <n v="220"/>
    <n v="233.58333333333334"/>
    <m/>
    <e v="#DIV/0!"/>
    <n v="36740"/>
    <n v="16775"/>
    <m/>
    <m/>
    <m/>
    <m/>
    <m/>
    <m/>
    <m/>
    <m/>
    <n v="12341"/>
    <m/>
    <n v="0.44520202020202021"/>
    <e v="#DIV/0!"/>
    <m/>
    <m/>
    <m/>
    <m/>
    <m/>
    <m/>
    <m/>
    <m/>
    <m/>
    <m/>
    <m/>
    <m/>
    <m/>
    <m/>
    <m/>
    <m/>
    <m/>
    <m/>
    <m/>
    <d v="2014-12-01T00:00:00"/>
    <n v="34941.333333333336"/>
    <n v="19899.833333333332"/>
    <n v="58762.333333333336"/>
    <m/>
    <m/>
    <m/>
    <m/>
    <m/>
    <m/>
    <d v="2014-12-01T00:00:00"/>
    <m/>
    <n v="0.38888380834456254"/>
    <m/>
    <m/>
    <m/>
    <m/>
    <n v="2.2942962296458053E-2"/>
    <e v="#DIV/0!"/>
    <e v="#DIV/0!"/>
    <m/>
    <m/>
    <m/>
    <m/>
    <m/>
  </r>
  <r>
    <x v="38"/>
    <n v="31586"/>
    <n v="1029"/>
    <n v="3.2577724308237827E-2"/>
    <m/>
    <m/>
    <m/>
    <m/>
    <m/>
    <m/>
    <n v="17781"/>
    <n v="29341.5"/>
    <n v="177"/>
    <n v="336.91666666666669"/>
    <m/>
    <e v="#DIV/0!"/>
    <n v="4736"/>
    <n v="8565.75"/>
    <n v="52"/>
    <n v="105.66666666666667"/>
    <m/>
    <e v="#DIV/0!"/>
    <n v="13045"/>
    <n v="20775.75"/>
    <n v="125"/>
    <n v="231.25"/>
    <m/>
    <e v="#DIV/0!"/>
    <n v="12695"/>
    <n v="7769"/>
    <m/>
    <m/>
    <m/>
    <m/>
    <m/>
    <m/>
    <m/>
    <m/>
    <n v="12589"/>
    <m/>
    <n v="0.70800292446993984"/>
    <e v="#DIV/0!"/>
    <m/>
    <m/>
    <m/>
    <m/>
    <m/>
    <m/>
    <m/>
    <m/>
    <m/>
    <m/>
    <m/>
    <m/>
    <m/>
    <m/>
    <m/>
    <m/>
    <m/>
    <m/>
    <m/>
    <d v="2015-01-01T00:00:00"/>
    <n v="33601"/>
    <n v="19268.416666666668"/>
    <n v="57970.75"/>
    <m/>
    <m/>
    <m/>
    <m/>
    <m/>
    <m/>
    <d v="2015-01-01T00:00:00"/>
    <m/>
    <n v="0.42530477787194659"/>
    <m/>
    <m/>
    <m/>
    <m/>
    <n v="2.3777524389687443E-2"/>
    <e v="#DIV/0!"/>
    <e v="#DIV/0!"/>
    <m/>
    <m/>
    <m/>
    <m/>
    <m/>
  </r>
  <r>
    <x v="39"/>
    <n v="49010"/>
    <n v="1287"/>
    <n v="2.6259946949602122E-2"/>
    <m/>
    <m/>
    <m/>
    <m/>
    <m/>
    <m/>
    <n v="30635"/>
    <n v="29713.166666666668"/>
    <n v="305"/>
    <n v="339.25"/>
    <m/>
    <e v="#DIV/0!"/>
    <n v="8288"/>
    <n v="8610.6666666666661"/>
    <n v="98"/>
    <n v="106.33333333333333"/>
    <m/>
    <e v="#DIV/0!"/>
    <n v="22347"/>
    <n v="21102.5"/>
    <n v="207"/>
    <n v="232.91666666666666"/>
    <m/>
    <e v="#DIV/0!"/>
    <n v="24534"/>
    <n v="14698"/>
    <m/>
    <m/>
    <m/>
    <m/>
    <m/>
    <m/>
    <m/>
    <m/>
    <n v="12760"/>
    <m/>
    <n v="0.41651705565529623"/>
    <e v="#DIV/0!"/>
    <m/>
    <m/>
    <m/>
    <m/>
    <m/>
    <m/>
    <m/>
    <m/>
    <m/>
    <m/>
    <m/>
    <m/>
    <m/>
    <m/>
    <m/>
    <m/>
    <m/>
    <m/>
    <m/>
    <d v="2015-02-01T00:00:00"/>
    <n v="33376.083333333336"/>
    <n v="19054.833333333332"/>
    <n v="57833.5"/>
    <m/>
    <m/>
    <m/>
    <m/>
    <m/>
    <m/>
    <d v="2015-02-01T00:00:00"/>
    <m/>
    <n v="0.4444175888613684"/>
    <m/>
    <m/>
    <m/>
    <m/>
    <n v="2.3748324957930712E-2"/>
    <e v="#DIV/0!"/>
    <e v="#DIV/0!"/>
    <m/>
    <m/>
    <m/>
    <m/>
    <m/>
  </r>
  <r>
    <x v="40"/>
    <n v="51087"/>
    <n v="1180"/>
    <n v="2.3097852682678569E-2"/>
    <m/>
    <m/>
    <m/>
    <m/>
    <m/>
    <m/>
    <n v="36500"/>
    <n v="29726.333333333332"/>
    <n v="397"/>
    <n v="342.58333333333331"/>
    <m/>
    <e v="#DIV/0!"/>
    <n v="10106"/>
    <n v="8564.1666666666661"/>
    <n v="110"/>
    <n v="105.08333333333333"/>
    <m/>
    <e v="#DIV/0!"/>
    <n v="26394"/>
    <n v="21162.166666666668"/>
    <n v="287"/>
    <n v="237.5"/>
    <m/>
    <e v="#DIV/0!"/>
    <n v="35818"/>
    <n v="21611"/>
    <m/>
    <m/>
    <m/>
    <m/>
    <m/>
    <m/>
    <m/>
    <m/>
    <n v="19930"/>
    <m/>
    <n v="0.54602739726027394"/>
    <e v="#DIV/0!"/>
    <m/>
    <m/>
    <m/>
    <m/>
    <m/>
    <m/>
    <m/>
    <m/>
    <m/>
    <m/>
    <m/>
    <m/>
    <m/>
    <m/>
    <m/>
    <m/>
    <m/>
    <m/>
    <m/>
    <d v="2015-03-01T00:00:00"/>
    <n v="33040.75"/>
    <n v="19067.583333333332"/>
    <n v="57414.416666666664"/>
    <m/>
    <m/>
    <m/>
    <m/>
    <m/>
    <m/>
    <d v="2015-03-01T00:00:00"/>
    <m/>
    <n v="0.46830805460172592"/>
    <m/>
    <m/>
    <m/>
    <m/>
    <n v="2.3986164286495932E-2"/>
    <e v="#DIV/0!"/>
    <e v="#DIV/0!"/>
    <m/>
    <m/>
    <m/>
    <m/>
    <m/>
  </r>
  <r>
    <x v="41"/>
    <n v="51612"/>
    <n v="1215"/>
    <n v="2.3541036968146942E-2"/>
    <m/>
    <m/>
    <m/>
    <m/>
    <m/>
    <m/>
    <n v="27404"/>
    <n v="29583"/>
    <n v="320"/>
    <n v="342.75"/>
    <m/>
    <e v="#DIV/0!"/>
    <n v="7568"/>
    <n v="8693.1666666666661"/>
    <n v="91"/>
    <n v="106.25"/>
    <m/>
    <e v="#DIV/0!"/>
    <n v="19836"/>
    <n v="20889.833333333332"/>
    <n v="229"/>
    <n v="236.5"/>
    <m/>
    <e v="#DIV/0!"/>
    <n v="27206"/>
    <n v="18635"/>
    <m/>
    <m/>
    <m/>
    <m/>
    <m/>
    <m/>
    <m/>
    <m/>
    <n v="13624"/>
    <m/>
    <n v="0.4971537001897533"/>
    <e v="#DIV/0!"/>
    <m/>
    <m/>
    <m/>
    <m/>
    <m/>
    <m/>
    <m/>
    <m/>
    <m/>
    <m/>
    <m/>
    <m/>
    <m/>
    <m/>
    <m/>
    <m/>
    <m/>
    <m/>
    <m/>
    <d v="2015-04-01T00:00:00"/>
    <n v="33287.5"/>
    <n v="19477.416666666668"/>
    <n v="57657.916666666664"/>
    <m/>
    <m/>
    <m/>
    <m/>
    <m/>
    <m/>
    <d v="2015-04-01T00:00:00"/>
    <m/>
    <n v="0.4906152707703107"/>
    <m/>
    <m/>
    <m/>
    <m/>
    <n v="2.388041548451585E-2"/>
    <e v="#DIV/0!"/>
    <e v="#DIV/0!"/>
    <m/>
    <m/>
    <m/>
    <m/>
    <m/>
  </r>
  <r>
    <x v="42"/>
    <n v="57893"/>
    <n v="1414"/>
    <n v="2.4424369094709204E-2"/>
    <m/>
    <m/>
    <m/>
    <m/>
    <m/>
    <m/>
    <n v="28530"/>
    <n v="29396.083333333332"/>
    <n v="341"/>
    <n v="343.33333333333331"/>
    <m/>
    <e v="#DIV/0!"/>
    <n v="8272"/>
    <n v="8750.5"/>
    <n v="103"/>
    <n v="106.91666666666667"/>
    <m/>
    <e v="#DIV/0!"/>
    <n v="20258"/>
    <n v="20645.583333333332"/>
    <n v="238"/>
    <n v="236.41666666666666"/>
    <m/>
    <e v="#DIV/0!"/>
    <n v="26719"/>
    <n v="16993"/>
    <m/>
    <m/>
    <m/>
    <m/>
    <m/>
    <m/>
    <m/>
    <m/>
    <n v="16545"/>
    <m/>
    <n v="0.57991587802313349"/>
    <e v="#DIV/0!"/>
    <m/>
    <m/>
    <m/>
    <m/>
    <m/>
    <m/>
    <m/>
    <m/>
    <m/>
    <m/>
    <m/>
    <m/>
    <m/>
    <m/>
    <m/>
    <m/>
    <m/>
    <m/>
    <m/>
    <d v="2015-05-01T00:00:00"/>
    <n v="32668.416666666668"/>
    <n v="19462.5"/>
    <n v="57010.666666666664"/>
    <m/>
    <m/>
    <m/>
    <m/>
    <m/>
    <m/>
    <d v="2015-05-01T00:00:00"/>
    <m/>
    <n v="0.50975475266029513"/>
    <m/>
    <m/>
    <m/>
    <m/>
    <n v="2.4067876235300961E-2"/>
    <e v="#DIV/0!"/>
    <e v="#DIV/0!"/>
    <m/>
    <m/>
    <m/>
    <m/>
    <m/>
  </r>
  <r>
    <x v="43"/>
    <n v="60772"/>
    <n v="1608"/>
    <n v="2.64595537418548E-2"/>
    <m/>
    <m/>
    <m/>
    <m/>
    <m/>
    <m/>
    <n v="29009"/>
    <n v="29375.5"/>
    <n v="337"/>
    <n v="341.25"/>
    <m/>
    <e v="#DIV/0!"/>
    <n v="9757"/>
    <n v="8868.4166666666661"/>
    <n v="117"/>
    <n v="106.75"/>
    <m/>
    <e v="#DIV/0!"/>
    <n v="19252"/>
    <n v="20507.083333333332"/>
    <n v="220"/>
    <n v="234.5"/>
    <m/>
    <e v="#DIV/0!"/>
    <n v="39952"/>
    <n v="21420"/>
    <m/>
    <m/>
    <m/>
    <m/>
    <m/>
    <m/>
    <m/>
    <m/>
    <n v="14869"/>
    <m/>
    <n v="0.51256506601399565"/>
    <e v="#DIV/0!"/>
    <m/>
    <m/>
    <m/>
    <m/>
    <m/>
    <m/>
    <m/>
    <m/>
    <m/>
    <m/>
    <m/>
    <m/>
    <m/>
    <m/>
    <m/>
    <m/>
    <m/>
    <m/>
    <m/>
    <d v="2015-06-01T00:00:00"/>
    <n v="32697.166666666668"/>
    <n v="19765.166666666668"/>
    <n v="56511"/>
    <m/>
    <m/>
    <m/>
    <m/>
    <m/>
    <m/>
    <d v="2015-06-01T00:00:00"/>
    <m/>
    <n v="0.50841771516173473"/>
    <m/>
    <m/>
    <m/>
    <m/>
    <n v="2.4350760606352165E-2"/>
    <e v="#DIV/0!"/>
    <e v="#DIV/0!"/>
    <m/>
    <m/>
    <m/>
    <m/>
    <m/>
  </r>
  <r>
    <x v="44"/>
    <n v="59412"/>
    <n v="1218"/>
    <n v="2.0500908907291455E-2"/>
    <m/>
    <m/>
    <m/>
    <m/>
    <m/>
    <m/>
    <n v="27468"/>
    <n v="28902.75"/>
    <n v="358"/>
    <n v="335.58333333333331"/>
    <m/>
    <e v="#DIV/0!"/>
    <n v="7863"/>
    <n v="8851"/>
    <n v="101"/>
    <n v="106.16666666666667"/>
    <m/>
    <e v="#DIV/0!"/>
    <n v="19605"/>
    <n v="20051.75"/>
    <n v="257"/>
    <n v="229.41666666666666"/>
    <m/>
    <e v="#DIV/0!"/>
    <n v="34863"/>
    <n v="33106"/>
    <m/>
    <m/>
    <m/>
    <m/>
    <m/>
    <m/>
    <m/>
    <m/>
    <n v="24498"/>
    <m/>
    <n v="0.89187418086500658"/>
    <e v="#DIV/0!"/>
    <m/>
    <m/>
    <m/>
    <m/>
    <m/>
    <m/>
    <m/>
    <m/>
    <m/>
    <m/>
    <m/>
    <m/>
    <m/>
    <m/>
    <m/>
    <m/>
    <m/>
    <m/>
    <m/>
    <d v="2015-07-01T00:00:00"/>
    <n v="33017.666666666664"/>
    <n v="20739.416666666668"/>
    <n v="56177.916666666664"/>
    <m/>
    <m/>
    <m/>
    <m/>
    <m/>
    <m/>
    <d v="2015-07-01T00:00:00"/>
    <m/>
    <n v="0.55116587762929059"/>
    <m/>
    <m/>
    <m/>
    <m/>
    <n v="2.40313292597274E-2"/>
    <e v="#DIV/0!"/>
    <e v="#DIV/0!"/>
    <m/>
    <m/>
    <m/>
    <m/>
    <m/>
  </r>
  <r>
    <x v="45"/>
    <n v="60090"/>
    <n v="1292"/>
    <n v="2.1501081710767183E-2"/>
    <m/>
    <m/>
    <m/>
    <m/>
    <m/>
    <m/>
    <n v="26543"/>
    <n v="28703.666666666668"/>
    <n v="315"/>
    <n v="329.66666666666669"/>
    <m/>
    <e v="#DIV/0!"/>
    <n v="9407"/>
    <n v="8954.1666666666661"/>
    <n v="133"/>
    <n v="108.08333333333333"/>
    <m/>
    <e v="#DIV/0!"/>
    <n v="17136"/>
    <n v="19749.5"/>
    <n v="182"/>
    <n v="221.58333333333334"/>
    <m/>
    <e v="#DIV/0!"/>
    <n v="42626"/>
    <n v="30823"/>
    <m/>
    <m/>
    <m/>
    <m/>
    <m/>
    <m/>
    <m/>
    <m/>
    <n v="17394"/>
    <m/>
    <n v="0.65531401876200879"/>
    <e v="#DIV/0!"/>
    <m/>
    <m/>
    <m/>
    <m/>
    <m/>
    <m/>
    <m/>
    <m/>
    <m/>
    <m/>
    <m/>
    <m/>
    <m/>
    <m/>
    <m/>
    <m/>
    <m/>
    <m/>
    <m/>
    <d v="2015-08-01T00:00:00"/>
    <n v="33635.083333333336"/>
    <n v="21256.083333333332"/>
    <n v="56318.416666666664"/>
    <m/>
    <m/>
    <m/>
    <m/>
    <m/>
    <m/>
    <d v="2015-08-01T00:00:00"/>
    <m/>
    <n v="0.55590556952414294"/>
    <m/>
    <m/>
    <m/>
    <m/>
    <n v="2.4023837159065985E-2"/>
    <e v="#DIV/0!"/>
    <e v="#DIV/0!"/>
    <m/>
    <m/>
    <m/>
    <m/>
    <m/>
  </r>
  <r>
    <x v="46"/>
    <n v="75662"/>
    <n v="1325"/>
    <n v="1.7512093256852844E-2"/>
    <m/>
    <m/>
    <m/>
    <m/>
    <m/>
    <m/>
    <n v="28583"/>
    <n v="28253.833333333332"/>
    <n v="289"/>
    <n v="320.83333333333331"/>
    <m/>
    <e v="#DIV/0!"/>
    <n v="10698"/>
    <n v="8881.75"/>
    <n v="107"/>
    <n v="104.91666666666667"/>
    <m/>
    <e v="#DIV/0!"/>
    <n v="17885"/>
    <n v="19372.083333333332"/>
    <n v="182"/>
    <n v="215.91666666666666"/>
    <m/>
    <e v="#DIV/0!"/>
    <n v="34417"/>
    <n v="21820"/>
    <m/>
    <m/>
    <m/>
    <m/>
    <m/>
    <m/>
    <m/>
    <m/>
    <n v="23043"/>
    <m/>
    <n v="0.80617849770842809"/>
    <e v="#DIV/0!"/>
    <m/>
    <m/>
    <m/>
    <m/>
    <m/>
    <m/>
    <m/>
    <m/>
    <m/>
    <m/>
    <m/>
    <m/>
    <m/>
    <m/>
    <m/>
    <m/>
    <m/>
    <m/>
    <m/>
    <d v="2015-09-01T00:00:00"/>
    <n v="32561.583333333332"/>
    <n v="20796.583333333332"/>
    <n v="56206.5"/>
    <m/>
    <m/>
    <m/>
    <m/>
    <m/>
    <m/>
    <d v="2015-09-01T00:00:00"/>
    <m/>
    <n v="0.56807842967793021"/>
    <m/>
    <m/>
    <m/>
    <m/>
    <n v="2.3866400132513538E-2"/>
    <e v="#DIV/0!"/>
    <e v="#DIV/0!"/>
    <m/>
    <m/>
    <m/>
    <m/>
    <m/>
  </r>
  <r>
    <x v="47"/>
    <n v="68545"/>
    <n v="1502"/>
    <n v="2.1912612152600482E-2"/>
    <m/>
    <m/>
    <m/>
    <m/>
    <m/>
    <m/>
    <n v="27675"/>
    <n v="28138.416666666668"/>
    <n v="292"/>
    <n v="317"/>
    <m/>
    <e v="#DIV/0!"/>
    <n v="10659"/>
    <n v="8959.5"/>
    <n v="116"/>
    <n v="104.25"/>
    <m/>
    <e v="#DIV/0!"/>
    <n v="17016"/>
    <n v="19178.916666666668"/>
    <n v="176"/>
    <n v="212.75"/>
    <m/>
    <e v="#DIV/0!"/>
    <n v="35287"/>
    <n v="20516"/>
    <m/>
    <m/>
    <m/>
    <m/>
    <m/>
    <m/>
    <m/>
    <m/>
    <n v="13372"/>
    <m/>
    <n v="0.48317976513098465"/>
    <e v="#DIV/0!"/>
    <m/>
    <m/>
    <m/>
    <m/>
    <m/>
    <m/>
    <m/>
    <m/>
    <m/>
    <m/>
    <m/>
    <m/>
    <m/>
    <m/>
    <m/>
    <m/>
    <m/>
    <m/>
    <m/>
    <d v="2015-10-01T00:00:00"/>
    <n v="32314.75"/>
    <n v="20659.583333333332"/>
    <n v="56006.083333333336"/>
    <m/>
    <m/>
    <m/>
    <m/>
    <m/>
    <m/>
    <d v="2015-10-01T00:00:00"/>
    <m/>
    <n v="0.58057327934157554"/>
    <m/>
    <m/>
    <m/>
    <m/>
    <n v="2.3915378089087422E-2"/>
    <e v="#DIV/0!"/>
    <e v="#DIV/0!"/>
    <m/>
    <m/>
    <m/>
    <m/>
    <m/>
  </r>
  <r>
    <x v="48"/>
    <n v="66764"/>
    <n v="1806"/>
    <n v="2.7050506260859145E-2"/>
    <m/>
    <m/>
    <m/>
    <m/>
    <m/>
    <m/>
    <n v="31347"/>
    <n v="28266.25"/>
    <n v="314"/>
    <n v="315.16666666666669"/>
    <m/>
    <e v="#DIV/0!"/>
    <n v="14024"/>
    <n v="9336.5833333333339"/>
    <n v="132"/>
    <n v="106.41666666666667"/>
    <m/>
    <e v="#DIV/0!"/>
    <n v="17323"/>
    <n v="18929.666666666668"/>
    <n v="182"/>
    <n v="208.75"/>
    <m/>
    <e v="#DIV/0!"/>
    <n v="43002"/>
    <n v="23639"/>
    <m/>
    <m/>
    <m/>
    <m/>
    <m/>
    <m/>
    <m/>
    <m/>
    <n v="16432"/>
    <m/>
    <n v="0.52419689284461035"/>
    <e v="#DIV/0!"/>
    <m/>
    <m/>
    <m/>
    <m/>
    <m/>
    <m/>
    <m/>
    <m/>
    <m/>
    <m/>
    <m/>
    <m/>
    <m/>
    <m/>
    <m/>
    <m/>
    <m/>
    <m/>
    <m/>
    <d v="2015-11-01T00:00:00"/>
    <n v="32821.583333333336"/>
    <n v="20650.416666666668"/>
    <n v="56639.416666666664"/>
    <m/>
    <m/>
    <m/>
    <m/>
    <m/>
    <m/>
    <d v="2015-11-01T00:00:00"/>
    <m/>
    <n v="0.58884394976045429"/>
    <m/>
    <m/>
    <m/>
    <m/>
    <n v="2.4052590121767026E-2"/>
    <e v="#DIV/0!"/>
    <e v="#DIV/0!"/>
    <m/>
    <m/>
    <m/>
    <m/>
    <m/>
  </r>
  <r>
    <x v="49"/>
    <n v="50042"/>
    <n v="1281"/>
    <n v="2.5598497262299669E-2"/>
    <m/>
    <m/>
    <m/>
    <m/>
    <m/>
    <m/>
    <n v="21715"/>
    <n v="27765.833333333332"/>
    <n v="216"/>
    <n v="305.08333333333331"/>
    <m/>
    <e v="#DIV/0!"/>
    <n v="8676"/>
    <n v="9171.1666666666661"/>
    <n v="79"/>
    <n v="103.25"/>
    <m/>
    <e v="#DIV/0!"/>
    <n v="13039"/>
    <n v="18594.666666666668"/>
    <n v="137"/>
    <n v="201.83333333333334"/>
    <m/>
    <e v="#DIV/0!"/>
    <n v="28170"/>
    <n v="11155"/>
    <m/>
    <m/>
    <m/>
    <m/>
    <m/>
    <m/>
    <m/>
    <m/>
    <n v="16803"/>
    <m/>
    <n v="0.77379691457517841"/>
    <e v="#DIV/0!"/>
    <m/>
    <m/>
    <m/>
    <m/>
    <m/>
    <m/>
    <m/>
    <m/>
    <m/>
    <m/>
    <m/>
    <m/>
    <m/>
    <m/>
    <m/>
    <m/>
    <m/>
    <m/>
    <m/>
    <d v="2015-12-01T00:00:00"/>
    <n v="32107.416666666668"/>
    <n v="20182.083333333332"/>
    <n v="56872.916666666664"/>
    <m/>
    <m/>
    <m/>
    <m/>
    <m/>
    <m/>
    <d v="2015-12-01T00:00:00"/>
    <m/>
    <n v="0.61622685762488405"/>
    <m/>
    <m/>
    <m/>
    <m/>
    <n v="2.4203015274658356E-2"/>
    <e v="#DIV/0!"/>
    <e v="#DIV/0!"/>
    <m/>
    <m/>
    <m/>
    <m/>
    <m/>
  </r>
  <r>
    <x v="50"/>
    <n v="48168"/>
    <n v="1506"/>
    <n v="3.1265570503238665E-2"/>
    <n v="46465.893799999991"/>
    <n v="0.96466313320046482"/>
    <m/>
    <n v="4.0712962962965171E-3"/>
    <m/>
    <m/>
    <n v="23193"/>
    <n v="28216.833333333332"/>
    <n v="235"/>
    <n v="309.91666666666669"/>
    <m/>
    <e v="#DIV/0!"/>
    <n v="6426"/>
    <n v="9312"/>
    <n v="55"/>
    <n v="103.5"/>
    <m/>
    <e v="#DIV/0!"/>
    <n v="16767"/>
    <n v="18904.833333333332"/>
    <n v="180"/>
    <n v="206.41666666666666"/>
    <m/>
    <e v="#DIV/0!"/>
    <n v="22716"/>
    <n v="12351"/>
    <m/>
    <m/>
    <m/>
    <m/>
    <m/>
    <m/>
    <m/>
    <m/>
    <n v="7831"/>
    <m/>
    <n v="0.33764497908851809"/>
    <e v="#DIV/0!"/>
    <m/>
    <m/>
    <m/>
    <m/>
    <m/>
    <m/>
    <m/>
    <m/>
    <m/>
    <m/>
    <m/>
    <m/>
    <m/>
    <m/>
    <m/>
    <m/>
    <m/>
    <m/>
    <m/>
    <d v="2016-01-01T00:00:00"/>
    <n v="32942.5"/>
    <n v="20563.916666666668"/>
    <n v="58254.75"/>
    <m/>
    <m/>
    <m/>
    <m/>
    <m/>
    <m/>
    <d v="2016-01-01T00:00:00"/>
    <m/>
    <n v="0.58536369550976564"/>
    <m/>
    <m/>
    <m/>
    <m/>
    <n v="2.4093669124241757E-2"/>
    <n v="4.0712962962965171E-3"/>
    <e v="#DIV/0!"/>
    <m/>
    <m/>
    <m/>
    <m/>
    <m/>
  </r>
  <r>
    <x v="51"/>
    <n v="52042"/>
    <n v="1347"/>
    <n v="2.5882940701740902E-2"/>
    <n v="50353.056200000006"/>
    <n v="0.96754652396141594"/>
    <m/>
    <n v="6.5705353368431599E-3"/>
    <m/>
    <m/>
    <n v="24546"/>
    <n v="27709.416666666668"/>
    <n v="289"/>
    <n v="308.58333333333331"/>
    <m/>
    <e v="#DIV/0!"/>
    <n v="8482"/>
    <n v="9328.1666666666661"/>
    <n v="88"/>
    <n v="102.66666666666667"/>
    <m/>
    <e v="#DIV/0!"/>
    <n v="16064"/>
    <n v="18381.25"/>
    <n v="201"/>
    <n v="205.91666666666666"/>
    <m/>
    <e v="#DIV/0!"/>
    <n v="39204"/>
    <n v="18704"/>
    <m/>
    <m/>
    <m/>
    <m/>
    <m/>
    <m/>
    <m/>
    <m/>
    <n v="16266"/>
    <m/>
    <n v="0.66267416279638225"/>
    <e v="#DIV/0!"/>
    <m/>
    <m/>
    <m/>
    <m/>
    <m/>
    <m/>
    <m/>
    <m/>
    <m/>
    <m/>
    <m/>
    <m/>
    <m/>
    <m/>
    <m/>
    <m/>
    <m/>
    <m/>
    <m/>
    <d v="2016-02-01T00:00:00"/>
    <n v="34165"/>
    <n v="20897.75"/>
    <n v="58507.416666666664"/>
    <m/>
    <m/>
    <m/>
    <m/>
    <m/>
    <m/>
    <d v="2016-02-01T00:00:00"/>
    <m/>
    <n v="0.60587678777152287"/>
    <m/>
    <m/>
    <m/>
    <m/>
    <n v="2.4062251936919989E-2"/>
    <n v="5.3209158165698385E-3"/>
    <e v="#DIV/0!"/>
    <m/>
    <m/>
    <m/>
    <m/>
    <m/>
  </r>
  <r>
    <x v="52"/>
    <n v="59694"/>
    <n v="1346"/>
    <n v="2.2548329815391833E-2"/>
    <n v="57056.964900000021"/>
    <n v="0.95582411800180955"/>
    <m/>
    <n v="2.1627552182798614E-2"/>
    <m/>
    <m/>
    <n v="26140"/>
    <n v="26846.083333333332"/>
    <n v="303"/>
    <n v="300.75"/>
    <m/>
    <e v="#DIV/0!"/>
    <n v="9057"/>
    <n v="9240.75"/>
    <n v="82"/>
    <n v="100.33333333333333"/>
    <m/>
    <e v="#DIV/0!"/>
    <n v="17083"/>
    <n v="17605.333333333332"/>
    <n v="221"/>
    <n v="200.41666666666666"/>
    <m/>
    <e v="#DIV/0!"/>
    <n v="27354"/>
    <n v="14141"/>
    <m/>
    <m/>
    <m/>
    <m/>
    <m/>
    <m/>
    <m/>
    <m/>
    <n v="21809"/>
    <m/>
    <n v="0.83431522570772765"/>
    <e v="#DIV/0!"/>
    <m/>
    <m/>
    <m/>
    <m/>
    <m/>
    <m/>
    <m/>
    <m/>
    <m/>
    <m/>
    <m/>
    <m/>
    <m/>
    <m/>
    <m/>
    <m/>
    <m/>
    <m/>
    <m/>
    <d v="2016-03-01T00:00:00"/>
    <n v="33459.666666666664"/>
    <n v="20275.25"/>
    <n v="59224.666666666664"/>
    <m/>
    <m/>
    <m/>
    <m/>
    <m/>
    <m/>
    <d v="2016-03-01T00:00:00"/>
    <m/>
    <n v="0.62990077347547724"/>
    <m/>
    <m/>
    <m/>
    <m/>
    <n v="2.4016458364646096E-2"/>
    <n v="1.0756461271979429E-2"/>
    <e v="#DIV/0!"/>
    <m/>
    <m/>
    <m/>
    <m/>
    <m/>
  </r>
  <r>
    <x v="53"/>
    <n v="47309"/>
    <n v="1249"/>
    <n v="2.6400896235388615E-2"/>
    <n v="45709.019"/>
    <n v="0.96618019827094215"/>
    <m/>
    <n v="7.4189054936692374E-3"/>
    <m/>
    <m/>
    <n v="22012"/>
    <n v="26396.75"/>
    <n v="265"/>
    <n v="296.16666666666669"/>
    <m/>
    <e v="#DIV/0!"/>
    <n v="6515"/>
    <n v="9153"/>
    <n v="62"/>
    <n v="97.916666666666671"/>
    <m/>
    <e v="#DIV/0!"/>
    <n v="15497"/>
    <n v="17243.75"/>
    <n v="203"/>
    <n v="198.25"/>
    <m/>
    <e v="#DIV/0!"/>
    <n v="24138"/>
    <n v="14863"/>
    <n v="72"/>
    <s v="Don't have Stores or Production Engineering Figures"/>
    <m/>
    <m/>
    <m/>
    <m/>
    <m/>
    <m/>
    <n v="25979"/>
    <m/>
    <n v="1.1802198800654189"/>
    <e v="#DIV/0!"/>
    <m/>
    <n v="360.81944444444446"/>
    <m/>
    <m/>
    <m/>
    <m/>
    <m/>
    <m/>
    <m/>
    <m/>
    <m/>
    <m/>
    <m/>
    <m/>
    <m/>
    <m/>
    <m/>
    <m/>
    <m/>
    <d v="2016-04-01T00:00:00"/>
    <n v="33204"/>
    <n v="19960.916666666668"/>
    <n v="58866.083333333336"/>
    <m/>
    <m/>
    <m/>
    <m/>
    <m/>
    <m/>
    <d v="2016-04-01T00:00:00"/>
    <m/>
    <n v="0.68682295513178271"/>
    <m/>
    <m/>
    <m/>
    <m/>
    <n v="2.4254779970249565E-2"/>
    <n v="9.9220723274018804E-3"/>
    <e v="#DIV/0!"/>
    <m/>
    <m/>
    <m/>
    <m/>
    <m/>
  </r>
  <r>
    <x v="54"/>
    <n v="45254"/>
    <n v="1226"/>
    <n v="2.7091527820745129E-2"/>
    <n v="41231.037499999999"/>
    <n v="0.91110260971405843"/>
    <m/>
    <n v="6.180586246519644E-2"/>
    <m/>
    <m/>
    <n v="21868"/>
    <n v="25841.583333333332"/>
    <n v="282"/>
    <n v="291.25"/>
    <m/>
    <e v="#DIV/0!"/>
    <n v="6415"/>
    <n v="8998.25"/>
    <n v="62"/>
    <n v="94.5"/>
    <m/>
    <e v="#DIV/0!"/>
    <n v="15453"/>
    <n v="16843.333333333332"/>
    <n v="220"/>
    <n v="196.75"/>
    <m/>
    <e v="#DIV/0!"/>
    <n v="27123"/>
    <n v="17617"/>
    <n v="70"/>
    <m/>
    <m/>
    <m/>
    <m/>
    <m/>
    <m/>
    <m/>
    <n v="16871"/>
    <m/>
    <n v="0.77149259191512709"/>
    <e v="#DIV/0!"/>
    <m/>
    <n v="241.01428571428571"/>
    <m/>
    <m/>
    <m/>
    <m/>
    <m/>
    <m/>
    <m/>
    <m/>
    <m/>
    <m/>
    <m/>
    <m/>
    <m/>
    <m/>
    <m/>
    <m/>
    <m/>
    <d v="2016-05-01T00:00:00"/>
    <n v="33237.666666666664"/>
    <n v="20012.916666666668"/>
    <n v="57812.833333333336"/>
    <m/>
    <m/>
    <m/>
    <m/>
    <m/>
    <m/>
    <d v="2016-05-01T00:00:00"/>
    <m/>
    <n v="0.7027876812894488"/>
    <m/>
    <m/>
    <m/>
    <m/>
    <n v="2.4477043197419234E-2"/>
    <n v="2.0298830354960794E-2"/>
    <e v="#DIV/0!"/>
    <m/>
    <m/>
    <m/>
    <m/>
    <m/>
  </r>
  <r>
    <x v="55"/>
    <n v="46925"/>
    <n v="994"/>
    <n v="2.1182738412360149E-2"/>
    <n v="43816.175300000003"/>
    <n v="0.93374907405434204"/>
    <m/>
    <n v="4.5068187533297804E-2"/>
    <m/>
    <m/>
    <n v="20533"/>
    <n v="25135.25"/>
    <n v="279"/>
    <n v="286.41666666666669"/>
    <m/>
    <e v="#DIV/0!"/>
    <n v="5291"/>
    <n v="8626.0833333333339"/>
    <n v="69"/>
    <n v="90.5"/>
    <m/>
    <e v="#DIV/0!"/>
    <n v="15242"/>
    <n v="16509.166666666668"/>
    <n v="210"/>
    <n v="195.91666666666666"/>
    <m/>
    <e v="#DIV/0!"/>
    <n v="25646"/>
    <n v="13158"/>
    <n v="68"/>
    <m/>
    <m/>
    <m/>
    <m/>
    <m/>
    <m/>
    <m/>
    <n v="8863"/>
    <m/>
    <n v="0.43164661763989676"/>
    <e v="#DIV/0!"/>
    <m/>
    <n v="130.33823529411765"/>
    <m/>
    <m/>
    <m/>
    <m/>
    <m/>
    <m/>
    <m/>
    <m/>
    <m/>
    <m/>
    <m/>
    <m/>
    <m/>
    <m/>
    <m/>
    <m/>
    <m/>
    <d v="2016-06-01T00:00:00"/>
    <n v="32045.5"/>
    <n v="19324.416666666668"/>
    <n v="56658.916666666664"/>
    <m/>
    <m/>
    <m/>
    <m/>
    <m/>
    <m/>
    <d v="2016-06-01T00:00:00"/>
    <m/>
    <n v="0.6960444772582739"/>
    <m/>
    <m/>
    <m/>
    <m/>
    <n v="2.4037308586628003E-2"/>
    <n v="2.4427056551350291E-2"/>
    <e v="#DIV/0!"/>
    <m/>
    <m/>
    <m/>
    <m/>
    <m/>
  </r>
  <r>
    <x v="56"/>
    <n v="56239"/>
    <n v="1210"/>
    <n v="2.1515318551183344E-2"/>
    <n v="55029.149499999985"/>
    <n v="0.97848733974643909"/>
    <m/>
    <n v="-2.6582976224327759E-6"/>
    <m/>
    <m/>
    <n v="25126"/>
    <n v="24940.083333333332"/>
    <n v="304"/>
    <n v="281.91666666666669"/>
    <m/>
    <e v="#DIV/0!"/>
    <n v="8242"/>
    <n v="8657.6666666666661"/>
    <n v="80"/>
    <n v="88.75"/>
    <m/>
    <e v="#DIV/0!"/>
    <n v="16884"/>
    <n v="16282.416666666666"/>
    <n v="224"/>
    <n v="193.16666666666666"/>
    <m/>
    <e v="#DIV/0!"/>
    <n v="27047"/>
    <n v="12138"/>
    <n v="67"/>
    <m/>
    <m/>
    <m/>
    <m/>
    <m/>
    <m/>
    <m/>
    <n v="10432"/>
    <m/>
    <n v="0.41518745522566264"/>
    <e v="#DIV/0!"/>
    <m/>
    <n v="155.70149253731344"/>
    <m/>
    <m/>
    <m/>
    <m/>
    <m/>
    <m/>
    <m/>
    <m/>
    <m/>
    <m/>
    <m/>
    <m/>
    <m/>
    <m/>
    <m/>
    <m/>
    <m/>
    <d v="2016-07-01T00:00:00"/>
    <n v="31394.166666666668"/>
    <n v="17577.083333333332"/>
    <n v="56394.5"/>
    <m/>
    <m/>
    <m/>
    <m/>
    <m/>
    <m/>
    <d v="2016-07-01T00:00:00"/>
    <m/>
    <n v="0.65632058345499533"/>
    <m/>
    <m/>
    <m/>
    <m/>
    <n v="2.4121842723618992E-2"/>
    <n v="2.0937097287211329E-2"/>
    <e v="#DIV/0!"/>
    <m/>
    <m/>
    <m/>
    <m/>
    <m/>
  </r>
  <r>
    <x v="57"/>
    <n v="58547"/>
    <n v="1258"/>
    <n v="2.1487010436059918E-2"/>
    <n v="50355.999599999996"/>
    <n v="0.86009530121099276"/>
    <m/>
    <n v="0.11841768835294733"/>
    <m/>
    <m/>
    <n v="24732"/>
    <n v="24789.166666666668"/>
    <n v="360"/>
    <n v="285.66666666666669"/>
    <m/>
    <e v="#DIV/0!"/>
    <n v="11506"/>
    <n v="8832.5833333333339"/>
    <n v="113"/>
    <n v="87.083333333333329"/>
    <m/>
    <e v="#DIV/0!"/>
    <n v="13226"/>
    <n v="15956.583333333334"/>
    <n v="247"/>
    <n v="198.58333333333334"/>
    <m/>
    <e v="#DIV/0!"/>
    <n v="29459"/>
    <n v="17289"/>
    <n v="71"/>
    <m/>
    <m/>
    <m/>
    <m/>
    <m/>
    <m/>
    <m/>
    <n v="17086"/>
    <m/>
    <n v="0.69084586770176293"/>
    <e v="#DIV/0!"/>
    <m/>
    <n v="240.64788732394365"/>
    <m/>
    <m/>
    <m/>
    <m/>
    <m/>
    <m/>
    <m/>
    <m/>
    <m/>
    <m/>
    <m/>
    <m/>
    <m/>
    <m/>
    <m/>
    <m/>
    <m/>
    <d v="2016-08-01T00:00:00"/>
    <n v="30296.916666666668"/>
    <n v="16449.25"/>
    <n v="56265.916666666664"/>
    <m/>
    <m/>
    <m/>
    <m/>
    <m/>
    <m/>
    <d v="2016-08-01T00:00:00"/>
    <m/>
    <n v="0.65928157086664141"/>
    <m/>
    <m/>
    <m/>
    <m/>
    <n v="2.4120670117393394E-2"/>
    <n v="3.312217117042833E-2"/>
    <e v="#DIV/0!"/>
    <m/>
    <m/>
    <m/>
    <m/>
    <m/>
  </r>
  <r>
    <x v="58"/>
    <n v="56394"/>
    <n v="1153"/>
    <n v="2.0445437457885591E-2"/>
    <n v="56972.119600000005"/>
    <m/>
    <m/>
    <m/>
    <m/>
    <m/>
    <n v="21681"/>
    <n v="24214"/>
    <n v="319"/>
    <n v="288.16666666666669"/>
    <m/>
    <e v="#DIV/0!"/>
    <n v="8829"/>
    <n v="8676.8333333333339"/>
    <n v="118"/>
    <n v="88"/>
    <m/>
    <e v="#DIV/0!"/>
    <n v="12852"/>
    <n v="15537.166666666666"/>
    <n v="201"/>
    <n v="200.16666666666666"/>
    <m/>
    <e v="#DIV/0!"/>
    <n v="31209"/>
    <n v="14871"/>
    <n v="71"/>
    <m/>
    <m/>
    <m/>
    <m/>
    <m/>
    <m/>
    <m/>
    <n v="16015"/>
    <m/>
    <n v="0.73866519071998527"/>
    <e v="#DIV/0!"/>
    <m/>
    <n v="225.56338028169014"/>
    <m/>
    <m/>
    <m/>
    <m/>
    <m/>
    <m/>
    <m/>
    <m/>
    <m/>
    <m/>
    <m/>
    <m/>
    <m/>
    <m/>
    <m/>
    <m/>
    <m/>
    <d v="2016-09-01T00:00:00"/>
    <n v="30029.583333333332"/>
    <n v="15870.166666666666"/>
    <n v="54660.25"/>
    <m/>
    <m/>
    <m/>
    <m/>
    <m/>
    <m/>
    <d v="2016-09-01T00:00:00"/>
    <m/>
    <n v="0.65365546195093804"/>
    <m/>
    <m/>
    <m/>
    <m/>
    <n v="2.4365115467479454E-2"/>
    <n v="3.312217117042833E-2"/>
    <e v="#DIV/0!"/>
    <m/>
    <m/>
    <m/>
    <m/>
    <m/>
  </r>
  <r>
    <x v="59"/>
    <n v="59497"/>
    <n v="1109"/>
    <n v="1.8639595273711281E-2"/>
    <n v="55531.155500000008"/>
    <n v="0.9333437904432158"/>
    <m/>
    <n v="4.8016614283072911E-2"/>
    <m/>
    <m/>
    <n v="29219"/>
    <n v="24342.666666666668"/>
    <n v="323"/>
    <n v="290.75"/>
    <m/>
    <e v="#DIV/0!"/>
    <n v="13416"/>
    <n v="8906.5833333333339"/>
    <n v="132"/>
    <n v="89.333333333333329"/>
    <m/>
    <e v="#DIV/0!"/>
    <n v="15803"/>
    <n v="15436.083333333334"/>
    <n v="191"/>
    <n v="201.41666666666666"/>
    <m/>
    <e v="#DIV/0!"/>
    <n v="43022"/>
    <n v="18809"/>
    <n v="73"/>
    <m/>
    <m/>
    <m/>
    <m/>
    <m/>
    <m/>
    <m/>
    <n v="24118"/>
    <m/>
    <n v="0.82542181457270958"/>
    <e v="#DIV/0!"/>
    <m/>
    <n v="330.38356164383561"/>
    <m/>
    <m/>
    <m/>
    <m/>
    <m/>
    <m/>
    <m/>
    <m/>
    <m/>
    <m/>
    <m/>
    <m/>
    <m/>
    <m/>
    <m/>
    <m/>
    <m/>
    <d v="2016-10-01T00:00:00"/>
    <n v="30674.166666666668"/>
    <n v="15727.916666666666"/>
    <n v="53906.25"/>
    <m/>
    <m/>
    <m/>
    <m/>
    <m/>
    <m/>
    <d v="2016-10-01T00:00:00"/>
    <m/>
    <n v="0.68217563273774851"/>
    <m/>
    <m/>
    <m/>
    <m/>
    <n v="2.4092364060905355E-2"/>
    <n v="3.4777109294055503E-2"/>
    <e v="#DIV/0!"/>
    <m/>
    <m/>
    <m/>
    <m/>
    <m/>
  </r>
  <r>
    <x v="60"/>
    <n v="66369"/>
    <n v="1108"/>
    <n v="1.6694541126128164E-2"/>
    <n v="62250.887699999977"/>
    <n v="0.9379512679112233"/>
    <m/>
    <n v="4.535419096264854E-2"/>
    <m/>
    <m/>
    <n v="28484"/>
    <n v="24104.083333333332"/>
    <n v="283"/>
    <n v="288.16666666666669"/>
    <m/>
    <e v="#DIV/0!"/>
    <n v="10255"/>
    <n v="8592.5"/>
    <n v="79"/>
    <n v="84.916666666666671"/>
    <m/>
    <e v="#DIV/0!"/>
    <n v="18229"/>
    <n v="15511.583333333334"/>
    <n v="204"/>
    <n v="203.25"/>
    <m/>
    <e v="#DIV/0!"/>
    <n v="33259"/>
    <n v="18851"/>
    <n v="79"/>
    <m/>
    <m/>
    <m/>
    <m/>
    <m/>
    <m/>
    <m/>
    <n v="26529"/>
    <m/>
    <n v="0.93136497682909702"/>
    <e v="#DIV/0!"/>
    <m/>
    <n v="335.81012658227849"/>
    <m/>
    <m/>
    <m/>
    <m/>
    <m/>
    <m/>
    <m/>
    <m/>
    <m/>
    <m/>
    <m/>
    <m/>
    <m/>
    <m/>
    <m/>
    <m/>
    <m/>
    <d v="2016-11-01T00:00:00"/>
    <n v="29862.25"/>
    <n v="15328.916666666666"/>
    <n v="53873.333333333336"/>
    <m/>
    <m/>
    <m/>
    <m/>
    <m/>
    <m/>
    <d v="2016-11-01T00:00:00"/>
    <m/>
    <n v="0.71610630640312234"/>
    <m/>
    <m/>
    <m/>
    <m/>
    <n v="2.322936696634444E-2"/>
    <n v="3.5834817460914811E-2"/>
    <e v="#DIV/0!"/>
    <m/>
    <m/>
    <m/>
    <m/>
    <m/>
  </r>
  <r>
    <x v="61"/>
    <n v="55643"/>
    <n v="1035"/>
    <n v="1.8600722462843486E-2"/>
    <n v="56042.074699999997"/>
    <m/>
    <m/>
    <m/>
    <m/>
    <m/>
    <n v="21276"/>
    <n v="24067.5"/>
    <n v="222"/>
    <n v="288.66666666666669"/>
    <m/>
    <e v="#DIV/0!"/>
    <n v="7566"/>
    <n v="8500"/>
    <n v="60"/>
    <n v="83.333333333333329"/>
    <m/>
    <e v="#DIV/0!"/>
    <n v="13710"/>
    <n v="15567.5"/>
    <n v="162"/>
    <n v="205.33333333333334"/>
    <m/>
    <e v="#DIV/0!"/>
    <n v="29928"/>
    <n v="15066"/>
    <n v="76"/>
    <m/>
    <m/>
    <m/>
    <m/>
    <m/>
    <m/>
    <m/>
    <n v="5771"/>
    <m/>
    <n v="0.27124459484865576"/>
    <e v="#DIV/0!"/>
    <m/>
    <n v="75.934210526315795"/>
    <m/>
    <m/>
    <m/>
    <m/>
    <m/>
    <m/>
    <m/>
    <m/>
    <m/>
    <m/>
    <m/>
    <m/>
    <m/>
    <m/>
    <m/>
    <m/>
    <m/>
    <d v="2016-12-01T00:00:00"/>
    <n v="30008.75"/>
    <n v="15654.833333333334"/>
    <n v="54340.083333333336"/>
    <m/>
    <m/>
    <m/>
    <m/>
    <m/>
    <m/>
    <d v="2016-12-01T00:00:00"/>
    <m/>
    <n v="0.67422694642591197"/>
    <m/>
    <m/>
    <m/>
    <m/>
    <n v="2.264621906638976E-2"/>
    <n v="3.5834817460914811E-2"/>
    <e v="#DIV/0!"/>
    <m/>
    <m/>
    <m/>
    <m/>
    <m/>
  </r>
  <r>
    <x v="62"/>
    <n v="56169"/>
    <n v="943"/>
    <n v="1.6788620057326994E-2"/>
    <n v="50672.025699999976"/>
    <n v="0.90213508696968037"/>
    <m/>
    <n v="8.1076292972992639E-2"/>
    <m/>
    <m/>
    <n v="22014"/>
    <n v="23969.25"/>
    <n v="225"/>
    <n v="287.83333333333331"/>
    <m/>
    <e v="#DIV/0!"/>
    <n v="10985"/>
    <n v="8879.9166666666661"/>
    <n v="99"/>
    <n v="87"/>
    <m/>
    <e v="#DIV/0!"/>
    <n v="11029"/>
    <n v="15089.333333333334"/>
    <n v="126"/>
    <n v="200.83333333333334"/>
    <m/>
    <e v="#DIV/0!"/>
    <n v="38897"/>
    <n v="14369"/>
    <n v="75"/>
    <m/>
    <m/>
    <m/>
    <m/>
    <m/>
    <m/>
    <m/>
    <n v="21701"/>
    <m/>
    <n v="0.98578177523394206"/>
    <e v="#DIV/0!"/>
    <m/>
    <n v="289.34666666666669"/>
    <m/>
    <m/>
    <m/>
    <m/>
    <m/>
    <m/>
    <m/>
    <m/>
    <m/>
    <m/>
    <m/>
    <m/>
    <m/>
    <m/>
    <m/>
    <m/>
    <m/>
    <d v="2017-01-01T00:00:00"/>
    <n v="31357.166666666668"/>
    <n v="15823"/>
    <n v="55006.833333333336"/>
    <m/>
    <m/>
    <m/>
    <m/>
    <m/>
    <m/>
    <d v="2017-01-01T00:00:00"/>
    <m/>
    <n v="0.72823834610469718"/>
    <m/>
    <m/>
    <m/>
    <m/>
    <n v="2.1439806529230453E-2"/>
    <n v="4.3535317128584425E-2"/>
    <e v="#DIV/0!"/>
    <m/>
    <m/>
    <m/>
    <m/>
    <m/>
  </r>
  <r>
    <x v="63"/>
    <n v="70751"/>
    <n v="1454"/>
    <n v="2.055094627637772E-2"/>
    <n v="65536.88930000001"/>
    <n v="0.92630336391005086"/>
    <m/>
    <n v="5.3145689813571421E-2"/>
    <m/>
    <m/>
    <n v="28194"/>
    <n v="24273.25"/>
    <n v="334"/>
    <n v="291.58333333333331"/>
    <m/>
    <e v="#DIV/0!"/>
    <n v="12644"/>
    <n v="9226.75"/>
    <n v="115"/>
    <n v="89.25"/>
    <m/>
    <e v="#DIV/0!"/>
    <n v="15550"/>
    <n v="15046.5"/>
    <n v="219"/>
    <n v="202.33333333333334"/>
    <m/>
    <e v="#DIV/0!"/>
    <n v="34499"/>
    <n v="17302"/>
    <n v="78"/>
    <m/>
    <m/>
    <m/>
    <m/>
    <m/>
    <m/>
    <m/>
    <n v="28993"/>
    <m/>
    <n v="1.0283393629850324"/>
    <e v="#DIV/0!"/>
    <m/>
    <n v="371.70512820512823"/>
    <m/>
    <m/>
    <m/>
    <m/>
    <m/>
    <m/>
    <m/>
    <m/>
    <m/>
    <m/>
    <m/>
    <m/>
    <m/>
    <m/>
    <m/>
    <m/>
    <m/>
    <d v="2017-02-01T00:00:00"/>
    <n v="30965.083333333332"/>
    <n v="15706.166666666666"/>
    <n v="56565.916666666664"/>
    <m/>
    <m/>
    <m/>
    <m/>
    <m/>
    <m/>
    <d v="2017-02-01T00:00:00"/>
    <m/>
    <n v="0.75871044612041816"/>
    <m/>
    <m/>
    <m/>
    <m/>
    <n v="2.0995473660450185E-2"/>
    <n v="4.8192832576257248E-2"/>
    <e v="#DIV/0!"/>
    <m/>
    <m/>
    <m/>
    <m/>
    <m/>
  </r>
  <r>
    <x v="64"/>
    <n v="76472"/>
    <n v="1754"/>
    <n v="2.2936499633852914E-2"/>
    <n v="71794.028900000005"/>
    <n v="0.93882766110471816"/>
    <m/>
    <n v="3.8235839261428928E-2"/>
    <m/>
    <m/>
    <n v="33697"/>
    <n v="24903"/>
    <n v="380"/>
    <n v="298"/>
    <m/>
    <e v="#DIV/0!"/>
    <n v="13909"/>
    <n v="9631.0833333333339"/>
    <n v="128"/>
    <n v="93.083333333333329"/>
    <m/>
    <e v="#DIV/0!"/>
    <n v="19788"/>
    <n v="15271.916666666666"/>
    <n v="252"/>
    <n v="204.91666666666666"/>
    <m/>
    <e v="#DIV/0!"/>
    <n v="31159"/>
    <n v="17086"/>
    <n v="80"/>
    <m/>
    <m/>
    <m/>
    <m/>
    <m/>
    <m/>
    <m/>
    <n v="16435"/>
    <m/>
    <n v="0.48772887794165654"/>
    <e v="#DIV/0!"/>
    <m/>
    <n v="205.4375"/>
    <m/>
    <m/>
    <m/>
    <m/>
    <m/>
    <m/>
    <m/>
    <m/>
    <m/>
    <m/>
    <m/>
    <m/>
    <m/>
    <m/>
    <m/>
    <m/>
    <m/>
    <d v="2017-03-01T00:00:00"/>
    <n v="31282.166666666668"/>
    <n v="15951.583333333334"/>
    <n v="57964.083333333336"/>
    <m/>
    <m/>
    <m/>
    <m/>
    <m/>
    <m/>
    <d v="2017-03-01T00:00:00"/>
    <m/>
    <n v="0.72982825047324551"/>
    <m/>
    <m/>
    <m/>
    <m/>
    <n v="2.1027821145321948E-2"/>
    <n v="4.9853661284120283E-2"/>
    <e v="#DIV/0!"/>
    <m/>
    <m/>
    <m/>
    <m/>
    <m/>
  </r>
  <r>
    <x v="65"/>
    <n v="60851"/>
    <n v="1323"/>
    <n v="2.1741631197515241E-2"/>
    <n v="59253.069900000002"/>
    <n v="0.97374028200029583"/>
    <m/>
    <n v="4.5180868021889274E-3"/>
    <m/>
    <m/>
    <n v="25538"/>
    <n v="25196.833333333332"/>
    <n v="297"/>
    <n v="300.66666666666669"/>
    <m/>
    <e v="#DIV/0!"/>
    <n v="11388"/>
    <n v="10037.166666666666"/>
    <n v="103"/>
    <n v="96.5"/>
    <m/>
    <e v="#DIV/0!"/>
    <n v="14150"/>
    <n v="15159.666666666666"/>
    <n v="194"/>
    <n v="204.16666666666666"/>
    <m/>
    <e v="#DIV/0!"/>
    <n v="28229"/>
    <n v="12038"/>
    <n v="83"/>
    <m/>
    <m/>
    <m/>
    <m/>
    <m/>
    <m/>
    <m/>
    <n v="18234"/>
    <m/>
    <n v="0.71399483123188978"/>
    <e v="#DIV/0!"/>
    <m/>
    <n v="219.68674698795181"/>
    <m/>
    <m/>
    <m/>
    <m/>
    <m/>
    <m/>
    <m/>
    <m/>
    <m/>
    <m/>
    <m/>
    <m/>
    <m/>
    <m/>
    <m/>
    <m/>
    <m/>
    <d v="2017-04-01T00:00:00"/>
    <n v="31623.083333333332"/>
    <n v="15716.166666666666"/>
    <n v="59092.583333333336"/>
    <m/>
    <m/>
    <m/>
    <m/>
    <m/>
    <m/>
    <d v="2017-04-01T00:00:00"/>
    <m/>
    <n v="0.69097616307045151"/>
    <m/>
    <m/>
    <m/>
    <m/>
    <n v="2.0639549058832495E-2"/>
    <n v="4.9563579414972248E-2"/>
    <e v="#DIV/0!"/>
    <m/>
    <m/>
    <m/>
    <m/>
    <m/>
  </r>
  <r>
    <x v="66"/>
    <n v="90676"/>
    <n v="1882"/>
    <n v="2.075521637478495E-2"/>
    <n v="85285.158800000005"/>
    <n v="0.94054831267369543"/>
    <m/>
    <n v="3.8696470951519624E-2"/>
    <m/>
    <m/>
    <n v="38817"/>
    <n v="26609.25"/>
    <n v="418"/>
    <n v="312"/>
    <m/>
    <e v="#DIV/0!"/>
    <n v="16170"/>
    <n v="10850.083333333334"/>
    <n v="129"/>
    <n v="102.08333333333333"/>
    <m/>
    <e v="#DIV/0!"/>
    <n v="22647"/>
    <n v="15759.166666666666"/>
    <n v="289"/>
    <n v="209.91666666666666"/>
    <m/>
    <e v="#DIV/0!"/>
    <n v="45914"/>
    <n v="17672"/>
    <n v="90"/>
    <m/>
    <m/>
    <m/>
    <m/>
    <m/>
    <m/>
    <m/>
    <n v="18104"/>
    <m/>
    <n v="0.46639359043717959"/>
    <e v="#DIV/0!"/>
    <m/>
    <n v="201.15555555555557"/>
    <m/>
    <m/>
    <m/>
    <m/>
    <m/>
    <m/>
    <m/>
    <m/>
    <m/>
    <m/>
    <m/>
    <m/>
    <m/>
    <m/>
    <m/>
    <m/>
    <m/>
    <d v="2017-05-01T00:00:00"/>
    <n v="33189"/>
    <n v="15720.75"/>
    <n v="62877.75"/>
    <m/>
    <m/>
    <m/>
    <m/>
    <m/>
    <m/>
    <d v="2017-05-01T00:00:00"/>
    <m/>
    <n v="0.66555124628062257"/>
    <m/>
    <m/>
    <m/>
    <m/>
    <n v="2.0111523105002478E-2"/>
    <n v="4.7252640263604567E-2"/>
    <e v="#DIV/0!"/>
    <m/>
    <m/>
    <m/>
    <m/>
    <m/>
  </r>
  <r>
    <x v="67"/>
    <n v="79150"/>
    <n v="1871"/>
    <n v="2.3638660770688567E-2"/>
    <n v="73595.197300000014"/>
    <n v="0.92981929627289972"/>
    <m/>
    <n v="4.6542042956411712E-2"/>
    <m/>
    <m/>
    <n v="34929"/>
    <n v="27808.916666666668"/>
    <n v="378"/>
    <n v="320.25"/>
    <m/>
    <e v="#DIV/0!"/>
    <n v="12617"/>
    <n v="11460.583333333334"/>
    <n v="95"/>
    <n v="104.25"/>
    <m/>
    <e v="#DIV/0!"/>
    <n v="22312"/>
    <n v="16348.333333333334"/>
    <n v="283"/>
    <n v="216"/>
    <m/>
    <e v="#DIV/0!"/>
    <n v="42676"/>
    <n v="14194"/>
    <n v="94"/>
    <m/>
    <m/>
    <m/>
    <m/>
    <m/>
    <m/>
    <m/>
    <n v="19119"/>
    <m/>
    <n v="0.54736751696298203"/>
    <e v="#DIV/0!"/>
    <m/>
    <n v="203.39361702127658"/>
    <m/>
    <m/>
    <m/>
    <m/>
    <m/>
    <m/>
    <m/>
    <m/>
    <m/>
    <m/>
    <m/>
    <m/>
    <m/>
    <m/>
    <m/>
    <m/>
    <m/>
    <d v="2017-06-01T00:00:00"/>
    <n v="34608.166666666664"/>
    <n v="15807.083333333334"/>
    <n v="65563.166666666672"/>
    <m/>
    <m/>
    <m/>
    <m/>
    <m/>
    <m/>
    <d v="2017-06-01T00:00:00"/>
    <m/>
    <n v="0.67519465455754624"/>
    <m/>
    <m/>
    <m/>
    <m/>
    <n v="2.0316183301529848E-2"/>
    <n v="4.7400025805915957E-2"/>
    <e v="#DIV/0!"/>
    <m/>
    <m/>
    <m/>
    <m/>
    <m/>
  </r>
  <r>
    <x v="68"/>
    <n v="74424"/>
    <n v="1823"/>
    <n v="2.4494786627969473E-2"/>
    <n v="68042.034799999994"/>
    <n v="0.91424855960442863"/>
    <m/>
    <n v="6.1256653767601893E-2"/>
    <m/>
    <m/>
    <n v="43591"/>
    <n v="29347.666666666668"/>
    <n v="439"/>
    <n v="331.5"/>
    <m/>
    <e v="#DIV/0!"/>
    <n v="16163"/>
    <n v="12120.666666666666"/>
    <n v="125"/>
    <n v="108"/>
    <m/>
    <e v="#DIV/0!"/>
    <n v="27428"/>
    <n v="17227"/>
    <n v="314"/>
    <n v="223.5"/>
    <m/>
    <e v="#DIV/0!"/>
    <n v="56141"/>
    <n v="22100"/>
    <n v="98"/>
    <m/>
    <m/>
    <m/>
    <m/>
    <m/>
    <m/>
    <m/>
    <n v="13051"/>
    <m/>
    <n v="0.29939666444908353"/>
    <e v="#DIV/0!"/>
    <m/>
    <n v="133.17346938775509"/>
    <m/>
    <m/>
    <m/>
    <m/>
    <m/>
    <m/>
    <m/>
    <m/>
    <m/>
    <m/>
    <m/>
    <m/>
    <m/>
    <m/>
    <m/>
    <m/>
    <m/>
    <d v="2017-07-01T00:00:00"/>
    <n v="37032.666666666664"/>
    <n v="16637.25"/>
    <n v="67078.583333333328"/>
    <m/>
    <m/>
    <m/>
    <m/>
    <m/>
    <m/>
    <d v="2017-07-01T00:00:00"/>
    <m/>
    <n v="0.66554542199283129"/>
    <m/>
    <m/>
    <m/>
    <m/>
    <n v="2.0564472307928693E-2"/>
    <n v="5.3525957012438397E-2"/>
    <e v="#DIV/0!"/>
    <m/>
    <m/>
    <m/>
    <m/>
    <m/>
  </r>
  <r>
    <x v="69"/>
    <n v="89758"/>
    <n v="1848"/>
    <n v="2.0588694043984938E-2"/>
    <n v="83521.210700000011"/>
    <n v="0.93051550502462188"/>
    <m/>
    <n v="4.8895800931393181E-2"/>
    <m/>
    <m/>
    <n v="39520"/>
    <n v="30580"/>
    <n v="421"/>
    <n v="336.58333333333331"/>
    <m/>
    <e v="#DIV/0!"/>
    <n v="11758"/>
    <n v="12141.666666666666"/>
    <n v="110"/>
    <n v="107.75"/>
    <m/>
    <e v="#DIV/0!"/>
    <n v="27762"/>
    <n v="18438.333333333332"/>
    <n v="311"/>
    <n v="228.83333333333334"/>
    <m/>
    <e v="#DIV/0!"/>
    <n v="43361"/>
    <n v="20013"/>
    <n v="101"/>
    <m/>
    <m/>
    <m/>
    <m/>
    <m/>
    <m/>
    <m/>
    <n v="21548"/>
    <m/>
    <n v="0.54524291497975708"/>
    <e v="#DIV/0!"/>
    <m/>
    <n v="213.34653465346534"/>
    <m/>
    <m/>
    <m/>
    <m/>
    <m/>
    <m/>
    <m/>
    <m/>
    <m/>
    <m/>
    <m/>
    <m/>
    <m/>
    <m/>
    <m/>
    <m/>
    <m/>
    <d v="2017-08-01T00:00:00"/>
    <n v="38191.166666666664"/>
    <n v="16864.25"/>
    <n v="69679.5"/>
    <m/>
    <m/>
    <m/>
    <m/>
    <m/>
    <m/>
    <d v="2017-08-01T00:00:00"/>
    <m/>
    <n v="0.65341184259933083"/>
    <m/>
    <m/>
    <m/>
    <m/>
    <n v="2.048961260858911E-2"/>
    <n v="4.6573768270282971E-2"/>
    <e v="#DIV/0!"/>
    <m/>
    <m/>
    <m/>
    <m/>
    <m/>
  </r>
  <r>
    <x v="70"/>
    <n v="84158"/>
    <n v="1754"/>
    <n v="2.084175004158844E-2"/>
    <n v="82055.127700000012"/>
    <n v="0.9750128056750399"/>
    <m/>
    <n v="4.1454442833716645E-3"/>
    <m/>
    <m/>
    <n v="43633"/>
    <n v="32409.333333333332"/>
    <n v="383"/>
    <n v="341.91666666666669"/>
    <m/>
    <e v="#DIV/0!"/>
    <n v="14743"/>
    <n v="12634.5"/>
    <n v="106"/>
    <n v="106.75"/>
    <m/>
    <e v="#DIV/0!"/>
    <n v="28890"/>
    <n v="19774.833333333332"/>
    <n v="277"/>
    <n v="235.16666666666666"/>
    <m/>
    <e v="#DIV/0!"/>
    <n v="44947"/>
    <n v="14881"/>
    <n v="103"/>
    <m/>
    <m/>
    <m/>
    <m/>
    <m/>
    <m/>
    <m/>
    <n v="29228"/>
    <m/>
    <n v="0.66985996837256201"/>
    <e v="#DIV/0!"/>
    <m/>
    <n v="283.76699029126212"/>
    <m/>
    <m/>
    <m/>
    <m/>
    <m/>
    <m/>
    <m/>
    <m/>
    <m/>
    <m/>
    <m/>
    <m/>
    <m/>
    <m/>
    <m/>
    <m/>
    <m/>
    <d v="2017-09-01T00:00:00"/>
    <n v="39336"/>
    <n v="16865.083333333332"/>
    <n v="71993.166666666672"/>
    <m/>
    <m/>
    <m/>
    <m/>
    <m/>
    <m/>
    <d v="2017-09-01T00:00:00"/>
    <m/>
    <n v="0.64767807407037903"/>
    <m/>
    <m/>
    <m/>
    <m/>
    <n v="2.0522638657231015E-2"/>
    <n v="4.271664790783649E-2"/>
    <e v="#DIV/0!"/>
    <m/>
    <m/>
    <m/>
    <m/>
    <m/>
  </r>
  <r>
    <x v="71"/>
    <n v="85886"/>
    <n v="2081"/>
    <n v="2.4229792981393942E-2"/>
    <n v="79949.028099999996"/>
    <n v="0.93087381063269914"/>
    <m/>
    <n v="4.4896396385906923E-2"/>
    <m/>
    <m/>
    <n v="42874"/>
    <n v="33547.25"/>
    <n v="406"/>
    <n v="348.83333333333331"/>
    <m/>
    <e v="#DIV/0!"/>
    <n v="14271"/>
    <n v="12705.75"/>
    <n v="106"/>
    <n v="104.58333333333333"/>
    <m/>
    <e v="#DIV/0!"/>
    <n v="28603"/>
    <n v="20841.5"/>
    <n v="300"/>
    <n v="244.25"/>
    <m/>
    <e v="#DIV/0!"/>
    <n v="58413"/>
    <n v="18597"/>
    <n v="103"/>
    <m/>
    <m/>
    <m/>
    <m/>
    <m/>
    <m/>
    <m/>
    <n v="45908"/>
    <m/>
    <n v="1.0707654989037645"/>
    <e v="#DIV/0!"/>
    <m/>
    <n v="445.70873786407765"/>
    <m/>
    <m/>
    <m/>
    <m/>
    <m/>
    <m/>
    <m/>
    <m/>
    <m/>
    <m/>
    <m/>
    <m/>
    <m/>
    <m/>
    <m/>
    <m/>
    <m/>
    <d v="2017-10-01T00:00:00"/>
    <n v="40618.583333333336"/>
    <n v="16847.416666666668"/>
    <n v="74192.25"/>
    <m/>
    <m/>
    <m/>
    <m/>
    <m/>
    <m/>
    <d v="2017-10-01T00:00:00"/>
    <m/>
    <n v="0.66812338109796687"/>
    <m/>
    <m/>
    <m/>
    <m/>
    <n v="2.0988488466204571E-2"/>
    <n v="4.2432991735366861E-2"/>
    <e v="#DIV/0!"/>
    <m/>
    <m/>
    <m/>
    <m/>
    <m/>
  </r>
  <r>
    <x v="72"/>
    <n v="86298"/>
    <n v="2607"/>
    <n v="3.0209274838350831E-2"/>
    <n v="81288.122200000013"/>
    <n v="0.94194676817539236"/>
    <m/>
    <m/>
    <m/>
    <m/>
    <n v="40351"/>
    <n v="34536.166666666664"/>
    <n v="390"/>
    <n v="357.75"/>
    <m/>
    <e v="#DIV/0!"/>
    <n v="13164"/>
    <n v="12948.166666666666"/>
    <n v="90"/>
    <n v="105.5"/>
    <m/>
    <e v="#DIV/0!"/>
    <n v="27187"/>
    <n v="21588"/>
    <n v="300"/>
    <n v="252.25"/>
    <m/>
    <e v="#DIV/0!"/>
    <n v="46531"/>
    <n v="18197"/>
    <n v="107"/>
    <m/>
    <m/>
    <m/>
    <m/>
    <m/>
    <m/>
    <m/>
    <n v="15726"/>
    <m/>
    <n v="0.38973011821268372"/>
    <e v="#DIV/0!"/>
    <m/>
    <n v="146.97196261682242"/>
    <m/>
    <m/>
    <m/>
    <m/>
    <m/>
    <m/>
    <m/>
    <m/>
    <m/>
    <m/>
    <m/>
    <m/>
    <m/>
    <m/>
    <m/>
    <m/>
    <m/>
    <d v="2017-11-01T00:00:00"/>
    <n v="41724.583333333336"/>
    <n v="16792.916666666668"/>
    <n v="75853"/>
    <m/>
    <m/>
    <m/>
    <m/>
    <m/>
    <m/>
    <d v="2017-11-01T00:00:00"/>
    <m/>
    <n v="0.62298714287993229"/>
    <m/>
    <m/>
    <m/>
    <m/>
    <n v="2.2114716275556459E-2"/>
    <n v="4.2140871812638689E-2"/>
    <e v="#DIV/0!"/>
    <m/>
    <m/>
    <m/>
    <m/>
    <m/>
  </r>
  <r>
    <x v="73"/>
    <n v="57175"/>
    <n v="1260"/>
    <n v="2.2037603847835593E-2"/>
    <n v="55665.115900000004"/>
    <n v="0.97359188281591613"/>
    <m/>
    <n v="4.3705133362482752E-3"/>
    <m/>
    <m/>
    <n v="28812"/>
    <n v="35164.166666666664"/>
    <n v="284"/>
    <n v="362.91666666666669"/>
    <m/>
    <e v="#DIV/0!"/>
    <n v="9374"/>
    <n v="13098.833333333334"/>
    <n v="88"/>
    <n v="107.83333333333333"/>
    <m/>
    <e v="#DIV/0!"/>
    <n v="19438"/>
    <n v="22065.333333333332"/>
    <n v="196"/>
    <n v="255.08333333333334"/>
    <m/>
    <e v="#DIV/0!"/>
    <n v="28444"/>
    <n v="13504"/>
    <n v="107"/>
    <m/>
    <m/>
    <m/>
    <m/>
    <m/>
    <m/>
    <m/>
    <n v="23343"/>
    <m/>
    <n v="0.81018325697625992"/>
    <e v="#DIV/0!"/>
    <m/>
    <n v="218.15887850467288"/>
    <m/>
    <m/>
    <m/>
    <m/>
    <m/>
    <m/>
    <m/>
    <m/>
    <m/>
    <m/>
    <m/>
    <m/>
    <m/>
    <m/>
    <m/>
    <m/>
    <m/>
    <d v="2017-12-01T00:00:00"/>
    <n v="41600.916666666664"/>
    <n v="16662.75"/>
    <n v="75980.666666666672"/>
    <m/>
    <m/>
    <m/>
    <m/>
    <m/>
    <m/>
    <d v="2017-12-01T00:00:00"/>
    <m/>
    <n v="0.66789869805723268"/>
    <m/>
    <m/>
    <m/>
    <m/>
    <n v="2.2401123057639135E-2"/>
    <n v="3.8707202860239563E-2"/>
    <e v="#DIV/0!"/>
    <m/>
    <m/>
    <m/>
    <m/>
    <m/>
  </r>
  <r>
    <x v="74"/>
    <n v="60430"/>
    <n v="1265"/>
    <n v="2.0933311269237132E-2"/>
    <n v="54002.972399999991"/>
    <n v="0.89364508356776418"/>
    <m/>
    <n v="8.5421605162998696E-2"/>
    <m/>
    <m/>
    <n v="26796"/>
    <n v="35562.666666666664"/>
    <n v="275"/>
    <n v="367.08333333333331"/>
    <m/>
    <e v="#DIV/0!"/>
    <n v="8530"/>
    <n v="12894.25"/>
    <n v="69"/>
    <n v="105.33333333333333"/>
    <m/>
    <e v="#DIV/0!"/>
    <n v="18266"/>
    <n v="22668.416666666668"/>
    <n v="206"/>
    <n v="261.75"/>
    <m/>
    <e v="#DIV/0!"/>
    <n v="39857"/>
    <n v="15690"/>
    <n v="106"/>
    <m/>
    <m/>
    <m/>
    <m/>
    <m/>
    <m/>
    <m/>
    <n v="6418"/>
    <m/>
    <n v="0.23951336020301536"/>
    <e v="#DIV/0!"/>
    <m/>
    <n v="60.547169811320757"/>
    <m/>
    <m/>
    <m/>
    <m/>
    <m/>
    <m/>
    <m/>
    <m/>
    <m/>
    <m/>
    <m/>
    <m/>
    <m/>
    <m/>
    <m/>
    <m/>
    <m/>
    <d v="2018-01-01T00:00:00"/>
    <n v="41680.916666666664"/>
    <n v="16772.833333333332"/>
    <n v="76335.75"/>
    <m/>
    <m/>
    <m/>
    <m/>
    <m/>
    <m/>
    <d v="2018-01-01T00:00:00"/>
    <m/>
    <n v="0.60570966347132227"/>
    <m/>
    <m/>
    <m/>
    <m/>
    <n v="2.2746513991964978E-2"/>
    <n v="3.9102231241149206E-2"/>
    <e v="#DIV/0!"/>
    <m/>
    <m/>
    <m/>
    <m/>
    <m/>
  </r>
  <r>
    <x v="75"/>
    <n v="67764"/>
    <n v="1303"/>
    <n v="1.9228498907974737E-2"/>
    <n v="66088.173999999999"/>
    <n v="0.97526967121185293"/>
    <m/>
    <n v="5.5018298801723341E-3"/>
    <m/>
    <m/>
    <n v="31207"/>
    <n v="35813.75"/>
    <n v="311"/>
    <n v="365.16666666666669"/>
    <m/>
    <e v="#DIV/0!"/>
    <n v="8729"/>
    <n v="12568"/>
    <n v="77"/>
    <n v="102.16666666666667"/>
    <m/>
    <e v="#DIV/0!"/>
    <n v="22478"/>
    <n v="23245.75"/>
    <n v="234"/>
    <n v="263"/>
    <m/>
    <e v="#DIV/0!"/>
    <n v="38455"/>
    <n v="15589"/>
    <n v="112"/>
    <m/>
    <m/>
    <m/>
    <m/>
    <m/>
    <m/>
    <m/>
    <n v="26929"/>
    <m/>
    <n v="0.86291537155125453"/>
    <e v="#DIV/0!"/>
    <m/>
    <n v="240.4375"/>
    <m/>
    <m/>
    <m/>
    <m/>
    <m/>
    <m/>
    <m/>
    <m/>
    <m/>
    <m/>
    <m/>
    <m/>
    <m/>
    <m/>
    <m/>
    <m/>
    <m/>
    <d v="2018-02-01T00:00:00"/>
    <n v="42010.583333333336"/>
    <n v="16630.083333333332"/>
    <n v="76086.833333333328"/>
    <m/>
    <m/>
    <m/>
    <m/>
    <m/>
    <m/>
    <d v="2018-02-01T00:00:00"/>
    <m/>
    <n v="0.59192433085184082"/>
    <m/>
    <m/>
    <m/>
    <m/>
    <n v="2.2636310044598065E-2"/>
    <n v="3.4770971247203832E-2"/>
    <e v="#DIV/0!"/>
    <m/>
    <m/>
    <m/>
    <m/>
    <m/>
  </r>
  <r>
    <x v="76"/>
    <n v="77314"/>
    <n v="1575"/>
    <n v="2.0371472178389426E-2"/>
    <n v="75262.978199999998"/>
    <n v="0.97347153426287603"/>
    <m/>
    <n v="6.1569935587345477E-3"/>
    <m/>
    <m/>
    <n v="39311"/>
    <n v="36281.583333333336"/>
    <n v="397"/>
    <n v="366.58333333333331"/>
    <m/>
    <e v="#DIV/0!"/>
    <n v="11302"/>
    <n v="12350.75"/>
    <n v="93"/>
    <n v="99.25"/>
    <m/>
    <e v="#DIV/0!"/>
    <n v="28009"/>
    <n v="23930.833333333332"/>
    <n v="304"/>
    <n v="267.33333333333331"/>
    <m/>
    <e v="#DIV/0!"/>
    <n v="42566"/>
    <n v="20579"/>
    <n v="114"/>
    <m/>
    <m/>
    <m/>
    <m/>
    <m/>
    <n v="1017643.1692778319"/>
    <n v="984115.95999999903"/>
    <n v="12572"/>
    <m/>
    <n v="0.31980870494263691"/>
    <e v="#DIV/0!"/>
    <m/>
    <n v="110.28070175438596"/>
    <n v="1.2354035657628095E-2"/>
    <n v="25.886982505604841"/>
    <e v="#DIV/0!"/>
    <m/>
    <n v="8926.6944673494036"/>
    <n v="0.96705406149227591"/>
    <n v="25.034111571824656"/>
    <e v="#DIV/0!"/>
    <m/>
    <m/>
    <m/>
    <m/>
    <m/>
    <m/>
    <m/>
    <m/>
    <m/>
    <d v="2018-03-01T00:00:00"/>
    <n v="42961.166666666664"/>
    <n v="16921.166666666668"/>
    <n v="76157"/>
    <m/>
    <m/>
    <m/>
    <m/>
    <m/>
    <m/>
    <d v="2018-03-01T00:00:00"/>
    <m/>
    <n v="0.57793098310192248"/>
    <m/>
    <m/>
    <m/>
    <m/>
    <n v="2.2422557756642775E-2"/>
    <n v="3.1854712546958888E-2"/>
    <n v="0"/>
    <m/>
    <m/>
    <m/>
    <m/>
    <m/>
  </r>
  <r>
    <x v="77"/>
    <n v="66186"/>
    <n v="1352"/>
    <n v="2.0427280693802313E-2"/>
    <n v="64223.157200000009"/>
    <n v="0.97034353488653202"/>
    <m/>
    <n v="9.2291844196656647E-3"/>
    <n v="4277600.4800000004"/>
    <m/>
    <n v="33146"/>
    <n v="36915.583333333336"/>
    <n v="411"/>
    <n v="376.08333333333331"/>
    <n v="204"/>
    <n v="204"/>
    <n v="12245"/>
    <n v="12422.166666666666"/>
    <n v="97"/>
    <n v="98.75"/>
    <n v="50"/>
    <n v="50"/>
    <n v="20901"/>
    <n v="24493.416666666668"/>
    <n v="314"/>
    <n v="277.33333333333331"/>
    <n v="154"/>
    <n v="154"/>
    <n v="43329"/>
    <n v="20420"/>
    <n v="115"/>
    <m/>
    <m/>
    <m/>
    <m/>
    <m/>
    <n v="848121"/>
    <n v="894940.08"/>
    <n v="16820"/>
    <n v="8269.494999999999"/>
    <n v="0.50745187956314486"/>
    <n v="0.1245873629995778"/>
    <m/>
    <n v="146.2608695652174"/>
    <n v="1.9832075847667961E-2"/>
    <n v="25.587431364267182"/>
    <n v="6.2821140841001739"/>
    <m/>
    <n v="7374.9652173913046"/>
    <n v="1.0552033023589793"/>
    <n v="26.999942074458456"/>
    <n v="6.6289075273383586"/>
    <m/>
    <m/>
    <m/>
    <m/>
    <m/>
    <m/>
    <n v="517.27469210635002"/>
    <n v="10407.787055961071"/>
    <n v="20968.629803921573"/>
    <d v="2018-04-01T00:00:00"/>
    <n v="44219.5"/>
    <n v="17619.666666666668"/>
    <n v="76601.583333333328"/>
    <m/>
    <n v="108.22185393424871"/>
    <m/>
    <m/>
    <m/>
    <m/>
    <d v="2018-04-01T00:00:00"/>
    <m/>
    <n v="0.56071907046286029"/>
    <m/>
    <m/>
    <m/>
    <m/>
    <n v="2.2313028548000029E-2"/>
    <n v="3.2282994148547677E-2"/>
    <n v="5.0436205211284717"/>
    <m/>
    <m/>
    <m/>
    <m/>
    <n v="37196.525913043479"/>
  </r>
  <r>
    <x v="78"/>
    <n v="75414"/>
    <n v="1388"/>
    <n v="1.8405070676532208E-2"/>
    <n v="71090.0386"/>
    <n v="0.94266367783170235"/>
    <m/>
    <n v="3.8931251491765441E-2"/>
    <n v="4635382.55"/>
    <m/>
    <n v="34966"/>
    <n v="36594.666666666664"/>
    <n v="406"/>
    <n v="375.08333333333331"/>
    <n v="208"/>
    <n v="206"/>
    <n v="11890"/>
    <n v="12065.5"/>
    <n v="97"/>
    <n v="96.083333333333329"/>
    <n v="63"/>
    <n v="56.5"/>
    <n v="23076"/>
    <n v="24529.166666666668"/>
    <n v="309"/>
    <n v="279"/>
    <n v="145"/>
    <n v="149.5"/>
    <n v="36292"/>
    <n v="15988"/>
    <n v="122"/>
    <n v="76"/>
    <n v="38"/>
    <n v="9"/>
    <m/>
    <m/>
    <n v="923966"/>
    <n v="928585.92"/>
    <n v="40810"/>
    <n v="8575.8559999999998"/>
    <n v="1.1671337871074758"/>
    <n v="0.3263866534171227"/>
    <n v="536.97368421052636"/>
    <n v="334.50819672131149"/>
    <n v="4.4168291906845056E-2"/>
    <n v="26.424698278327519"/>
    <n v="7.3896145702329132"/>
    <n v="12157.447368421053"/>
    <n v="7573.4918032786882"/>
    <n v="1.0050000974061817"/>
    <n v="26.556824343648117"/>
    <n v="7.4265633628782171"/>
    <n v="12218.235789473685"/>
    <n v="7611.3600000000006"/>
    <n v="460.07894736842104"/>
    <n v="286.60655737704917"/>
    <n v="132.56828204541554"/>
    <n v="60991.875657894736"/>
    <n v="540.51543659315178"/>
    <n v="11417.198399014778"/>
    <n v="22285.493028846155"/>
    <d v="2018-05-01T00:00:00"/>
    <n v="43417.666666666664"/>
    <n v="17479.333333333332"/>
    <n v="75329.75"/>
    <n v="112.84021052631579"/>
    <n v="108.27909423852267"/>
    <m/>
    <m/>
    <m/>
    <m/>
    <d v="2018-05-01T00:00:00"/>
    <m/>
    <n v="0.6191140868520516"/>
    <m/>
    <m/>
    <m/>
    <m/>
    <n v="2.2117183073145631E-2"/>
    <n v="3.2304337834024574E-2"/>
    <n v="5.0168323834426802"/>
    <m/>
    <m/>
    <m/>
    <m/>
    <n v="37994.938934426231"/>
  </r>
  <r>
    <x v="79"/>
    <n v="69590"/>
    <n v="1500"/>
    <n v="2.1554821094984911E-2"/>
    <n v="67790.198099999994"/>
    <n v="0.9741370613593906"/>
    <m/>
    <n v="4.3081175456244902E-3"/>
    <n v="4695293.38"/>
    <m/>
    <n v="28441"/>
    <n v="36054"/>
    <n v="355"/>
    <n v="373.16666666666669"/>
    <n v="181"/>
    <n v="197.66666666666666"/>
    <n v="12296"/>
    <n v="12038.75"/>
    <n v="101"/>
    <n v="96.583333333333329"/>
    <n v="68"/>
    <n v="60.333333333333336"/>
    <n v="16145"/>
    <n v="24015.25"/>
    <n v="254"/>
    <n v="276.58333333333331"/>
    <n v="113"/>
    <n v="137.33333333333334"/>
    <n v="31555"/>
    <n v="11828"/>
    <n v="121"/>
    <n v="76"/>
    <n v="37"/>
    <n v="8"/>
    <m/>
    <m/>
    <n v="1042669"/>
    <n v="935233"/>
    <n v="20990"/>
    <n v="8159.5599999999986"/>
    <n v="0.738019056995183"/>
    <n v="0.19259560581059446"/>
    <n v="276.18421052631578"/>
    <n v="173.47107438016528"/>
    <n v="2.0131029118540974E-2"/>
    <n v="36.66077142153933"/>
    <n v="9.5671018444462455"/>
    <n v="13719.328947368422"/>
    <n v="8617.0991735537191"/>
    <n v="0.89696058864318395"/>
    <n v="32.883267114377134"/>
    <n v="8.5813133020037959"/>
    <n v="12305.697368421053"/>
    <n v="7729.1983471074382"/>
    <n v="374.2236842105263"/>
    <n v="235.04958677685951"/>
    <n v="165.08889912450334"/>
    <n v="61780.176052631577"/>
    <n v="575.4346288280251"/>
    <n v="13226.178535211267"/>
    <n v="25940.847403314918"/>
    <d v="2018-06-01T00:00:00"/>
    <n v="42490.916666666664"/>
    <n v="17282.166666666668"/>
    <n v="74533.083333333328"/>
    <n v="107.36263157894734"/>
    <n v="114.61806764090223"/>
    <m/>
    <m/>
    <m/>
    <m/>
    <d v="2018-06-01T00:00:00"/>
    <m/>
    <n v="0.63500171518806847"/>
    <m/>
    <m/>
    <m/>
    <m/>
    <n v="2.1943529766836996E-2"/>
    <n v="2.8464890069407559E-2"/>
    <n v="4.5031485351535334"/>
    <m/>
    <m/>
    <m/>
    <m/>
    <n v="38804.077520661158"/>
  </r>
  <r>
    <x v="80"/>
    <n v="68144"/>
    <n v="1677"/>
    <n v="2.4609650152617984E-2"/>
    <n v="62948.905300000013"/>
    <n v="0.92376299160601094"/>
    <m/>
    <n v="5.1627358241371074E-2"/>
    <n v="5173418.8499999996"/>
    <m/>
    <n v="34818"/>
    <n v="35322.916666666664"/>
    <n v="431"/>
    <n v="372.5"/>
    <n v="209"/>
    <n v="200.5"/>
    <n v="14150"/>
    <n v="11871"/>
    <n v="147"/>
    <n v="98.416666666666671"/>
    <n v="75"/>
    <n v="64"/>
    <n v="20668"/>
    <n v="23451.916666666668"/>
    <n v="284"/>
    <n v="274.08333333333331"/>
    <n v="134"/>
    <n v="136.5"/>
    <n v="48803"/>
    <n v="15815"/>
    <n v="121"/>
    <n v="77"/>
    <n v="36"/>
    <n v="8"/>
    <m/>
    <m/>
    <n v="982769"/>
    <n v="999472"/>
    <n v="23859"/>
    <n v="8355.7690000000002"/>
    <n v="0.68524900913320697"/>
    <n v="0.17547005723608367"/>
    <n v="309.85714285714283"/>
    <n v="197.18181818181819"/>
    <n v="2.4277322544768914E-2"/>
    <n v="28.225888908036072"/>
    <n v="7.2277351389349382"/>
    <n v="12763.233766233767"/>
    <n v="8122.0578512396696"/>
    <n v="1.0169958555876304"/>
    <n v="28.705612039749553"/>
    <n v="7.3505766815819191"/>
    <n v="12980.155844155845"/>
    <n v="8260.0991735537191"/>
    <n v="452.18181818181819"/>
    <n v="287.75206611570246"/>
    <n v="148.58460709977598"/>
    <n v="67187.257792207791"/>
    <n v="619.14335472893038"/>
    <n v="12003.291995359628"/>
    <n v="24753.200239234448"/>
    <d v="2018-07-01T00:00:00"/>
    <n v="41879.416666666664"/>
    <n v="16758.416666666668"/>
    <n v="74009.75"/>
    <n v="108.51648051948052"/>
    <n v="119.61460399395914"/>
    <m/>
    <m/>
    <m/>
    <m/>
    <d v="2018-07-01T00:00:00"/>
    <m/>
    <n v="0.66715607724507875"/>
    <m/>
    <m/>
    <m/>
    <m/>
    <n v="2.195310172722437E-2"/>
    <n v="2.7589499567022936E-2"/>
    <n v="5.2641249876624103"/>
    <m/>
    <m/>
    <m/>
    <m/>
    <n v="42755.527685950408"/>
  </r>
  <r>
    <x v="81"/>
    <n v="83769"/>
    <n v="1929"/>
    <n v="2.3027611646313076E-2"/>
    <n v="77922.066399999982"/>
    <n v="0.93020170230037347"/>
    <m/>
    <n v="4.6770686053313457E-2"/>
    <n v="6032358.25"/>
    <m/>
    <n v="32778"/>
    <n v="34761.083333333336"/>
    <n v="440"/>
    <n v="374.08333333333331"/>
    <n v="217"/>
    <n v="203.8"/>
    <n v="13703"/>
    <n v="12033.083333333334"/>
    <n v="117"/>
    <n v="99"/>
    <n v="63"/>
    <n v="63.8"/>
    <n v="19075"/>
    <n v="22728"/>
    <n v="323"/>
    <n v="275.08333333333331"/>
    <n v="154"/>
    <n v="140"/>
    <n v="47529"/>
    <n v="13214"/>
    <n v="126"/>
    <n v="83"/>
    <n v="34"/>
    <n v="9"/>
    <m/>
    <m/>
    <n v="1146219"/>
    <n v="1160746"/>
    <n v="29994"/>
    <n v="9609.4089999999997"/>
    <n v="0.91506498261028735"/>
    <n v="0.23158355829313484"/>
    <n v="361.37349397590361"/>
    <n v="238.04761904761904"/>
    <n v="2.6167774221156691E-2"/>
    <n v="34.969156141314294"/>
    <n v="8.8499524772687437"/>
    <n v="13809.867469879518"/>
    <n v="9096.9761904761908"/>
    <n v="1.0126738433056859"/>
    <n v="35.412349746781381"/>
    <n v="8.9621153882284155"/>
    <n v="13984.89156626506"/>
    <n v="9212.269841269841"/>
    <n v="394.91566265060243"/>
    <n v="260.14285714285717"/>
    <n v="184.03680059796204"/>
    <n v="72679.01506024097"/>
    <n v="627.75538537281534"/>
    <n v="13709.905113636363"/>
    <n v="27798.885944700462"/>
    <d v="2018-08-01T00:00:00"/>
    <n v="42226.75"/>
    <n v="16191.833333333334"/>
    <n v="73510.666666666672"/>
    <n v="115.77601204819277"/>
    <n v="120.79265228485956"/>
    <m/>
    <m/>
    <m/>
    <m/>
    <d v="2018-08-01T00:00:00"/>
    <m/>
    <n v="0.69797458288095626"/>
    <m/>
    <m/>
    <m/>
    <m/>
    <n v="2.2156344860751714E-2"/>
    <n v="2.7396307305379328E-2"/>
    <n v="5.2628321900090649"/>
    <m/>
    <m/>
    <m/>
    <m/>
    <n v="47875.859126984127"/>
  </r>
  <r>
    <x v="82"/>
    <n v="78824"/>
    <n v="2117"/>
    <n v="2.6857302344463613E-2"/>
    <n v="76360.164000000019"/>
    <n v="0.96874256571602579"/>
    <m/>
    <n v="4.4001319395105924E-3"/>
    <n v="5549339.4800000004"/>
    <m/>
    <n v="34930"/>
    <n v="34035.833333333336"/>
    <n v="365"/>
    <n v="372.58333333333331"/>
    <n v="179"/>
    <n v="199.66666666666666"/>
    <n v="15542"/>
    <n v="12099.666666666666"/>
    <n v="123"/>
    <n v="100.41666666666667"/>
    <n v="64"/>
    <n v="63.833333333333336"/>
    <n v="19388"/>
    <n v="21936.166666666668"/>
    <n v="242"/>
    <n v="272.16666666666669"/>
    <n v="115"/>
    <n v="135.83333333333334"/>
    <n v="46660"/>
    <n v="18050"/>
    <n v="128"/>
    <n v="85"/>
    <n v="36"/>
    <n v="7"/>
    <m/>
    <m/>
    <n v="1012121"/>
    <n v="1037101"/>
    <n v="26474"/>
    <n v="8618.5689999999995"/>
    <n v="0.75791583166332666"/>
    <n v="0.19640619348935554"/>
    <n v="311.45882352941175"/>
    <n v="206.828125"/>
    <n v="2.6156951589780274E-2"/>
    <n v="28.975694245634127"/>
    <n v="7.5087570053879285"/>
    <n v="11907.305882352941"/>
    <n v="7907.1953125"/>
    <n v="1.0246808434959851"/>
    <n v="29.69083882049814"/>
    <n v="7.6940794618872905"/>
    <n v="12201.188235294117"/>
    <n v="8102.3515625"/>
    <n v="410.94117647058823"/>
    <n v="272.890625"/>
    <n v="158.87029716576009"/>
    <n v="65286.34682352942"/>
    <n v="643.88177202039003"/>
    <n v="15203.66980821918"/>
    <n v="31001.896536312852"/>
    <d v="2018-09-01T00:00:00"/>
    <n v="42369.5"/>
    <n v="16455.916666666668"/>
    <n v="73066.166666666672"/>
    <n v="101.39492941176471"/>
    <n v="120.33331751477537"/>
    <m/>
    <m/>
    <m/>
    <m/>
    <d v="2018-09-01T00:00:00"/>
    <m/>
    <n v="0.70531257148851989"/>
    <m/>
    <m/>
    <m/>
    <m/>
    <n v="2.2657640885991311E-2"/>
    <n v="2.7419460728664687E-2"/>
    <n v="5.4828814736577947"/>
    <m/>
    <m/>
    <m/>
    <m/>
    <n v="43354.214687500003"/>
  </r>
  <r>
    <x v="83"/>
    <n v="85278"/>
    <n v="1897"/>
    <n v="2.2244893172916815E-2"/>
    <n v="88565.137799999982"/>
    <m/>
    <m/>
    <m/>
    <n v="5670790.04"/>
    <m/>
    <n v="42726"/>
    <n v="34023.5"/>
    <n v="432"/>
    <n v="374.75"/>
    <n v="199"/>
    <n v="199.57142857142858"/>
    <n v="19987"/>
    <n v="12576"/>
    <n v="139"/>
    <n v="103.16666666666667"/>
    <n v="67"/>
    <n v="64.285714285714292"/>
    <n v="22739"/>
    <n v="21447.5"/>
    <n v="293"/>
    <n v="271.58333333333331"/>
    <n v="132"/>
    <n v="135.28571428571428"/>
    <n v="56609"/>
    <n v="20984"/>
    <n v="127"/>
    <n v="83"/>
    <n v="36"/>
    <n v="8"/>
    <m/>
    <m/>
    <n v="1072382"/>
    <n v="1094952.2700000005"/>
    <n v="35646"/>
    <n v="9460.8809999999994"/>
    <n v="0.83429293638533919"/>
    <n v="0.22916425104911467"/>
    <n v="429.46987951807228"/>
    <n v="280.67716535433073"/>
    <n v="3.3240020813478779E-2"/>
    <n v="25.099049758928988"/>
    <n v="6.8942270624628765"/>
    <n v="12920.265060240963"/>
    <n v="8443.9527559055114"/>
    <n v="1.021046856437352"/>
    <n v="25.627305855919126"/>
    <n v="7.0393288696930396"/>
    <n v="13192.196024096391"/>
    <n v="8621.6714173228393"/>
    <n v="514.77108433734941"/>
    <n v="336.42519685039372"/>
    <n v="132.72457145531996"/>
    <n v="68322.771566265059"/>
    <n v="599.39344338016724"/>
    <n v="13126.828796296297"/>
    <n v="28496.432361809046"/>
    <d v="2018-10-01T00:00:00"/>
    <n v="42219.166666666664"/>
    <n v="16654.833333333332"/>
    <n v="73015.5"/>
    <n v="113.98651807228914"/>
    <n v="115.73470483351397"/>
    <m/>
    <m/>
    <m/>
    <m/>
    <d v="2018-10-01T00:00:00"/>
    <m/>
    <n v="0.68560652461198446"/>
    <m/>
    <m/>
    <m/>
    <n v="0.95161604306671232"/>
    <n v="2.2492232568618219E-2"/>
    <n v="2.5671767162940458E-2"/>
    <n v="5.2880317275000888"/>
    <m/>
    <m/>
    <m/>
    <m/>
    <n v="44651.890078740158"/>
  </r>
  <r>
    <x v="84"/>
    <n v="97458"/>
    <n v="2059"/>
    <n v="2.1127049600853702E-2"/>
    <n v="95297.1685"/>
    <n v="0.9778280746578013"/>
    <m/>
    <n v="1.044875741344993E-3"/>
    <n v="6463959.3300000001"/>
    <m/>
    <n v="45182"/>
    <n v="34426.083333333336"/>
    <n v="388"/>
    <n v="374.58333333333331"/>
    <n v="207"/>
    <n v="200.5"/>
    <n v="17834"/>
    <n v="12965.166666666666"/>
    <n v="119"/>
    <n v="105.58333333333333"/>
    <n v="68"/>
    <n v="64.75"/>
    <n v="27348"/>
    <n v="21460.916666666668"/>
    <n v="269"/>
    <n v="269"/>
    <n v="139"/>
    <n v="135.75"/>
    <n v="44085"/>
    <n v="20087"/>
    <n v="129"/>
    <n v="88"/>
    <n v="38"/>
    <n v="7"/>
    <m/>
    <m/>
    <n v="1121489"/>
    <n v="1183330.7299999995"/>
    <n v="29732"/>
    <n v="9748.7119999999995"/>
    <n v="0.65804966579611346"/>
    <n v="0.20511877070395454"/>
    <n v="337.86363636363637"/>
    <n v="230.48062015503876"/>
    <n v="2.6511182900590197E-2"/>
    <n v="24.821588243105662"/>
    <n v="7.73706595715079"/>
    <n v="12744.193181818182"/>
    <n v="8693.7131782945744"/>
    <n v="1.0551425203457185"/>
    <n v="26.190313177814161"/>
    <n v="8.163707274109143"/>
    <n v="13446.940113636358"/>
    <n v="9173.1064341085239"/>
    <n v="513.43181818181813"/>
    <n v="350.24806201550388"/>
    <n v="143.06492253552301"/>
    <n v="73454.083295454548"/>
    <n v="663.05777932510478"/>
    <n v="16659.688994845361"/>
    <n v="31226.856666666667"/>
    <d v="2018-11-01T00:00:00"/>
    <n v="42015.333333333336"/>
    <n v="16812.333333333332"/>
    <n v="73945.5"/>
    <n v="110.78081818181818"/>
    <n v="121.38328940274363"/>
    <m/>
    <m/>
    <m/>
    <m/>
    <d v="2018-11-01T00:00:00"/>
    <m/>
    <n v="0.70796648691060371"/>
    <m/>
    <m/>
    <m/>
    <n v="0.95487798001965851"/>
    <n v="2.1735380465493462E-2"/>
    <n v="2.3432958851886322E-2"/>
    <n v="5.7637295862910829"/>
    <m/>
    <m/>
    <m/>
    <m/>
    <n v="50108.211860465119"/>
  </r>
  <r>
    <x v="85"/>
    <n v="61361"/>
    <n v="1286"/>
    <n v="2.0957937452127574E-2"/>
    <n v="59896.048099999993"/>
    <n v="0.97612568406642641"/>
    <m/>
    <n v="2.9163784814460122E-3"/>
    <n v="3456165.31"/>
    <m/>
    <n v="27625"/>
    <n v="34327.166666666664"/>
    <n v="241"/>
    <n v="371"/>
    <n v="142"/>
    <n v="194"/>
    <n v="12768"/>
    <n v="13248"/>
    <n v="86"/>
    <n v="105.41666666666667"/>
    <n v="57"/>
    <n v="63.888888888888886"/>
    <n v="14857"/>
    <n v="21079.166666666668"/>
    <n v="155"/>
    <n v="265.58333333333331"/>
    <n v="85"/>
    <n v="130.11111111111111"/>
    <n v="29618"/>
    <n v="14973"/>
    <n v="135"/>
    <n v="91"/>
    <n v="35"/>
    <n v="9"/>
    <m/>
    <m/>
    <n v="920013"/>
    <n v="693955.91999999993"/>
    <n v="13685"/>
    <n v="6091.4870000000001"/>
    <n v="0.49538461538461537"/>
    <n v="0.12731278694218282"/>
    <n v="150.38461538461539"/>
    <n v="101.37037037037037"/>
    <n v="1.4874789812752646E-2"/>
    <n v="33.303638009049777"/>
    <n v="8.558963759812821"/>
    <n v="10110.032967032967"/>
    <n v="6814.9111111111115"/>
    <n v="0.75428925460835872"/>
    <n v="25.120576289592758"/>
    <n v="6.4559343946091676"/>
    <n v="7625.8892307692304"/>
    <n v="5140.4142222222217"/>
    <n v="303.57142857142856"/>
    <n v="204.62962962962962"/>
    <n v="125.11005647058823"/>
    <n v="37979.838571428569"/>
    <n v="567.37629252102158"/>
    <n v="14340.93489626556"/>
    <n v="24339.192323943662"/>
    <d v="2018-12-01T00:00:00"/>
    <n v="42113.166666666664"/>
    <n v="16934.75"/>
    <n v="74294.333333333328"/>
    <n v="66.93941758241759"/>
    <n v="113.9222524812086"/>
    <m/>
    <m/>
    <m/>
    <m/>
    <d v="2018-12-01T00:00:00"/>
    <m/>
    <n v="0.68173326677796664"/>
    <m/>
    <m/>
    <m/>
    <n v="0.95510832558788683"/>
    <n v="2.1645408265851127E-2"/>
    <n v="2.3300764774177026E-2"/>
    <n v="3.7566483408386619"/>
    <m/>
    <m/>
    <m/>
    <m/>
    <n v="25601.22451851852"/>
  </r>
  <r>
    <x v="86"/>
    <n v="67256"/>
    <n v="2337"/>
    <n v="3.4747829189960749E-2"/>
    <n v="65721.9473"/>
    <n v="0.97719084245271792"/>
    <m/>
    <m/>
    <n v="4410960.1100000003"/>
    <m/>
    <n v="30488"/>
    <n v="34634.833333333336"/>
    <n v="253"/>
    <n v="369.16666666666669"/>
    <n v="148"/>
    <n v="189.4"/>
    <n v="11865"/>
    <n v="13525.916666666666"/>
    <n v="69"/>
    <n v="105.41666666666667"/>
    <n v="46"/>
    <n v="62.1"/>
    <n v="18623"/>
    <n v="21108.916666666668"/>
    <n v="184"/>
    <n v="263.75"/>
    <n v="102"/>
    <n v="127.3"/>
    <n v="32500"/>
    <n v="18112"/>
    <n v="130"/>
    <n v="81"/>
    <n v="40"/>
    <n v="9"/>
    <m/>
    <m/>
    <n v="821898"/>
    <n v="835632.25999999978"/>
    <n v="-15475"/>
    <n v="7515.1549999999997"/>
    <n v="-0.50757675150879034"/>
    <n v="-0.13261133353442839"/>
    <n v="-191.04938271604939"/>
    <n v="-119.03846153846153"/>
    <n v="-1.882837043039404E-2"/>
    <n v="26.958081868276043"/>
    <n v="7.0431657388872129"/>
    <n v="10146.888888888889"/>
    <n v="6322.292307692308"/>
    <n v="1.0167104190544323"/>
    <n v="27.408562713198627"/>
    <n v="7.1608599898538383"/>
    <n v="10316.447654320986"/>
    <n v="6427.9404615384601"/>
    <n v="376.39506172839504"/>
    <n v="234.52307692307693"/>
    <n v="144.67856566517975"/>
    <n v="54456.297654320995"/>
    <n v="586.9420005309272"/>
    <n v="17434.624940711463"/>
    <n v="29803.78452702703"/>
    <d v="2019-01-01T00:00:00"/>
    <n v="41500.083333333336"/>
    <n v="17136.583333333332"/>
    <n v="74863.166666666672"/>
    <n v="92.779691358024692"/>
    <n v="111.19295077746231"/>
    <m/>
    <m/>
    <m/>
    <m/>
    <d v="2019-01-01T00:00:00"/>
    <m/>
    <n v="0.61947575746864947"/>
    <m/>
    <m/>
    <m/>
    <n v="0.96270339457742804"/>
    <n v="2.2796618092578092E-2"/>
    <n v="1.7088680735294858E-2"/>
    <n v="5.3667974736524489"/>
    <m/>
    <m/>
    <m/>
    <m/>
    <n v="33930.462384615385"/>
  </r>
  <r>
    <x v="87"/>
    <n v="77986"/>
    <n v="2032"/>
    <n v="2.6055958761829045E-2"/>
    <n v="76082.962899999999"/>
    <m/>
    <m/>
    <m/>
    <n v="4759440.4000000004"/>
    <m/>
    <n v="38286"/>
    <n v="35224.75"/>
    <n v="301"/>
    <n v="368.33333333333331"/>
    <n v="173"/>
    <n v="187.90909090909091"/>
    <n v="15780"/>
    <n v="14113.5"/>
    <n v="93"/>
    <n v="106.75"/>
    <n v="58"/>
    <n v="61.727272727272727"/>
    <n v="22506"/>
    <n v="21111.25"/>
    <n v="208"/>
    <n v="261.58333333333331"/>
    <n v="115"/>
    <n v="126.18181818181819"/>
    <n v="33054"/>
    <n v="16132"/>
    <n v="128"/>
    <n v="88"/>
    <n v="32"/>
    <n v="8"/>
    <m/>
    <m/>
    <n v="1037261"/>
    <n v="935479.28000000119"/>
    <n v="18604"/>
    <n v="8136.732"/>
    <n v="0.48592174685263545"/>
    <n v="0.15036330905231662"/>
    <n v="211.40909090909091"/>
    <n v="145.34375"/>
    <n v="1.7935697958373062E-2"/>
    <n v="27.092435877344197"/>
    <n v="8.3834657230119856"/>
    <n v="11787.056818181818"/>
    <n v="8103.6015625"/>
    <n v="0.90187453302495824"/>
    <n v="24.433977955388425"/>
    <n v="7.5608342340721792"/>
    <n v="10630.446363636378"/>
    <n v="7308.4318750000093"/>
    <n v="435.06818181818181"/>
    <n v="299.109375"/>
    <n v="124.31281408347699"/>
    <n v="54084.55"/>
    <n v="584.9326732157333"/>
    <n v="15812.094352159469"/>
    <n v="27511.216184971101"/>
    <d v="2019-02-01T00:00:00"/>
    <n v="41050"/>
    <n v="17181.833333333332"/>
    <n v="75715"/>
    <n v="92.462863636363636"/>
    <n v="114.96990192131204"/>
    <m/>
    <m/>
    <m/>
    <m/>
    <d v="2019-02-01T00:00:00"/>
    <m/>
    <n v="0.58805962207709783"/>
    <m/>
    <m/>
    <m/>
    <n v="0.96144676691398578"/>
    <n v="2.3365573080399285E-2"/>
    <n v="1.837610860808625E-2"/>
    <n v="4.5884694401891135"/>
    <m/>
    <m/>
    <m/>
    <m/>
    <n v="37183.128125000003"/>
  </r>
  <r>
    <x v="88"/>
    <n v="78670"/>
    <n v="2125"/>
    <n v="2.7011567306470065E-2"/>
    <n v="76541.026599999968"/>
    <n v="0.9729379255116305"/>
    <m/>
    <n v="5.0507181899438203E-5"/>
    <n v="5541973.9800000004"/>
    <n v="5055556.8466666667"/>
    <n v="34957"/>
    <n v="34861.916666666664"/>
    <n v="348"/>
    <n v="364.25"/>
    <n v="184"/>
    <n v="187.58333333333334"/>
    <n v="11380"/>
    <n v="14120"/>
    <n v="79"/>
    <n v="105.58333333333333"/>
    <n v="52"/>
    <n v="60.916666666666664"/>
    <n v="23577"/>
    <n v="20741.916666666668"/>
    <n v="269"/>
    <n v="258.66666666666669"/>
    <n v="132"/>
    <n v="126.66666666666667"/>
    <n v="40036"/>
    <n v="17603"/>
    <n v="126"/>
    <n v="80"/>
    <n v="39"/>
    <n v="8"/>
    <m/>
    <m/>
    <n v="1048183"/>
    <n v="988816"/>
    <n v="25374"/>
    <n v="8544.1450000000004"/>
    <n v="0.72586320336413312"/>
    <n v="0.19739889957931953"/>
    <n v="317.17500000000001"/>
    <n v="201.38095238095238"/>
    <n v="2.420760496974288E-2"/>
    <n v="29.984924335612323"/>
    <n v="8.1544167556455385"/>
    <n v="13102.2875"/>
    <n v="8318.9126984126979"/>
    <n v="0.94336198927095749"/>
    <n v="28.286637869382385"/>
    <n v="7.6925668119502024"/>
    <n v="12360.2"/>
    <n v="7847.7460317460318"/>
    <n v="436.96249999999998"/>
    <n v="277.43650793650795"/>
    <n v="158.53688760477158"/>
    <n v="69274.674750000006"/>
    <n v="648.62826883204821"/>
    <n v="15925.212586206897"/>
    <n v="30119.423804347829"/>
    <d v="2019-03-01T00:00:00"/>
    <n v="40839.166666666664"/>
    <n v="16933.833333333332"/>
    <n v="75828"/>
    <n v="106.80181250000001"/>
    <n v="115.73024568286235"/>
    <n v="597.86131062122206"/>
    <n v="8423.8141666666652"/>
    <m/>
    <m/>
    <d v="2019-03-01T00:00:00"/>
    <n v="115.39941122553087"/>
    <n v="0.62189749694555585"/>
    <m/>
    <n v="27020.48823542464"/>
    <n v="14105.617956157279"/>
    <n v="0.96139340603886114"/>
    <n v="2.3918914341072673E-2"/>
    <n v="1.7697610121771238E-2"/>
    <n v="5.2872198652334568"/>
    <m/>
    <m/>
    <m/>
    <m/>
    <n v="43983.920476190477"/>
  </r>
  <r>
    <x v="89"/>
    <n v="63061"/>
    <n v="1670"/>
    <n v="2.6482294920790982E-2"/>
    <n v="61575"/>
    <n v="0.97643551481898483"/>
    <m/>
    <m/>
    <n v="3712412.31"/>
    <n v="5008457.8325000005"/>
    <n v="29592"/>
    <n v="34565.75"/>
    <n v="329"/>
    <n v="357.41666666666669"/>
    <n v="173"/>
    <n v="185"/>
    <n v="11960"/>
    <n v="14096.25"/>
    <n v="78"/>
    <n v="104"/>
    <n v="47"/>
    <n v="60.666666666666664"/>
    <n v="17632"/>
    <n v="20469.5"/>
    <n v="251"/>
    <n v="253.41666666666666"/>
    <n v="126"/>
    <n v="124.33333333333333"/>
    <n v="31642"/>
    <n v="15554"/>
    <n v="127"/>
    <n v="81"/>
    <n v="39"/>
    <n v="8"/>
    <n v="5.3100000000000036E-2"/>
    <m/>
    <n v="988237"/>
    <n v="718163"/>
    <n v="12370"/>
    <n v="6315.357"/>
    <n v="0.41801838334685049"/>
    <n v="0.1100551758703063"/>
    <n v="152.71604938271605"/>
    <n v="97.4015748031496"/>
    <n v="1.2517240297620915E-2"/>
    <n v="33.395410921870777"/>
    <n v="8.7922875373115517"/>
    <n v="12200.456790123457"/>
    <n v="7781.3937007874019"/>
    <n v="0.72671130508167581"/>
    <n v="24.268822654771562"/>
    <n v="6.3894547508930302"/>
    <n v="8866.2098765432092"/>
    <n v="5654.8267716535429"/>
    <n v="365.33333333333331"/>
    <n v="233.00787401574803"/>
    <n v="125.45324107866992"/>
    <n v="45832.250740740739"/>
    <n v="587.83886801648748"/>
    <n v="11283.927993920974"/>
    <n v="21459.03069364162"/>
    <d v="2019-04-01T00:00:00"/>
    <n v="39865.25"/>
    <n v="16528.333333333332"/>
    <n v="75567.583333333328"/>
    <n v="77.967370370370375"/>
    <n v="113.71692843334114"/>
    <n v="603.74165861373353"/>
    <n v="8260.9693333333344"/>
    <n v="145.25249541057886"/>
    <n v="11677.37483888436"/>
    <d v="2019-04-01T00:00:00"/>
    <n v="115.85733410045526"/>
    <n v="0.61444470559419806"/>
    <n v="82.416666666666671"/>
    <n v="27061.354976234648"/>
    <n v="14178.629700987272"/>
    <n v="0.96200260403210636"/>
    <n v="2.4423498859988391E-2"/>
    <n v="1.8756163334534438E-2"/>
    <n v="3.7566012100336255"/>
    <m/>
    <m/>
    <m/>
    <m/>
    <n v="29231.592992125985"/>
  </r>
  <r>
    <x v="90"/>
    <n v="86336"/>
    <n v="2481"/>
    <n v="2.8736564121571533E-2"/>
    <n v="80568.292199999982"/>
    <n v="0.93319463723128226"/>
    <m/>
    <m/>
    <n v="5567479.9299999997"/>
    <n v="5086132.6141666668"/>
    <n v="37780"/>
    <n v="34800.25"/>
    <n v="389"/>
    <n v="356"/>
    <n v="196"/>
    <n v="184"/>
    <n v="12625"/>
    <n v="14157.5"/>
    <n v="71"/>
    <n v="101.83333333333333"/>
    <n v="48"/>
    <n v="59.416666666666664"/>
    <n v="25155"/>
    <n v="20642.75"/>
    <n v="318"/>
    <n v="254.16666666666666"/>
    <n v="148"/>
    <n v="124.58333333333333"/>
    <n v="42571"/>
    <n v="18571"/>
    <n v="131"/>
    <n v="82"/>
    <n v="41"/>
    <n v="8"/>
    <n v="4.6399999999999997E-2"/>
    <m/>
    <n v="1147953"/>
    <n v="1035972"/>
    <n v="25905"/>
    <n v="9087.7580000000016"/>
    <n v="0.68568025410269984"/>
    <n v="0.19210625355726571"/>
    <n v="315.91463414634148"/>
    <n v="197.74809160305344"/>
    <n v="2.2566254890226341E-2"/>
    <n v="30.385203811540496"/>
    <n v="8.5129878436527253"/>
    <n v="13999.426829268292"/>
    <n v="8763"/>
    <n v="0.90245158120585078"/>
    <n v="27.421175224986765"/>
    <n v="7.6825593402905881"/>
    <n v="12633.804878048781"/>
    <n v="7908.1832061068699"/>
    <n v="460.73170731707319"/>
    <n v="288.39694656488547"/>
    <n v="147.36580015881418"/>
    <n v="67896.096707317076"/>
    <n v="612.63514389357624"/>
    <n v="14312.287737789202"/>
    <n v="28405.509846938774"/>
    <d v="2019-05-01T00:00:00"/>
    <n v="40388.5"/>
    <n v="16743.583333333332"/>
    <n v="76477.75"/>
    <n v="110.82631707317076"/>
    <n v="113.99643344376025"/>
    <n v="609.75163422210221"/>
    <n v="8303.6278333333339"/>
    <n v="146.48562192002876"/>
    <n v="11712.005596265617"/>
    <d v="2019-05-01T00:00:00"/>
    <n v="116.33377903422506"/>
    <n v="0.57432357784380006"/>
    <n v="82.916666666666671"/>
    <n v="27571.356377742366"/>
    <n v="14419.887145885143"/>
    <n v="0.9610556999720643"/>
    <n v="2.5284456647075002E-2"/>
    <n v="1.5874007883501438E-2"/>
    <n v="4.8499197528121796"/>
    <m/>
    <m/>
    <m/>
    <m/>
    <n v="42499.846793893128"/>
  </r>
  <r>
    <x v="91"/>
    <n v="72922"/>
    <n v="1701"/>
    <n v="2.3326293848221387E-2"/>
    <n v="71199.016400000008"/>
    <n v="0.97637223883053137"/>
    <m/>
    <n v="3.0146732124724379E-4"/>
    <n v="4504290.1900000004"/>
    <n v="5070215.6816666666"/>
    <n v="32686"/>
    <n v="35154"/>
    <n v="350"/>
    <n v="355.58333333333331"/>
    <n v="174"/>
    <n v="183.41666666666666"/>
    <n v="12902"/>
    <n v="14208"/>
    <n v="70"/>
    <n v="99.25"/>
    <n v="41"/>
    <n v="57.166666666666664"/>
    <n v="19784"/>
    <n v="20946"/>
    <n v="280"/>
    <n v="256.33333333333331"/>
    <n v="133"/>
    <n v="126.25"/>
    <n v="42661"/>
    <n v="15706"/>
    <n v="131"/>
    <n v="84"/>
    <n v="39"/>
    <n v="8"/>
    <n v="3.73E-2"/>
    <m/>
    <n v="1041480"/>
    <n v="886384"/>
    <n v="16221"/>
    <n v="7852.0690000000004"/>
    <n v="0.49626751514409839"/>
    <n v="0.12745344543097353"/>
    <n v="193.10714285714286"/>
    <n v="123.82442748091603"/>
    <n v="1.5574951031224795E-2"/>
    <n v="31.863183014134492"/>
    <n v="8.1832324978392386"/>
    <n v="12398.571428571429"/>
    <n v="7950.2290076335876"/>
    <n v="0.85108115374275073"/>
    <n v="27.118154561586"/>
    <n v="6.9645949556061915"/>
    <n v="10552.190476190477"/>
    <n v="6766.2900763358775"/>
    <n v="389.11904761904759"/>
    <n v="249.5114503816794"/>
    <n v="137.80487639968183"/>
    <n v="53622.502261904767"/>
    <n v="573.64373517349384"/>
    <n v="12869.400542857144"/>
    <n v="25886.725229885058"/>
    <d v="2019-06-01T00:00:00"/>
    <n v="41314"/>
    <n v="17066.75"/>
    <n v="76755.416666666672"/>
    <n v="93.477011904761909"/>
    <n v="112.88540638142634"/>
    <n v="609.60239308422467"/>
    <n v="8278.0035833333332"/>
    <n v="144.21195335962696"/>
    <n v="11565.88002191307"/>
    <d v="2019-06-01T00:00:00"/>
    <n v="116.18939059593539"/>
    <n v="0.5541776160228763"/>
    <n v="83.583333333333329"/>
    <n v="27566.846196623213"/>
    <n v="14390.155646522298"/>
    <n v="0.96127921771917857"/>
    <n v="2.5432079376511374E-2"/>
    <n v="1.5301629280018976E-2"/>
    <n v="4.3248936033337175"/>
    <m/>
    <m/>
    <m/>
    <m/>
    <n v="34383.894580152672"/>
  </r>
  <r>
    <x v="92"/>
    <n v="82602"/>
    <n v="1747"/>
    <n v="2.1149608968305852E-2"/>
    <n v="80698.279700000014"/>
    <n v="0.9769530967773179"/>
    <m/>
    <n v="1.89729425437625E-3"/>
    <n v="5013074.53"/>
    <n v="5056853.6550000003"/>
    <n v="36077"/>
    <n v="35258.916666666664"/>
    <n v="349"/>
    <n v="348.75"/>
    <n v="188"/>
    <n v="181.66666666666666"/>
    <n v="15477"/>
    <n v="14318.583333333334"/>
    <n v="93"/>
    <n v="94.75"/>
    <n v="49"/>
    <n v="55"/>
    <n v="20600"/>
    <n v="20940.333333333332"/>
    <n v="256"/>
    <n v="254"/>
    <n v="139"/>
    <n v="126.66666666666667"/>
    <n v="62701"/>
    <n v="22787"/>
    <n v="133"/>
    <n v="79"/>
    <n v="45"/>
    <n v="9"/>
    <n v="5.0799999999999956E-2"/>
    <m/>
    <n v="1287992"/>
    <n v="956380"/>
    <n v="131001"/>
    <n v="8179.0410000000002"/>
    <n v="3.631150040191812"/>
    <n v="0.82969088444795358"/>
    <n v="1658.2405063291139"/>
    <n v="984.96992481203006"/>
    <n v="0.10170948266759421"/>
    <n v="35.70119466696233"/>
    <n v="8.1574585052166668"/>
    <n v="16303.696202531646"/>
    <n v="9684.1503759398493"/>
    <n v="0.7425356679234032"/>
    <n v="26.509410427696317"/>
    <n v="6.0572038997285045"/>
    <n v="12106.075949367088"/>
    <n v="7190.8270676691727"/>
    <n v="456.67088607594934"/>
    <n v="271.25563909774434"/>
    <n v="138.95486126895253"/>
    <n v="63456.639620253169"/>
    <n v="612.91715373477166"/>
    <n v="14364.110401146132"/>
    <n v="26665.290053191489"/>
    <d v="2019-07-01T00:00:00"/>
    <n v="42472.166666666664"/>
    <n v="17647.75"/>
    <n v="77960.25"/>
    <n v="103.53216455696203"/>
    <n v="116.93057902509597"/>
    <n v="609.08354300137808"/>
    <n v="8263.2762500000008"/>
    <n v="143.4094745403917"/>
    <n v="11493.040030680671"/>
    <d v="2019-07-01T00:00:00"/>
    <n v="115.96572184853012"/>
    <n v="0.79966936861109339"/>
    <n v="83.75"/>
    <n v="27726.187014452968"/>
    <n v="14586.890513671175"/>
    <n v="0.96659822823630925"/>
    <n v="2.5143742611152032E-2"/>
    <n v="8.1973344247339985E-3"/>
    <n v="3.8921627851725789"/>
    <m/>
    <m/>
    <m/>
    <m/>
    <n v="37692.289699248126"/>
  </r>
  <r>
    <x v="93"/>
    <n v="86741"/>
    <n v="1681"/>
    <n v="1.9379532170484545E-2"/>
    <n v="84539.285299999989"/>
    <n v="0.97461737010179716"/>
    <m/>
    <n v="6.0030977277182908E-3"/>
    <n v="5510141.6299999999"/>
    <n v="5013335.6033333344"/>
    <n v="38941"/>
    <n v="35772.5"/>
    <n v="360"/>
    <n v="342.08333333333331"/>
    <n v="211"/>
    <n v="181.16666666666666"/>
    <n v="16558"/>
    <n v="14556.5"/>
    <n v="87"/>
    <n v="92.25"/>
    <n v="57"/>
    <n v="54.5"/>
    <n v="22383"/>
    <n v="21216"/>
    <n v="273"/>
    <n v="249.83333333333334"/>
    <n v="154"/>
    <n v="126.66666666666667"/>
    <n v="47148"/>
    <n v="16384"/>
    <n v="132"/>
    <n v="80"/>
    <n v="43"/>
    <n v="9"/>
    <n v="7.2200000000000042E-2"/>
    <m/>
    <n v="1105068"/>
    <n v="1193075"/>
    <n v="-1224"/>
    <n v="8543.8629999999994"/>
    <n v="-3.1432166611026935E-2"/>
    <n v="-8.7842844557995837E-3"/>
    <n v="-15.3"/>
    <n v="-9.2727272727272734"/>
    <n v="-1.1076241462063873E-3"/>
    <n v="28.378007755322155"/>
    <n v="7.9307448161777243"/>
    <n v="13813.35"/>
    <n v="8371.7272727272721"/>
    <n v="1.0796394430026026"/>
    <n v="30.638016486479547"/>
    <n v="8.5623449159338954"/>
    <n v="14913.4375"/>
    <n v="9038.44696969697"/>
    <n v="486.76249999999999"/>
    <n v="295.00757575757575"/>
    <n v="141.49974653963687"/>
    <n v="68876.770374999993"/>
    <n v="644.92392141587482"/>
    <n v="15305.948972222222"/>
    <n v="26114.415308056872"/>
    <d v="2019-08-01T00:00:00"/>
    <n v="42440.416666666664"/>
    <n v="17911.916666666668"/>
    <n v="78207.916666666672"/>
    <n v="106.79828749999999"/>
    <n v="139.64116699904952"/>
    <n v="610.51425433829979"/>
    <n v="8174.4807499999997"/>
    <n v="139.86472003553123"/>
    <n v="11570.418858491917"/>
    <d v="2019-08-01T00:00:00"/>
    <n v="117.53643140804594"/>
    <n v="0.72079460617598379"/>
    <n v="83.5"/>
    <n v="27585.814461399332"/>
    <n v="14719.894168553328"/>
    <n v="0.97103979501645166"/>
    <n v="2.4839735988166325E-2"/>
    <n v="2.3733932353632602E-3"/>
    <n v="4.9862466653635797"/>
    <m/>
    <m/>
    <m/>
    <m/>
    <n v="41743.497196969693"/>
  </r>
  <r>
    <x v="94"/>
    <n v="80300"/>
    <n v="1557"/>
    <n v="1.9389788293897883E-2"/>
    <n v="76369.141899999988"/>
    <n v="0.95104784433374834"/>
    <m/>
    <n v="2.9562367372353779E-2"/>
    <n v="5463230.4400000004"/>
    <n v="5006159.8500000006"/>
    <n v="37953"/>
    <n v="36024.416666666664"/>
    <n v="326"/>
    <n v="338.83333333333331"/>
    <n v="169"/>
    <n v="180.33333333333334"/>
    <n v="19241"/>
    <n v="14864.75"/>
    <n v="110"/>
    <n v="91.166666666666671"/>
    <n v="58"/>
    <n v="54"/>
    <n v="18712"/>
    <n v="21159.666666666668"/>
    <n v="216"/>
    <n v="247.66666666666666"/>
    <n v="111"/>
    <n v="126.33333333333333"/>
    <n v="52455"/>
    <n v="20194"/>
    <n v="128"/>
    <n v="75"/>
    <n v="44"/>
    <n v="9"/>
    <n v="5.0799999999999956E-2"/>
    <m/>
    <n v="1082205"/>
    <n v="1037342"/>
    <n v="24693"/>
    <n v="7726.2220000000007"/>
    <n v="0.65062050430795981"/>
    <n v="0.16725076156228499"/>
    <n v="329.24"/>
    <n v="192.9140625"/>
    <n v="2.281730356078562E-2"/>
    <n v="28.514346691961109"/>
    <n v="7.3299967770830863"/>
    <n v="14429.4"/>
    <n v="8454.7265625"/>
    <n v="0.95854482283855647"/>
    <n v="27.332279398203042"/>
    <n v="7.0261304620962965"/>
    <n v="13831.226666666667"/>
    <n v="8104.234375"/>
    <n v="506.04"/>
    <n v="296.5078125"/>
    <n v="143.94726214001528"/>
    <n v="72843.072533333339"/>
    <n v="707.10244152963764"/>
    <n v="16758.375582822086"/>
    <n v="32326.807337278107"/>
    <d v="2019-09-01T00:00:00"/>
    <n v="42923.333333333336"/>
    <n v="18090.583333333332"/>
    <n v="78330.916666666672"/>
    <n v="103.01629333333334"/>
    <n v="134.26251536650125"/>
    <n v="615.78264346407036"/>
    <n v="8100.1185000000005"/>
    <n v="138.62113378338583"/>
    <n v="11706.25539443963"/>
    <d v="2019-09-01T00:00:00"/>
    <n v="118.69719789568978"/>
    <n v="0.71185332889636987"/>
    <n v="82.666666666666671"/>
    <n v="27696.223694813103"/>
    <n v="14849.452983103567"/>
    <n v="0.9692703228782239"/>
    <n v="2.4217443150619175E-2"/>
    <n v="5.9679982971980001E-3"/>
    <n v="5.0482398806141173"/>
    <m/>
    <m/>
    <m/>
    <m/>
    <n v="42681.487812500003"/>
  </r>
  <r>
    <x v="95"/>
    <n v="89976"/>
    <n v="1340"/>
    <n v="1.4892860318307104E-2"/>
    <n v="87716.15330000002"/>
    <n v="0.97488389459411418"/>
    <m/>
    <n v="1.0223245087578721E-2"/>
    <n v="5494825.4500000002"/>
    <n v="4991496.1341666663"/>
    <n v="36110"/>
    <n v="35473.083333333336"/>
    <n v="337"/>
    <n v="330.91666666666669"/>
    <n v="190"/>
    <n v="179.58333333333334"/>
    <n v="15291"/>
    <n v="14473.416666666666"/>
    <n v="84"/>
    <n v="86.583333333333329"/>
    <n v="51"/>
    <n v="52.666666666666664"/>
    <n v="20819"/>
    <n v="20999.666666666668"/>
    <n v="253"/>
    <n v="244.33333333333334"/>
    <n v="139"/>
    <n v="126.91666666666667"/>
    <n v="55404"/>
    <n v="16317"/>
    <n v="128"/>
    <n v="77"/>
    <n v="43"/>
    <n v="8"/>
    <n v="5.7400000000000007E-2"/>
    <m/>
    <n v="1120670"/>
    <n v="1120822"/>
    <n v="15210"/>
    <n v="7970.4460000000008"/>
    <n v="0.42121296039878148"/>
    <n v="0.10537503918655922"/>
    <n v="197.53246753246754"/>
    <n v="118.828125"/>
    <n v="1.3572238036174787E-2"/>
    <n v="31.034893381334811"/>
    <n v="7.7640134888363779"/>
    <n v="14554.155844155845"/>
    <n v="8755.234375"/>
    <n v="1.0001356331480276"/>
    <n v="31.03910274162282"/>
    <n v="7.7650665464271968"/>
    <n v="14556.129870129869"/>
    <n v="8756.421875"/>
    <n v="468.96103896103898"/>
    <n v="282.109375"/>
    <n v="152.16907920243699"/>
    <n v="71361.369480519483"/>
    <n v="689.39999718961769"/>
    <n v="16305.120029673591"/>
    <n v="28920.133947368424"/>
    <d v="2019-10-01T00:00:00"/>
    <n v="42822.916666666664"/>
    <n v="17701.666666666668"/>
    <n v="78722.416666666672"/>
    <n v="103.51228571428572"/>
    <n v="140.62224372387692"/>
    <n v="623.28318961485797"/>
    <n v="7975.9155833333325"/>
    <n v="140.24150942897893"/>
    <n v="11819.916548275754"/>
    <d v="2019-10-01T00:00:00"/>
    <n v="120.77115946988668"/>
    <n v="0.67742999756415678"/>
    <n v="82.166666666666671"/>
    <n v="27731.532160276387"/>
    <n v="15114.310585885009"/>
    <n v="0.96978064757966853"/>
    <n v="2.3604773746068369E-2"/>
    <n v="6.4999041459955905E-3"/>
    <n v="4.9031610108238821"/>
    <m/>
    <m/>
    <m/>
    <m/>
    <n v="42928.323828125001"/>
  </r>
  <r>
    <x v="96"/>
    <n v="87133"/>
    <n v="1135"/>
    <n v="1.3026063603915852E-2"/>
    <n v="85162.418000000005"/>
    <n v="0.97738420575442142"/>
    <m/>
    <n v="9.5897306416627276E-3"/>
    <n v="5484324.0700000003"/>
    <n v="4909859.8624999998"/>
    <n v="34330"/>
    <n v="34568.75"/>
    <n v="302"/>
    <n v="323.75"/>
    <n v="181"/>
    <n v="177.41666666666666"/>
    <n v="15252"/>
    <n v="14258.25"/>
    <n v="93"/>
    <n v="84.416666666666671"/>
    <n v="58"/>
    <n v="51.833333333333336"/>
    <n v="19078"/>
    <n v="20310.5"/>
    <n v="209"/>
    <n v="239.33333333333334"/>
    <n v="123"/>
    <n v="125.58333333333333"/>
    <n v="44484"/>
    <n v="14217"/>
    <n v="128"/>
    <n v="77"/>
    <n v="43"/>
    <n v="8"/>
    <n v="6.2899999999999956E-2"/>
    <m/>
    <n v="1107174"/>
    <n v="1106002"/>
    <n v="592"/>
    <n v="7625.1850000000004"/>
    <n v="1.7244392659481501E-2"/>
    <n v="4.6039972598957753E-3"/>
    <n v="7.6883116883116882"/>
    <n v="4.625"/>
    <n v="5.3469463697666309E-4"/>
    <n v="32.25091756481212"/>
    <n v="8.6105169970064956"/>
    <n v="14378.883116883117"/>
    <n v="8649.796875"/>
    <n v="0.99894144913085026"/>
    <n v="32.216778327993012"/>
    <n v="8.6014023267554851"/>
    <n v="14363.662337662337"/>
    <n v="8640.640625"/>
    <n v="445.84415584415586"/>
    <n v="268.203125"/>
    <n v="159.75310428196914"/>
    <n v="71224.987922077926"/>
    <n v="719.23816536910249"/>
    <n v="18160.013476821194"/>
    <n v="30300.132983425417"/>
    <d v="2019-11-01T00:00:00"/>
    <n v="42856.166666666664"/>
    <n v="17212.5"/>
    <n v="77862"/>
    <n v="99.02837662337663"/>
    <n v="145.04592347595499"/>
    <n v="627.96488845185775"/>
    <n v="7798.954999999999"/>
    <n v="141.63219124118277"/>
    <n v="11896.310066944585"/>
    <d v="2019-11-01T00:00:00"/>
    <n v="122.74304564265431"/>
    <n v="0.62402955813610417"/>
    <n v="81.25"/>
    <n v="27654.305186672947"/>
    <n v="15239.337626049659"/>
    <n v="0.96974029586117938"/>
    <n v="2.292969157965688E-2"/>
    <n v="7.5680110085353082E-3"/>
    <n v="4.9534436953902459"/>
    <m/>
    <m/>
    <m/>
    <m/>
    <n v="42846.281796875002"/>
  </r>
  <r>
    <x v="97"/>
    <n v="62837"/>
    <n v="922"/>
    <n v="1.4672883810493817E-2"/>
    <n v="61284.890199999987"/>
    <n v="0.97529942868055419"/>
    <m/>
    <n v="1.002768750895199E-2"/>
    <n v="3832569.98"/>
    <n v="4941226.9183333339"/>
    <n v="30474"/>
    <n v="34806.166666666664"/>
    <n v="224"/>
    <n v="322.33333333333331"/>
    <n v="129"/>
    <n v="176.33333333333334"/>
    <n v="14238"/>
    <n v="14380.75"/>
    <n v="64"/>
    <n v="82.583333333333329"/>
    <n v="43"/>
    <n v="50.666666666666664"/>
    <n v="16236"/>
    <n v="20425.416666666668"/>
    <n v="160"/>
    <n v="239.75"/>
    <n v="86"/>
    <n v="125.66666666666667"/>
    <n v="42262"/>
    <n v="12514"/>
    <n v="124"/>
    <n v="73"/>
    <n v="44"/>
    <n v="7"/>
    <n v="3.8599999999999968E-2"/>
    <m/>
    <n v="974002"/>
    <n v="778737"/>
    <n v="8922"/>
    <n v="5470.2740000000003"/>
    <n v="0.29277416814333529"/>
    <n v="7.3791744951733199E-2"/>
    <n v="122.21917808219177"/>
    <n v="71.951612903225808"/>
    <n v="9.1601454617136306E-3"/>
    <n v="31.961737874909758"/>
    <n v="8.0557394268637115"/>
    <n v="13342.493150684932"/>
    <n v="7854.8548387096771"/>
    <n v="0.79952299892608025"/>
    <n v="25.554144516637134"/>
    <n v="6.4407489451331381"/>
    <n v="10667.630136986301"/>
    <n v="6280.1370967741932"/>
    <n v="417.45205479452056"/>
    <n v="245.75806451612902"/>
    <n v="125.76524184550765"/>
    <n v="52500.958630136985"/>
    <n v="700.61755224692581"/>
    <n v="17109.687410714287"/>
    <n v="29709.844806201549"/>
    <d v="2019-12-01T00:00:00"/>
    <n v="43909.833333333336"/>
    <n v="17007.583333333332"/>
    <n v="77985"/>
    <n v="74.935260273972602"/>
    <n v="142.35795135673277"/>
    <n v="639.06832676234978"/>
    <n v="7747.187249999999"/>
    <n v="141.68679002242607"/>
    <n v="12149.788475796007"/>
    <d v="2019-12-01T00:00:00"/>
    <n v="125.11268721561468"/>
    <n v="0.60714535419933091"/>
    <n v="79.75"/>
    <n v="28101.859560194436"/>
    <n v="15470.067002253722"/>
    <n v="0.96966518173519101"/>
    <n v="2.240593710952073E-2"/>
    <n v="8.4569246369735548E-3"/>
    <n v="3.9348686963681798"/>
    <m/>
    <m/>
    <m/>
    <m/>
    <n v="30907.822419354838"/>
  </r>
  <r>
    <x v="98"/>
    <n v="92832"/>
    <n v="1311"/>
    <n v="1.4122285418821096E-2"/>
    <n v="90812.282399999996"/>
    <n v="0.97824330403309201"/>
    <m/>
    <n v="7.6344105480868948E-3"/>
    <n v="5219122.3"/>
    <n v="5008573.7675000001"/>
    <n v="39057"/>
    <n v="35520.25"/>
    <n v="293"/>
    <n v="325.66666666666669"/>
    <n v="151"/>
    <n v="176.58333333333334"/>
    <n v="18241"/>
    <n v="14912.083333333334"/>
    <n v="67"/>
    <n v="82.416666666666671"/>
    <n v="39"/>
    <n v="50.083333333333336"/>
    <n v="20816"/>
    <n v="20608.166666666668"/>
    <n v="226"/>
    <n v="243.25"/>
    <n v="112"/>
    <n v="126.5"/>
    <n v="50058"/>
    <n v="16445"/>
    <n v="126"/>
    <n v="68"/>
    <n v="50"/>
    <n v="8"/>
    <n v="5.0899999999999945E-2"/>
    <m/>
    <n v="1071165"/>
    <n v="1053028"/>
    <n v="10984"/>
    <n v="7737.16"/>
    <n v="0.28122999718360348"/>
    <n v="7.73376799400112E-2"/>
    <n v="161.52941176470588"/>
    <n v="87.174603174603178"/>
    <n v="1.0254255880279882E-2"/>
    <n v="27.425685536523542"/>
    <n v="7.5420080055482606"/>
    <n v="15752.426470588236"/>
    <n v="8501.3095238095229"/>
    <n v="0.98306796805347452"/>
    <n v="26.961312952863764"/>
    <n v="7.4143064850573657"/>
    <n v="15485.705882352941"/>
    <n v="8357.3650793650795"/>
    <n v="574.36764705882354"/>
    <n v="309.97619047619048"/>
    <n v="133.62834575108175"/>
    <n v="76751.798529411768"/>
    <n v="674.55271701761365"/>
    <n v="17812.704095563138"/>
    <n v="34563.723841059604"/>
    <d v="2020-01-01T00:00:00"/>
    <n v="45373"/>
    <n v="16868.666666666668"/>
    <n v="80116.333333333328"/>
    <n v="113.78176470588235"/>
    <n v="136.10006772510843"/>
    <n v="646.36921980290697"/>
    <n v="7765.6876666666676"/>
    <n v="140.76593836291789"/>
    <n v="12580.55999479867"/>
    <d v="2020-01-01T00:00:00"/>
    <n v="127.18828029458517"/>
    <n v="0.67287924992369696"/>
    <n v="78.666666666666671"/>
    <n v="28498.521169697149"/>
    <n v="15501.573598491363"/>
    <n v="0.96976086006067963"/>
    <n v="2.0687141795259097E-2"/>
    <n v="8.3655341826528139E-3"/>
    <n v="4.8723794186703264"/>
    <m/>
    <m/>
    <m/>
    <m/>
    <n v="41421.605555555558"/>
  </r>
  <r>
    <x v="99"/>
    <n v="76316"/>
    <n v="1209"/>
    <n v="1.5842025263378585E-2"/>
    <n v="74341.794800000003"/>
    <n v="0.97413117563813623"/>
    <m/>
    <n v="1.0026799098485188E-2"/>
    <n v="4998390.04"/>
    <n v="5028486.2374999998"/>
    <n v="33516"/>
    <n v="35122.75"/>
    <n v="303"/>
    <n v="325.83333333333331"/>
    <n v="173"/>
    <n v="176.58333333333334"/>
    <n v="15062"/>
    <n v="14852.25"/>
    <n v="62"/>
    <n v="79.833333333333329"/>
    <n v="41"/>
    <n v="48.666666666666664"/>
    <n v="18454"/>
    <n v="20270.5"/>
    <n v="241"/>
    <n v="246"/>
    <n v="132"/>
    <n v="127.91666666666667"/>
    <n v="46023"/>
    <n v="13516"/>
    <n v="121"/>
    <n v="65"/>
    <n v="48"/>
    <n v="8"/>
    <n v="4.9200000000000021E-2"/>
    <m/>
    <n v="1058618"/>
    <n v="1027456"/>
    <n v="4786"/>
    <n v="7124.28"/>
    <n v="0.14279746986513903"/>
    <n v="3.7055915513132032E-2"/>
    <n v="73.630769230769232"/>
    <n v="39.553719008264466"/>
    <n v="4.5209886852481257E-3"/>
    <n v="31.585451724549468"/>
    <n v="8.1964185475722537"/>
    <n v="16286.430769230768"/>
    <n v="8748.9090909090901"/>
    <n v="0.97056350827210569"/>
    <n v="30.655686836137964"/>
    <n v="7.9551447407982838"/>
    <n v="15807.015384615384"/>
    <n v="8491.371900826447"/>
    <n v="515.63076923076926"/>
    <n v="276.9917355371901"/>
    <n v="149.13444444444445"/>
    <n v="76898.308307692307"/>
    <n v="701.59932512478451"/>
    <n v="16496.336765676569"/>
    <n v="28892.427976878615"/>
    <d v="2020-02-01T00:00:00"/>
    <n v="46453.75"/>
    <n v="16650.666666666668"/>
    <n v="79977.166666666672"/>
    <n v="109.60430769230769"/>
    <n v="144.21892457904519"/>
    <n v="656.0914407953278"/>
    <n v="7681.3166666666684"/>
    <n v="142.83440755966518"/>
    <n v="13011.940746546921"/>
    <d v="2020-02-01T00:00:00"/>
    <n v="129.62569884939626"/>
    <n v="0.64428556017473892"/>
    <n v="76.75"/>
    <n v="28613.622152356111"/>
    <n v="15558.593799617787"/>
    <n v="0.97012505302546781"/>
    <n v="1.9835980670388224E-2"/>
    <n v="8.5316606742360523E-3"/>
    <n v="4.7216182230039543"/>
    <m/>
    <m/>
    <m/>
    <m/>
    <n v="41309.008595041319"/>
  </r>
  <r>
    <x v="100"/>
    <n v="66537"/>
    <n v="920"/>
    <n v="1.3826893307483054E-2"/>
    <n v="65003.089699999997"/>
    <n v="0.97694650645505499"/>
    <m/>
    <n v="9.2266002374619595E-3"/>
    <n v="3853416.1"/>
    <n v="4887773.0808333335"/>
    <n v="30730"/>
    <n v="34770.5"/>
    <n v="281"/>
    <n v="320.25"/>
    <n v="154"/>
    <n v="174.08333333333334"/>
    <n v="16484"/>
    <n v="15277.583333333334"/>
    <n v="68"/>
    <n v="78.916666666666671"/>
    <n v="42"/>
    <n v="47.833333333333336"/>
    <n v="14246"/>
    <n v="19492.916666666668"/>
    <n v="213"/>
    <n v="241.33333333333334"/>
    <n v="112"/>
    <n v="126.25"/>
    <n v="54126"/>
    <n v="21103"/>
    <n v="119"/>
    <n v="64"/>
    <n v="47"/>
    <n v="8"/>
    <n v="6.8699999999999983E-2"/>
    <m/>
    <n v="1101807"/>
    <n v="810881"/>
    <n v="29102"/>
    <n v="5700.5740000000005"/>
    <n v="0.94702245362837623"/>
    <n v="0.2054372418239597"/>
    <n v="454.71875"/>
    <n v="244.55462184873949"/>
    <n v="2.6412974323089252E-2"/>
    <n v="35.854441913439636"/>
    <n v="7.7778912481043081"/>
    <n v="17215.734375"/>
    <n v="9258.8823529411766"/>
    <n v="0.73595557116627508"/>
    <n v="26.387276277253498"/>
    <n v="5.7241823959677776"/>
    <n v="12670.015625"/>
    <n v="6814.1260504201682"/>
    <n v="480.15625"/>
    <n v="258.23529411764707"/>
    <n v="125.39590302635861"/>
    <n v="60209.626562500001"/>
    <n v="675.96984093180788"/>
    <n v="13713.224555160143"/>
    <n v="25022.182467532468"/>
    <d v="2020-03-01T00:00:00"/>
    <n v="47627.916666666664"/>
    <n v="16942.333333333332"/>
    <n v="78966.083333333328"/>
    <n v="89.071468750000008"/>
    <n v="142.24550018998085"/>
    <n v="658.36990513697447"/>
    <n v="7444.3524166666684"/>
    <n v="140.07265884479742"/>
    <n v="13037.758715296921"/>
    <d v="2020-03-01T00:00:00"/>
    <n v="131.83530339165614"/>
    <n v="0.66271549769675919"/>
    <n v="75.416666666666671"/>
    <n v="28188.852040954833"/>
    <n v="15374.261463697223"/>
    <n v="0.97045910143741965"/>
    <n v="1.8737257837139306E-2"/>
    <n v="9.4492699797923026E-3"/>
    <n v="3.4973603362476369"/>
    <m/>
    <m/>
    <m/>
    <m/>
    <n v="32381.647899159663"/>
  </r>
  <r>
    <x v="101"/>
    <n v="38552"/>
    <n v="466"/>
    <n v="1.2087570035277028E-2"/>
    <n v="37678.227599999998"/>
    <n v="0.97733522515044613"/>
    <m/>
    <n v="1.0577204814276842E-2"/>
    <n v="2311650.86"/>
    <n v="4771042.96"/>
    <n v="8390"/>
    <n v="33003.666666666664"/>
    <n v="56"/>
    <n v="297.5"/>
    <n v="41"/>
    <n v="163.08333333333334"/>
    <n v="5724"/>
    <n v="14757.916666666666"/>
    <n v="28"/>
    <n v="74.75"/>
    <n v="23"/>
    <n v="45.833333333333336"/>
    <n v="2666"/>
    <n v="18245.75"/>
    <n v="28"/>
    <n v="222.75"/>
    <n v="18"/>
    <n v="117.25"/>
    <n v="7734"/>
    <n v="3349"/>
    <n v="117"/>
    <n v="62"/>
    <n v="47"/>
    <n v="8"/>
    <n v="5.0000000000000044E-3"/>
    <n v="2.3E-3"/>
    <n v="1024467"/>
    <n v="472308"/>
    <n v="4215"/>
    <n v="2996.288"/>
    <n v="0.50238379022646007"/>
    <n v="7.9476941787618383E-2"/>
    <n v="67.983870967741936"/>
    <n v="36.025641025641029"/>
    <n v="4.1143345759307032E-3"/>
    <n v="122.1057210965435"/>
    <n v="19.317082828549474"/>
    <n v="16523.66129032258"/>
    <n v="8756.1282051282051"/>
    <n v="0.46102802725710051"/>
    <n v="56.29415971394517"/>
    <n v="8.9057165888081755"/>
    <n v="7617.8709677419356"/>
    <n v="4036.8205128205127"/>
    <n v="135.32258064516128"/>
    <n v="71.709401709401703"/>
    <n v="275.52453635280096"/>
    <n v="37284.691290322582"/>
    <n v="771.50489539056321"/>
    <n v="41279.479642857143"/>
    <n v="56381.728292682921"/>
    <d v="2020-04-01T00:00:00"/>
    <n v="45635.583333333336"/>
    <n v="15925.25"/>
    <n v="76923.666666666672"/>
    <n v="48.327225806451615"/>
    <n v="157.63104214281137"/>
    <n v="673.67540741814753"/>
    <n v="7167.7633333333333"/>
    <n v="152.57860011764168"/>
    <n v="12933.730472896816"/>
    <d v="2020-04-01T00:00:00"/>
    <n v="135.49481286744532"/>
    <n v="0.66974594827006007"/>
    <n v="73.833333333333329"/>
    <n v="31099.076840874939"/>
    <n v="17873.89076777524"/>
    <n v="0.97053407729837471"/>
    <n v="1.7537697430013145E-2"/>
    <n v="9.5518095101999895E-3"/>
    <n v="2.2564424817978517"/>
    <m/>
    <m/>
    <m/>
    <m/>
    <n v="19757.699658119658"/>
  </r>
  <r>
    <x v="102"/>
    <n v="87606"/>
    <n v="1314"/>
    <n v="1.4998972673104582E-2"/>
    <n v="85461.818200000009"/>
    <n v="0.97552471520215522"/>
    <m/>
    <n v="9.4763121247401945E-3"/>
    <n v="6138751.7400000002"/>
    <n v="4818648.9441666668"/>
    <n v="36921"/>
    <n v="32932.083333333336"/>
    <n v="290"/>
    <n v="289.25"/>
    <n v="163"/>
    <n v="160.33333333333334"/>
    <n v="16868"/>
    <n v="15111.5"/>
    <n v="82"/>
    <n v="75.666666666666671"/>
    <n v="51"/>
    <n v="46.083333333333336"/>
    <n v="20053"/>
    <n v="17820.583333333332"/>
    <n v="208"/>
    <n v="213.58333333333334"/>
    <n v="112"/>
    <n v="114.25"/>
    <n v="46990"/>
    <n v="18279"/>
    <n v="118"/>
    <n v="66"/>
    <n v="44"/>
    <n v="8"/>
    <n v="6.0400000000000009E-2"/>
    <n v="2.2100000000000002E-2"/>
    <n v="976563"/>
    <n v="1297419"/>
    <n v="12344"/>
    <n v="8154.9969999999994"/>
    <n v="0.33433547303702499"/>
    <n v="9.0748246641540506E-2"/>
    <n v="187.03030303030303"/>
    <n v="104.61016949152543"/>
    <n v="1.2640249528192241E-2"/>
    <n v="26.450069066384984"/>
    <n v="7.1793081646956196"/>
    <n v="14796.40909090909"/>
    <n v="8275.9576271186434"/>
    <n v="1.3285563757791357"/>
    <n v="35.140407897944257"/>
    <n v="9.5381156358895698"/>
    <n v="19657.863636363636"/>
    <n v="10995.076271186441"/>
    <n v="559.40909090909088"/>
    <n v="312.88983050847457"/>
    <n v="166.26721215568375"/>
    <n v="93011.39"/>
    <n v="752.75953381711861"/>
    <n v="21168.109448275864"/>
    <n v="37661.053619631901"/>
    <d v="2020-05-01T00:00:00"/>
    <n v="46003.833333333336"/>
    <n v="15900.916666666666"/>
    <n v="77029.5"/>
    <n v="123.56056060606059"/>
    <n v="159.09496962414579"/>
    <n v="685.35243991177595"/>
    <n v="7090.0332500000004"/>
    <n v="154.15371778404747"/>
    <n v="13519.068702756389"/>
    <d v="2020-05-01T00:00:00"/>
    <n v="139.25302421581077"/>
    <n v="0.64046721651458716"/>
    <n v="72.5"/>
    <n v="31870.372155266039"/>
    <n v="18445.209243649126"/>
    <n v="0.97406158379594743"/>
    <n v="1.6392898142640899E-2"/>
    <n v="9.545518061411672E-3"/>
    <n v="6.2860785632877763"/>
    <m/>
    <m/>
    <m/>
    <m/>
    <n v="52023.319830508473"/>
  </r>
  <r>
    <x v="103"/>
    <n v="105868"/>
    <n v="1500"/>
    <n v="1.4168587297389202E-2"/>
    <n v="103336.2818"/>
    <n v="0.9760860864472739"/>
    <m/>
    <n v="9.7453262553368943E-3"/>
    <n v="6430948"/>
    <n v="4979203.7616666667"/>
    <n v="47833"/>
    <n v="34194.333333333336"/>
    <n v="348"/>
    <n v="289.08333333333331"/>
    <n v="188"/>
    <n v="161.5"/>
    <n v="26657"/>
    <n v="16257.75"/>
    <n v="109"/>
    <n v="78.916666666666671"/>
    <n v="59"/>
    <n v="47.583333333333336"/>
    <n v="21176"/>
    <n v="17936.583333333332"/>
    <n v="239"/>
    <n v="210.16666666666666"/>
    <n v="129"/>
    <n v="113.91666666666667"/>
    <n v="61357"/>
    <n v="21124"/>
    <n v="128"/>
    <n v="77"/>
    <n v="42"/>
    <n v="9"/>
    <n v="9.7699999999999995E-2"/>
    <n v="4.4400000000000002E-2"/>
    <n v="1207469"/>
    <n v="1318202"/>
    <n v="16152"/>
    <n v="8968"/>
    <n v="0.33767482700227874"/>
    <n v="9.7598163891237336E-2"/>
    <n v="209.76623376623377"/>
    <n v="126.1875"/>
    <n v="1.3376740934963962E-2"/>
    <n v="25.243430267806744"/>
    <n v="7.2961092964083987"/>
    <n v="15681.415584415585"/>
    <n v="9433.3515625"/>
    <n v="1.0917067022010503"/>
    <n v="27.558422009909478"/>
    <n v="7.9652114188804379"/>
    <n v="17119.506493506495"/>
    <n v="10298.453125"/>
    <n v="621.20779220779218"/>
    <n v="373.6953125"/>
    <n v="134.44584282817303"/>
    <n v="83518.805194805202"/>
    <n v="717.09946476360392"/>
    <n v="18479.735632183907"/>
    <n v="34207.170212765959"/>
    <d v="2020-06-01T00:00:00"/>
    <n v="47561.833333333336"/>
    <n v="16352.416666666666"/>
    <n v="79775"/>
    <n v="116.46753246753246"/>
    <n v="146.98951828724353"/>
    <n v="697.30708404428515"/>
    <n v="7183.0274999999992"/>
    <n v="153.87379831975508"/>
    <n v="14066.345037532721"/>
    <d v="2020-06-01T00:00:00"/>
    <n v="142.09503354129555"/>
    <n v="0.62725115916943552"/>
    <n v="71.916666666666671"/>
    <n v="32563.742570506114"/>
    <n v="18912.737167759693"/>
    <n v="0.97403773776400937"/>
    <n v="1.562975593007155E-2"/>
    <n v="1.0332506305919142E-2"/>
    <n v="5.3259735860713606"/>
    <m/>
    <m/>
    <n v="54"/>
    <n v="30"/>
    <n v="50241.78125"/>
  </r>
  <r>
    <x v="104"/>
    <n v="107756"/>
    <n v="1944"/>
    <n v="1.8040758751252831E-2"/>
    <n v="111959"/>
    <m/>
    <m/>
    <m/>
    <n v="7451275"/>
    <n v="5182387.1341666672"/>
    <n v="47950"/>
    <n v="35183.75"/>
    <n v="355"/>
    <n v="289.58333333333331"/>
    <n v="181"/>
    <n v="160.91666666666666"/>
    <n v="24139"/>
    <n v="16979.583333333332"/>
    <n v="93"/>
    <n v="78.916666666666671"/>
    <n v="58"/>
    <n v="48.333333333333336"/>
    <n v="23811"/>
    <n v="18204.166666666668"/>
    <n v="262"/>
    <n v="210.66666666666666"/>
    <n v="123"/>
    <n v="112.58333333333333"/>
    <n v="52884"/>
    <n v="15318"/>
    <n v="135"/>
    <n v="85"/>
    <n v="42"/>
    <n v="8"/>
    <n v="5.6799999999999996E-2"/>
    <n v="3.1899999999999998E-2"/>
    <n v="1242234"/>
    <n v="1512163"/>
    <n v="30306"/>
    <n v="10438"/>
    <n v="0.63203336809176225"/>
    <n v="0.19895977114308644"/>
    <n v="356.54117647058825"/>
    <n v="224.48888888888888"/>
    <n v="2.4396369766082719E-2"/>
    <n v="25.906861313868614"/>
    <n v="8.1553023277951837"/>
    <n v="14614.517647058823"/>
    <n v="9201.7333333333336"/>
    <n v="1.2172931991879148"/>
    <n v="31.536246089676748"/>
    <n v="9.9273940609464475"/>
    <n v="17790.152941176471"/>
    <n v="11201.207407407408"/>
    <n v="564.11764705882354"/>
    <n v="355.18518518518516"/>
    <n v="155.39676746611053"/>
    <n v="87662.058823529413"/>
    <n v="713.86041387238936"/>
    <n v="20989.507042253521"/>
    <n v="41167.265193370164"/>
    <d v="2020-07-01T00:00:00"/>
    <n v="46743.75"/>
    <n v="15730"/>
    <n v="81871.166666666672"/>
    <n v="122.8"/>
    <n v="144.87095228971069"/>
    <n v="705.71902238908672"/>
    <n v="7371.2740833333328"/>
    <n v="155.24395716951824"/>
    <n v="14540.018120183502"/>
    <d v="2020-07-01T00:00:00"/>
    <n v="144.42339798001342"/>
    <n v="0.37732476982776469"/>
    <n v="72.416666666666671"/>
    <n v="33772.240498854335"/>
    <n v="19464.853554518642"/>
    <n v="0.97377270512643577"/>
    <n v="1.5370685078650465E-2"/>
    <n v="1.1099343765150316E-2"/>
    <n v="5.9982861522064281"/>
    <n v="140"/>
    <n v="93"/>
    <n v="54"/>
    <n v="29"/>
    <n v="55194.629629629628"/>
  </r>
  <r>
    <x v="105"/>
    <n v="90073"/>
    <n v="1559"/>
    <n v="1.7308183362383843E-2"/>
    <n v="87758"/>
    <n v="0.97429862444905801"/>
    <m/>
    <n v="8.393192188558142E-3"/>
    <n v="5621755"/>
    <n v="5191688.248333334"/>
    <n v="42421"/>
    <n v="35473.75"/>
    <n v="345"/>
    <n v="288.33333333333331"/>
    <n v="198"/>
    <n v="159.83333333333334"/>
    <n v="17912"/>
    <n v="17092.416666666668"/>
    <n v="74"/>
    <n v="77.833333333333329"/>
    <n v="53"/>
    <n v="48"/>
    <n v="24509"/>
    <n v="18381.333333333332"/>
    <n v="271"/>
    <n v="210.5"/>
    <n v="145"/>
    <n v="111.83333333333333"/>
    <n v="55544"/>
    <n v="26131"/>
    <n v="132"/>
    <n v="83"/>
    <n v="40"/>
    <n v="9"/>
    <n v="6.0100000000000001E-2"/>
    <n v="4.2200000000000001E-2"/>
    <n v="1155925"/>
    <n v="1218145"/>
    <n v="21677"/>
    <n v="9155"/>
    <n v="0.5109969119068386"/>
    <n v="0.13500794869652274"/>
    <n v="261.1686746987952"/>
    <n v="164.21969696969697"/>
    <n v="1.8752946774228431E-2"/>
    <n v="27.248886164871173"/>
    <n v="7.1992924803721943"/>
    <n v="13926.807228915663"/>
    <n v="8757.007575757576"/>
    <n v="1.0538270216493284"/>
    <n v="28.715612550387778"/>
    <n v="7.586808952573036"/>
    <n v="14676.445783132531"/>
    <n v="9228.371212121212"/>
    <n v="511.09638554216866"/>
    <n v="321.37121212121212"/>
    <n v="132.52292496640814"/>
    <n v="67731.987951807227"/>
    <n v="614.06389950846528"/>
    <n v="16294.942028985508"/>
    <n v="28392.702020202021"/>
    <d v="2020-08-01T00:00:00"/>
    <n v="47443.416666666664"/>
    <n v="16542.25"/>
    <n v="82148.833333333328"/>
    <n v="110.3012048192771"/>
    <n v="133.0578918623703"/>
    <n v="703.14735389680254"/>
    <n v="7422.2021666666669"/>
    <n v="154.49588870508251"/>
    <n v="14520.268810444548"/>
    <d v="2020-08-01T00:00:00"/>
    <n v="143.8747917186235"/>
    <n v="0.42252719303758685"/>
    <n v="72.666666666666671"/>
    <n v="33962.097724866435"/>
    <n v="19547.269642582243"/>
    <n v="0.9737437282489142"/>
    <n v="1.5198072677975407E-2"/>
    <n v="1.131662507977212E-2"/>
    <n v="4.8634253952462316"/>
    <n v="186"/>
    <n v="113"/>
    <n v="68"/>
    <n v="33"/>
    <n v="42589.053030303032"/>
  </r>
  <r>
    <x v="106"/>
    <n v="97767"/>
    <n v="1593"/>
    <n v="1.6293841480254073E-2"/>
    <n v="95642"/>
    <n v="0.97826464962615201"/>
    <m/>
    <n v="5.4415088935939222E-3"/>
    <n v="5924969"/>
    <n v="5230166.4616666669"/>
    <n v="42639"/>
    <n v="35864.25"/>
    <n v="358"/>
    <n v="291"/>
    <n v="199"/>
    <n v="162.33333333333334"/>
    <n v="14201"/>
    <n v="16672.416666666668"/>
    <n v="62"/>
    <n v="73.833333333333329"/>
    <n v="44"/>
    <n v="46.833333333333336"/>
    <n v="28438"/>
    <n v="19191.833333333332"/>
    <n v="296"/>
    <n v="217.16666666666666"/>
    <n v="155"/>
    <n v="115.5"/>
    <n v="45106"/>
    <n v="27003"/>
    <n v="135"/>
    <n v="83"/>
    <n v="42"/>
    <n v="10"/>
    <n v="3.0200000000000001E-2"/>
    <n v="3.9199999999999999E-2"/>
    <n v="1273607"/>
    <n v="1339989"/>
    <n v="22125"/>
    <n v="9603"/>
    <n v="0.5188911559839583"/>
    <n v="0.14592153433607902"/>
    <n v="266.56626506024094"/>
    <n v="163.88888888888889"/>
    <n v="1.7371920851565671E-2"/>
    <n v="29.869532587537233"/>
    <n v="8.3998502861546029"/>
    <n v="15344.662650602409"/>
    <n v="9434.1259259259259"/>
    <n v="1.0521212587556443"/>
    <n v="31.426370224442412"/>
    <n v="8.8376610564279403"/>
    <n v="16144.445783132531"/>
    <n v="9925.8444444444449"/>
    <n v="513.72289156626505"/>
    <n v="315.84444444444443"/>
    <n v="138.95656558549683"/>
    <n v="71385.168674698798"/>
    <n v="616.99146100177029"/>
    <n v="16550.192737430167"/>
    <n v="29773.713567839197"/>
    <d v="2020-09-01T00:00:00"/>
    <n v="46831"/>
    <n v="17109.666666666668"/>
    <n v="83604.416666666672"/>
    <n v="115.6987951807229"/>
    <n v="139.53858169322086"/>
    <n v="695.63810551948029"/>
    <n v="7578.6003333333329"/>
    <n v="154.07999732553932"/>
    <n v="14713.037070150036"/>
    <d v="2020-09-01T00:00:00"/>
    <n v="144.3144639125168"/>
    <n v="0.41154974734392002"/>
    <n v="73.333333333333329"/>
    <n v="33749.339910746516"/>
    <n v="19529.921072132918"/>
    <n v="0.97621798327549625"/>
    <n v="1.4940077110171755E-2"/>
    <n v="9.1238197635212254E-3"/>
    <n v="4.6521171758635118"/>
    <n v="143"/>
    <n v="92"/>
    <n v="53"/>
    <n v="28"/>
    <n v="43888.659259259257"/>
  </r>
  <r>
    <x v="107"/>
    <n v="96319"/>
    <n v="1582"/>
    <n v="1.6424589125717669E-2"/>
    <n v="94050"/>
    <n v="0.97644286174067418"/>
    <m/>
    <n v="7.1325491336081473E-3"/>
    <n v="5648569"/>
    <n v="5242978.4241666673"/>
    <n v="39090"/>
    <n v="36112.583333333336"/>
    <n v="344"/>
    <n v="291.58333333333331"/>
    <n v="189"/>
    <n v="162.25"/>
    <n v="14917"/>
    <n v="16641.25"/>
    <n v="72"/>
    <n v="72.833333333333329"/>
    <n v="52"/>
    <n v="46.916666666666664"/>
    <n v="24173"/>
    <n v="19471.333333333332"/>
    <n v="272"/>
    <n v="218.75"/>
    <n v="137"/>
    <n v="115.33333333333333"/>
    <n v="51740"/>
    <n v="26659"/>
    <n v="141"/>
    <n v="89"/>
    <n v="43"/>
    <n v="9"/>
    <n v="3.4500000000000003E-2"/>
    <n v="3.5700000000000003E-2"/>
    <n v="1246836"/>
    <n v="1154505"/>
    <n v="19232"/>
    <n v="9571"/>
    <n v="0.4919928370427219"/>
    <n v="0.12440776880113377"/>
    <n v="216.08988764044943"/>
    <n v="136.39716312056737"/>
    <n v="1.54246428559971E-2"/>
    <n v="31.896546431312355"/>
    <n v="8.0655202173944698"/>
    <n v="14009.393258426966"/>
    <n v="8842.8085106382987"/>
    <n v="0.92594775896749848"/>
    <n v="29.534535686876438"/>
    <n v="7.4682503702034602"/>
    <n v="12971.966292134832"/>
    <n v="8187.9787234042551"/>
    <n v="439.2134831460674"/>
    <n v="277.2340425531915"/>
    <n v="144.50163724737786"/>
    <n v="63467.067415730337"/>
    <n v="590.17542576533276"/>
    <n v="16420.258720930233"/>
    <n v="29886.608465608464"/>
    <d v="2020-10-01T00:00:00"/>
    <n v="46525.666666666664"/>
    <n v="17971.5"/>
    <n v="84133"/>
    <n v="107.53932584269663"/>
    <n v="120.62532650715704"/>
    <n v="687.36939123412321"/>
    <n v="7711.9798333333338"/>
    <n v="153.44104382928438"/>
    <n v="14581.023438650451"/>
    <d v="2020-10-01T00:00:00"/>
    <n v="142.64805414445681"/>
    <n v="0.41744807039758175"/>
    <n v="74.333333333333329"/>
    <n v="33829.879453933187"/>
    <n v="19539.515963070968"/>
    <n v="0.97635970756154711"/>
    <n v="1.5067721177455971E-2"/>
    <n v="8.8428474040693553E-3"/>
    <n v="4.5303223519372233"/>
    <n v="172"/>
    <n v="99"/>
    <n v="51"/>
    <n v="27"/>
    <n v="40060.773049645388"/>
  </r>
  <r>
    <x v="108"/>
    <n v="100372"/>
    <n v="1770"/>
    <n v="1.7634400031881402E-2"/>
    <n v="98022"/>
    <n v="0.9765870960028693"/>
    <m/>
    <n v="5.7785039652492945E-3"/>
    <n v="6154335"/>
    <n v="5298812.6683333339"/>
    <n v="50273"/>
    <n v="37441.166666666664"/>
    <n v="312"/>
    <n v="292.41666666666669"/>
    <n v="185"/>
    <n v="162.58333333333334"/>
    <n v="16963"/>
    <n v="16783.833333333332"/>
    <n v="75"/>
    <n v="71.333333333333329"/>
    <n v="52"/>
    <n v="46.416666666666664"/>
    <n v="33310"/>
    <n v="20657.333333333332"/>
    <n v="237"/>
    <n v="221.08333333333334"/>
    <n v="133"/>
    <n v="116.16666666666667"/>
    <n v="65536"/>
    <n v="31529"/>
    <n v="141"/>
    <n v="90"/>
    <n v="42"/>
    <n v="9"/>
    <n v="6.5700000000000008E-2"/>
    <n v="2.9499999999999998E-2"/>
    <n v="1254403"/>
    <n v="1316918"/>
    <n v="11240"/>
    <n v="9935"/>
    <n v="0.22357925725538561"/>
    <n v="6.0517576030589021E-2"/>
    <n v="124.88888888888889"/>
    <n v="79.716312056737593"/>
    <n v="8.9604377540551169E-3"/>
    <n v="24.951823046167924"/>
    <n v="6.7538637834073807"/>
    <n v="13937.81111111111"/>
    <n v="8896.4751773049647"/>
    <n v="1.0498364560671491"/>
    <n v="26.195333479203548"/>
    <n v="7.0904524191326717"/>
    <n v="14632.422222222222"/>
    <n v="9339.8439716312059"/>
    <n v="558.58888888888885"/>
    <n v="356.54609929078015"/>
    <n v="122.41829610327611"/>
    <n v="68381.5"/>
    <n v="619.45998993457476"/>
    <n v="19725.432692307691"/>
    <n v="33266.675675675673"/>
    <d v="2020-11-01T00:00:00"/>
    <n v="48280"/>
    <n v="19414.166666666668"/>
    <n v="85236.25"/>
    <n v="110.38888888888889"/>
    <n v="132.55339708102667"/>
    <n v="679.05454328124597"/>
    <n v="7904.4644166666667"/>
    <n v="150.32980981439331"/>
    <n v="14603.420095697109"/>
    <d v="2020-11-01T00:00:00"/>
    <n v="141.60701027821278"/>
    <n v="0.43464264244724043"/>
    <n v="75.416666666666671"/>
    <n v="34077.091344954039"/>
    <n v="19669.967564361516"/>
    <n v="0.97628724303867886"/>
    <n v="1.5451749213119766E-2"/>
    <n v="8.4963722516681328E-3"/>
    <n v="4.9061864488525622"/>
    <n v="190"/>
    <n v="106"/>
    <n v="70"/>
    <n v="28"/>
    <n v="43647.765957446805"/>
  </r>
  <r>
    <x v="109"/>
    <n v="66556"/>
    <n v="999"/>
    <n v="1.50099164613258E-2"/>
    <n v="64875"/>
    <n v="0.97474307350201339"/>
    <m/>
    <n v="1.0247010036660809E-2"/>
    <n v="4568308"/>
    <n v="5360124.17"/>
    <n v="33170"/>
    <n v="37665.833333333336"/>
    <n v="287"/>
    <n v="297.66666666666669"/>
    <n v="183"/>
    <n v="167.08333333333334"/>
    <n v="7905"/>
    <n v="16256.083333333334"/>
    <n v="57"/>
    <n v="70.75"/>
    <n v="49"/>
    <n v="46.916666666666664"/>
    <n v="25265"/>
    <n v="21409.75"/>
    <n v="230"/>
    <n v="226.91666666666666"/>
    <n v="134"/>
    <n v="120.16666666666667"/>
    <n v="32406"/>
    <n v="11482"/>
    <n v="139"/>
    <n v="87"/>
    <n v="43"/>
    <n v="9"/>
    <n v="6.3799999999999996E-2"/>
    <n v="0.26350000000000001"/>
    <n v="1227528"/>
    <n v="975774"/>
    <n v="15701"/>
    <n v="7227"/>
    <n v="0.47334941211938497"/>
    <n v="0.13575300291158676"/>
    <n v="180.4712643678161"/>
    <n v="112.9568345323741"/>
    <n v="1.2790746932045542E-2"/>
    <n v="37.007175158275551"/>
    <n v="10.613375718620105"/>
    <n v="14109.51724137931"/>
    <n v="8831.1366906474814"/>
    <n v="0.79490976987897632"/>
    <n v="29.417365088935785"/>
    <n v="8.4366760501274225"/>
    <n v="11215.793103448275"/>
    <n v="7019.9568345323742"/>
    <n v="381.26436781609198"/>
    <n v="238.63309352517985"/>
    <n v="137.72408803135363"/>
    <n v="52509.287356321838"/>
    <n v="632.11678428116784"/>
    <n v="15917.449477351916"/>
    <n v="24963.43169398907"/>
    <d v="2020-12-01T00:00:00"/>
    <n v="47458.666666666664"/>
    <n v="19328.166666666668"/>
    <n v="85546.166666666672"/>
    <n v="83.068965517241381"/>
    <n v="135.01784973017851"/>
    <n v="673.34614595076607"/>
    <n v="8050.8582500000002"/>
    <n v="151.32638032988046"/>
    <n v="14649.100342902273"/>
    <d v="2020-12-01T00:00:00"/>
    <n v="140.99533514266662"/>
    <n v="0.44969057944524454"/>
    <n v="76.583333333333329"/>
    <n v="33681.556918936338"/>
    <n v="19570.614403247982"/>
    <n v="0.97623666529517517"/>
    <n v="1.5479835267355765E-2"/>
    <n v="8.5163106632780254E-3"/>
    <n v="3.7215509544385137"/>
    <n v="93"/>
    <n v="70"/>
    <n v="33"/>
    <n v="24"/>
    <n v="32865.525179856115"/>
  </r>
  <r>
    <x v="110"/>
    <n v="77022"/>
    <n v="1346"/>
    <n v="1.747552647295578E-2"/>
    <n v="74996"/>
    <n v="0.97369582716626424"/>
    <m/>
    <n v="8.8286463607799813E-3"/>
    <n v="4840134"/>
    <n v="5328541.8116666665"/>
    <n v="35142"/>
    <n v="37339.583333333336"/>
    <n v="282"/>
    <n v="296.75"/>
    <n v="174"/>
    <n v="169"/>
    <n v="12451"/>
    <n v="15773.583333333334"/>
    <n v="55"/>
    <n v="69.75"/>
    <n v="42"/>
    <n v="47.166666666666664"/>
    <n v="22691"/>
    <n v="21566"/>
    <n v="227"/>
    <n v="227"/>
    <n v="132"/>
    <n v="121.83333333333333"/>
    <n v="34378"/>
    <n v="21182"/>
    <n v="136"/>
    <n v="82"/>
    <n v="45"/>
    <n v="9"/>
    <n v="6.6799999999999998E-2"/>
    <n v="9.3399999999999997E-2"/>
    <n v="1100908"/>
    <n v="1058078"/>
    <n v="11284"/>
    <n v="7664"/>
    <n v="0.3210972625348586"/>
    <n v="8.7497738375248782E-2"/>
    <n v="137.60975609756099"/>
    <n v="82.970588235294116"/>
    <n v="1.0249721139277759E-2"/>
    <n v="31.327414489784303"/>
    <n v="8.5365969655457619"/>
    <n v="13425.707317073171"/>
    <n v="8094.911764705882"/>
    <n v="0.96109575005359216"/>
    <n v="30.108644926299014"/>
    <n v="8.2044870635064235"/>
    <n v="12903.390243902439"/>
    <n v="7779.9852941176468"/>
    <n v="428.5609756097561"/>
    <n v="258.39705882352939"/>
    <n v="137.73074953047634"/>
    <n v="59026.024390243903"/>
    <n v="631.54149269311063"/>
    <n v="17163.59574468085"/>
    <n v="27816.862068965518"/>
    <d v="2021-01-01T00:00:00"/>
    <n v="46152"/>
    <n v="19722.916666666668"/>
    <n v="84228.666666666672"/>
    <n v="93.463414634146346"/>
    <n v="138.05819415448852"/>
    <n v="669.76187725705745"/>
    <n v="8044.761583333333"/>
    <n v="151.66824731149669"/>
    <n v="14433.907373031398"/>
    <d v="2021-01-01T00:00:00"/>
    <n v="141.15851234511496"/>
    <n v="0.45301285155784909"/>
    <n v="77.75"/>
    <n v="33119.318437928494"/>
    <n v="19516.522040674459"/>
    <n v="0.97582325830728156"/>
    <n v="1.5759272021866989E-2"/>
    <n v="8.6248775553410331E-3"/>
    <n v="4.3964927132875768"/>
    <n v="106"/>
    <n v="74"/>
    <n v="39"/>
    <n v="27"/>
    <n v="35589.220588235294"/>
  </r>
  <r>
    <x v="111"/>
    <n v="75949"/>
    <n v="1102"/>
    <n v="1.4509736797061187E-2"/>
    <n v="74398"/>
    <n v="0.97957840129560625"/>
    <m/>
    <n v="5.9118619073325641E-3"/>
    <n v="4600143"/>
    <n v="5295354.5583333336"/>
    <n v="33081"/>
    <n v="37303.333333333336"/>
    <n v="319"/>
    <n v="298.08333333333331"/>
    <n v="196"/>
    <n v="170.91666666666666"/>
    <n v="10428"/>
    <n v="15387.416666666666"/>
    <n v="72"/>
    <n v="70.583333333333329"/>
    <n v="51"/>
    <n v="48"/>
    <n v="22653"/>
    <n v="21915.916666666668"/>
    <n v="247"/>
    <n v="227.5"/>
    <n v="145"/>
    <n v="122.91666666666667"/>
    <n v="40800"/>
    <n v="18744"/>
    <n v="132"/>
    <n v="78"/>
    <n v="45"/>
    <n v="9"/>
    <n v="4.4500000000000005E-2"/>
    <n v="3.7200000000000004E-2"/>
    <n v="1177971"/>
    <n v="997771"/>
    <n v="32539"/>
    <n v="7342"/>
    <n v="0.98361597291496627"/>
    <n v="0.24855564920035544"/>
    <n v="417.16666666666669"/>
    <n v="246.50757575757575"/>
    <n v="2.7622921107565465E-2"/>
    <n v="35.608687766391583"/>
    <n v="8.9981667120744913"/>
    <n v="15102.192307692309"/>
    <n v="8924.0227272727279"/>
    <n v="0.84702509654312375"/>
    <n v="30.16145219310178"/>
    <n v="7.6216730280060183"/>
    <n v="12791.935897435897"/>
    <n v="7558.871212121212"/>
    <n v="424.11538461538464"/>
    <n v="250.61363636363637"/>
    <n v="139.05695111997824"/>
    <n v="58976.192307692305"/>
    <n v="626.5517570144375"/>
    <n v="14420.510971786834"/>
    <n v="23470.117346938776"/>
    <d v="2021-02-01T00:00:00"/>
    <n v="45716.75"/>
    <n v="20158.583333333332"/>
    <n v="84198.083333333328"/>
    <n v="94.128205128205124"/>
    <n v="135.89907382184691"/>
    <n v="663.50791324786189"/>
    <n v="8062.9049166666664"/>
    <n v="150.82845620112451"/>
    <n v="14182.650749099774"/>
    <d v="2021-02-01T00:00:00"/>
    <n v="140.46519144868174"/>
    <n v="0.52308106014533473"/>
    <n v="78.833333333333329"/>
    <n v="32667.459218766846"/>
    <n v="19343.536557850315"/>
    <n v="0.9763184606397789"/>
    <n v="1.5648247983007204E-2"/>
    <n v="8.2507923561453405E-3"/>
    <n v="3.9051411282620712"/>
    <n v="123"/>
    <n v="82"/>
    <n v="33"/>
    <n v="20"/>
    <n v="34849.568181818184"/>
  </r>
  <r>
    <x v="112"/>
    <n v="99450"/>
    <n v="2026"/>
    <n v="2.0372046254399194E-2"/>
    <n v="97087"/>
    <n v="0.97623931623931626"/>
    <m/>
    <n v="3.3886375062845489E-3"/>
    <n v="5568012"/>
    <n v="5438237.5499999998"/>
    <n v="53732"/>
    <n v="39220.166666666664"/>
    <n v="343"/>
    <n v="303.25"/>
    <n v="200"/>
    <n v="174.75"/>
    <n v="19813"/>
    <n v="15664.833333333334"/>
    <n v="75"/>
    <n v="71.166666666666671"/>
    <n v="49"/>
    <n v="48.583333333333336"/>
    <n v="33919"/>
    <n v="23555.333333333332"/>
    <n v="268"/>
    <n v="232.08333333333334"/>
    <n v="151"/>
    <n v="126.16666666666667"/>
    <n v="56926"/>
    <n v="25138"/>
    <n v="138"/>
    <n v="89"/>
    <n v="41"/>
    <n v="8"/>
    <n v="3.1300000000000001E-2"/>
    <n v="2.8799999999999999E-2"/>
    <n v="1235014"/>
    <n v="983776"/>
    <n v="-15429"/>
    <n v="9653"/>
    <n v="-0.2871473237549319"/>
    <n v="-8.7646264093851387E-2"/>
    <n v="-173.35955056179776"/>
    <n v="-111.80434782608695"/>
    <n v="-1.2492975788128717E-2"/>
    <n v="22.984701853644012"/>
    <n v="7.0156434768036666"/>
    <n v="13876.561797752809"/>
    <n v="8949.3768115942021"/>
    <n v="0.79657072713345756"/>
    <n v="18.308940668502942"/>
    <n v="5.5884562256265955"/>
    <n v="11053.662921348314"/>
    <n v="7128.811594202899"/>
    <n v="603.7303370786517"/>
    <n v="389.36231884057969"/>
    <n v="103.6256234646021"/>
    <n v="62561.932584269663"/>
    <n v="576.81674090956176"/>
    <n v="16233.271137026239"/>
    <n v="27840.06"/>
    <d v="2021-03-01T00:00:00"/>
    <n v="45950.083333333336"/>
    <n v="20494.833333333332"/>
    <n v="86940.833333333328"/>
    <n v="108.46067415730337"/>
    <n v="101.9140163679685"/>
    <n v="655.24515491267482"/>
    <n v="8392.2737500000003"/>
    <n v="149.01426623764479"/>
    <n v="14047.954690462133"/>
    <d v="2021-03-01T00:00:00"/>
    <n v="137.10423446351408"/>
    <n v="0.42023357869672567"/>
    <n v="80.916666666666671"/>
    <n v="32902.282346472472"/>
    <n v="19553.540439672488"/>
    <n v="0.97625417062016628"/>
    <n v="1.6193677395250215E-2"/>
    <n v="7.7200684714928492E-3"/>
    <n v="4.5084606328349315"/>
    <n v="159"/>
    <n v="89"/>
    <n v="64"/>
    <n v="28"/>
    <n v="40347.913043478264"/>
  </r>
  <r>
    <x v="113"/>
    <n v="76552"/>
    <n v="1401"/>
    <n v="1.8301285400773332E-2"/>
    <n v="74772"/>
    <n v="0.97674783153934586"/>
    <m/>
    <n v="4.9508830598808118E-3"/>
    <n v="4844169"/>
    <n v="5649280.7283333344"/>
    <n v="38287"/>
    <n v="41711.583333333336"/>
    <n v="285"/>
    <n v="322.33333333333331"/>
    <n v="163"/>
    <n v="184.91666666666666"/>
    <n v="10844"/>
    <n v="16091.5"/>
    <n v="54"/>
    <n v="73.333333333333329"/>
    <n v="37"/>
    <n v="49.75"/>
    <n v="27443"/>
    <n v="25620.083333333332"/>
    <n v="231"/>
    <n v="249"/>
    <n v="126"/>
    <n v="135.16666666666666"/>
    <n v="44560"/>
    <n v="18272"/>
    <n v="136"/>
    <n v="87"/>
    <n v="41"/>
    <n v="8"/>
    <n v="3.9900000000000005E-2"/>
    <n v="6.9500000000000006E-2"/>
    <n v="1004637"/>
    <n v="971890"/>
    <n v="21210"/>
    <n v="7965"/>
    <n v="0.55397393371118131"/>
    <n v="0.14751105521522173"/>
    <n v="243.79310344827587"/>
    <n v="155.95588235294119"/>
    <n v="2.1112103177565629E-2"/>
    <n v="26.23963747486092"/>
    <n v="6.9870374341468509"/>
    <n v="11547.551724137931"/>
    <n v="7387.036764705882"/>
    <n v="0.96740414697049781"/>
    <n v="25.384334108182934"/>
    <n v="6.75928898883177"/>
    <n v="11171.149425287356"/>
    <n v="7146.25"/>
    <n v="440.08045977011494"/>
    <n v="281.52205882352939"/>
    <n v="126.52255334708909"/>
    <n v="55680.103448275862"/>
    <n v="608.18192090395485"/>
    <n v="16997.084210526315"/>
    <n v="29718.828220858897"/>
    <d v="2021-04-01T00:00:00"/>
    <n v="49018.916666666664"/>
    <n v="21738.416666666668"/>
    <n v="90107.5"/>
    <n v="91.551724137931032"/>
    <n v="122.02008788449466"/>
    <n v="641.63490703879063"/>
    <n v="8806.333083333333"/>
    <n v="136.59743432050215"/>
    <n v="14344.061228590917"/>
    <d v="2021-04-01T00:00:00"/>
    <n v="134.13665494198767"/>
    <n v="0.42453275732045243"/>
    <n v="83"/>
    <n v="30680.374007153805"/>
    <n v="17530.007486978251"/>
    <n v="0.97620077120097537"/>
    <n v="1.6711487009041574E-2"/>
    <n v="7.2085846756386636E-3"/>
    <n v="4.8218102657974971"/>
    <n v="134"/>
    <n v="90"/>
    <n v="49"/>
    <n v="28"/>
    <n v="35618.88970588235"/>
  </r>
  <r>
    <x v="114"/>
    <n v="95267"/>
    <n v="1447"/>
    <n v="1.5188890171832848E-2"/>
    <n v="93267"/>
    <n v="0.97900637156622961"/>
    <m/>
    <n v="5.8047382619375466E-3"/>
    <n v="5464720"/>
    <n v="5593111.416666667"/>
    <n v="53485"/>
    <n v="43091.916666666664"/>
    <n v="355"/>
    <n v="327.75"/>
    <n v="185"/>
    <n v="186.75"/>
    <n v="18263"/>
    <n v="16207.75"/>
    <n v="84"/>
    <n v="73.5"/>
    <n v="56"/>
    <n v="50.166666666666664"/>
    <n v="35222"/>
    <n v="26884.166666666668"/>
    <n v="271"/>
    <n v="254.25"/>
    <n v="129"/>
    <n v="136.58333333333334"/>
    <n v="49588"/>
    <n v="23730"/>
    <n v="140"/>
    <n v="89"/>
    <n v="42"/>
    <n v="9"/>
    <n v="6.9199999999999998E-2"/>
    <n v="3.4500000000000003E-2"/>
    <n v="1004637"/>
    <n v="1098912"/>
    <n v="15217"/>
    <n v="9093"/>
    <n v="0.28450967560998408"/>
    <n v="8.9014635420906679E-2"/>
    <n v="170.97752808988764"/>
    <n v="108.69285714285714"/>
    <n v="1.514676445323037E-2"/>
    <n v="18.783528091988408"/>
    <n v="5.876808588115491"/>
    <n v="11288.056179775282"/>
    <n v="7175.9785714285717"/>
    <n v="1.0938398645480905"/>
    <n v="20.546171823875852"/>
    <n v="6.4282875099993033"/>
    <n v="12347.325842696629"/>
    <n v="7849.3714285714286"/>
    <n v="600.95505617977528"/>
    <n v="382.03571428571428"/>
    <n v="102.17294568570627"/>
    <n v="61401.348314606745"/>
    <n v="600.98097437589354"/>
    <n v="15393.577464788732"/>
    <n v="29539.027027027027"/>
    <d v="2021-05-01T00:00:00"/>
    <n v="49235.416666666664"/>
    <n v="22192.666666666668"/>
    <n v="90745.916666666672"/>
    <n v="102.1685393258427"/>
    <n v="120.85252391949851"/>
    <n v="628.98669375202201"/>
    <n v="8884.5"/>
    <n v="131.25624544800402"/>
    <n v="13734.84974578533"/>
    <d v="2021-05-01T00:00:00"/>
    <n v="130.94978446660039"/>
    <n v="0.42038060753486572"/>
    <n v="84.916666666666671"/>
    <n v="30003.538457770061"/>
    <n v="17048.796488354325"/>
    <n v="0.97651728541589122"/>
    <n v="1.6727313467268929E-2"/>
    <n v="6.8748052335656949E-3"/>
    <n v="5.4394970521690915"/>
    <n v="158"/>
    <n v="91"/>
    <n v="71"/>
    <n v="33"/>
    <n v="39033.714285714283"/>
  </r>
  <r>
    <x v="115"/>
    <n v="84696"/>
    <n v="1547"/>
    <n v="1.8265325399074335E-2"/>
    <n v="82296"/>
    <n v="0.97166336072541792"/>
    <m/>
    <n v="1.0071313875507741E-2"/>
    <n v="5464721"/>
    <n v="5512592.5"/>
    <n v="43588"/>
    <n v="42738.166666666664"/>
    <n v="355"/>
    <n v="328.33333333333331"/>
    <n v="197"/>
    <n v="187.5"/>
    <n v="13628"/>
    <n v="15122"/>
    <n v="76"/>
    <n v="70.75"/>
    <n v="56"/>
    <n v="49.916666666666664"/>
    <n v="29960"/>
    <n v="27616.166666666668"/>
    <n v="279"/>
    <n v="257.58333333333331"/>
    <n v="141"/>
    <n v="137.58333333333334"/>
    <n v="48437"/>
    <n v="20702"/>
    <n v="138"/>
    <n v="86"/>
    <n v="44"/>
    <n v="8"/>
    <n v="6.2199999999999998E-2"/>
    <n v="4.4999999999999998E-2"/>
    <n v="1422347"/>
    <n v="1123368"/>
    <n v="22441"/>
    <n v="10523"/>
    <n v="0.51484353491786727"/>
    <n v="0.1433627414027713"/>
    <n v="260.94186046511629"/>
    <n v="162.6159420289855"/>
    <n v="1.5777443900820264E-2"/>
    <n v="32.631618794163529"/>
    <n v="9.0865632167019097"/>
    <n v="16538.918604651164"/>
    <n v="10306.86231884058"/>
    <n v="0.78979883249305549"/>
    <n v="25.772414425988803"/>
    <n v="7.1765570199255109"/>
    <n v="13062.418604651162"/>
    <n v="8140.347826086957"/>
    <n v="506.83720930232556"/>
    <n v="315.85507246376812"/>
    <n v="125.37214370927778"/>
    <n v="63543.267441860466"/>
    <n v="519.31207830466599"/>
    <n v="15393.580281690141"/>
    <n v="27739.700507614212"/>
    <d v="2021-06-01T00:00:00"/>
    <n v="48158.75"/>
    <n v="22157.5"/>
    <n v="88981.583333333328"/>
    <n v="122.36046511627907"/>
    <n v="106.75358738002471"/>
    <n v="612.50441154711041"/>
    <n v="9014.0833333333339"/>
    <n v="130.50010385476273"/>
    <n v="13396.759088380721"/>
    <d v="2021-06-01T00:00:00"/>
    <n v="127.59679022433217"/>
    <n v="0.43514466652783135"/>
    <n v="85.666666666666671"/>
    <n v="29464.582649007421"/>
    <n v="16791.616875813179"/>
    <n v="0.97611521944117707"/>
    <n v="1.7068708309076024E-2"/>
    <n v="6.9044404717630466E-3"/>
    <n v="3.8420448737192823"/>
    <n v="147"/>
    <n v="94"/>
    <n v="51"/>
    <n v="24"/>
    <n v="39599.427536231888"/>
  </r>
  <r>
    <x v="116"/>
    <n v="98436"/>
    <n v="1842"/>
    <n v="1.8712666097769108E-2"/>
    <n v="95876"/>
    <n v="0.97399325450038599"/>
    <m/>
    <n v="7.2940794018449065E-3"/>
    <n v="6986771"/>
    <n v="5473883.833333333"/>
    <n v="49940"/>
    <n v="42904"/>
    <n v="361"/>
    <n v="328.83333333333331"/>
    <n v="183"/>
    <n v="187.66666666666666"/>
    <n v="19866"/>
    <n v="14765.916666666666"/>
    <n v="84"/>
    <n v="70"/>
    <n v="59"/>
    <n v="50"/>
    <n v="30074"/>
    <n v="28138.083333333332"/>
    <n v="277"/>
    <n v="258.83333333333331"/>
    <n v="124"/>
    <n v="137.66666666666666"/>
    <n v="47168"/>
    <n v="21659"/>
    <n v="147"/>
    <n v="95"/>
    <n v="45"/>
    <n v="7"/>
    <n v="4.4999999999999998E-2"/>
    <n v="4.8099999999999997E-2"/>
    <n v="1515606"/>
    <n v="1338707"/>
    <n v="12553"/>
    <n v="12131"/>
    <n v="0.25136163396075289"/>
    <n v="7.7139336883148002E-2"/>
    <n v="132.13684210526316"/>
    <n v="85.394557823129247"/>
    <n v="8.2824955826250359E-3"/>
    <n v="30.348538245895075"/>
    <n v="9.3135379444053541"/>
    <n v="15953.747368421053"/>
    <n v="10310.244897959185"/>
    <n v="0.88328167083001785"/>
    <n v="26.8063075690829"/>
    <n v="8.2264773568731311"/>
    <n v="14091.652631578947"/>
    <n v="9106.850340136054"/>
    <n v="525.68421052631584"/>
    <n v="339.72789115646259"/>
    <n v="139.9033039647577"/>
    <n v="73544.957894736843"/>
    <n v="575.9435330970241"/>
    <n v="19353.936288088644"/>
    <n v="38179.076502732241"/>
    <d v="2021-07-01T00:00:00"/>
    <n v="47682.416666666664"/>
    <n v="22685.916666666668"/>
    <n v="88204.916666666672"/>
    <n v="127.69473684210526"/>
    <n v="110.35421647020031"/>
    <n v="601.01133814916329"/>
    <n v="9155.1666666666661"/>
    <n v="129.20898189631666"/>
    <n v="13088.550729247594"/>
    <d v="2021-07-01T00:00:00"/>
    <n v="124.72039557270631"/>
    <n v="0.40342202201691396"/>
    <n v="86.5"/>
    <n v="29215.566924787596"/>
    <n v="16655.319312966105"/>
    <n v="0.97593838902944441"/>
    <n v="1.7124700587952377E-2"/>
    <n v="6.936910382603201E-3"/>
    <n v="4.6098860785718712"/>
    <n v="142"/>
    <n v="90"/>
    <n v="63"/>
    <n v="33"/>
    <n v="47529.054421768706"/>
  </r>
  <r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">
  <r>
    <x v="0"/>
    <n v="2961269.2700000005"/>
    <n v="-2192942.4887200003"/>
    <n v="-768326.78128000023"/>
    <n v="-0.25945860076412441"/>
  </r>
  <r>
    <x v="1"/>
    <n v="2485633.0300000003"/>
    <n v="-1279853.06"/>
    <n v="-1205779.9700000002"/>
    <n v="-0.48509975344188278"/>
  </r>
  <r>
    <x v="2"/>
    <n v="3025991.2900000005"/>
    <n v="-1753630.5733600003"/>
    <n v="-1272360.7166400002"/>
    <n v="-0.42047732286764117"/>
  </r>
  <r>
    <x v="3"/>
    <n v="4172935.52"/>
    <n v="-2984655.75"/>
    <n v="-1188279.77"/>
    <n v="-0.2847587182463821"/>
  </r>
  <r>
    <x v="4"/>
    <n v="3923694.9400000004"/>
    <n v="-3012212.8065599999"/>
    <n v="-911482.13344000047"/>
    <n v="-0.23230198763617449"/>
  </r>
  <r>
    <x v="5"/>
    <n v="4046442.5100000002"/>
    <n v="-3249012.7701599998"/>
    <n v="-797429.7398400004"/>
    <n v="-0.19706933630449636"/>
  </r>
  <r>
    <x v="6"/>
    <n v="4595930.9400000004"/>
    <n v="-3499071.6684400002"/>
    <n v="-1096859.2715600003"/>
    <n v="-0.23865878009907612"/>
  </r>
  <r>
    <x v="7"/>
    <n v="3967324.2399999993"/>
    <n v="-3172045.7541200002"/>
    <n v="-795278.48587999912"/>
    <n v="-0.20045714385068744"/>
  </r>
  <r>
    <x v="8"/>
    <n v="4134872.9600000009"/>
    <n v="-3323600.7657599999"/>
    <n v="-811272.19424000103"/>
    <n v="-0.19620244735161121"/>
  </r>
  <r>
    <x v="9"/>
    <n v="4062062.3500000006"/>
    <n v="-3582268.4298399999"/>
    <n v="-479793.92016000068"/>
    <n v="-0.11811584333755995"/>
  </r>
  <r>
    <x v="10"/>
    <n v="3536160.7800000003"/>
    <n v="-2681247.9473599996"/>
    <n v="-854912.83264000062"/>
    <n v="-0.24176299829896325"/>
  </r>
  <r>
    <x v="11"/>
    <n v="3289927.5200000005"/>
    <n v="-3591948.14628"/>
    <n v="302020.6262799995"/>
    <n v="9.1801604881556614E-2"/>
  </r>
  <r>
    <x v="12"/>
    <n v="3791954.96"/>
    <n v="-3100141.7067600004"/>
    <n v="-691813.25323999953"/>
    <n v="-0.18244237089778079"/>
  </r>
  <r>
    <x v="13"/>
    <n v="2778462.2600000002"/>
    <n v="-2592451.8451199997"/>
    <n v="-186010.41488000052"/>
    <n v="-6.6947252643266245E-2"/>
  </r>
  <r>
    <x v="14"/>
    <n v="3454827.2099999995"/>
    <n v="-2902839.00392"/>
    <n v="-551988.20607999945"/>
    <n v="-0.15977302844040051"/>
  </r>
  <r>
    <x v="15"/>
    <n v="3924508.65"/>
    <n v="-3735815.6791599994"/>
    <n v="-188692.97084000055"/>
    <n v="-4.808066121602269E-2"/>
  </r>
  <r>
    <x v="16"/>
    <n v="3454131.19"/>
    <n v="-3530304.5284799999"/>
    <n v="76173.338479999918"/>
    <n v="2.2052821473755292E-2"/>
  </r>
  <r>
    <x v="17"/>
    <n v="3573203.44"/>
    <n v="-4206781.9336400004"/>
    <n v="633578.49364000047"/>
    <n v="0.17731385975605141"/>
  </r>
  <r>
    <x v="18"/>
    <n v="3117109.4200000004"/>
    <n v="-3481307.0715999999"/>
    <n v="364197.65159999952"/>
    <n v="0.11683826344472677"/>
  </r>
  <r>
    <x v="19"/>
    <n v="3322854.8699999996"/>
    <n v="-3167434.3915199996"/>
    <n v="-155420.47848000005"/>
    <n v="-4.6773176849580572E-2"/>
  </r>
  <r>
    <x v="20"/>
    <n v="3132603.8200000008"/>
    <n v="-2860720.2250800002"/>
    <n v="-271883.59492000053"/>
    <n v="-8.67915671889848E-2"/>
  </r>
  <r>
    <x v="21"/>
    <n v="2795489.5200000005"/>
    <n v="-2878410.75104"/>
    <n v="82921.231039999519"/>
    <n v="2.9662508282270184E-2"/>
  </r>
  <r>
    <x v="22"/>
    <n v="2878209.0100000002"/>
    <n v="-2487454.1250799997"/>
    <n v="-390754.88492000056"/>
    <n v="-0.13576320675891448"/>
  </r>
  <r>
    <x v="23"/>
    <n v="3021335.9400000004"/>
    <n v="-2794137.9768400001"/>
    <n v="-227197.96316000028"/>
    <n v="-7.519784879002904E-2"/>
  </r>
  <r>
    <x v="24"/>
    <n v="2735454.05"/>
    <n v="-2359787.0092000002"/>
    <n v="-375667.04079999961"/>
    <n v="-0.13733260874917627"/>
  </r>
  <r>
    <x v="25"/>
    <n v="2585165.4499999997"/>
    <n v="-2646193.9731600005"/>
    <n v="61028.523160000797"/>
    <n v="2.3607202069020689E-2"/>
  </r>
  <r>
    <x v="26"/>
    <n v="2930445.34"/>
    <n v="-2388482.0791600002"/>
    <n v="-541963.26083999965"/>
    <n v="-0.18494228622602449"/>
  </r>
  <r>
    <x v="27"/>
    <n v="3072070.58"/>
    <n v="-3230719.2252399996"/>
    <n v="158648.64523999952"/>
    <n v="5.1642252711524457E-2"/>
  </r>
  <r>
    <x v="28"/>
    <n v="2881232.2199999993"/>
    <n v="-3151125.6777999997"/>
    <n v="269893.45780000044"/>
    <n v="9.3672927828080621E-2"/>
  </r>
  <r>
    <x v="29"/>
    <n v="3108633.43"/>
    <n v="-3258654.0147599997"/>
    <n v="150020.58475999953"/>
    <n v="4.8259335858715099E-2"/>
  </r>
  <r>
    <x v="30"/>
    <n v="2887257.35"/>
    <n v="-3077730.2090400001"/>
    <n v="190472.85904000001"/>
    <n v="6.5970170286344582E-2"/>
  </r>
  <r>
    <x v="31"/>
    <n v="2862901.6800000006"/>
    <n v="-3414989.86888"/>
    <n v="552088.18887999933"/>
    <n v="0.19284217573269902"/>
  </r>
  <r>
    <x v="32"/>
    <n v="2500832.59"/>
    <n v="-2868941.1029599998"/>
    <n v="368108.51295999996"/>
    <n v="0.14719438415507852"/>
  </r>
  <r>
    <x v="33"/>
    <n v="2435344.0499999998"/>
    <n v="-2924107.01596"/>
    <n v="488762.96596000018"/>
    <n v="0.20069565364286013"/>
  </r>
  <r>
    <x v="34"/>
    <n v="2373603.98"/>
    <n v="-915676.57"/>
    <n v="-1457927.4100000001"/>
    <n v="-0.61422521291862686"/>
  </r>
  <r>
    <x v="35"/>
    <n v="2746266.96"/>
    <n v="-2013328.7239999997"/>
    <n v="-732938.23600000027"/>
    <n v="-0.26688528343216866"/>
  </r>
  <r>
    <x v="36"/>
    <n v="2522219.66"/>
    <n v="-2246119.8659999999"/>
    <n v="-276099.79400000023"/>
    <n v="-0.10946698988144443"/>
  </r>
  <r>
    <x v="37"/>
    <n v="2216061.6500000004"/>
    <n v="-2100001.8619999997"/>
    <n v="-116059.78800000064"/>
    <n v="-5.2372093529076964E-2"/>
  </r>
  <r>
    <x v="38"/>
    <n v="2087412.13"/>
    <n v="-1678444.6"/>
    <n v="-408967.5299999998"/>
    <n v="-0.19592083619826423"/>
  </r>
  <r>
    <x v="39"/>
    <n v="2459293.0899999994"/>
    <n v="-2502128.2820000001"/>
    <n v="42835.192000000738"/>
    <n v="1.7417684851869668E-2"/>
  </r>
  <r>
    <x v="40"/>
    <n v="2515263.66"/>
    <n v="-2549932.6100000003"/>
    <n v="34668.950000000186"/>
    <n v="1.3783425790042299E-2"/>
  </r>
  <r>
    <x v="41"/>
    <n v="2317009.3000000003"/>
    <n v="-2298651.31"/>
    <n v="-18357.990000000224"/>
    <n v="-7.9231404034503534E-3"/>
  </r>
  <r>
    <x v="42"/>
    <n v="2549505.6500000004"/>
    <n v="-2496812.7080000001"/>
    <n v="-52692.942000000272"/>
    <n v="-2.0667905560436888E-2"/>
  </r>
  <r>
    <x v="43"/>
    <n v="2750498.2600000002"/>
    <n v="-2421476.8020000001"/>
    <n v="-329021.4580000001"/>
    <n v="-0.11962249268974272"/>
  </r>
  <r>
    <x v="44"/>
    <n v="2262874.0299999998"/>
    <n v="-2142195.2140000002"/>
    <n v="-120678.81599999964"/>
    <n v="-5.3329886860736857E-2"/>
  </r>
  <r>
    <x v="45"/>
    <n v="2523738.2699999996"/>
    <n v="-2666124.5680000004"/>
    <n v="142386.29800000088"/>
    <n v="5.641880526699819E-2"/>
  </r>
  <r>
    <x v="46"/>
    <n v="2207674.92"/>
    <n v="-1891396.7560000001"/>
    <n v="-316278.16399999987"/>
    <n v="-0.14326301446591597"/>
  </r>
  <r>
    <x v="47"/>
    <n v="2453729.42"/>
    <n v="-2492950.4380000001"/>
    <n v="39221.018000000156"/>
    <n v="1.5984247358455748E-2"/>
  </r>
  <r>
    <x v="48"/>
    <n v="2411217.0199999996"/>
    <n v="-2281730.5019999999"/>
    <n v="-129486.51799999969"/>
    <n v="-5.370172693953517E-2"/>
  </r>
  <r>
    <x v="49"/>
    <n v="2268117.9300000002"/>
    <n v="-1909029.054"/>
    <n v="-359088.87600000016"/>
    <n v="-0.15832019634005545"/>
  </r>
  <r>
    <x v="50"/>
    <n v="2120443.2499999995"/>
    <n v="-1635518.2320000001"/>
    <n v="-484925.01799999946"/>
    <n v="-0.22869040140546065"/>
  </r>
  <r>
    <x v="51"/>
    <n v="2632148.6199999996"/>
    <n v="-2603498.5680000004"/>
    <n v="-28650.05199999921"/>
    <n v="-1.0884663495938619E-2"/>
  </r>
  <r>
    <x v="52"/>
    <n v="2546072.1900000004"/>
    <n v="-2408249.1340000001"/>
    <n v="-137823.05600000033"/>
    <n v="-5.4131637170900603E-2"/>
  </r>
  <r>
    <x v="53"/>
    <n v="2295751.62"/>
    <n v="-2270435.0340000005"/>
    <n v="-25316.585999999661"/>
    <n v="-1.1027580588182121E-2"/>
  </r>
  <r>
    <x v="54"/>
    <n v="2555601.8299999996"/>
    <n v="-2565700.5640000002"/>
    <n v="10098.734000000637"/>
    <n v="3.9516069684457219E-3"/>
  </r>
  <r>
    <x v="55"/>
    <n v="2467527.0099999998"/>
    <n v="-2436260.9040000001"/>
    <n v="-31266.10599999968"/>
    <n v="-1.2671028877612846E-2"/>
  </r>
  <r>
    <x v="56"/>
    <n v="2537136.0599999996"/>
    <n v="-2369728.4599999995"/>
    <n v="-167407.60000000009"/>
    <n v="-6.5982901996986365E-2"/>
  </r>
  <r>
    <x v="57"/>
    <n v="2489477.2399999998"/>
    <n v="-2721375.6839999999"/>
    <n v="231898.44400000013"/>
    <n v="9.3151461790428006E-2"/>
  </r>
  <r>
    <x v="58"/>
    <n v="2241133.27"/>
    <n v="-2314084.6720000003"/>
    <n v="72951.402000000235"/>
    <n v="3.2551121781347808E-2"/>
  </r>
  <r>
    <x v="59"/>
    <n v="2437485.39"/>
    <n v="-2574734.1860000002"/>
    <n v="137248.79600000009"/>
    <n v="5.6307535857681626E-2"/>
  </r>
  <r>
    <x v="60"/>
    <n v="2181749.87"/>
    <n v="-2299909.4960000003"/>
    <n v="118159.62600000016"/>
    <n v="5.4158190920391876E-2"/>
  </r>
  <r>
    <x v="61"/>
    <n v="2038141.6400000001"/>
    <n v="-1883860.676"/>
    <n v="-154280.96400000015"/>
    <n v="-7.5696880418968396E-2"/>
  </r>
  <r>
    <x v="62"/>
    <n v="1895607.3699999999"/>
    <n v="-1877479.4179999998"/>
    <n v="-18127.952000000048"/>
    <n v="-9.5631364843237806E-3"/>
  </r>
  <r>
    <x v="63"/>
    <n v="2366399.6799999997"/>
    <n v="-2795966.824"/>
    <n v="429567.14400000032"/>
    <n v="0.18152772231612219"/>
  </r>
  <r>
    <x v="64"/>
    <n v="2280400.1399999997"/>
    <n v="-2763127.17"/>
    <n v="482727.03000000026"/>
    <n v="0.21168523082093843"/>
  </r>
  <r>
    <x v="65"/>
    <n v="2278977.88"/>
    <n v="-2604694.3739999998"/>
    <n v="325716.49399999995"/>
    <n v="0.14292218316748206"/>
  </r>
  <r>
    <x v="66"/>
    <n v="2345753.2000000002"/>
    <n v="-2851217.1879999996"/>
    <n v="505463.98799999943"/>
    <n v="0.21548046401471366"/>
  </r>
  <r>
    <x v="67"/>
    <n v="2053200.6399999997"/>
    <n v="-2470503.0219999999"/>
    <n v="417302.38200000022"/>
    <n v="0.20324481391161084"/>
  </r>
  <r>
    <x v="68"/>
    <n v="2196035.6000000006"/>
    <n v="-2532818.142"/>
    <n v="336782.54199999943"/>
    <n v="0.15335932714387659"/>
  </r>
  <r>
    <x v="69"/>
    <n v="2221271.63"/>
    <n v="-2769777.2499999995"/>
    <n v="548505.61999999965"/>
    <n v="0.24693315873304503"/>
  </r>
  <r>
    <x v="70"/>
    <n v="1881848.12"/>
    <n v="-2010720.8139999998"/>
    <n v="128872.69399999967"/>
    <n v="6.8481984614146049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x v="0"/>
    <n v="56196"/>
    <n v="1264"/>
    <n v="2.2492704107053882E-2"/>
    <m/>
    <m/>
    <m/>
    <m/>
    <m/>
    <m/>
    <n v="28128"/>
    <m/>
    <n v="308"/>
    <m/>
    <m/>
    <m/>
    <n v="11273"/>
    <m/>
    <n v="142"/>
    <m/>
    <m/>
    <m/>
    <n v="16855"/>
    <m/>
    <n v="166"/>
    <m/>
    <m/>
    <m/>
    <n v="33535"/>
    <n v="2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1-11-01T00:00:00"/>
    <m/>
    <m/>
    <m/>
    <m/>
    <m/>
    <m/>
    <m/>
    <m/>
    <m/>
    <d v="2011-11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1"/>
    <n v="40310"/>
    <n v="1223"/>
    <n v="3.0339866038203919E-2"/>
    <m/>
    <m/>
    <m/>
    <m/>
    <m/>
    <m/>
    <n v="23350"/>
    <m/>
    <n v="242"/>
    <m/>
    <m/>
    <m/>
    <n v="6609"/>
    <m/>
    <n v="95"/>
    <m/>
    <m/>
    <m/>
    <n v="16741"/>
    <m/>
    <n v="147"/>
    <m/>
    <m/>
    <m/>
    <n v="24467"/>
    <n v="15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1-12-01T00:00:00"/>
    <m/>
    <m/>
    <m/>
    <m/>
    <m/>
    <m/>
    <m/>
    <m/>
    <m/>
    <d v="2011-12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2"/>
    <n v="36682"/>
    <n v="1152"/>
    <n v="3.1405048797775476E-2"/>
    <m/>
    <m/>
    <m/>
    <m/>
    <m/>
    <m/>
    <n v="21991"/>
    <m/>
    <n v="241"/>
    <m/>
    <m/>
    <m/>
    <n v="4929"/>
    <m/>
    <n v="94"/>
    <m/>
    <m/>
    <m/>
    <n v="17062"/>
    <m/>
    <n v="147"/>
    <m/>
    <m/>
    <m/>
    <n v="31484"/>
    <n v="15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1-01T00:00:00"/>
    <m/>
    <m/>
    <m/>
    <m/>
    <m/>
    <m/>
    <m/>
    <m/>
    <m/>
    <d v="2012-01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3"/>
    <n v="52260"/>
    <n v="1732"/>
    <n v="3.314198239571374E-2"/>
    <m/>
    <m/>
    <m/>
    <m/>
    <m/>
    <m/>
    <n v="33777"/>
    <m/>
    <n v="326"/>
    <m/>
    <m/>
    <m/>
    <n v="5199"/>
    <m/>
    <n v="106"/>
    <m/>
    <m/>
    <m/>
    <n v="28578"/>
    <m/>
    <n v="220"/>
    <m/>
    <m/>
    <m/>
    <n v="32651"/>
    <n v="2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2-01T00:00:00"/>
    <m/>
    <m/>
    <m/>
    <m/>
    <m/>
    <m/>
    <m/>
    <m/>
    <m/>
    <d v="2012-02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4"/>
    <n v="66642"/>
    <n v="1843"/>
    <n v="2.765523243600132E-2"/>
    <m/>
    <m/>
    <m/>
    <m/>
    <m/>
    <m/>
    <n v="41233"/>
    <m/>
    <n v="341"/>
    <m/>
    <m/>
    <m/>
    <n v="7178"/>
    <m/>
    <n v="98"/>
    <m/>
    <m/>
    <m/>
    <n v="34055"/>
    <m/>
    <n v="243"/>
    <m/>
    <m/>
    <m/>
    <n v="36444"/>
    <n v="25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3-01T00:00:00"/>
    <m/>
    <m/>
    <m/>
    <m/>
    <m/>
    <m/>
    <m/>
    <m/>
    <m/>
    <d v="2012-03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5"/>
    <n v="47794"/>
    <n v="1450"/>
    <n v="3.0338536217935305E-2"/>
    <m/>
    <m/>
    <m/>
    <m/>
    <m/>
    <m/>
    <n v="36339"/>
    <m/>
    <n v="353"/>
    <m/>
    <m/>
    <m/>
    <n v="6802"/>
    <m/>
    <n v="135"/>
    <m/>
    <m/>
    <m/>
    <n v="29537"/>
    <m/>
    <n v="218"/>
    <m/>
    <m/>
    <m/>
    <n v="36853"/>
    <n v="27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4-01T00:00:00"/>
    <m/>
    <m/>
    <m/>
    <m/>
    <m/>
    <m/>
    <m/>
    <m/>
    <m/>
    <d v="2012-04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6"/>
    <n v="61375"/>
    <n v="1777"/>
    <n v="2.8953156822810591E-2"/>
    <m/>
    <m/>
    <m/>
    <m/>
    <m/>
    <m/>
    <n v="34359"/>
    <m/>
    <n v="365"/>
    <m/>
    <m/>
    <m/>
    <n v="6297"/>
    <m/>
    <n v="125"/>
    <m/>
    <m/>
    <m/>
    <n v="28062"/>
    <m/>
    <n v="240"/>
    <m/>
    <m/>
    <m/>
    <n v="33983"/>
    <n v="26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5-01T00:00:00"/>
    <m/>
    <m/>
    <m/>
    <m/>
    <m/>
    <m/>
    <m/>
    <m/>
    <m/>
    <d v="2012-05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7"/>
    <n v="48214"/>
    <n v="1745"/>
    <n v="3.6192807068486335E-2"/>
    <m/>
    <m/>
    <m/>
    <m/>
    <m/>
    <m/>
    <n v="34609"/>
    <m/>
    <n v="356"/>
    <m/>
    <m/>
    <m/>
    <n v="7326"/>
    <m/>
    <n v="114"/>
    <m/>
    <m/>
    <m/>
    <n v="27283"/>
    <m/>
    <n v="242"/>
    <m/>
    <m/>
    <m/>
    <n v="29250"/>
    <n v="20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6-01T00:00:00"/>
    <m/>
    <m/>
    <m/>
    <m/>
    <m/>
    <m/>
    <m/>
    <m/>
    <m/>
    <d v="2012-06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8"/>
    <n v="51384"/>
    <n v="1494"/>
    <n v="2.9075198505371321E-2"/>
    <m/>
    <m/>
    <m/>
    <m/>
    <m/>
    <m/>
    <n v="31616"/>
    <m/>
    <n v="391"/>
    <m/>
    <m/>
    <m/>
    <n v="9335"/>
    <m/>
    <n v="156"/>
    <m/>
    <m/>
    <m/>
    <n v="22281"/>
    <m/>
    <n v="235"/>
    <m/>
    <m/>
    <m/>
    <n v="36694"/>
    <n v="26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7-01T00:00:00"/>
    <m/>
    <m/>
    <m/>
    <m/>
    <m/>
    <m/>
    <m/>
    <m/>
    <m/>
    <d v="2012-07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9"/>
    <n v="49348"/>
    <n v="1625"/>
    <n v="3.2929399367755532E-2"/>
    <m/>
    <m/>
    <m/>
    <m/>
    <m/>
    <m/>
    <n v="25948"/>
    <m/>
    <n v="358"/>
    <m/>
    <m/>
    <m/>
    <n v="7473"/>
    <m/>
    <n v="121"/>
    <m/>
    <m/>
    <m/>
    <n v="18475"/>
    <m/>
    <n v="237"/>
    <m/>
    <m/>
    <m/>
    <n v="28996"/>
    <n v="18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8-01T00:00:00"/>
    <m/>
    <m/>
    <m/>
    <m/>
    <m/>
    <m/>
    <m/>
    <m/>
    <m/>
    <d v="2012-08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10"/>
    <n v="42668"/>
    <n v="1308"/>
    <n v="3.065529202212431E-2"/>
    <m/>
    <m/>
    <m/>
    <m/>
    <m/>
    <m/>
    <n v="25083"/>
    <m/>
    <n v="316"/>
    <m/>
    <m/>
    <m/>
    <n v="8059"/>
    <m/>
    <n v="125"/>
    <m/>
    <m/>
    <m/>
    <n v="17024"/>
    <m/>
    <n v="191"/>
    <m/>
    <m/>
    <m/>
    <n v="32303"/>
    <n v="17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2-09-01T00:00:00"/>
    <m/>
    <m/>
    <m/>
    <m/>
    <m/>
    <m/>
    <m/>
    <m/>
    <m/>
    <d v="2012-09-01T00:00:00"/>
    <m/>
    <m/>
    <m/>
    <m/>
    <m/>
    <m/>
    <m/>
    <m/>
    <e v="#DIV/0!"/>
    <m/>
    <m/>
    <m/>
    <m/>
    <m/>
    <m/>
    <m/>
    <m/>
    <m/>
    <m/>
    <m/>
    <m/>
    <m/>
    <m/>
    <m/>
    <m/>
    <m/>
    <m/>
    <m/>
    <m/>
    <m/>
    <m/>
    <m/>
  </r>
  <r>
    <x v="11"/>
    <n v="43789"/>
    <n v="1305"/>
    <n v="2.980200506976638E-2"/>
    <m/>
    <m/>
    <m/>
    <m/>
    <m/>
    <m/>
    <n v="26991"/>
    <n v="30285.333333333332"/>
    <n v="337"/>
    <n v="327.83333333333331"/>
    <m/>
    <e v="#DIV/0!"/>
    <n v="7137"/>
    <n v="7301.416666666667"/>
    <n v="142"/>
    <n v="121.08333333333333"/>
    <m/>
    <e v="#DIV/0!"/>
    <n v="19854"/>
    <n v="22983.916666666668"/>
    <n v="195"/>
    <n v="206.75"/>
    <m/>
    <e v="#DIV/0!"/>
    <n v="30241"/>
    <n v="30657"/>
    <n v="70"/>
    <n v="56"/>
    <n v="14"/>
    <n v="0"/>
    <m/>
    <m/>
    <m/>
    <m/>
    <m/>
    <m/>
    <m/>
    <m/>
    <m/>
    <m/>
    <m/>
    <m/>
    <m/>
    <m/>
    <m/>
    <m/>
    <m/>
    <m/>
    <m/>
    <m/>
    <m/>
    <m/>
    <m/>
    <m/>
    <m/>
    <m/>
    <m/>
    <d v="2012-10-01T00:00:00"/>
    <n v="32241.75"/>
    <n v="22244.25"/>
    <n v="49721.833333333336"/>
    <m/>
    <m/>
    <m/>
    <m/>
    <m/>
    <m/>
    <d v="2012-10-01T00:00:00"/>
    <m/>
    <m/>
    <m/>
    <m/>
    <m/>
    <m/>
    <n v="3.0248435737416507E-2"/>
    <e v="#DIV/0!"/>
    <e v="#DIV/0!"/>
    <m/>
    <m/>
    <m/>
    <m/>
    <m/>
    <m/>
    <m/>
    <m/>
    <m/>
    <m/>
    <m/>
    <m/>
    <m/>
    <m/>
    <m/>
    <m/>
    <m/>
    <m/>
    <m/>
    <m/>
    <m/>
    <m/>
    <m/>
  </r>
  <r>
    <x v="12"/>
    <n v="49971"/>
    <n v="1281"/>
    <n v="2.5634868223569671E-2"/>
    <m/>
    <m/>
    <m/>
    <m/>
    <m/>
    <m/>
    <n v="23531"/>
    <n v="29902.25"/>
    <n v="319"/>
    <n v="328.75"/>
    <m/>
    <e v="#DIV/0!"/>
    <n v="6454"/>
    <n v="6899.833333333333"/>
    <n v="144"/>
    <n v="121.25"/>
    <m/>
    <e v="#DIV/0!"/>
    <n v="17077"/>
    <n v="23002.416666666668"/>
    <n v="175"/>
    <n v="207.5"/>
    <m/>
    <e v="#DIV/0!"/>
    <n v="32527"/>
    <n v="23828"/>
    <n v="70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2-11-01T00:00:00"/>
    <n v="32157.75"/>
    <n v="22269.083333333332"/>
    <n v="49203.083333333336"/>
    <m/>
    <m/>
    <m/>
    <m/>
    <m/>
    <m/>
    <d v="2012-11-01T00:00:00"/>
    <m/>
    <m/>
    <m/>
    <m/>
    <m/>
    <m/>
    <n v="3.0510282747126156E-2"/>
    <e v="#DIV/0!"/>
    <e v="#DIV/0!"/>
    <m/>
    <m/>
    <m/>
    <m/>
    <m/>
    <m/>
    <m/>
    <m/>
    <m/>
    <m/>
    <m/>
    <m/>
    <m/>
    <m/>
    <m/>
    <m/>
    <m/>
    <m/>
    <m/>
    <m/>
    <m/>
    <m/>
    <m/>
  </r>
  <r>
    <x v="13"/>
    <n v="32695"/>
    <n v="696"/>
    <n v="2.128765866340419E-2"/>
    <m/>
    <m/>
    <m/>
    <m/>
    <m/>
    <m/>
    <n v="18951"/>
    <n v="29535.666666666668"/>
    <n v="225"/>
    <n v="327.33333333333331"/>
    <m/>
    <e v="#DIV/0!"/>
    <n v="5070"/>
    <n v="6771.583333333333"/>
    <n v="95"/>
    <n v="121.25"/>
    <m/>
    <e v="#DIV/0!"/>
    <n v="13881"/>
    <n v="22764.083333333332"/>
    <n v="130"/>
    <n v="206.08333333333334"/>
    <m/>
    <e v="#DIV/0!"/>
    <n v="22586"/>
    <n v="21264"/>
    <n v="70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2-12-01T00:00:00"/>
    <n v="32001"/>
    <n v="22718.5"/>
    <n v="48568.5"/>
    <m/>
    <m/>
    <m/>
    <m/>
    <m/>
    <m/>
    <d v="2012-12-01T00:00:00"/>
    <m/>
    <m/>
    <m/>
    <m/>
    <m/>
    <m/>
    <n v="2.9755932132559518E-2"/>
    <e v="#DIV/0!"/>
    <e v="#DIV/0!"/>
    <m/>
    <m/>
    <m/>
    <m/>
    <m/>
    <m/>
    <m/>
    <m/>
    <m/>
    <m/>
    <m/>
    <m/>
    <m/>
    <m/>
    <m/>
    <m/>
    <m/>
    <m/>
    <m/>
    <m/>
    <m/>
    <m/>
    <m/>
  </r>
  <r>
    <x v="14"/>
    <n v="32589"/>
    <n v="864"/>
    <n v="2.6512013256006627E-2"/>
    <m/>
    <m/>
    <m/>
    <m/>
    <m/>
    <m/>
    <n v="20549"/>
    <n v="29415.5"/>
    <n v="211"/>
    <n v="324.83333333333331"/>
    <m/>
    <e v="#DIV/0!"/>
    <n v="3659"/>
    <n v="6665.75"/>
    <n v="75"/>
    <n v="119.66666666666667"/>
    <m/>
    <e v="#DIV/0!"/>
    <n v="16890"/>
    <n v="22749.75"/>
    <n v="136"/>
    <n v="205.16666666666666"/>
    <m/>
    <e v="#DIV/0!"/>
    <n v="17710"/>
    <n v="15316"/>
    <n v="70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1-01T00:00:00"/>
    <n v="30853.166666666668"/>
    <n v="22740.166666666668"/>
    <n v="48227.416666666664"/>
    <m/>
    <m/>
    <m/>
    <m/>
    <m/>
    <m/>
    <d v="2013-01-01T00:00:00"/>
    <m/>
    <m/>
    <m/>
    <m/>
    <m/>
    <m/>
    <n v="2.9348179170745444E-2"/>
    <e v="#DIV/0!"/>
    <e v="#DIV/0!"/>
    <m/>
    <m/>
    <m/>
    <m/>
    <m/>
    <m/>
    <m/>
    <m/>
    <m/>
    <m/>
    <m/>
    <m/>
    <m/>
    <m/>
    <m/>
    <m/>
    <m/>
    <m/>
    <m/>
    <m/>
    <m/>
    <m/>
    <m/>
  </r>
  <r>
    <x v="15"/>
    <n v="47417"/>
    <n v="1474"/>
    <n v="3.1085897462935233E-2"/>
    <m/>
    <m/>
    <m/>
    <m/>
    <m/>
    <m/>
    <n v="25691"/>
    <n v="28741.666666666668"/>
    <n v="307"/>
    <n v="323.25"/>
    <m/>
    <e v="#DIV/0!"/>
    <n v="5707"/>
    <n v="6708.083333333333"/>
    <n v="114"/>
    <n v="120.33333333333333"/>
    <m/>
    <e v="#DIV/0!"/>
    <n v="19984"/>
    <n v="22033.583333333332"/>
    <n v="193"/>
    <n v="202.91666666666666"/>
    <m/>
    <e v="#DIV/0!"/>
    <n v="29768"/>
    <n v="20129"/>
    <n v="70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2-01T00:00:00"/>
    <n v="30612.916666666668"/>
    <n v="22712.333333333332"/>
    <n v="47823.833333333336"/>
    <m/>
    <m/>
    <m/>
    <m/>
    <m/>
    <m/>
    <d v="2013-02-01T00:00:00"/>
    <m/>
    <m/>
    <m/>
    <m/>
    <m/>
    <m/>
    <n v="2.9176838759680569E-2"/>
    <e v="#DIV/0!"/>
    <e v="#DIV/0!"/>
    <m/>
    <m/>
    <m/>
    <m/>
    <m/>
    <m/>
    <m/>
    <m/>
    <m/>
    <m/>
    <m/>
    <m/>
    <m/>
    <m/>
    <m/>
    <m/>
    <m/>
    <m/>
    <m/>
    <m/>
    <m/>
    <m/>
    <m/>
  </r>
  <r>
    <x v="16"/>
    <n v="50343"/>
    <n v="1409"/>
    <n v="2.7988002304193235E-2"/>
    <m/>
    <m/>
    <m/>
    <m/>
    <m/>
    <m/>
    <n v="29280"/>
    <n v="27745.583333333332"/>
    <n v="287"/>
    <n v="318.75"/>
    <m/>
    <e v="#DIV/0!"/>
    <n v="5219"/>
    <n v="6544.833333333333"/>
    <n v="103"/>
    <n v="120.75"/>
    <m/>
    <e v="#DIV/0!"/>
    <n v="24061"/>
    <n v="21200.75"/>
    <n v="184"/>
    <n v="198"/>
    <m/>
    <e v="#DIV/0!"/>
    <n v="35856"/>
    <n v="21009"/>
    <n v="70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3-01T00:00:00"/>
    <n v="30563.916666666668"/>
    <n v="22362.25"/>
    <n v="46465.583333333336"/>
    <m/>
    <m/>
    <m/>
    <m/>
    <m/>
    <m/>
    <d v="2013-03-01T00:00:00"/>
    <m/>
    <m/>
    <m/>
    <m/>
    <m/>
    <m/>
    <n v="2.9204569582029893E-2"/>
    <e v="#DIV/0!"/>
    <e v="#DIV/0!"/>
    <m/>
    <m/>
    <m/>
    <m/>
    <m/>
    <m/>
    <m/>
    <m/>
    <m/>
    <m/>
    <m/>
    <m/>
    <m/>
    <m/>
    <m/>
    <m/>
    <m/>
    <m/>
    <m/>
    <m/>
    <m/>
    <m/>
    <m/>
  </r>
  <r>
    <x v="17"/>
    <n v="59996"/>
    <n v="1654"/>
    <n v="2.756850456697113E-2"/>
    <m/>
    <m/>
    <m/>
    <m/>
    <m/>
    <m/>
    <n v="31196"/>
    <n v="27317"/>
    <n v="320"/>
    <n v="316"/>
    <m/>
    <e v="#DIV/0!"/>
    <n v="5946"/>
    <n v="6473.5"/>
    <n v="116"/>
    <n v="119.16666666666667"/>
    <m/>
    <e v="#DIV/0!"/>
    <n v="25250"/>
    <n v="20843.5"/>
    <n v="204"/>
    <n v="196.83333333333334"/>
    <m/>
    <e v="#DIV/0!"/>
    <n v="37309"/>
    <n v="21969"/>
    <n v="6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4-01T00:00:00"/>
    <n v="30601.916666666668"/>
    <n v="21912"/>
    <n v="47482.416666666664"/>
    <m/>
    <m/>
    <m/>
    <m/>
    <m/>
    <m/>
    <d v="2013-04-01T00:00:00"/>
    <m/>
    <m/>
    <m/>
    <m/>
    <m/>
    <m/>
    <n v="2.8973733611116211E-2"/>
    <e v="#DIV/0!"/>
    <e v="#DIV/0!"/>
    <m/>
    <m/>
    <m/>
    <m/>
    <m/>
    <m/>
    <m/>
    <m/>
    <m/>
    <n v="-9.0657170147282473E-2"/>
    <n v="0.16607247447095674"/>
    <n v="-2.0394419345252102E-3"/>
    <n v="-0.21523624262615193"/>
    <m/>
    <m/>
    <m/>
    <m/>
    <m/>
    <m/>
    <m/>
    <m/>
    <m/>
    <m/>
  </r>
  <r>
    <x v="18"/>
    <n v="64443"/>
    <n v="1552"/>
    <n v="2.4083298418757663E-2"/>
    <m/>
    <m/>
    <m/>
    <m/>
    <m/>
    <m/>
    <n v="35649"/>
    <n v="27424.5"/>
    <n v="370"/>
    <n v="316.41666666666669"/>
    <m/>
    <e v="#DIV/0!"/>
    <n v="5823"/>
    <n v="6434"/>
    <n v="108"/>
    <n v="117.75"/>
    <m/>
    <e v="#DIV/0!"/>
    <n v="29826"/>
    <n v="20990.5"/>
    <n v="262"/>
    <n v="198.66666666666666"/>
    <m/>
    <e v="#DIV/0!"/>
    <n v="34075"/>
    <n v="19506"/>
    <n v="6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5-01T00:00:00"/>
    <n v="30609.583333333332"/>
    <n v="21368.416666666668"/>
    <n v="47738.083333333336"/>
    <m/>
    <m/>
    <m/>
    <m/>
    <m/>
    <m/>
    <d v="2013-05-01T00:00:00"/>
    <m/>
    <m/>
    <m/>
    <m/>
    <m/>
    <m/>
    <n v="2.8567912077445134E-2"/>
    <e v="#DIV/0!"/>
    <e v="#DIV/0!"/>
    <m/>
    <m/>
    <m/>
    <m/>
    <m/>
    <m/>
    <m/>
    <m/>
    <m/>
    <m/>
    <m/>
    <m/>
    <m/>
    <m/>
    <m/>
    <m/>
    <m/>
    <m/>
    <m/>
    <m/>
    <m/>
    <m/>
    <m/>
  </r>
  <r>
    <x v="19"/>
    <n v="54439"/>
    <n v="1688"/>
    <n v="3.100718235088815E-2"/>
    <m/>
    <m/>
    <m/>
    <m/>
    <m/>
    <m/>
    <n v="21345"/>
    <n v="26319.166666666668"/>
    <n v="250"/>
    <n v="307.58333333333331"/>
    <m/>
    <e v="#DIV/0!"/>
    <n v="5710"/>
    <n v="6299.333333333333"/>
    <n v="95"/>
    <n v="116.16666666666667"/>
    <m/>
    <e v="#DIV/0!"/>
    <n v="15635"/>
    <n v="20019.833333333332"/>
    <n v="155"/>
    <n v="191.41666666666666"/>
    <m/>
    <e v="#DIV/0!"/>
    <n v="30584"/>
    <n v="15636"/>
    <n v="6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6-01T00:00:00"/>
    <n v="30720.75"/>
    <n v="20985.166666666668"/>
    <n v="48256.833333333336"/>
    <m/>
    <m/>
    <m/>
    <m/>
    <m/>
    <m/>
    <d v="2013-06-01T00:00:00"/>
    <m/>
    <m/>
    <m/>
    <m/>
    <m/>
    <m/>
    <n v="2.8135776684311956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0"/>
    <n v="54346"/>
    <n v="2066"/>
    <n v="3.8015677326758181E-2"/>
    <m/>
    <m/>
    <m/>
    <m/>
    <m/>
    <m/>
    <n v="32091"/>
    <n v="26358.75"/>
    <n v="385"/>
    <n v="307.08333333333331"/>
    <m/>
    <e v="#DIV/0!"/>
    <n v="8707"/>
    <n v="6247"/>
    <n v="160"/>
    <n v="116.5"/>
    <m/>
    <e v="#DIV/0!"/>
    <n v="23384"/>
    <n v="20111.75"/>
    <n v="225"/>
    <n v="190.58333333333334"/>
    <m/>
    <e v="#DIV/0!"/>
    <n v="33525"/>
    <n v="19447"/>
    <n v="6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7-01T00:00:00"/>
    <n v="30456.666666666668"/>
    <n v="20374.666666666668"/>
    <n v="48503.666666666664"/>
    <m/>
    <m/>
    <m/>
    <m/>
    <m/>
    <m/>
    <d v="2013-07-01T00:00:00"/>
    <m/>
    <m/>
    <m/>
    <m/>
    <m/>
    <m/>
    <n v="2.8880816586094194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1"/>
    <n v="40743"/>
    <n v="844"/>
    <n v="2.0715214883538276E-2"/>
    <m/>
    <m/>
    <m/>
    <m/>
    <m/>
    <m/>
    <n v="22295"/>
    <n v="26054.333333333332"/>
    <n v="281"/>
    <n v="300.66666666666669"/>
    <m/>
    <e v="#DIV/0!"/>
    <n v="7474"/>
    <n v="6247.083333333333"/>
    <n v="109"/>
    <n v="115.5"/>
    <m/>
    <e v="#DIV/0!"/>
    <n v="14821"/>
    <n v="19807.25"/>
    <n v="172"/>
    <n v="185.16666666666666"/>
    <m/>
    <e v="#DIV/0!"/>
    <n v="22249"/>
    <n v="14995"/>
    <n v="6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8-01T00:00:00"/>
    <n v="29894.416666666668"/>
    <n v="20122.916666666668"/>
    <n v="47786.583333333336"/>
    <m/>
    <m/>
    <m/>
    <m/>
    <m/>
    <m/>
    <d v="2013-08-01T00:00:00"/>
    <m/>
    <m/>
    <m/>
    <m/>
    <m/>
    <m/>
    <n v="2.7862967879076092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2"/>
    <n v="40290"/>
    <n v="900"/>
    <n v="2.2338049143708117E-2"/>
    <m/>
    <m/>
    <m/>
    <m/>
    <m/>
    <m/>
    <n v="24245"/>
    <n v="25984.5"/>
    <n v="336"/>
    <n v="302.33333333333331"/>
    <m/>
    <e v="#DIV/0!"/>
    <n v="9721"/>
    <n v="6385.583333333333"/>
    <n v="145"/>
    <n v="117.16666666666667"/>
    <m/>
    <e v="#DIV/0!"/>
    <n v="14524"/>
    <n v="19598.916666666668"/>
    <n v="191"/>
    <n v="185.16666666666666"/>
    <m/>
    <e v="#DIV/0!"/>
    <n v="25564"/>
    <n v="16010"/>
    <n v="6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09-01T00:00:00"/>
    <n v="29332.833333333332"/>
    <n v="19980.5"/>
    <n v="47588.416666666664"/>
    <m/>
    <m/>
    <m/>
    <m/>
    <m/>
    <m/>
    <d v="2013-09-01T00:00:00"/>
    <m/>
    <m/>
    <m/>
    <m/>
    <m/>
    <m/>
    <n v="2.7169864305874741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3"/>
    <n v="50631"/>
    <n v="1219"/>
    <n v="2.407615887499753E-2"/>
    <m/>
    <m/>
    <m/>
    <m/>
    <m/>
    <m/>
    <n v="23074"/>
    <n v="25658.083333333332"/>
    <n v="297"/>
    <n v="299"/>
    <m/>
    <e v="#DIV/0!"/>
    <n v="7762"/>
    <n v="6437.666666666667"/>
    <n v="109"/>
    <n v="114.41666666666667"/>
    <m/>
    <e v="#DIV/0!"/>
    <n v="15312"/>
    <n v="19220.416666666668"/>
    <n v="188"/>
    <n v="184.58333333333334"/>
    <m/>
    <e v="#DIV/0!"/>
    <n v="30297"/>
    <n v="18075"/>
    <n v="58"/>
    <n v="46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d v="2013-10-01T00:00:00"/>
    <n v="29337.5"/>
    <n v="18932"/>
    <n v="48158.583333333336"/>
    <m/>
    <m/>
    <m/>
    <m/>
    <m/>
    <m/>
    <d v="2013-10-01T00:00:00"/>
    <m/>
    <m/>
    <m/>
    <m/>
    <m/>
    <m/>
    <n v="2.6692710456310668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4"/>
    <n v="54632"/>
    <n v="1509"/>
    <n v="2.762117440328013E-2"/>
    <m/>
    <m/>
    <m/>
    <m/>
    <m/>
    <m/>
    <n v="26348"/>
    <n v="25892.833333333332"/>
    <n v="327"/>
    <n v="299.66666666666669"/>
    <m/>
    <e v="#DIV/0!"/>
    <n v="7811"/>
    <n v="6550.75"/>
    <n v="109"/>
    <n v="111.5"/>
    <m/>
    <e v="#DIV/0!"/>
    <n v="18537"/>
    <n v="19342.083333333332"/>
    <n v="218"/>
    <n v="188.16666666666666"/>
    <m/>
    <e v="#DIV/0!"/>
    <n v="31605"/>
    <n v="16662"/>
    <n v="58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11-01T00:00:00"/>
    <n v="29260.666666666668"/>
    <n v="18334.833333333332"/>
    <n v="48547"/>
    <m/>
    <m/>
    <m/>
    <m/>
    <m/>
    <m/>
    <d v="2013-11-01T00:00:00"/>
    <m/>
    <m/>
    <m/>
    <m/>
    <m/>
    <m/>
    <n v="2.6858235971286542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5"/>
    <n v="47337"/>
    <n v="1103"/>
    <n v="2.3301011893444874E-2"/>
    <m/>
    <m/>
    <m/>
    <m/>
    <m/>
    <m/>
    <n v="21029"/>
    <n v="26066"/>
    <n v="239"/>
    <n v="300.83333333333331"/>
    <m/>
    <e v="#DIV/0!"/>
    <n v="6813"/>
    <n v="6696"/>
    <n v="88"/>
    <n v="110.91666666666667"/>
    <m/>
    <e v="#DIV/0!"/>
    <n v="14216"/>
    <n v="19370"/>
    <n v="151"/>
    <n v="189.91666666666666"/>
    <m/>
    <e v="#DIV/0!"/>
    <n v="24957"/>
    <n v="14224"/>
    <n v="58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d v="2013-12-01T00:00:00"/>
    <n v="29458.25"/>
    <n v="17748.166666666668"/>
    <n v="49767.166666666664"/>
    <m/>
    <m/>
    <m/>
    <m/>
    <m/>
    <m/>
    <d v="2013-12-01T00:00:00"/>
    <m/>
    <m/>
    <m/>
    <m/>
    <m/>
    <m/>
    <n v="2.7026015407123263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6"/>
    <n v="41085"/>
    <n v="927"/>
    <n v="2.2562979189485213E-2"/>
    <m/>
    <m/>
    <m/>
    <m/>
    <m/>
    <m/>
    <n v="23137"/>
    <n v="26281.666666666668"/>
    <n v="231"/>
    <n v="302.5"/>
    <m/>
    <e v="#DIV/0!"/>
    <n v="7401"/>
    <n v="7007.833333333333"/>
    <n v="78"/>
    <n v="111.16666666666667"/>
    <m/>
    <e v="#DIV/0!"/>
    <n v="15736"/>
    <n v="19273.833333333332"/>
    <n v="153"/>
    <n v="191.33333333333334"/>
    <m/>
    <e v="#DIV/0!"/>
    <n v="28779"/>
    <n v="15346"/>
    <n v="58"/>
    <n v="46"/>
    <m/>
    <m/>
    <m/>
    <m/>
    <m/>
    <m/>
    <n v="6269"/>
    <m/>
    <m/>
    <m/>
    <m/>
    <m/>
    <m/>
    <m/>
    <m/>
    <m/>
    <m/>
    <m/>
    <m/>
    <m/>
    <m/>
    <m/>
    <m/>
    <m/>
    <m/>
    <m/>
    <m/>
    <m/>
    <m/>
    <d v="2014-01-01T00:00:00"/>
    <n v="30380.666666666668"/>
    <n v="17750.666666666668"/>
    <n v="50475.166666666664"/>
    <m/>
    <m/>
    <m/>
    <m/>
    <m/>
    <m/>
    <d v="2014-01-01T00:00:00"/>
    <m/>
    <m/>
    <m/>
    <m/>
    <m/>
    <m/>
    <n v="2.6696929234913142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7"/>
    <n v="50657"/>
    <n v="1348"/>
    <n v="2.6610340130682829E-2"/>
    <m/>
    <m/>
    <m/>
    <m/>
    <m/>
    <m/>
    <n v="26175"/>
    <n v="26322"/>
    <n v="277"/>
    <n v="300"/>
    <m/>
    <e v="#DIV/0!"/>
    <n v="7749"/>
    <n v="7178"/>
    <n v="90"/>
    <n v="109.16666666666667"/>
    <m/>
    <e v="#DIV/0!"/>
    <n v="18426"/>
    <n v="19144"/>
    <n v="187"/>
    <n v="190.83333333333334"/>
    <m/>
    <e v="#DIV/0!"/>
    <n v="27233"/>
    <n v="17261"/>
    <n v="58"/>
    <n v="46"/>
    <m/>
    <m/>
    <m/>
    <m/>
    <m/>
    <m/>
    <n v="4899"/>
    <m/>
    <m/>
    <m/>
    <m/>
    <m/>
    <m/>
    <m/>
    <m/>
    <m/>
    <m/>
    <m/>
    <m/>
    <m/>
    <m/>
    <m/>
    <m/>
    <m/>
    <m/>
    <m/>
    <m/>
    <m/>
    <m/>
    <d v="2014-02-01T00:00:00"/>
    <n v="30169.416666666668"/>
    <n v="17511.666666666668"/>
    <n v="50745.166666666664"/>
    <m/>
    <m/>
    <m/>
    <m/>
    <m/>
    <m/>
    <d v="2014-02-01T00:00:00"/>
    <m/>
    <m/>
    <m/>
    <m/>
    <m/>
    <m/>
    <n v="2.6323966123892109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8"/>
    <n v="56116"/>
    <n v="1136"/>
    <n v="2.0243780739895929E-2"/>
    <m/>
    <m/>
    <m/>
    <m/>
    <m/>
    <m/>
    <n v="36342"/>
    <n v="26910.5"/>
    <n v="357"/>
    <n v="305.83333333333331"/>
    <m/>
    <e v="#DIV/0!"/>
    <n v="10664"/>
    <n v="7631.75"/>
    <n v="125"/>
    <n v="111"/>
    <m/>
    <e v="#DIV/0!"/>
    <n v="25678"/>
    <n v="19278.75"/>
    <n v="232"/>
    <n v="194.83333333333334"/>
    <m/>
    <e v="#DIV/0!"/>
    <n v="39842"/>
    <n v="21458"/>
    <n v="58"/>
    <n v="46"/>
    <m/>
    <m/>
    <m/>
    <m/>
    <m/>
    <m/>
    <n v="9425"/>
    <m/>
    <m/>
    <m/>
    <m/>
    <m/>
    <m/>
    <m/>
    <m/>
    <m/>
    <m/>
    <m/>
    <m/>
    <m/>
    <m/>
    <m/>
    <m/>
    <m/>
    <m/>
    <m/>
    <m/>
    <m/>
    <m/>
    <d v="2014-03-01T00:00:00"/>
    <n v="30501.583333333332"/>
    <n v="17549.083333333332"/>
    <n v="51226.25"/>
    <m/>
    <m/>
    <m/>
    <m/>
    <m/>
    <m/>
    <d v="2014-03-01T00:00:00"/>
    <m/>
    <m/>
    <m/>
    <m/>
    <m/>
    <m/>
    <n v="2.5678614326867331E-2"/>
    <e v="#DIV/0!"/>
    <e v="#DIV/0!"/>
    <m/>
    <m/>
    <m/>
    <m/>
    <m/>
    <m/>
    <m/>
    <m/>
    <m/>
    <m/>
    <m/>
    <m/>
    <m/>
    <m/>
    <m/>
    <m/>
    <m/>
    <m/>
    <m/>
    <m/>
    <m/>
    <m/>
    <m/>
  </r>
  <r>
    <x v="29"/>
    <n v="48690"/>
    <n v="1208"/>
    <n v="2.4810022591907989E-2"/>
    <m/>
    <m/>
    <m/>
    <m/>
    <m/>
    <m/>
    <n v="29124"/>
    <n v="26737.833333333332"/>
    <n v="318"/>
    <n v="305.66666666666669"/>
    <m/>
    <e v="#DIV/0!"/>
    <n v="6020"/>
    <n v="7637.916666666667"/>
    <n v="77"/>
    <n v="107.75"/>
    <m/>
    <e v="#DIV/0!"/>
    <n v="23104"/>
    <n v="19099.916666666668"/>
    <n v="241"/>
    <n v="197.91666666666666"/>
    <m/>
    <e v="#DIV/0!"/>
    <n v="24245"/>
    <n v="13717"/>
    <n v="58"/>
    <n v="46"/>
    <m/>
    <m/>
    <m/>
    <m/>
    <m/>
    <m/>
    <n v="6683"/>
    <m/>
    <m/>
    <m/>
    <m/>
    <m/>
    <m/>
    <m/>
    <m/>
    <m/>
    <m/>
    <m/>
    <m/>
    <m/>
    <m/>
    <m/>
    <m/>
    <m/>
    <m/>
    <m/>
    <m/>
    <m/>
    <m/>
    <d v="2014-04-01T00:00:00"/>
    <n v="29412.916666666668"/>
    <n v="16861.416666666668"/>
    <n v="50284.083333333336"/>
    <m/>
    <m/>
    <m/>
    <m/>
    <m/>
    <m/>
    <d v="2014-04-01T00:00:00"/>
    <m/>
    <m/>
    <m/>
    <m/>
    <m/>
    <m/>
    <n v="2.544874082894541E-2"/>
    <e v="#DIV/0!"/>
    <e v="#DIV/0!"/>
    <m/>
    <m/>
    <m/>
    <m/>
    <m/>
    <m/>
    <m/>
    <m/>
    <m/>
    <n v="9.7693920335429674E-2"/>
    <n v="0.12217599720466032"/>
    <n v="8.3247044552331895E-2"/>
    <n v="8.6528736068835599E-2"/>
    <m/>
    <m/>
    <m/>
    <m/>
    <m/>
    <m/>
    <m/>
    <m/>
    <m/>
    <m/>
  </r>
  <r>
    <x v="30"/>
    <n v="65660"/>
    <n v="1456"/>
    <n v="2.2174840085287847E-2"/>
    <m/>
    <m/>
    <m/>
    <m/>
    <m/>
    <m/>
    <n v="30773"/>
    <n v="26331.5"/>
    <n v="334"/>
    <n v="302.66666666666669"/>
    <m/>
    <e v="#DIV/0!"/>
    <n v="7584"/>
    <n v="7784.666666666667"/>
    <n v="95"/>
    <n v="106.66666666666667"/>
    <m/>
    <e v="#DIV/0!"/>
    <n v="23189"/>
    <n v="18546.833333333332"/>
    <n v="239"/>
    <n v="196"/>
    <m/>
    <e v="#DIV/0!"/>
    <n v="34148"/>
    <n v="17172"/>
    <n v="58"/>
    <n v="46"/>
    <m/>
    <m/>
    <m/>
    <m/>
    <m/>
    <m/>
    <n v="10778"/>
    <m/>
    <m/>
    <m/>
    <m/>
    <m/>
    <m/>
    <m/>
    <m/>
    <m/>
    <m/>
    <m/>
    <m/>
    <m/>
    <m/>
    <m/>
    <m/>
    <m/>
    <m/>
    <m/>
    <m/>
    <m/>
    <m/>
    <d v="2014-05-01T00:00:00"/>
    <n v="29419"/>
    <n v="16666.916666666668"/>
    <n v="50385.5"/>
    <m/>
    <m/>
    <m/>
    <m/>
    <m/>
    <m/>
    <d v="2014-05-01T00:00:00"/>
    <m/>
    <m/>
    <m/>
    <m/>
    <m/>
    <m/>
    <n v="2.5289702634489594E-2"/>
    <e v="#DIV/0!"/>
    <e v="#DIV/0!"/>
    <m/>
    <m/>
    <m/>
    <m/>
    <m/>
    <m/>
    <m/>
    <m/>
    <m/>
    <m/>
    <m/>
    <m/>
    <m/>
    <m/>
    <m/>
    <m/>
    <m/>
    <m/>
    <m/>
    <m/>
    <m/>
    <m/>
    <m/>
  </r>
  <r>
    <x v="31"/>
    <n v="66768"/>
    <n v="1540"/>
    <n v="2.3064941289240356E-2"/>
    <m/>
    <m/>
    <m/>
    <m/>
    <m/>
    <m/>
    <n v="29256"/>
    <n v="26990.75"/>
    <n v="362"/>
    <n v="312"/>
    <m/>
    <e v="#DIV/0!"/>
    <n v="8342"/>
    <n v="8004"/>
    <n v="119"/>
    <n v="108.66666666666667"/>
    <m/>
    <e v="#DIV/0!"/>
    <n v="20914"/>
    <n v="18986.75"/>
    <n v="243"/>
    <n v="203.33333333333334"/>
    <m/>
    <e v="#DIV/0!"/>
    <n v="39607"/>
    <n v="17788"/>
    <n v="58"/>
    <n v="46"/>
    <m/>
    <m/>
    <m/>
    <m/>
    <m/>
    <m/>
    <n v="15465"/>
    <m/>
    <m/>
    <m/>
    <m/>
    <m/>
    <m/>
    <m/>
    <m/>
    <m/>
    <m/>
    <m/>
    <m/>
    <m/>
    <m/>
    <m/>
    <m/>
    <m/>
    <m/>
    <m/>
    <m/>
    <m/>
    <m/>
    <d v="2014-06-01T00:00:00"/>
    <n v="30170.916666666668"/>
    <n v="16846.25"/>
    <n v="51412.916666666664"/>
    <m/>
    <m/>
    <m/>
    <m/>
    <m/>
    <m/>
    <d v="2014-06-01T00:00:00"/>
    <m/>
    <m/>
    <m/>
    <m/>
    <m/>
    <m/>
    <n v="2.4627849212685612E-2"/>
    <e v="#DIV/0!"/>
    <e v="#DIV/0!"/>
    <m/>
    <m/>
    <m/>
    <m/>
    <m/>
    <m/>
    <m/>
    <m/>
    <m/>
    <m/>
    <m/>
    <m/>
    <m/>
    <m/>
    <m/>
    <m/>
    <m/>
    <m/>
    <m/>
    <m/>
    <m/>
    <m/>
    <m/>
  </r>
  <r>
    <x v="32"/>
    <n v="63409"/>
    <n v="1543"/>
    <n v="2.4334085066788625E-2"/>
    <m/>
    <m/>
    <m/>
    <m/>
    <m/>
    <m/>
    <n v="33141"/>
    <n v="27078.25"/>
    <n v="426"/>
    <n v="315.41666666666669"/>
    <m/>
    <e v="#DIV/0!"/>
    <n v="8072"/>
    <n v="7951.083333333333"/>
    <n v="108"/>
    <n v="104.33333333333333"/>
    <m/>
    <e v="#DIV/0!"/>
    <n v="25069"/>
    <n v="19127.166666666668"/>
    <n v="318"/>
    <n v="211.08333333333334"/>
    <m/>
    <e v="#DIV/0!"/>
    <n v="31017"/>
    <n v="21415"/>
    <n v="58"/>
    <n v="46"/>
    <m/>
    <m/>
    <m/>
    <m/>
    <m/>
    <m/>
    <n v="12557"/>
    <m/>
    <m/>
    <m/>
    <m/>
    <m/>
    <m/>
    <m/>
    <m/>
    <m/>
    <m/>
    <m/>
    <m/>
    <m/>
    <m/>
    <m/>
    <m/>
    <m/>
    <m/>
    <m/>
    <m/>
    <m/>
    <m/>
    <d v="2014-07-01T00:00:00"/>
    <n v="29961.916666666668"/>
    <n v="17010.25"/>
    <n v="52168.166666666664"/>
    <m/>
    <m/>
    <m/>
    <m/>
    <m/>
    <m/>
    <d v="2014-07-01T00:00:00"/>
    <m/>
    <m/>
    <m/>
    <m/>
    <m/>
    <m/>
    <n v="2.3487716524354812E-2"/>
    <e v="#DIV/0!"/>
    <e v="#DIV/0!"/>
    <m/>
    <m/>
    <m/>
    <m/>
    <m/>
    <m/>
    <m/>
    <m/>
    <m/>
    <m/>
    <m/>
    <m/>
    <m/>
    <m/>
    <m/>
    <m/>
    <m/>
    <m/>
    <m/>
    <m/>
    <m/>
    <m/>
    <m/>
  </r>
  <r>
    <x v="33"/>
    <n v="58404"/>
    <n v="1261"/>
    <n v="2.1590986918704199E-2"/>
    <m/>
    <m/>
    <m/>
    <m/>
    <m/>
    <m/>
    <n v="28932"/>
    <n v="27631.333333333332"/>
    <n v="386"/>
    <n v="324.16666666666669"/>
    <m/>
    <e v="#DIV/0!"/>
    <n v="8169"/>
    <n v="8009"/>
    <n v="110"/>
    <n v="104.41666666666667"/>
    <m/>
    <e v="#DIV/0!"/>
    <n v="20763"/>
    <n v="19622.333333333332"/>
    <n v="276"/>
    <n v="219.75"/>
    <m/>
    <e v="#DIV/0!"/>
    <n v="35217"/>
    <n v="24623"/>
    <n v="58"/>
    <n v="46"/>
    <m/>
    <m/>
    <m/>
    <m/>
    <m/>
    <m/>
    <n v="17314"/>
    <m/>
    <m/>
    <m/>
    <m/>
    <m/>
    <m/>
    <m/>
    <m/>
    <m/>
    <m/>
    <m/>
    <m/>
    <m/>
    <m/>
    <m/>
    <m/>
    <m/>
    <m/>
    <m/>
    <m/>
    <m/>
    <m/>
    <d v="2014-08-01T00:00:00"/>
    <n v="31042.583333333332"/>
    <n v="17812.583333333332"/>
    <n v="53639.916666666664"/>
    <m/>
    <m/>
    <m/>
    <m/>
    <m/>
    <m/>
    <d v="2014-08-01T00:00:00"/>
    <m/>
    <m/>
    <m/>
    <m/>
    <m/>
    <m/>
    <n v="2.3560697527285304E-2"/>
    <e v="#DIV/0!"/>
    <e v="#DIV/0!"/>
    <m/>
    <m/>
    <m/>
    <m/>
    <m/>
    <m/>
    <m/>
    <m/>
    <m/>
    <m/>
    <m/>
    <m/>
    <m/>
    <m/>
    <m/>
    <m/>
    <m/>
    <m/>
    <m/>
    <m/>
    <m/>
    <m/>
    <m/>
  </r>
  <r>
    <x v="34"/>
    <n v="77005"/>
    <n v="1494"/>
    <n v="1.9401337575482111E-2"/>
    <m/>
    <m/>
    <m/>
    <m/>
    <m/>
    <m/>
    <n v="33981"/>
    <n v="28442.666666666668"/>
    <n v="395"/>
    <n v="329.08333333333331"/>
    <m/>
    <e v="#DIV/0!"/>
    <n v="11567"/>
    <n v="8162.833333333333"/>
    <n v="145"/>
    <n v="104.41666666666667"/>
    <m/>
    <e v="#DIV/0!"/>
    <n v="22414"/>
    <n v="20279.833333333332"/>
    <n v="250"/>
    <n v="224.66666666666666"/>
    <m/>
    <e v="#DIV/0!"/>
    <n v="47299"/>
    <n v="27334"/>
    <n v="58"/>
    <n v="46"/>
    <m/>
    <m/>
    <m/>
    <m/>
    <m/>
    <m/>
    <n v="22431"/>
    <m/>
    <m/>
    <m/>
    <m/>
    <m/>
    <m/>
    <m/>
    <m/>
    <m/>
    <m/>
    <m/>
    <m/>
    <m/>
    <m/>
    <m/>
    <m/>
    <m/>
    <m/>
    <m/>
    <m/>
    <m/>
    <m/>
    <d v="2014-09-01T00:00:00"/>
    <n v="32853.833333333336"/>
    <n v="18756.25"/>
    <n v="56699.5"/>
    <m/>
    <m/>
    <m/>
    <m/>
    <m/>
    <m/>
    <d v="2014-09-01T00:00:00"/>
    <m/>
    <m/>
    <m/>
    <m/>
    <m/>
    <m/>
    <n v="2.3315971563266469E-2"/>
    <e v="#DIV/0!"/>
    <e v="#DIV/0!"/>
    <m/>
    <m/>
    <m/>
    <m/>
    <m/>
    <m/>
    <m/>
    <m/>
    <m/>
    <m/>
    <m/>
    <m/>
    <m/>
    <m/>
    <m/>
    <m/>
    <m/>
    <m/>
    <m/>
    <m/>
    <m/>
    <m/>
    <m/>
  </r>
  <r>
    <x v="35"/>
    <n v="70950"/>
    <n v="1513"/>
    <n v="2.1324876673713883E-2"/>
    <m/>
    <m/>
    <m/>
    <m/>
    <m/>
    <m/>
    <n v="29060"/>
    <n v="28941.5"/>
    <n v="338"/>
    <n v="332.5"/>
    <m/>
    <e v="#DIV/0!"/>
    <n v="9726"/>
    <n v="8326.5"/>
    <n v="124"/>
    <n v="105.66666666666667"/>
    <m/>
    <e v="#DIV/0!"/>
    <n v="19334"/>
    <n v="20615"/>
    <n v="214"/>
    <n v="226.83333333333334"/>
    <m/>
    <e v="#DIV/0!"/>
    <n v="38249"/>
    <n v="22160"/>
    <n v="58"/>
    <n v="49"/>
    <n v="9"/>
    <n v="0"/>
    <m/>
    <m/>
    <m/>
    <m/>
    <n v="9684"/>
    <m/>
    <m/>
    <m/>
    <m/>
    <m/>
    <m/>
    <m/>
    <m/>
    <m/>
    <m/>
    <m/>
    <m/>
    <m/>
    <m/>
    <m/>
    <m/>
    <m/>
    <m/>
    <m/>
    <m/>
    <m/>
    <m/>
    <d v="2014-10-01T00:00:00"/>
    <n v="33516.5"/>
    <n v="19096.666666666668"/>
    <n v="58392.75"/>
    <m/>
    <m/>
    <m/>
    <m/>
    <m/>
    <m/>
    <d v="2014-10-01T00:00:00"/>
    <m/>
    <m/>
    <m/>
    <m/>
    <m/>
    <m/>
    <n v="2.3086698046492837E-2"/>
    <e v="#DIV/0!"/>
    <e v="#DIV/0!"/>
    <m/>
    <m/>
    <m/>
    <m/>
    <m/>
    <m/>
    <m/>
    <m/>
    <m/>
    <m/>
    <m/>
    <m/>
    <m/>
    <m/>
    <m/>
    <m/>
    <m/>
    <m/>
    <m/>
    <m/>
    <m/>
    <m/>
    <m/>
  </r>
  <r>
    <x v="36"/>
    <n v="59164"/>
    <n v="1503"/>
    <n v="2.5403961868703941E-2"/>
    <m/>
    <m/>
    <m/>
    <m/>
    <m/>
    <m/>
    <n v="29813"/>
    <n v="29230.25"/>
    <n v="336"/>
    <n v="333.25"/>
    <m/>
    <e v="#DIV/0!"/>
    <n v="9499"/>
    <n v="8467.1666666666661"/>
    <n v="106"/>
    <n v="105.41666666666667"/>
    <m/>
    <e v="#DIV/0!"/>
    <n v="20314"/>
    <n v="20763.083333333332"/>
    <n v="230"/>
    <n v="227.83333333333334"/>
    <m/>
    <e v="#DIV/0!"/>
    <n v="36920"/>
    <n v="23749"/>
    <n v="58"/>
    <n v="49"/>
    <m/>
    <m/>
    <m/>
    <m/>
    <m/>
    <m/>
    <n v="12669"/>
    <m/>
    <m/>
    <m/>
    <m/>
    <m/>
    <m/>
    <m/>
    <m/>
    <m/>
    <m/>
    <m/>
    <m/>
    <m/>
    <m/>
    <m/>
    <m/>
    <m/>
    <m/>
    <m/>
    <m/>
    <m/>
    <m/>
    <d v="2014-11-01T00:00:00"/>
    <n v="33959.416666666664"/>
    <n v="19687.25"/>
    <n v="58770.416666666664"/>
    <m/>
    <m/>
    <m/>
    <m/>
    <m/>
    <m/>
    <d v="2014-11-01T00:00:00"/>
    <m/>
    <m/>
    <m/>
    <m/>
    <m/>
    <m/>
    <n v="2.2901930335278153E-2"/>
    <e v="#DIV/0!"/>
    <e v="#DIV/0!"/>
    <m/>
    <m/>
    <m/>
    <m/>
    <m/>
    <m/>
    <m/>
    <m/>
    <m/>
    <m/>
    <m/>
    <m/>
    <m/>
    <m/>
    <m/>
    <m/>
    <m/>
    <m/>
    <m/>
    <m/>
    <m/>
    <m/>
    <m/>
  </r>
  <r>
    <x v="37"/>
    <n v="47240"/>
    <n v="1124"/>
    <n v="2.3793395427603725E-2"/>
    <m/>
    <m/>
    <m/>
    <m/>
    <m/>
    <m/>
    <n v="27720"/>
    <n v="29787.833333333332"/>
    <n v="337"/>
    <n v="341.41666666666669"/>
    <m/>
    <e v="#DIV/0!"/>
    <n v="10661"/>
    <n v="8787.8333333333339"/>
    <n v="117"/>
    <n v="107.83333333333333"/>
    <m/>
    <e v="#DIV/0!"/>
    <n v="17059"/>
    <n v="21000"/>
    <n v="220"/>
    <n v="233.58333333333334"/>
    <m/>
    <e v="#DIV/0!"/>
    <n v="36740"/>
    <n v="16775"/>
    <n v="58"/>
    <n v="49"/>
    <m/>
    <m/>
    <m/>
    <m/>
    <m/>
    <m/>
    <n v="12341"/>
    <m/>
    <m/>
    <m/>
    <m/>
    <m/>
    <m/>
    <m/>
    <m/>
    <m/>
    <m/>
    <m/>
    <m/>
    <m/>
    <m/>
    <m/>
    <m/>
    <m/>
    <m/>
    <m/>
    <m/>
    <m/>
    <m/>
    <d v="2014-12-01T00:00:00"/>
    <n v="34941.333333333336"/>
    <n v="19899.833333333332"/>
    <n v="58762.333333333336"/>
    <m/>
    <m/>
    <m/>
    <m/>
    <m/>
    <m/>
    <d v="2014-12-01T00:00:00"/>
    <m/>
    <e v="#DIV/0!"/>
    <m/>
    <m/>
    <m/>
    <m/>
    <n v="2.2942962296458053E-2"/>
    <e v="#DIV/0!"/>
    <e v="#DIV/0!"/>
    <m/>
    <m/>
    <m/>
    <m/>
    <m/>
    <m/>
    <m/>
    <m/>
    <m/>
    <m/>
    <m/>
    <m/>
    <m/>
    <m/>
    <m/>
    <m/>
    <m/>
    <m/>
    <m/>
    <m/>
    <m/>
    <m/>
    <m/>
  </r>
  <r>
    <x v="38"/>
    <n v="31586"/>
    <n v="1029"/>
    <n v="3.2577724308237827E-2"/>
    <m/>
    <m/>
    <m/>
    <m/>
    <m/>
    <m/>
    <n v="17781"/>
    <n v="29341.5"/>
    <n v="177"/>
    <n v="336.91666666666669"/>
    <m/>
    <e v="#DIV/0!"/>
    <n v="4736"/>
    <n v="8565.75"/>
    <n v="52"/>
    <n v="105.66666666666667"/>
    <m/>
    <e v="#DIV/0!"/>
    <n v="13045"/>
    <n v="20775.75"/>
    <n v="125"/>
    <n v="231.25"/>
    <m/>
    <e v="#DIV/0!"/>
    <n v="12695"/>
    <n v="7769"/>
    <n v="58"/>
    <n v="49"/>
    <m/>
    <m/>
    <m/>
    <m/>
    <m/>
    <m/>
    <n v="12589"/>
    <m/>
    <m/>
    <m/>
    <m/>
    <m/>
    <m/>
    <m/>
    <m/>
    <m/>
    <m/>
    <m/>
    <m/>
    <m/>
    <m/>
    <m/>
    <m/>
    <m/>
    <m/>
    <m/>
    <m/>
    <m/>
    <m/>
    <d v="2015-01-01T00:00:00"/>
    <n v="33601"/>
    <n v="19268.416666666668"/>
    <n v="57970.75"/>
    <m/>
    <m/>
    <m/>
    <m/>
    <m/>
    <m/>
    <d v="2015-01-01T00:00:00"/>
    <m/>
    <e v="#DIV/0!"/>
    <m/>
    <m/>
    <m/>
    <m/>
    <n v="2.3777524389687443E-2"/>
    <e v="#DIV/0!"/>
    <e v="#DIV/0!"/>
    <m/>
    <m/>
    <m/>
    <m/>
    <m/>
    <n v="7"/>
    <m/>
    <m/>
    <m/>
    <m/>
    <m/>
    <m/>
    <m/>
    <m/>
    <m/>
    <m/>
    <m/>
    <m/>
    <m/>
    <m/>
    <m/>
    <m/>
    <m/>
  </r>
  <r>
    <x v="39"/>
    <n v="49010"/>
    <n v="1287"/>
    <n v="2.6259946949602122E-2"/>
    <m/>
    <m/>
    <m/>
    <m/>
    <m/>
    <m/>
    <n v="30635"/>
    <n v="29713.166666666668"/>
    <n v="305"/>
    <n v="339.25"/>
    <m/>
    <e v="#DIV/0!"/>
    <n v="8288"/>
    <n v="8610.6666666666661"/>
    <n v="98"/>
    <n v="106.33333333333333"/>
    <m/>
    <e v="#DIV/0!"/>
    <n v="22347"/>
    <n v="21102.5"/>
    <n v="207"/>
    <n v="232.91666666666666"/>
    <m/>
    <e v="#DIV/0!"/>
    <n v="24534"/>
    <n v="14698"/>
    <n v="58"/>
    <n v="49"/>
    <m/>
    <m/>
    <m/>
    <m/>
    <m/>
    <m/>
    <n v="12760"/>
    <m/>
    <m/>
    <m/>
    <m/>
    <m/>
    <m/>
    <m/>
    <m/>
    <m/>
    <m/>
    <m/>
    <m/>
    <m/>
    <m/>
    <m/>
    <m/>
    <m/>
    <m/>
    <m/>
    <m/>
    <m/>
    <m/>
    <d v="2015-02-01T00:00:00"/>
    <n v="33376.083333333336"/>
    <n v="19054.833333333332"/>
    <n v="57833.5"/>
    <m/>
    <m/>
    <m/>
    <m/>
    <m/>
    <m/>
    <d v="2015-02-01T00:00:00"/>
    <m/>
    <e v="#DIV/0!"/>
    <m/>
    <m/>
    <m/>
    <m/>
    <n v="2.3748324957930712E-2"/>
    <e v="#DIV/0!"/>
    <e v="#DIV/0!"/>
    <m/>
    <m/>
    <m/>
    <m/>
    <m/>
    <n v="6"/>
    <m/>
    <m/>
    <m/>
    <m/>
    <m/>
    <m/>
    <m/>
    <m/>
    <m/>
    <m/>
    <m/>
    <m/>
    <m/>
    <m/>
    <m/>
    <m/>
    <m/>
  </r>
  <r>
    <x v="40"/>
    <n v="51087"/>
    <n v="1180"/>
    <n v="2.3097852682678569E-2"/>
    <m/>
    <m/>
    <m/>
    <m/>
    <m/>
    <m/>
    <n v="36500"/>
    <n v="29726.333333333332"/>
    <n v="397"/>
    <n v="342.58333333333331"/>
    <m/>
    <e v="#DIV/0!"/>
    <n v="10106"/>
    <n v="8564.1666666666661"/>
    <n v="110"/>
    <n v="105.08333333333333"/>
    <m/>
    <e v="#DIV/0!"/>
    <n v="26394"/>
    <n v="21162.166666666668"/>
    <n v="287"/>
    <n v="237.5"/>
    <m/>
    <e v="#DIV/0!"/>
    <n v="35818"/>
    <n v="21611"/>
    <n v="66"/>
    <n v="49"/>
    <m/>
    <m/>
    <m/>
    <m/>
    <m/>
    <m/>
    <n v="19930"/>
    <m/>
    <m/>
    <m/>
    <m/>
    <m/>
    <m/>
    <m/>
    <m/>
    <m/>
    <m/>
    <m/>
    <m/>
    <m/>
    <m/>
    <m/>
    <m/>
    <m/>
    <m/>
    <m/>
    <m/>
    <m/>
    <m/>
    <d v="2015-03-01T00:00:00"/>
    <n v="33040.75"/>
    <n v="19067.583333333332"/>
    <n v="57414.416666666664"/>
    <m/>
    <m/>
    <m/>
    <m/>
    <m/>
    <m/>
    <d v="2015-03-01T00:00:00"/>
    <m/>
    <e v="#DIV/0!"/>
    <m/>
    <m/>
    <m/>
    <m/>
    <n v="2.3986164286495932E-2"/>
    <e v="#DIV/0!"/>
    <e v="#DIV/0!"/>
    <m/>
    <m/>
    <m/>
    <m/>
    <m/>
    <n v="12"/>
    <m/>
    <m/>
    <m/>
    <m/>
    <m/>
    <m/>
    <m/>
    <m/>
    <m/>
    <m/>
    <m/>
    <m/>
    <m/>
    <m/>
    <m/>
    <m/>
    <m/>
  </r>
  <r>
    <x v="41"/>
    <n v="51612"/>
    <n v="1215"/>
    <n v="2.3541036968146942E-2"/>
    <m/>
    <m/>
    <m/>
    <m/>
    <m/>
    <m/>
    <n v="27404"/>
    <n v="29583"/>
    <n v="320"/>
    <n v="342.75"/>
    <m/>
    <e v="#DIV/0!"/>
    <n v="7568"/>
    <n v="8693.1666666666661"/>
    <n v="91"/>
    <n v="106.25"/>
    <m/>
    <e v="#DIV/0!"/>
    <n v="19836"/>
    <n v="20889.833333333332"/>
    <n v="229"/>
    <n v="236.5"/>
    <m/>
    <e v="#DIV/0!"/>
    <n v="27206"/>
    <n v="18635"/>
    <n v="66"/>
    <n v="49"/>
    <m/>
    <m/>
    <m/>
    <m/>
    <m/>
    <m/>
    <n v="13624"/>
    <m/>
    <m/>
    <m/>
    <m/>
    <m/>
    <m/>
    <m/>
    <m/>
    <m/>
    <m/>
    <m/>
    <m/>
    <m/>
    <m/>
    <m/>
    <m/>
    <m/>
    <m/>
    <m/>
    <m/>
    <m/>
    <m/>
    <d v="2015-04-01T00:00:00"/>
    <n v="33287.5"/>
    <n v="19477.416666666668"/>
    <n v="57657.916666666664"/>
    <m/>
    <m/>
    <m/>
    <m/>
    <m/>
    <m/>
    <d v="2015-04-01T00:00:00"/>
    <m/>
    <e v="#DIV/0!"/>
    <m/>
    <m/>
    <m/>
    <m/>
    <n v="2.388041548451585E-2"/>
    <e v="#DIV/0!"/>
    <e v="#DIV/0!"/>
    <m/>
    <m/>
    <m/>
    <m/>
    <m/>
    <n v="7"/>
    <m/>
    <m/>
    <m/>
    <n v="-0.16807510258086367"/>
    <n v="7.9001654179235103E-2"/>
    <n v="1.2678788062216118E-2"/>
    <n v="6.3336115833591888E-2"/>
    <m/>
    <m/>
    <m/>
    <m/>
    <m/>
    <m/>
    <m/>
    <m/>
    <m/>
    <m/>
  </r>
  <r>
    <x v="42"/>
    <n v="57893"/>
    <n v="1414"/>
    <n v="2.4424369094709204E-2"/>
    <m/>
    <m/>
    <m/>
    <m/>
    <m/>
    <m/>
    <n v="28530"/>
    <n v="29396.083333333332"/>
    <n v="341"/>
    <n v="343.33333333333331"/>
    <m/>
    <e v="#DIV/0!"/>
    <n v="8272"/>
    <n v="8750.5"/>
    <n v="103"/>
    <n v="106.91666666666667"/>
    <m/>
    <e v="#DIV/0!"/>
    <n v="20258"/>
    <n v="20645.583333333332"/>
    <n v="238"/>
    <n v="236.41666666666666"/>
    <m/>
    <e v="#DIV/0!"/>
    <n v="26719"/>
    <n v="16993"/>
    <n v="66"/>
    <n v="49"/>
    <m/>
    <m/>
    <m/>
    <m/>
    <m/>
    <m/>
    <n v="16545"/>
    <m/>
    <m/>
    <m/>
    <m/>
    <m/>
    <m/>
    <m/>
    <m/>
    <m/>
    <m/>
    <m/>
    <m/>
    <m/>
    <m/>
    <m/>
    <m/>
    <m/>
    <m/>
    <m/>
    <m/>
    <m/>
    <m/>
    <d v="2015-05-01T00:00:00"/>
    <n v="32668.416666666668"/>
    <n v="19462.5"/>
    <n v="57010.666666666664"/>
    <m/>
    <m/>
    <m/>
    <m/>
    <m/>
    <m/>
    <d v="2015-05-01T00:00:00"/>
    <m/>
    <e v="#DIV/0!"/>
    <m/>
    <m/>
    <m/>
    <m/>
    <n v="2.4067876235300961E-2"/>
    <e v="#DIV/0!"/>
    <e v="#DIV/0!"/>
    <m/>
    <m/>
    <m/>
    <m/>
    <m/>
    <n v="12"/>
    <m/>
    <m/>
    <m/>
    <m/>
    <m/>
    <m/>
    <m/>
    <m/>
    <m/>
    <m/>
    <m/>
    <m/>
    <m/>
    <m/>
    <m/>
    <m/>
    <m/>
  </r>
  <r>
    <x v="43"/>
    <n v="60772"/>
    <n v="1608"/>
    <n v="2.64595537418548E-2"/>
    <m/>
    <m/>
    <m/>
    <m/>
    <m/>
    <m/>
    <n v="29009"/>
    <n v="29375.5"/>
    <n v="337"/>
    <n v="341.25"/>
    <m/>
    <e v="#DIV/0!"/>
    <n v="9757"/>
    <n v="8868.4166666666661"/>
    <n v="117"/>
    <n v="106.75"/>
    <m/>
    <e v="#DIV/0!"/>
    <n v="19252"/>
    <n v="20507.083333333332"/>
    <n v="220"/>
    <n v="234.5"/>
    <m/>
    <e v="#DIV/0!"/>
    <n v="39952"/>
    <n v="21420"/>
    <n v="66"/>
    <n v="49"/>
    <m/>
    <m/>
    <m/>
    <m/>
    <m/>
    <m/>
    <n v="14869"/>
    <m/>
    <m/>
    <m/>
    <m/>
    <m/>
    <m/>
    <m/>
    <m/>
    <m/>
    <m/>
    <m/>
    <m/>
    <m/>
    <m/>
    <m/>
    <m/>
    <m/>
    <m/>
    <m/>
    <m/>
    <m/>
    <m/>
    <d v="2015-06-01T00:00:00"/>
    <n v="32697.166666666668"/>
    <n v="19765.166666666668"/>
    <n v="56511"/>
    <m/>
    <m/>
    <m/>
    <m/>
    <m/>
    <m/>
    <d v="2015-06-01T00:00:00"/>
    <m/>
    <e v="#DIV/0!"/>
    <m/>
    <m/>
    <m/>
    <m/>
    <n v="2.4350760606352165E-2"/>
    <e v="#DIV/0!"/>
    <e v="#DIV/0!"/>
    <m/>
    <m/>
    <m/>
    <m/>
    <m/>
    <n v="9"/>
    <m/>
    <m/>
    <m/>
    <m/>
    <m/>
    <m/>
    <m/>
    <m/>
    <m/>
    <m/>
    <m/>
    <m/>
    <m/>
    <m/>
    <m/>
    <m/>
    <m/>
  </r>
  <r>
    <x v="44"/>
    <n v="59412"/>
    <n v="1218"/>
    <n v="2.0500908907291455E-2"/>
    <m/>
    <m/>
    <m/>
    <m/>
    <m/>
    <m/>
    <n v="27468"/>
    <n v="28902.75"/>
    <n v="358"/>
    <n v="335.58333333333331"/>
    <m/>
    <e v="#DIV/0!"/>
    <n v="7863"/>
    <n v="8851"/>
    <n v="101"/>
    <n v="106.16666666666667"/>
    <m/>
    <e v="#DIV/0!"/>
    <n v="19605"/>
    <n v="20051.75"/>
    <n v="257"/>
    <n v="229.41666666666666"/>
    <m/>
    <e v="#DIV/0!"/>
    <n v="34863"/>
    <n v="33106"/>
    <n v="66"/>
    <n v="49"/>
    <m/>
    <m/>
    <m/>
    <m/>
    <m/>
    <m/>
    <n v="24498"/>
    <m/>
    <m/>
    <m/>
    <m/>
    <m/>
    <m/>
    <m/>
    <m/>
    <m/>
    <m/>
    <m/>
    <m/>
    <m/>
    <m/>
    <m/>
    <m/>
    <m/>
    <m/>
    <m/>
    <m/>
    <m/>
    <m/>
    <d v="2015-07-01T00:00:00"/>
    <n v="33017.666666666664"/>
    <n v="20739.416666666668"/>
    <n v="56177.916666666664"/>
    <m/>
    <m/>
    <m/>
    <m/>
    <m/>
    <m/>
    <d v="2015-07-01T00:00:00"/>
    <m/>
    <e v="#DIV/0!"/>
    <m/>
    <m/>
    <m/>
    <m/>
    <n v="2.40313292597274E-2"/>
    <e v="#DIV/0!"/>
    <e v="#DIV/0!"/>
    <m/>
    <m/>
    <m/>
    <m/>
    <m/>
    <n v="13"/>
    <m/>
    <m/>
    <m/>
    <m/>
    <m/>
    <m/>
    <m/>
    <m/>
    <m/>
    <m/>
    <m/>
    <m/>
    <m/>
    <m/>
    <m/>
    <m/>
    <m/>
  </r>
  <r>
    <x v="45"/>
    <n v="60090"/>
    <n v="1292"/>
    <n v="2.1501081710767183E-2"/>
    <m/>
    <m/>
    <m/>
    <m/>
    <m/>
    <m/>
    <n v="26543"/>
    <n v="28703.666666666668"/>
    <n v="315"/>
    <n v="329.66666666666669"/>
    <m/>
    <e v="#DIV/0!"/>
    <n v="9407"/>
    <n v="8954.1666666666661"/>
    <n v="133"/>
    <n v="108.08333333333333"/>
    <m/>
    <e v="#DIV/0!"/>
    <n v="17136"/>
    <n v="19749.5"/>
    <n v="182"/>
    <n v="221.58333333333334"/>
    <m/>
    <e v="#DIV/0!"/>
    <n v="42626"/>
    <n v="30823"/>
    <n v="66"/>
    <n v="49"/>
    <m/>
    <m/>
    <m/>
    <m/>
    <m/>
    <m/>
    <n v="17394"/>
    <m/>
    <m/>
    <m/>
    <m/>
    <m/>
    <m/>
    <m/>
    <m/>
    <m/>
    <m/>
    <m/>
    <m/>
    <m/>
    <m/>
    <m/>
    <m/>
    <m/>
    <m/>
    <m/>
    <m/>
    <m/>
    <m/>
    <d v="2015-08-01T00:00:00"/>
    <n v="33635.083333333336"/>
    <n v="21256.083333333332"/>
    <n v="56318.416666666664"/>
    <m/>
    <m/>
    <m/>
    <m/>
    <m/>
    <m/>
    <d v="2015-08-01T00:00:00"/>
    <m/>
    <e v="#DIV/0!"/>
    <m/>
    <m/>
    <m/>
    <m/>
    <n v="2.4023837159065985E-2"/>
    <e v="#DIV/0!"/>
    <e v="#DIV/0!"/>
    <m/>
    <m/>
    <m/>
    <m/>
    <m/>
    <n v="10"/>
    <m/>
    <m/>
    <m/>
    <m/>
    <m/>
    <m/>
    <m/>
    <m/>
    <m/>
    <m/>
    <m/>
    <m/>
    <m/>
    <m/>
    <m/>
    <m/>
    <m/>
  </r>
  <r>
    <x v="46"/>
    <n v="75662"/>
    <n v="1325"/>
    <n v="1.7512093256852844E-2"/>
    <m/>
    <m/>
    <m/>
    <m/>
    <m/>
    <m/>
    <n v="28583"/>
    <n v="28253.833333333332"/>
    <n v="289"/>
    <n v="320.83333333333331"/>
    <m/>
    <e v="#DIV/0!"/>
    <n v="10698"/>
    <n v="8881.75"/>
    <n v="107"/>
    <n v="104.91666666666667"/>
    <m/>
    <e v="#DIV/0!"/>
    <n v="17885"/>
    <n v="19372.083333333332"/>
    <n v="182"/>
    <n v="215.91666666666666"/>
    <m/>
    <e v="#DIV/0!"/>
    <n v="34417"/>
    <n v="21820"/>
    <n v="66"/>
    <n v="49"/>
    <m/>
    <m/>
    <m/>
    <m/>
    <m/>
    <m/>
    <n v="23043"/>
    <m/>
    <m/>
    <m/>
    <m/>
    <m/>
    <m/>
    <m/>
    <m/>
    <m/>
    <m/>
    <m/>
    <m/>
    <m/>
    <m/>
    <m/>
    <m/>
    <m/>
    <m/>
    <m/>
    <m/>
    <m/>
    <m/>
    <d v="2015-09-01T00:00:00"/>
    <n v="32561.583333333332"/>
    <n v="20796.583333333332"/>
    <n v="56206.5"/>
    <m/>
    <m/>
    <m/>
    <m/>
    <m/>
    <m/>
    <d v="2015-09-01T00:00:00"/>
    <m/>
    <e v="#DIV/0!"/>
    <m/>
    <m/>
    <m/>
    <m/>
    <n v="2.3866400132513538E-2"/>
    <e v="#DIV/0!"/>
    <e v="#DIV/0!"/>
    <m/>
    <m/>
    <m/>
    <m/>
    <m/>
    <n v="10"/>
    <m/>
    <m/>
    <m/>
    <m/>
    <m/>
    <m/>
    <m/>
    <m/>
    <m/>
    <m/>
    <m/>
    <m/>
    <m/>
    <m/>
    <m/>
    <m/>
    <m/>
  </r>
  <r>
    <x v="47"/>
    <n v="68545"/>
    <n v="1502"/>
    <n v="2.1912612152600482E-2"/>
    <m/>
    <m/>
    <m/>
    <m/>
    <m/>
    <m/>
    <n v="27675"/>
    <n v="28138.416666666668"/>
    <n v="292"/>
    <n v="317"/>
    <m/>
    <e v="#DIV/0!"/>
    <n v="10659"/>
    <n v="8959.5"/>
    <n v="116"/>
    <n v="104.25"/>
    <m/>
    <e v="#DIV/0!"/>
    <n v="17016"/>
    <n v="19178.916666666668"/>
    <n v="176"/>
    <n v="212.75"/>
    <m/>
    <e v="#DIV/0!"/>
    <n v="35287"/>
    <n v="20516"/>
    <n v="74"/>
    <n v="63"/>
    <n v="11"/>
    <n v="0"/>
    <m/>
    <m/>
    <m/>
    <m/>
    <n v="13372"/>
    <m/>
    <m/>
    <m/>
    <m/>
    <m/>
    <m/>
    <m/>
    <m/>
    <m/>
    <m/>
    <m/>
    <m/>
    <m/>
    <m/>
    <m/>
    <m/>
    <m/>
    <m/>
    <m/>
    <m/>
    <m/>
    <m/>
    <d v="2015-10-01T00:00:00"/>
    <n v="32314.75"/>
    <n v="20659.583333333332"/>
    <n v="56006.083333333336"/>
    <m/>
    <m/>
    <m/>
    <m/>
    <m/>
    <m/>
    <d v="2015-10-01T00:00:00"/>
    <m/>
    <e v="#DIV/0!"/>
    <m/>
    <m/>
    <m/>
    <m/>
    <n v="2.3915378089087422E-2"/>
    <e v="#DIV/0!"/>
    <e v="#DIV/0!"/>
    <m/>
    <m/>
    <m/>
    <m/>
    <m/>
    <n v="11"/>
    <m/>
    <m/>
    <m/>
    <m/>
    <m/>
    <m/>
    <m/>
    <m/>
    <m/>
    <m/>
    <m/>
    <m/>
    <m/>
    <m/>
    <m/>
    <m/>
    <m/>
  </r>
  <r>
    <x v="48"/>
    <n v="66764"/>
    <n v="1806"/>
    <n v="2.7050506260859145E-2"/>
    <m/>
    <m/>
    <m/>
    <m/>
    <m/>
    <m/>
    <n v="31347"/>
    <n v="28266.25"/>
    <n v="314"/>
    <n v="315.16666666666669"/>
    <m/>
    <e v="#DIV/0!"/>
    <n v="14024"/>
    <n v="9336.5833333333339"/>
    <n v="132"/>
    <n v="106.41666666666667"/>
    <m/>
    <e v="#DIV/0!"/>
    <n v="17323"/>
    <n v="18929.666666666668"/>
    <n v="182"/>
    <n v="208.75"/>
    <m/>
    <e v="#DIV/0!"/>
    <n v="43002"/>
    <n v="23639"/>
    <n v="74"/>
    <n v="63"/>
    <m/>
    <m/>
    <m/>
    <m/>
    <m/>
    <m/>
    <n v="16432"/>
    <m/>
    <m/>
    <m/>
    <m/>
    <m/>
    <m/>
    <m/>
    <m/>
    <m/>
    <m/>
    <m/>
    <m/>
    <m/>
    <m/>
    <m/>
    <m/>
    <m/>
    <m/>
    <m/>
    <m/>
    <m/>
    <m/>
    <d v="2015-11-01T00:00:00"/>
    <n v="32821.583333333336"/>
    <n v="20650.416666666668"/>
    <n v="56639.416666666664"/>
    <m/>
    <m/>
    <m/>
    <m/>
    <m/>
    <m/>
    <d v="2015-11-01T00:00:00"/>
    <m/>
    <e v="#DIV/0!"/>
    <m/>
    <m/>
    <m/>
    <m/>
    <n v="2.4052590121767026E-2"/>
    <e v="#DIV/0!"/>
    <e v="#DIV/0!"/>
    <m/>
    <m/>
    <m/>
    <m/>
    <m/>
    <n v="7"/>
    <m/>
    <m/>
    <m/>
    <m/>
    <m/>
    <m/>
    <m/>
    <m/>
    <m/>
    <m/>
    <m/>
    <m/>
    <m/>
    <m/>
    <m/>
    <m/>
    <m/>
  </r>
  <r>
    <x v="49"/>
    <n v="50042"/>
    <n v="1281"/>
    <n v="2.5598497262299669E-2"/>
    <m/>
    <m/>
    <m/>
    <m/>
    <m/>
    <m/>
    <n v="21715"/>
    <n v="27765.833333333332"/>
    <n v="216"/>
    <n v="305.08333333333331"/>
    <m/>
    <e v="#DIV/0!"/>
    <n v="8676"/>
    <n v="9171.1666666666661"/>
    <n v="79"/>
    <n v="103.25"/>
    <m/>
    <e v="#DIV/0!"/>
    <n v="13039"/>
    <n v="18594.666666666668"/>
    <n v="137"/>
    <n v="201.83333333333334"/>
    <m/>
    <e v="#DIV/0!"/>
    <n v="28170"/>
    <n v="11155"/>
    <n v="74"/>
    <n v="63"/>
    <m/>
    <m/>
    <m/>
    <m/>
    <m/>
    <m/>
    <n v="16803"/>
    <m/>
    <m/>
    <m/>
    <m/>
    <m/>
    <m/>
    <m/>
    <m/>
    <m/>
    <m/>
    <m/>
    <m/>
    <m/>
    <m/>
    <m/>
    <m/>
    <m/>
    <m/>
    <m/>
    <m/>
    <m/>
    <m/>
    <d v="2015-12-01T00:00:00"/>
    <n v="32107.416666666668"/>
    <n v="20182.083333333332"/>
    <n v="56872.916666666664"/>
    <m/>
    <m/>
    <m/>
    <m/>
    <m/>
    <m/>
    <d v="2015-12-01T00:00:00"/>
    <m/>
    <e v="#DIV/0!"/>
    <m/>
    <m/>
    <m/>
    <m/>
    <n v="2.4203015274658356E-2"/>
    <e v="#DIV/0!"/>
    <e v="#DIV/0!"/>
    <m/>
    <m/>
    <m/>
    <m/>
    <m/>
    <n v="5"/>
    <n v="9.0833333333333339"/>
    <n v="4.1829764371786019E-4"/>
    <m/>
    <m/>
    <m/>
    <m/>
    <m/>
    <m/>
    <m/>
    <m/>
    <m/>
    <m/>
    <m/>
    <m/>
    <m/>
    <m/>
    <m/>
  </r>
  <r>
    <x v="50"/>
    <n v="48168"/>
    <n v="1506"/>
    <n v="3.1265570503238665E-2"/>
    <n v="46465.893799999991"/>
    <n v="0.96466313320046482"/>
    <m/>
    <n v="4.0712962962965171E-3"/>
    <m/>
    <m/>
    <n v="23193"/>
    <n v="28216.833333333332"/>
    <n v="235"/>
    <n v="309.91666666666669"/>
    <m/>
    <e v="#DIV/0!"/>
    <n v="6426"/>
    <n v="9312"/>
    <n v="55"/>
    <n v="103.5"/>
    <m/>
    <e v="#DIV/0!"/>
    <n v="16767"/>
    <n v="18904.833333333332"/>
    <n v="180"/>
    <n v="206.41666666666666"/>
    <m/>
    <e v="#DIV/0!"/>
    <n v="22716"/>
    <n v="12351"/>
    <n v="74"/>
    <n v="63"/>
    <m/>
    <m/>
    <m/>
    <m/>
    <m/>
    <m/>
    <n v="7831"/>
    <m/>
    <m/>
    <m/>
    <m/>
    <m/>
    <m/>
    <m/>
    <m/>
    <m/>
    <m/>
    <m/>
    <m/>
    <m/>
    <m/>
    <m/>
    <m/>
    <m/>
    <m/>
    <m/>
    <m/>
    <m/>
    <m/>
    <d v="2016-01-01T00:00:00"/>
    <n v="32942.5"/>
    <n v="20563.916666666668"/>
    <n v="58254.75"/>
    <m/>
    <m/>
    <m/>
    <m/>
    <m/>
    <m/>
    <d v="2016-01-01T00:00:00"/>
    <m/>
    <e v="#DIV/0!"/>
    <m/>
    <m/>
    <m/>
    <m/>
    <n v="2.4093669124241757E-2"/>
    <n v="4.0712962962965171E-3"/>
    <e v="#DIV/0!"/>
    <m/>
    <m/>
    <m/>
    <m/>
    <m/>
    <n v="6"/>
    <n v="9"/>
    <n v="3.8804811796662784E-4"/>
    <m/>
    <m/>
    <m/>
    <m/>
    <m/>
    <m/>
    <m/>
    <m/>
    <m/>
    <m/>
    <m/>
    <m/>
    <m/>
    <m/>
    <m/>
  </r>
  <r>
    <x v="51"/>
    <n v="52042"/>
    <n v="1347"/>
    <n v="2.5882940701740902E-2"/>
    <n v="50353.056200000006"/>
    <n v="0.96754652396141594"/>
    <m/>
    <n v="6.5705353368431599E-3"/>
    <m/>
    <m/>
    <n v="24546"/>
    <n v="27709.416666666668"/>
    <n v="289"/>
    <n v="308.58333333333331"/>
    <m/>
    <e v="#DIV/0!"/>
    <n v="8482"/>
    <n v="9328.1666666666661"/>
    <n v="88"/>
    <n v="102.66666666666667"/>
    <m/>
    <e v="#DIV/0!"/>
    <n v="16064"/>
    <n v="18381.25"/>
    <n v="201"/>
    <n v="205.91666666666666"/>
    <m/>
    <e v="#DIV/0!"/>
    <n v="39204"/>
    <n v="18704"/>
    <n v="74"/>
    <n v="63"/>
    <m/>
    <m/>
    <m/>
    <m/>
    <m/>
    <m/>
    <n v="16266"/>
    <m/>
    <m/>
    <m/>
    <m/>
    <m/>
    <m/>
    <m/>
    <m/>
    <m/>
    <m/>
    <m/>
    <m/>
    <m/>
    <m/>
    <m/>
    <m/>
    <m/>
    <m/>
    <m/>
    <m/>
    <m/>
    <m/>
    <d v="2016-02-01T00:00:00"/>
    <n v="34165"/>
    <n v="20897.75"/>
    <n v="58507.416666666664"/>
    <m/>
    <m/>
    <m/>
    <m/>
    <m/>
    <m/>
    <d v="2016-02-01T00:00:00"/>
    <m/>
    <e v="#DIV/0!"/>
    <m/>
    <m/>
    <m/>
    <m/>
    <n v="2.4062251936919989E-2"/>
    <n v="5.3209158165698385E-3"/>
    <e v="#DIV/0!"/>
    <m/>
    <m/>
    <m/>
    <m/>
    <m/>
    <n v="7"/>
    <n v="9.0833333333333339"/>
    <n v="3.7005350498383992E-4"/>
    <m/>
    <m/>
    <m/>
    <m/>
    <m/>
    <m/>
    <m/>
    <m/>
    <m/>
    <m/>
    <m/>
    <m/>
    <m/>
    <m/>
    <m/>
  </r>
  <r>
    <x v="52"/>
    <n v="59694"/>
    <n v="1346"/>
    <n v="2.2548329815391833E-2"/>
    <n v="57056.964900000021"/>
    <n v="0.95582411800180955"/>
    <m/>
    <n v="2.1627552182798614E-2"/>
    <m/>
    <m/>
    <n v="26140"/>
    <n v="26846.083333333332"/>
    <n v="303"/>
    <n v="300.75"/>
    <m/>
    <e v="#DIV/0!"/>
    <n v="9057"/>
    <n v="9240.75"/>
    <n v="82"/>
    <n v="100.33333333333333"/>
    <m/>
    <e v="#DIV/0!"/>
    <n v="17083"/>
    <n v="17605.333333333332"/>
    <n v="221"/>
    <n v="200.41666666666666"/>
    <m/>
    <e v="#DIV/0!"/>
    <n v="27354"/>
    <n v="14141"/>
    <n v="74"/>
    <n v="63"/>
    <m/>
    <m/>
    <m/>
    <m/>
    <m/>
    <m/>
    <n v="21809"/>
    <m/>
    <m/>
    <m/>
    <m/>
    <m/>
    <m/>
    <m/>
    <m/>
    <m/>
    <m/>
    <m/>
    <m/>
    <m/>
    <m/>
    <m/>
    <m/>
    <m/>
    <m/>
    <m/>
    <m/>
    <m/>
    <m/>
    <d v="2016-03-01T00:00:00"/>
    <n v="33459.666666666664"/>
    <n v="20275.25"/>
    <n v="59224.666666666664"/>
    <m/>
    <m/>
    <m/>
    <m/>
    <m/>
    <m/>
    <d v="2016-03-01T00:00:00"/>
    <m/>
    <e v="#DIV/0!"/>
    <m/>
    <m/>
    <m/>
    <m/>
    <n v="2.4016458364646096E-2"/>
    <n v="1.0756461271979429E-2"/>
    <e v="#DIV/0!"/>
    <m/>
    <m/>
    <m/>
    <m/>
    <m/>
    <n v="7"/>
    <n v="8.6666666666666661"/>
    <n v="3.3154807447079827E-4"/>
    <m/>
    <m/>
    <m/>
    <m/>
    <m/>
    <m/>
    <m/>
    <m/>
    <m/>
    <m/>
    <m/>
    <m/>
    <m/>
    <m/>
    <m/>
  </r>
  <r>
    <x v="53"/>
    <n v="47309"/>
    <n v="1249"/>
    <n v="2.6400896235388615E-2"/>
    <n v="45709.019"/>
    <n v="0.96618019827094215"/>
    <m/>
    <n v="7.4189054936692374E-3"/>
    <m/>
    <m/>
    <n v="22012"/>
    <n v="26396.75"/>
    <n v="265"/>
    <n v="296.16666666666669"/>
    <m/>
    <e v="#DIV/0!"/>
    <n v="6515"/>
    <n v="9153"/>
    <n v="62"/>
    <n v="97.916666666666671"/>
    <m/>
    <e v="#DIV/0!"/>
    <n v="15497"/>
    <n v="17243.75"/>
    <n v="203"/>
    <n v="198.25"/>
    <m/>
    <e v="#DIV/0!"/>
    <n v="24138"/>
    <n v="14863"/>
    <n v="72"/>
    <s v="Don't have Stores or Production Engineering Figures"/>
    <m/>
    <m/>
    <m/>
    <m/>
    <m/>
    <m/>
    <n v="25979"/>
    <m/>
    <m/>
    <m/>
    <m/>
    <n v="360.81944444444446"/>
    <m/>
    <m/>
    <m/>
    <m/>
    <m/>
    <m/>
    <m/>
    <m/>
    <m/>
    <m/>
    <m/>
    <m/>
    <m/>
    <m/>
    <m/>
    <m/>
    <m/>
    <d v="2016-04-01T00:00:00"/>
    <n v="33204"/>
    <n v="19960.916666666668"/>
    <n v="58866.083333333336"/>
    <m/>
    <m/>
    <m/>
    <m/>
    <m/>
    <m/>
    <d v="2016-04-01T00:00:00"/>
    <m/>
    <e v="#DIV/0!"/>
    <m/>
    <m/>
    <m/>
    <m/>
    <n v="2.4254779970249565E-2"/>
    <n v="9.9220723274018804E-3"/>
    <e v="#DIV/0!"/>
    <m/>
    <m/>
    <m/>
    <m/>
    <m/>
    <n v="7"/>
    <n v="8.6666666666666661"/>
    <n v="3.9372463504754978E-4"/>
    <m/>
    <n v="-0.13254032868827625"/>
    <n v="4.2240438636835131E-2"/>
    <n v="-6.507835304197096E-2"/>
    <n v="-0.21324850084051572"/>
    <m/>
    <m/>
    <m/>
    <m/>
    <m/>
    <m/>
    <m/>
    <m/>
    <m/>
    <m/>
  </r>
  <r>
    <x v="54"/>
    <n v="45254"/>
    <n v="1226"/>
    <n v="2.7091527820745129E-2"/>
    <n v="41231.037499999999"/>
    <n v="0.91110260971405843"/>
    <m/>
    <n v="6.180586246519644E-2"/>
    <m/>
    <m/>
    <n v="21868"/>
    <n v="25841.583333333332"/>
    <n v="282"/>
    <n v="291.25"/>
    <m/>
    <e v="#DIV/0!"/>
    <n v="6415"/>
    <n v="8998.25"/>
    <n v="62"/>
    <n v="94.5"/>
    <m/>
    <e v="#DIV/0!"/>
    <n v="15453"/>
    <n v="16843.333333333332"/>
    <n v="220"/>
    <n v="196.75"/>
    <m/>
    <e v="#DIV/0!"/>
    <n v="27123"/>
    <n v="17617"/>
    <n v="70"/>
    <m/>
    <m/>
    <m/>
    <m/>
    <m/>
    <m/>
    <m/>
    <n v="16871"/>
    <m/>
    <m/>
    <m/>
    <m/>
    <n v="241.01428571428571"/>
    <m/>
    <m/>
    <m/>
    <m/>
    <m/>
    <m/>
    <m/>
    <m/>
    <m/>
    <m/>
    <m/>
    <m/>
    <m/>
    <m/>
    <m/>
    <m/>
    <m/>
    <d v="2016-05-01T00:00:00"/>
    <n v="33237.666666666664"/>
    <n v="20012.916666666668"/>
    <n v="57812.833333333336"/>
    <m/>
    <m/>
    <m/>
    <m/>
    <m/>
    <m/>
    <d v="2016-05-01T00:00:00"/>
    <m/>
    <e v="#DIV/0!"/>
    <m/>
    <m/>
    <m/>
    <m/>
    <n v="2.4477043197419234E-2"/>
    <n v="2.0298830354960794E-2"/>
    <e v="#DIV/0!"/>
    <m/>
    <m/>
    <m/>
    <m/>
    <m/>
    <n v="9"/>
    <n v="8.4166666666666661"/>
    <n v="3.8488506798365951E-4"/>
    <m/>
    <m/>
    <m/>
    <m/>
    <m/>
    <m/>
    <m/>
    <m/>
    <m/>
    <m/>
    <m/>
    <m/>
    <m/>
    <m/>
    <m/>
  </r>
  <r>
    <x v="55"/>
    <n v="46925"/>
    <n v="994"/>
    <n v="2.1182738412360149E-2"/>
    <n v="43816.175300000003"/>
    <n v="0.93374907405434204"/>
    <m/>
    <n v="4.5068187533297804E-2"/>
    <m/>
    <m/>
    <n v="20533"/>
    <n v="25135.25"/>
    <n v="279"/>
    <n v="286.41666666666669"/>
    <m/>
    <e v="#DIV/0!"/>
    <n v="5291"/>
    <n v="8626.0833333333339"/>
    <n v="69"/>
    <n v="90.5"/>
    <m/>
    <e v="#DIV/0!"/>
    <n v="15242"/>
    <n v="16509.166666666668"/>
    <n v="210"/>
    <n v="195.91666666666666"/>
    <m/>
    <e v="#DIV/0!"/>
    <n v="25646"/>
    <n v="13158"/>
    <n v="68"/>
    <m/>
    <m/>
    <m/>
    <m/>
    <m/>
    <m/>
    <m/>
    <n v="8863"/>
    <m/>
    <m/>
    <m/>
    <m/>
    <n v="130.33823529411765"/>
    <m/>
    <m/>
    <m/>
    <m/>
    <m/>
    <m/>
    <m/>
    <m/>
    <m/>
    <m/>
    <m/>
    <m/>
    <m/>
    <m/>
    <m/>
    <m/>
    <m/>
    <d v="2016-06-01T00:00:00"/>
    <n v="32045.5"/>
    <n v="19324.416666666668"/>
    <n v="56658.916666666664"/>
    <m/>
    <m/>
    <m/>
    <m/>
    <m/>
    <m/>
    <d v="2016-06-01T00:00:00"/>
    <m/>
    <e v="#DIV/0!"/>
    <m/>
    <m/>
    <m/>
    <m/>
    <n v="2.4037308586628003E-2"/>
    <n v="2.4427056551350291E-2"/>
    <e v="#DIV/0!"/>
    <m/>
    <m/>
    <m/>
    <m/>
    <m/>
    <n v="11"/>
    <n v="8.5833333333333339"/>
    <n v="4.1802626666017311E-4"/>
    <m/>
    <m/>
    <m/>
    <m/>
    <m/>
    <m/>
    <m/>
    <m/>
    <m/>
    <m/>
    <m/>
    <m/>
    <m/>
    <m/>
    <m/>
  </r>
  <r>
    <x v="56"/>
    <n v="56239"/>
    <n v="1210"/>
    <n v="2.1515318551183344E-2"/>
    <n v="55029.149499999985"/>
    <n v="0.97848733974643909"/>
    <m/>
    <n v="-2.6582976224327759E-6"/>
    <m/>
    <m/>
    <n v="25126"/>
    <n v="24940.083333333332"/>
    <n v="304"/>
    <n v="281.91666666666669"/>
    <m/>
    <e v="#DIV/0!"/>
    <n v="8242"/>
    <n v="8657.6666666666661"/>
    <n v="80"/>
    <n v="88.75"/>
    <m/>
    <e v="#DIV/0!"/>
    <n v="16884"/>
    <n v="16282.416666666666"/>
    <n v="224"/>
    <n v="193.16666666666666"/>
    <m/>
    <e v="#DIV/0!"/>
    <n v="27047"/>
    <n v="12138"/>
    <n v="67"/>
    <m/>
    <m/>
    <m/>
    <m/>
    <m/>
    <m/>
    <m/>
    <n v="10432"/>
    <m/>
    <m/>
    <m/>
    <m/>
    <n v="155.70149253731344"/>
    <m/>
    <m/>
    <m/>
    <m/>
    <m/>
    <m/>
    <m/>
    <m/>
    <m/>
    <m/>
    <m/>
    <m/>
    <m/>
    <m/>
    <m/>
    <m/>
    <m/>
    <d v="2016-07-01T00:00:00"/>
    <n v="31394.166666666668"/>
    <n v="17577.083333333332"/>
    <n v="56394.5"/>
    <m/>
    <m/>
    <m/>
    <m/>
    <m/>
    <m/>
    <d v="2016-07-01T00:00:00"/>
    <m/>
    <e v="#DIV/0!"/>
    <m/>
    <m/>
    <m/>
    <m/>
    <n v="2.4121842723618992E-2"/>
    <n v="2.0937097287211329E-2"/>
    <e v="#DIV/0!"/>
    <m/>
    <m/>
    <m/>
    <m/>
    <m/>
    <n v="17"/>
    <n v="8.9166666666666661"/>
    <n v="3.5487808113773248E-4"/>
    <m/>
    <m/>
    <m/>
    <m/>
    <m/>
    <m/>
    <m/>
    <m/>
    <m/>
    <m/>
    <m/>
    <m/>
    <m/>
    <m/>
    <m/>
  </r>
  <r>
    <x v="57"/>
    <n v="58547"/>
    <n v="1258"/>
    <n v="2.1487010436059918E-2"/>
    <n v="50355.999599999996"/>
    <n v="0.86009530121099276"/>
    <m/>
    <n v="0.11841768835294733"/>
    <m/>
    <m/>
    <n v="24732"/>
    <n v="24789.166666666668"/>
    <n v="360"/>
    <n v="285.66666666666669"/>
    <m/>
    <e v="#DIV/0!"/>
    <n v="11506"/>
    <n v="8832.5833333333339"/>
    <n v="113"/>
    <n v="87.083333333333329"/>
    <m/>
    <e v="#DIV/0!"/>
    <n v="13226"/>
    <n v="15956.583333333334"/>
    <n v="247"/>
    <n v="198.58333333333334"/>
    <m/>
    <e v="#DIV/0!"/>
    <n v="29459"/>
    <n v="17289"/>
    <n v="71"/>
    <m/>
    <m/>
    <m/>
    <m/>
    <m/>
    <m/>
    <m/>
    <n v="17086"/>
    <m/>
    <m/>
    <m/>
    <m/>
    <n v="240.64788732394365"/>
    <m/>
    <m/>
    <m/>
    <m/>
    <m/>
    <m/>
    <m/>
    <m/>
    <m/>
    <m/>
    <m/>
    <m/>
    <m/>
    <m/>
    <m/>
    <m/>
    <m/>
    <d v="2016-08-01T00:00:00"/>
    <n v="30296.916666666668"/>
    <n v="16449.25"/>
    <n v="56265.916666666664"/>
    <m/>
    <m/>
    <m/>
    <m/>
    <m/>
    <m/>
    <d v="2016-08-01T00:00:00"/>
    <m/>
    <e v="#DIV/0!"/>
    <m/>
    <m/>
    <m/>
    <m/>
    <n v="2.4120670117393394E-2"/>
    <n v="3.312217117042833E-2"/>
    <e v="#DIV/0!"/>
    <m/>
    <m/>
    <m/>
    <m/>
    <m/>
    <n v="15"/>
    <n v="9.3333333333333339"/>
    <n v="3.7737883443851421E-4"/>
    <m/>
    <m/>
    <m/>
    <m/>
    <m/>
    <m/>
    <m/>
    <m/>
    <m/>
    <m/>
    <m/>
    <m/>
    <m/>
    <m/>
    <m/>
  </r>
  <r>
    <x v="58"/>
    <n v="56394"/>
    <n v="1153"/>
    <n v="2.0445437457885591E-2"/>
    <n v="56972.119600000005"/>
    <m/>
    <m/>
    <m/>
    <m/>
    <m/>
    <n v="21681"/>
    <n v="24214"/>
    <n v="319"/>
    <n v="288.16666666666669"/>
    <m/>
    <e v="#DIV/0!"/>
    <n v="8829"/>
    <n v="8676.8333333333339"/>
    <n v="118"/>
    <n v="88"/>
    <m/>
    <e v="#DIV/0!"/>
    <n v="12852"/>
    <n v="15537.166666666666"/>
    <n v="201"/>
    <n v="200.16666666666666"/>
    <m/>
    <e v="#DIV/0!"/>
    <n v="31209"/>
    <n v="14871"/>
    <n v="71"/>
    <m/>
    <m/>
    <m/>
    <m/>
    <m/>
    <m/>
    <m/>
    <n v="16015"/>
    <m/>
    <m/>
    <m/>
    <m/>
    <n v="225.56338028169014"/>
    <m/>
    <m/>
    <m/>
    <m/>
    <m/>
    <m/>
    <m/>
    <m/>
    <m/>
    <m/>
    <m/>
    <m/>
    <m/>
    <m/>
    <m/>
    <m/>
    <m/>
    <d v="2016-09-01T00:00:00"/>
    <n v="30029.583333333332"/>
    <n v="15870.166666666666"/>
    <n v="54660.25"/>
    <m/>
    <m/>
    <m/>
    <m/>
    <m/>
    <m/>
    <d v="2016-09-01T00:00:00"/>
    <m/>
    <e v="#DIV/0!"/>
    <m/>
    <m/>
    <m/>
    <m/>
    <n v="2.4365115467479454E-2"/>
    <n v="3.312217117042833E-2"/>
    <e v="#DIV/0!"/>
    <m/>
    <m/>
    <m/>
    <m/>
    <m/>
    <n v="7"/>
    <n v="9.0833333333333339"/>
    <n v="4.189536153006473E-4"/>
    <m/>
    <m/>
    <m/>
    <m/>
    <m/>
    <m/>
    <m/>
    <m/>
    <m/>
    <m/>
    <m/>
    <m/>
    <m/>
    <m/>
    <m/>
  </r>
  <r>
    <x v="59"/>
    <n v="59497"/>
    <n v="1109"/>
    <n v="1.8639595273711281E-2"/>
    <n v="55531.155500000008"/>
    <n v="0.9333437904432158"/>
    <m/>
    <n v="4.8016614283072911E-2"/>
    <m/>
    <m/>
    <n v="29219"/>
    <n v="24342.666666666668"/>
    <n v="323"/>
    <n v="290.75"/>
    <m/>
    <e v="#DIV/0!"/>
    <n v="13416"/>
    <n v="8906.5833333333339"/>
    <n v="132"/>
    <n v="89.333333333333329"/>
    <m/>
    <e v="#DIV/0!"/>
    <n v="15803"/>
    <n v="15436.083333333334"/>
    <n v="191"/>
    <n v="201.41666666666666"/>
    <m/>
    <e v="#DIV/0!"/>
    <n v="43022"/>
    <n v="18809"/>
    <n v="73"/>
    <m/>
    <m/>
    <m/>
    <m/>
    <m/>
    <m/>
    <m/>
    <n v="24118"/>
    <m/>
    <m/>
    <m/>
    <m/>
    <n v="330.38356164383561"/>
    <m/>
    <m/>
    <m/>
    <m/>
    <m/>
    <m/>
    <m/>
    <m/>
    <m/>
    <m/>
    <m/>
    <m/>
    <m/>
    <m/>
    <m/>
    <m/>
    <m/>
    <d v="2016-10-01T00:00:00"/>
    <n v="30674.166666666668"/>
    <n v="15727.916666666666"/>
    <n v="53906.25"/>
    <m/>
    <m/>
    <m/>
    <m/>
    <m/>
    <m/>
    <d v="2016-10-01T00:00:00"/>
    <m/>
    <e v="#DIV/0!"/>
    <m/>
    <m/>
    <m/>
    <m/>
    <n v="2.4092364060905355E-2"/>
    <n v="3.4777109294055503E-2"/>
    <e v="#DIV/0!"/>
    <m/>
    <m/>
    <m/>
    <m/>
    <m/>
    <n v="10"/>
    <n v="9"/>
    <n v="3.0801875491974398E-4"/>
    <m/>
    <m/>
    <m/>
    <m/>
    <m/>
    <m/>
    <m/>
    <m/>
    <m/>
    <m/>
    <m/>
    <m/>
    <m/>
    <m/>
    <m/>
  </r>
  <r>
    <x v="60"/>
    <n v="66369"/>
    <n v="1108"/>
    <n v="1.6694541126128164E-2"/>
    <n v="62250.887699999977"/>
    <n v="0.9379512679112233"/>
    <m/>
    <n v="4.535419096264854E-2"/>
    <m/>
    <m/>
    <n v="28484"/>
    <n v="24104.083333333332"/>
    <n v="283"/>
    <n v="288.16666666666669"/>
    <m/>
    <e v="#DIV/0!"/>
    <n v="10255"/>
    <n v="8592.5"/>
    <n v="79"/>
    <n v="84.916666666666671"/>
    <m/>
    <e v="#DIV/0!"/>
    <n v="18229"/>
    <n v="15511.583333333334"/>
    <n v="204"/>
    <n v="203.25"/>
    <m/>
    <e v="#DIV/0!"/>
    <n v="33259"/>
    <n v="18851"/>
    <n v="79"/>
    <m/>
    <m/>
    <m/>
    <m/>
    <m/>
    <m/>
    <m/>
    <n v="26529"/>
    <m/>
    <m/>
    <m/>
    <m/>
    <n v="335.81012658227849"/>
    <m/>
    <m/>
    <m/>
    <m/>
    <m/>
    <m/>
    <m/>
    <m/>
    <m/>
    <m/>
    <m/>
    <m/>
    <m/>
    <m/>
    <m/>
    <m/>
    <m/>
    <d v="2016-11-01T00:00:00"/>
    <n v="29862.25"/>
    <n v="15328.916666666666"/>
    <n v="53873.333333333336"/>
    <m/>
    <m/>
    <m/>
    <m/>
    <m/>
    <m/>
    <d v="2016-11-01T00:00:00"/>
    <m/>
    <e v="#DIV/0!"/>
    <m/>
    <m/>
    <m/>
    <m/>
    <n v="2.322936696634444E-2"/>
    <n v="3.5834817460914811E-2"/>
    <e v="#DIV/0!"/>
    <m/>
    <m/>
    <m/>
    <m/>
    <m/>
    <n v="9"/>
    <n v="9.1666666666666661"/>
    <n v="3.2181809670926367E-4"/>
    <m/>
    <m/>
    <m/>
    <m/>
    <m/>
    <m/>
    <m/>
    <m/>
    <m/>
    <m/>
    <m/>
    <m/>
    <m/>
    <m/>
    <m/>
  </r>
  <r>
    <x v="61"/>
    <n v="55643"/>
    <n v="1035"/>
    <n v="1.8600722462843486E-2"/>
    <n v="56042.074699999997"/>
    <m/>
    <m/>
    <m/>
    <m/>
    <m/>
    <n v="21276"/>
    <n v="24067.5"/>
    <n v="222"/>
    <n v="288.66666666666669"/>
    <m/>
    <e v="#DIV/0!"/>
    <n v="7566"/>
    <n v="8500"/>
    <n v="60"/>
    <n v="83.333333333333329"/>
    <m/>
    <e v="#DIV/0!"/>
    <n v="13710"/>
    <n v="15567.5"/>
    <n v="162"/>
    <n v="205.33333333333334"/>
    <m/>
    <e v="#DIV/0!"/>
    <n v="29928"/>
    <n v="15066"/>
    <n v="76"/>
    <m/>
    <m/>
    <m/>
    <m/>
    <m/>
    <m/>
    <m/>
    <n v="5771"/>
    <m/>
    <m/>
    <m/>
    <m/>
    <n v="75.934210526315795"/>
    <m/>
    <m/>
    <m/>
    <m/>
    <m/>
    <m/>
    <m/>
    <m/>
    <m/>
    <m/>
    <m/>
    <m/>
    <m/>
    <m/>
    <m/>
    <m/>
    <m/>
    <d v="2016-12-01T00:00:00"/>
    <n v="30008.75"/>
    <n v="15654.833333333334"/>
    <n v="54340.083333333336"/>
    <m/>
    <m/>
    <m/>
    <m/>
    <m/>
    <m/>
    <d v="2016-12-01T00:00:00"/>
    <m/>
    <e v="#DIV/0!"/>
    <m/>
    <m/>
    <m/>
    <m/>
    <n v="2.264621906638976E-2"/>
    <n v="3.5834817460914811E-2"/>
    <e v="#DIV/0!"/>
    <m/>
    <m/>
    <m/>
    <m/>
    <m/>
    <n v="7"/>
    <n v="9.3333333333333339"/>
    <n v="4.3867894967725764E-4"/>
    <m/>
    <m/>
    <m/>
    <m/>
    <m/>
    <m/>
    <m/>
    <m/>
    <m/>
    <m/>
    <m/>
    <m/>
    <m/>
    <m/>
    <m/>
  </r>
  <r>
    <x v="62"/>
    <n v="56169"/>
    <n v="943"/>
    <n v="1.6788620057326994E-2"/>
    <n v="50672.025699999976"/>
    <n v="0.90213508696968037"/>
    <m/>
    <n v="8.1076292972992639E-2"/>
    <m/>
    <m/>
    <n v="22014"/>
    <n v="23969.25"/>
    <n v="225"/>
    <n v="287.83333333333331"/>
    <m/>
    <e v="#DIV/0!"/>
    <n v="10985"/>
    <n v="8879.9166666666661"/>
    <n v="99"/>
    <n v="87"/>
    <m/>
    <e v="#DIV/0!"/>
    <n v="11029"/>
    <n v="15089.333333333334"/>
    <n v="126"/>
    <n v="200.83333333333334"/>
    <m/>
    <e v="#DIV/0!"/>
    <n v="38897"/>
    <n v="14369"/>
    <n v="75"/>
    <m/>
    <m/>
    <m/>
    <m/>
    <m/>
    <m/>
    <m/>
    <n v="21701"/>
    <m/>
    <m/>
    <m/>
    <m/>
    <n v="289.34666666666669"/>
    <m/>
    <m/>
    <m/>
    <m/>
    <m/>
    <m/>
    <m/>
    <m/>
    <m/>
    <m/>
    <m/>
    <m/>
    <m/>
    <m/>
    <m/>
    <m/>
    <m/>
    <d v="2017-01-01T00:00:00"/>
    <n v="31357.166666666668"/>
    <n v="15823"/>
    <n v="55006.833333333336"/>
    <m/>
    <m/>
    <m/>
    <m/>
    <m/>
    <m/>
    <d v="2017-01-01T00:00:00"/>
    <m/>
    <e v="#DIV/0!"/>
    <m/>
    <m/>
    <m/>
    <m/>
    <n v="2.1439806529230453E-2"/>
    <n v="4.3535317128584425E-2"/>
    <e v="#DIV/0!"/>
    <m/>
    <m/>
    <m/>
    <m/>
    <m/>
    <n v="6"/>
    <n v="9.3333333333333339"/>
    <n v="4.2397262348202664E-4"/>
    <m/>
    <m/>
    <m/>
    <m/>
    <m/>
    <m/>
    <m/>
    <m/>
    <m/>
    <m/>
    <m/>
    <m/>
    <m/>
    <m/>
    <m/>
  </r>
  <r>
    <x v="63"/>
    <n v="70751"/>
    <n v="1454"/>
    <n v="2.055094627637772E-2"/>
    <n v="65536.88930000001"/>
    <n v="0.92630336391005086"/>
    <m/>
    <n v="5.3145689813571421E-2"/>
    <m/>
    <m/>
    <n v="28194"/>
    <n v="24273.25"/>
    <n v="334"/>
    <n v="291.58333333333331"/>
    <m/>
    <e v="#DIV/0!"/>
    <n v="12644"/>
    <n v="9226.75"/>
    <n v="115"/>
    <n v="89.25"/>
    <m/>
    <e v="#DIV/0!"/>
    <n v="15550"/>
    <n v="15046.5"/>
    <n v="219"/>
    <n v="202.33333333333334"/>
    <m/>
    <e v="#DIV/0!"/>
    <n v="34499"/>
    <n v="17302"/>
    <n v="78"/>
    <m/>
    <m/>
    <m/>
    <m/>
    <m/>
    <m/>
    <m/>
    <n v="28993"/>
    <m/>
    <m/>
    <m/>
    <m/>
    <n v="371.70512820512823"/>
    <m/>
    <m/>
    <m/>
    <m/>
    <m/>
    <m/>
    <m/>
    <m/>
    <m/>
    <m/>
    <m/>
    <m/>
    <m/>
    <m/>
    <m/>
    <m/>
    <m/>
    <d v="2017-02-01T00:00:00"/>
    <n v="30965.083333333332"/>
    <n v="15706.166666666666"/>
    <n v="56565.916666666664"/>
    <m/>
    <m/>
    <m/>
    <m/>
    <m/>
    <m/>
    <d v="2017-02-01T00:00:00"/>
    <m/>
    <e v="#DIV/0!"/>
    <m/>
    <m/>
    <m/>
    <m/>
    <n v="2.0995473660450185E-2"/>
    <n v="4.8192832576257248E-2"/>
    <e v="#DIV/0!"/>
    <m/>
    <m/>
    <m/>
    <m/>
    <m/>
    <n v="7"/>
    <n v="9.3333333333333339"/>
    <n v="3.3103970111844129E-4"/>
    <m/>
    <m/>
    <m/>
    <m/>
    <m/>
    <m/>
    <m/>
    <m/>
    <m/>
    <m/>
    <m/>
    <m/>
    <m/>
    <m/>
    <m/>
  </r>
  <r>
    <x v="64"/>
    <n v="76472"/>
    <n v="1754"/>
    <n v="2.2936499633852914E-2"/>
    <n v="71794.028900000005"/>
    <n v="0.93882766110471816"/>
    <m/>
    <n v="3.8235839261428928E-2"/>
    <m/>
    <m/>
    <n v="33697"/>
    <n v="24903"/>
    <n v="380"/>
    <n v="298"/>
    <m/>
    <e v="#DIV/0!"/>
    <n v="13909"/>
    <n v="9631.0833333333339"/>
    <n v="128"/>
    <n v="93.083333333333329"/>
    <m/>
    <e v="#DIV/0!"/>
    <n v="19788"/>
    <n v="15271.916666666666"/>
    <n v="252"/>
    <n v="204.91666666666666"/>
    <m/>
    <e v="#DIV/0!"/>
    <n v="31159"/>
    <n v="17086"/>
    <n v="80"/>
    <m/>
    <m/>
    <m/>
    <m/>
    <m/>
    <m/>
    <m/>
    <n v="16435"/>
    <m/>
    <m/>
    <m/>
    <m/>
    <n v="205.4375"/>
    <m/>
    <m/>
    <m/>
    <m/>
    <m/>
    <m/>
    <m/>
    <m/>
    <m/>
    <m/>
    <m/>
    <m/>
    <m/>
    <m/>
    <m/>
    <m/>
    <m/>
    <d v="2017-03-01T00:00:00"/>
    <n v="31282.166666666668"/>
    <n v="15951.583333333334"/>
    <n v="57964.083333333336"/>
    <m/>
    <m/>
    <m/>
    <m/>
    <m/>
    <m/>
    <d v="2017-03-01T00:00:00"/>
    <m/>
    <e v="#DIV/0!"/>
    <m/>
    <m/>
    <m/>
    <m/>
    <n v="2.1027821145321948E-2"/>
    <n v="4.9853661284120283E-2"/>
    <e v="#DIV/0!"/>
    <m/>
    <m/>
    <m/>
    <m/>
    <m/>
    <n v="13"/>
    <n v="9.8333333333333339"/>
    <n v="2.918162843378738E-4"/>
    <m/>
    <m/>
    <m/>
    <m/>
    <m/>
    <m/>
    <m/>
    <m/>
    <m/>
    <m/>
    <m/>
    <m/>
    <m/>
    <m/>
    <m/>
  </r>
  <r>
    <x v="65"/>
    <n v="60851"/>
    <n v="1323"/>
    <n v="2.1741631197515241E-2"/>
    <n v="59253.069900000002"/>
    <n v="0.97374028200029583"/>
    <m/>
    <n v="4.5180868021889274E-3"/>
    <m/>
    <m/>
    <n v="25538"/>
    <n v="25196.833333333332"/>
    <n v="297"/>
    <n v="300.66666666666669"/>
    <m/>
    <e v="#DIV/0!"/>
    <n v="11388"/>
    <n v="10037.166666666666"/>
    <n v="103"/>
    <n v="96.5"/>
    <m/>
    <e v="#DIV/0!"/>
    <n v="14150"/>
    <n v="15159.666666666666"/>
    <n v="194"/>
    <n v="204.16666666666666"/>
    <m/>
    <e v="#DIV/0!"/>
    <n v="28229"/>
    <n v="12038"/>
    <n v="83"/>
    <m/>
    <m/>
    <m/>
    <m/>
    <m/>
    <m/>
    <m/>
    <n v="18234"/>
    <m/>
    <m/>
    <m/>
    <m/>
    <n v="219.68674698795181"/>
    <m/>
    <m/>
    <m/>
    <m/>
    <m/>
    <m/>
    <m/>
    <m/>
    <m/>
    <m/>
    <m/>
    <m/>
    <m/>
    <m/>
    <m/>
    <m/>
    <m/>
    <d v="2017-04-01T00:00:00"/>
    <n v="31623.083333333332"/>
    <n v="15716.166666666666"/>
    <n v="59092.583333333336"/>
    <m/>
    <m/>
    <m/>
    <m/>
    <m/>
    <m/>
    <d v="2017-04-01T00:00:00"/>
    <m/>
    <e v="#DIV/0!"/>
    <m/>
    <m/>
    <m/>
    <m/>
    <n v="2.0639549058832495E-2"/>
    <n v="4.9563579414972248E-2"/>
    <e v="#DIV/0!"/>
    <m/>
    <m/>
    <m/>
    <m/>
    <m/>
    <n v="4"/>
    <n v="9.5833333333333339"/>
    <n v="3.7525778578327725E-4"/>
    <m/>
    <n v="0.56698296983024399"/>
    <n v="0.28238429390947717"/>
    <n v="0.37334370487977697"/>
    <n v="6.0782889890763192E-2"/>
    <m/>
    <m/>
    <m/>
    <m/>
    <m/>
    <m/>
    <m/>
    <m/>
    <m/>
    <m/>
  </r>
  <r>
    <x v="66"/>
    <n v="90676"/>
    <n v="1882"/>
    <n v="2.075521637478495E-2"/>
    <n v="85285.158800000005"/>
    <n v="0.94054831267369543"/>
    <m/>
    <n v="3.8696470951519624E-2"/>
    <m/>
    <m/>
    <n v="38817"/>
    <n v="26609.25"/>
    <n v="418"/>
    <n v="312"/>
    <m/>
    <e v="#DIV/0!"/>
    <n v="16170"/>
    <n v="10850.083333333334"/>
    <n v="129"/>
    <n v="102.08333333333333"/>
    <m/>
    <e v="#DIV/0!"/>
    <n v="22647"/>
    <n v="15759.166666666666"/>
    <n v="289"/>
    <n v="209.91666666666666"/>
    <m/>
    <e v="#DIV/0!"/>
    <n v="45914"/>
    <n v="17672"/>
    <n v="90"/>
    <m/>
    <m/>
    <m/>
    <m/>
    <m/>
    <m/>
    <m/>
    <n v="18104"/>
    <m/>
    <m/>
    <m/>
    <m/>
    <n v="201.15555555555557"/>
    <m/>
    <m/>
    <m/>
    <m/>
    <m/>
    <m/>
    <m/>
    <m/>
    <m/>
    <m/>
    <m/>
    <m/>
    <m/>
    <m/>
    <m/>
    <m/>
    <m/>
    <d v="2017-05-01T00:00:00"/>
    <n v="33189"/>
    <n v="15720.75"/>
    <n v="62877.75"/>
    <m/>
    <m/>
    <m/>
    <m/>
    <m/>
    <m/>
    <d v="2017-05-01T00:00:00"/>
    <m/>
    <e v="#DIV/0!"/>
    <m/>
    <m/>
    <m/>
    <m/>
    <n v="2.0111523105002478E-2"/>
    <n v="4.7252640263604567E-2"/>
    <e v="#DIV/0!"/>
    <m/>
    <m/>
    <m/>
    <m/>
    <m/>
    <n v="9"/>
    <n v="9.5833333333333339"/>
    <n v="2.4688495590420009E-4"/>
    <m/>
    <m/>
    <m/>
    <m/>
    <m/>
    <m/>
    <m/>
    <m/>
    <m/>
    <m/>
    <m/>
    <m/>
    <m/>
    <m/>
    <m/>
  </r>
  <r>
    <x v="67"/>
    <n v="79150"/>
    <n v="1871"/>
    <n v="2.3638660770688567E-2"/>
    <n v="73595.197300000014"/>
    <n v="0.92981929627289972"/>
    <m/>
    <n v="4.6542042956411712E-2"/>
    <m/>
    <m/>
    <n v="34929"/>
    <n v="27808.916666666668"/>
    <n v="378"/>
    <n v="320.25"/>
    <m/>
    <e v="#DIV/0!"/>
    <n v="12617"/>
    <n v="11460.583333333334"/>
    <n v="95"/>
    <n v="104.25"/>
    <m/>
    <e v="#DIV/0!"/>
    <n v="22312"/>
    <n v="16348.333333333334"/>
    <n v="283"/>
    <n v="216"/>
    <m/>
    <e v="#DIV/0!"/>
    <n v="42676"/>
    <n v="14194"/>
    <n v="94"/>
    <m/>
    <m/>
    <m/>
    <m/>
    <m/>
    <m/>
    <m/>
    <n v="19119"/>
    <m/>
    <m/>
    <m/>
    <m/>
    <n v="203.39361702127658"/>
    <m/>
    <m/>
    <m/>
    <m/>
    <m/>
    <m/>
    <m/>
    <m/>
    <m/>
    <m/>
    <m/>
    <m/>
    <m/>
    <m/>
    <m/>
    <m/>
    <m/>
    <d v="2017-06-01T00:00:00"/>
    <n v="34608.166666666664"/>
    <n v="15807.083333333334"/>
    <n v="65563.166666666672"/>
    <m/>
    <m/>
    <m/>
    <m/>
    <m/>
    <m/>
    <d v="2017-06-01T00:00:00"/>
    <m/>
    <e v="#DIV/0!"/>
    <m/>
    <m/>
    <m/>
    <m/>
    <n v="2.0316183301529848E-2"/>
    <n v="4.7400025805915957E-2"/>
    <e v="#DIV/0!"/>
    <m/>
    <m/>
    <m/>
    <m/>
    <m/>
    <n v="7"/>
    <n v="9.25"/>
    <n v="2.6482292650805919E-4"/>
    <m/>
    <m/>
    <m/>
    <m/>
    <m/>
    <m/>
    <m/>
    <m/>
    <m/>
    <m/>
    <m/>
    <m/>
    <m/>
    <m/>
    <m/>
  </r>
  <r>
    <x v="68"/>
    <n v="74424"/>
    <n v="1823"/>
    <n v="2.4494786627969473E-2"/>
    <n v="68042.034799999994"/>
    <n v="0.91424855960442863"/>
    <m/>
    <n v="6.1256653767601893E-2"/>
    <m/>
    <m/>
    <n v="43591"/>
    <n v="29347.666666666668"/>
    <n v="439"/>
    <n v="331.5"/>
    <m/>
    <e v="#DIV/0!"/>
    <n v="16163"/>
    <n v="12120.666666666666"/>
    <n v="125"/>
    <n v="108"/>
    <m/>
    <e v="#DIV/0!"/>
    <n v="27428"/>
    <n v="17227"/>
    <n v="314"/>
    <n v="223.5"/>
    <m/>
    <e v="#DIV/0!"/>
    <n v="56141"/>
    <n v="22100"/>
    <n v="98"/>
    <m/>
    <m/>
    <m/>
    <m/>
    <m/>
    <m/>
    <m/>
    <n v="13051"/>
    <m/>
    <m/>
    <m/>
    <m/>
    <n v="133.17346938775509"/>
    <m/>
    <m/>
    <m/>
    <m/>
    <m/>
    <m/>
    <m/>
    <m/>
    <m/>
    <m/>
    <m/>
    <m/>
    <m/>
    <m/>
    <m/>
    <m/>
    <m/>
    <d v="2017-07-01T00:00:00"/>
    <n v="37032.666666666664"/>
    <n v="16637.25"/>
    <n v="67078.583333333328"/>
    <m/>
    <m/>
    <m/>
    <m/>
    <m/>
    <m/>
    <d v="2017-07-01T00:00:00"/>
    <m/>
    <e v="#DIV/0!"/>
    <m/>
    <m/>
    <m/>
    <m/>
    <n v="2.0564472307928693E-2"/>
    <n v="5.3525957012438397E-2"/>
    <e v="#DIV/0!"/>
    <m/>
    <m/>
    <m/>
    <m/>
    <m/>
    <n v="7"/>
    <n v="8.4166666666666661"/>
    <n v="1.9308266997010085E-4"/>
    <m/>
    <m/>
    <m/>
    <m/>
    <m/>
    <m/>
    <m/>
    <m/>
    <m/>
    <m/>
    <m/>
    <m/>
    <m/>
    <m/>
    <m/>
  </r>
  <r>
    <x v="69"/>
    <n v="89758"/>
    <n v="1848"/>
    <n v="2.0588694043984938E-2"/>
    <n v="83521.210700000011"/>
    <n v="0.93051550502462188"/>
    <m/>
    <n v="4.8895800931393181E-2"/>
    <m/>
    <m/>
    <n v="39520"/>
    <n v="30580"/>
    <n v="421"/>
    <n v="336.58333333333331"/>
    <m/>
    <e v="#DIV/0!"/>
    <n v="11758"/>
    <n v="12141.666666666666"/>
    <n v="110"/>
    <n v="107.75"/>
    <m/>
    <e v="#DIV/0!"/>
    <n v="27762"/>
    <n v="18438.333333333332"/>
    <n v="311"/>
    <n v="228.83333333333334"/>
    <m/>
    <e v="#DIV/0!"/>
    <n v="43361"/>
    <n v="20013"/>
    <n v="101"/>
    <m/>
    <m/>
    <m/>
    <m/>
    <m/>
    <m/>
    <m/>
    <n v="21548"/>
    <m/>
    <m/>
    <m/>
    <m/>
    <n v="213.34653465346534"/>
    <m/>
    <m/>
    <m/>
    <m/>
    <m/>
    <m/>
    <m/>
    <m/>
    <m/>
    <m/>
    <m/>
    <m/>
    <m/>
    <m/>
    <m/>
    <m/>
    <m/>
    <d v="2017-08-01T00:00:00"/>
    <n v="38191.166666666664"/>
    <n v="16864.25"/>
    <n v="69679.5"/>
    <m/>
    <m/>
    <m/>
    <m/>
    <m/>
    <m/>
    <d v="2017-08-01T00:00:00"/>
    <m/>
    <e v="#DIV/0!"/>
    <m/>
    <m/>
    <m/>
    <m/>
    <n v="2.048961260858911E-2"/>
    <n v="4.6573768270282971E-2"/>
    <e v="#DIV/0!"/>
    <m/>
    <m/>
    <m/>
    <m/>
    <m/>
    <n v="14"/>
    <n v="8.3333333333333339"/>
    <n v="2.1086369770580298E-4"/>
    <m/>
    <m/>
    <m/>
    <m/>
    <m/>
    <m/>
    <m/>
    <m/>
    <m/>
    <m/>
    <m/>
    <m/>
    <m/>
    <m/>
    <m/>
  </r>
  <r>
    <x v="70"/>
    <n v="84158"/>
    <n v="1754"/>
    <n v="2.084175004158844E-2"/>
    <n v="82055.127700000012"/>
    <n v="0.9750128056750399"/>
    <m/>
    <n v="4.1454442833716645E-3"/>
    <m/>
    <m/>
    <n v="43633"/>
    <n v="32409.333333333332"/>
    <n v="383"/>
    <n v="341.91666666666669"/>
    <m/>
    <e v="#DIV/0!"/>
    <n v="14743"/>
    <n v="12634.5"/>
    <n v="106"/>
    <n v="106.75"/>
    <m/>
    <e v="#DIV/0!"/>
    <n v="28890"/>
    <n v="19774.833333333332"/>
    <n v="277"/>
    <n v="235.16666666666666"/>
    <m/>
    <e v="#DIV/0!"/>
    <n v="44947"/>
    <n v="14881"/>
    <n v="103"/>
    <m/>
    <m/>
    <m/>
    <m/>
    <m/>
    <m/>
    <m/>
    <n v="29228"/>
    <m/>
    <m/>
    <m/>
    <m/>
    <n v="283.76699029126212"/>
    <m/>
    <m/>
    <m/>
    <m/>
    <m/>
    <m/>
    <m/>
    <m/>
    <m/>
    <m/>
    <m/>
    <m/>
    <m/>
    <m/>
    <m/>
    <m/>
    <m/>
    <d v="2017-09-01T00:00:00"/>
    <n v="39336"/>
    <n v="16865.083333333332"/>
    <n v="71993.166666666672"/>
    <m/>
    <m/>
    <m/>
    <m/>
    <m/>
    <m/>
    <d v="2017-09-01T00:00:00"/>
    <m/>
    <e v="#DIV/0!"/>
    <m/>
    <m/>
    <m/>
    <m/>
    <n v="2.0522638657231015E-2"/>
    <n v="4.271664790783649E-2"/>
    <e v="#DIV/0!"/>
    <m/>
    <m/>
    <m/>
    <m/>
    <m/>
    <n v="16"/>
    <n v="9.0833333333333339"/>
    <n v="2.0817576910442403E-4"/>
    <m/>
    <m/>
    <m/>
    <m/>
    <m/>
    <m/>
    <m/>
    <m/>
    <m/>
    <m/>
    <m/>
    <m/>
    <m/>
    <m/>
    <m/>
  </r>
  <r>
    <x v="71"/>
    <n v="85886"/>
    <n v="2081"/>
    <n v="2.4229792981393942E-2"/>
    <n v="79949.028099999996"/>
    <n v="0.93087381063269914"/>
    <m/>
    <n v="4.4896396385906923E-2"/>
    <m/>
    <m/>
    <n v="42874"/>
    <n v="33547.25"/>
    <n v="406"/>
    <n v="348.83333333333331"/>
    <m/>
    <e v="#DIV/0!"/>
    <n v="14271"/>
    <n v="12705.75"/>
    <n v="106"/>
    <n v="104.58333333333333"/>
    <m/>
    <e v="#DIV/0!"/>
    <n v="28603"/>
    <n v="20841.5"/>
    <n v="300"/>
    <n v="244.25"/>
    <m/>
    <e v="#DIV/0!"/>
    <n v="58413"/>
    <n v="18597"/>
    <n v="103"/>
    <m/>
    <m/>
    <m/>
    <m/>
    <m/>
    <m/>
    <m/>
    <n v="45908"/>
    <m/>
    <m/>
    <m/>
    <m/>
    <n v="445.70873786407765"/>
    <m/>
    <m/>
    <m/>
    <m/>
    <m/>
    <m/>
    <m/>
    <m/>
    <m/>
    <m/>
    <m/>
    <m/>
    <m/>
    <m/>
    <m/>
    <m/>
    <m/>
    <d v="2017-10-01T00:00:00"/>
    <n v="40618.583333333336"/>
    <n v="16847.416666666668"/>
    <n v="74192.25"/>
    <m/>
    <m/>
    <m/>
    <m/>
    <m/>
    <m/>
    <d v="2017-10-01T00:00:00"/>
    <m/>
    <e v="#DIV/0!"/>
    <m/>
    <m/>
    <m/>
    <m/>
    <n v="2.0988488466204571E-2"/>
    <n v="4.2432991735366861E-2"/>
    <e v="#DIV/0!"/>
    <m/>
    <m/>
    <m/>
    <m/>
    <m/>
    <n v="9"/>
    <n v="9"/>
    <n v="2.0991743247655923E-4"/>
    <m/>
    <m/>
    <m/>
    <m/>
    <m/>
    <m/>
    <m/>
    <m/>
    <m/>
    <m/>
    <m/>
    <m/>
    <m/>
    <m/>
    <m/>
  </r>
  <r>
    <x v="72"/>
    <n v="86298"/>
    <n v="2607"/>
    <n v="3.0209274838350831E-2"/>
    <n v="81288.122200000013"/>
    <n v="0.94194676817539236"/>
    <m/>
    <m/>
    <m/>
    <m/>
    <n v="40351"/>
    <n v="34536.166666666664"/>
    <n v="390"/>
    <n v="357.75"/>
    <m/>
    <e v="#DIV/0!"/>
    <n v="13164"/>
    <n v="12948.166666666666"/>
    <n v="90"/>
    <n v="105.5"/>
    <m/>
    <e v="#DIV/0!"/>
    <n v="27187"/>
    <n v="21588"/>
    <n v="300"/>
    <n v="252.25"/>
    <m/>
    <e v="#DIV/0!"/>
    <n v="46531"/>
    <n v="18197"/>
    <n v="107"/>
    <m/>
    <m/>
    <m/>
    <m/>
    <m/>
    <m/>
    <m/>
    <n v="15726"/>
    <m/>
    <m/>
    <m/>
    <m/>
    <n v="146.97196261682242"/>
    <m/>
    <m/>
    <m/>
    <m/>
    <m/>
    <m/>
    <m/>
    <m/>
    <m/>
    <m/>
    <m/>
    <m/>
    <m/>
    <m/>
    <m/>
    <m/>
    <m/>
    <d v="2017-11-01T00:00:00"/>
    <n v="41724.583333333336"/>
    <n v="16792.916666666668"/>
    <n v="75853"/>
    <m/>
    <m/>
    <m/>
    <m/>
    <m/>
    <m/>
    <d v="2017-11-01T00:00:00"/>
    <m/>
    <e v="#DIV/0!"/>
    <m/>
    <m/>
    <m/>
    <m/>
    <n v="2.2114716275556459E-2"/>
    <n v="4.2140871812638689E-2"/>
    <e v="#DIV/0!"/>
    <m/>
    <m/>
    <m/>
    <m/>
    <m/>
    <n v="14"/>
    <n v="9.4166666666666661"/>
    <n v="2.3336885496435443E-4"/>
    <m/>
    <m/>
    <m/>
    <m/>
    <m/>
    <m/>
    <m/>
    <m/>
    <m/>
    <m/>
    <m/>
    <m/>
    <m/>
    <m/>
    <m/>
  </r>
  <r>
    <x v="73"/>
    <n v="57175"/>
    <n v="1260"/>
    <n v="2.2037603847835593E-2"/>
    <n v="55665.115900000004"/>
    <n v="0.97359188281591613"/>
    <m/>
    <n v="4.3705133362482752E-3"/>
    <m/>
    <m/>
    <n v="28812"/>
    <n v="35164.166666666664"/>
    <n v="284"/>
    <n v="362.91666666666669"/>
    <m/>
    <e v="#DIV/0!"/>
    <n v="9374"/>
    <n v="13098.833333333334"/>
    <n v="88"/>
    <n v="107.83333333333333"/>
    <m/>
    <e v="#DIV/0!"/>
    <n v="19438"/>
    <n v="22065.333333333332"/>
    <n v="196"/>
    <n v="255.08333333333334"/>
    <m/>
    <e v="#DIV/0!"/>
    <n v="28444"/>
    <n v="13504"/>
    <n v="107"/>
    <m/>
    <m/>
    <m/>
    <m/>
    <m/>
    <m/>
    <m/>
    <n v="23343"/>
    <m/>
    <m/>
    <m/>
    <m/>
    <n v="218.15887850467288"/>
    <m/>
    <m/>
    <m/>
    <m/>
    <m/>
    <m/>
    <m/>
    <m/>
    <m/>
    <m/>
    <m/>
    <m/>
    <m/>
    <m/>
    <m/>
    <m/>
    <m/>
    <d v="2017-12-01T00:00:00"/>
    <n v="41600.916666666664"/>
    <n v="16662.75"/>
    <n v="75980.666666666672"/>
    <m/>
    <m/>
    <m/>
    <m/>
    <m/>
    <m/>
    <d v="2017-12-01T00:00:00"/>
    <m/>
    <e v="#DIV/0!"/>
    <m/>
    <m/>
    <m/>
    <m/>
    <n v="2.2401123057639135E-2"/>
    <n v="3.8707202860239563E-2"/>
    <e v="#DIV/0!"/>
    <m/>
    <m/>
    <m/>
    <m/>
    <m/>
    <n v="8"/>
    <n v="9.5"/>
    <n v="3.2972372622518397E-4"/>
    <m/>
    <m/>
    <m/>
    <m/>
    <m/>
    <m/>
    <m/>
    <m/>
    <m/>
    <m/>
    <m/>
    <m/>
    <m/>
    <m/>
    <m/>
  </r>
  <r>
    <x v="74"/>
    <n v="60430"/>
    <n v="1265"/>
    <n v="2.0933311269237132E-2"/>
    <n v="54002.972399999991"/>
    <n v="0.89364508356776418"/>
    <m/>
    <n v="8.5421605162998696E-2"/>
    <m/>
    <m/>
    <n v="26796"/>
    <n v="35562.666666666664"/>
    <n v="275"/>
    <n v="367.08333333333331"/>
    <m/>
    <e v="#DIV/0!"/>
    <n v="8530"/>
    <n v="12894.25"/>
    <n v="69"/>
    <n v="105.33333333333333"/>
    <m/>
    <e v="#DIV/0!"/>
    <n v="18266"/>
    <n v="22668.416666666668"/>
    <n v="206"/>
    <n v="261.75"/>
    <m/>
    <e v="#DIV/0!"/>
    <n v="39857"/>
    <n v="15690"/>
    <n v="106"/>
    <m/>
    <m/>
    <m/>
    <m/>
    <m/>
    <m/>
    <m/>
    <n v="6418"/>
    <m/>
    <m/>
    <m/>
    <m/>
    <n v="60.547169811320757"/>
    <m/>
    <m/>
    <m/>
    <m/>
    <m/>
    <m/>
    <m/>
    <m/>
    <m/>
    <m/>
    <m/>
    <m/>
    <m/>
    <m/>
    <m/>
    <m/>
    <m/>
    <d v="2018-01-01T00:00:00"/>
    <n v="41680.916666666664"/>
    <n v="16772.833333333332"/>
    <n v="76335.75"/>
    <m/>
    <m/>
    <m/>
    <m/>
    <m/>
    <m/>
    <d v="2018-01-01T00:00:00"/>
    <m/>
    <e v="#DIV/0!"/>
    <m/>
    <m/>
    <m/>
    <m/>
    <n v="2.2746513991964978E-2"/>
    <n v="3.9102231241149206E-2"/>
    <e v="#DIV/0!"/>
    <m/>
    <m/>
    <m/>
    <m/>
    <m/>
    <n v="13"/>
    <n v="10.083333333333334"/>
    <n v="3.7629994526546255E-4"/>
    <m/>
    <m/>
    <m/>
    <m/>
    <m/>
    <m/>
    <m/>
    <m/>
    <m/>
    <m/>
    <m/>
    <m/>
    <m/>
    <m/>
    <m/>
  </r>
  <r>
    <x v="75"/>
    <n v="67764"/>
    <n v="1303"/>
    <n v="1.9228498907974737E-2"/>
    <n v="66088.173999999999"/>
    <n v="0.97526967121185293"/>
    <m/>
    <n v="5.5018298801723341E-3"/>
    <m/>
    <m/>
    <n v="31207"/>
    <n v="35813.75"/>
    <n v="311"/>
    <n v="365.16666666666669"/>
    <m/>
    <e v="#DIV/0!"/>
    <n v="8729"/>
    <n v="12568"/>
    <n v="77"/>
    <n v="102.16666666666667"/>
    <m/>
    <e v="#DIV/0!"/>
    <n v="22478"/>
    <n v="23245.75"/>
    <n v="234"/>
    <n v="263"/>
    <m/>
    <e v="#DIV/0!"/>
    <n v="38455"/>
    <n v="15589"/>
    <n v="112"/>
    <m/>
    <m/>
    <m/>
    <m/>
    <m/>
    <m/>
    <m/>
    <n v="26929"/>
    <m/>
    <m/>
    <m/>
    <m/>
    <n v="240.4375"/>
    <m/>
    <m/>
    <m/>
    <m/>
    <m/>
    <m/>
    <m/>
    <m/>
    <m/>
    <m/>
    <m/>
    <m/>
    <m/>
    <m/>
    <m/>
    <m/>
    <m/>
    <d v="2018-02-01T00:00:00"/>
    <n v="42010.583333333336"/>
    <n v="16630.083333333332"/>
    <n v="76086.833333333328"/>
    <m/>
    <m/>
    <m/>
    <m/>
    <m/>
    <m/>
    <d v="2018-02-01T00:00:00"/>
    <m/>
    <e v="#DIV/0!"/>
    <m/>
    <m/>
    <m/>
    <m/>
    <n v="2.2636310044598065E-2"/>
    <n v="3.4770971247203832E-2"/>
    <e v="#DIV/0!"/>
    <m/>
    <m/>
    <m/>
    <m/>
    <m/>
    <n v="9"/>
    <n v="10.25"/>
    <n v="3.2845194988303904E-4"/>
    <m/>
    <m/>
    <m/>
    <m/>
    <m/>
    <m/>
    <m/>
    <m/>
    <m/>
    <m/>
    <m/>
    <m/>
    <m/>
    <m/>
    <m/>
  </r>
  <r>
    <x v="76"/>
    <n v="77314"/>
    <n v="1575"/>
    <n v="2.0371472178389426E-2"/>
    <n v="75262.978199999998"/>
    <n v="0.97347153426287603"/>
    <m/>
    <n v="6.1569935587345477E-3"/>
    <m/>
    <m/>
    <n v="39311"/>
    <n v="36281.583333333336"/>
    <n v="397"/>
    <n v="366.58333333333331"/>
    <m/>
    <e v="#DIV/0!"/>
    <n v="11302"/>
    <n v="12350.75"/>
    <n v="93"/>
    <n v="99.25"/>
    <m/>
    <e v="#DIV/0!"/>
    <n v="28009"/>
    <n v="23930.833333333332"/>
    <n v="304"/>
    <n v="267.33333333333331"/>
    <m/>
    <e v="#DIV/0!"/>
    <n v="42566"/>
    <n v="20579"/>
    <n v="114"/>
    <m/>
    <m/>
    <m/>
    <m/>
    <m/>
    <n v="1017643.1692778319"/>
    <n v="984115.95999999903"/>
    <n v="12572"/>
    <m/>
    <m/>
    <m/>
    <m/>
    <n v="110.28070175438596"/>
    <n v="1.2354035657628095E-2"/>
    <n v="25.886982505604841"/>
    <e v="#DIV/0!"/>
    <m/>
    <n v="8926.6944673494036"/>
    <n v="0.96705406149227591"/>
    <n v="25.034111571824656"/>
    <e v="#DIV/0!"/>
    <m/>
    <m/>
    <m/>
    <m/>
    <m/>
    <m/>
    <m/>
    <m/>
    <m/>
    <d v="2018-03-01T00:00:00"/>
    <n v="42961.166666666664"/>
    <n v="16921.166666666668"/>
    <n v="76157"/>
    <m/>
    <m/>
    <m/>
    <m/>
    <m/>
    <m/>
    <d v="2018-03-01T00:00:00"/>
    <m/>
    <e v="#DIV/0!"/>
    <m/>
    <m/>
    <m/>
    <m/>
    <n v="2.2422557756642775E-2"/>
    <n v="3.1854712546958888E-2"/>
    <n v="0"/>
    <m/>
    <m/>
    <m/>
    <m/>
    <m/>
    <n v="12"/>
    <n v="10.166666666666666"/>
    <n v="2.5862142063714139E-4"/>
    <m/>
    <m/>
    <m/>
    <m/>
    <m/>
    <m/>
    <m/>
    <m/>
    <m/>
    <m/>
    <m/>
    <m/>
    <m/>
    <m/>
    <m/>
  </r>
  <r>
    <x v="77"/>
    <n v="66186"/>
    <n v="1352"/>
    <n v="2.0427280693802313E-2"/>
    <n v="64223.157200000009"/>
    <n v="0.97034353488653202"/>
    <m/>
    <n v="9.2291844196656647E-3"/>
    <n v="4277600.4800000004"/>
    <m/>
    <n v="33146"/>
    <n v="36915.583333333336"/>
    <n v="411"/>
    <n v="376.08333333333331"/>
    <n v="204"/>
    <n v="204"/>
    <n v="12245"/>
    <n v="12422.166666666666"/>
    <n v="97"/>
    <n v="98.75"/>
    <n v="50"/>
    <n v="50"/>
    <n v="20901"/>
    <n v="24493.416666666668"/>
    <n v="314"/>
    <n v="277.33333333333331"/>
    <n v="154"/>
    <n v="154"/>
    <n v="43329"/>
    <n v="20420"/>
    <n v="115"/>
    <m/>
    <m/>
    <m/>
    <m/>
    <m/>
    <n v="848121"/>
    <n v="894940.08"/>
    <n v="16820"/>
    <n v="8269.494999999999"/>
    <n v="3.932111023140711E-3"/>
    <n v="0.39321110231407108"/>
    <m/>
    <n v="146.2608695652174"/>
    <n v="1.9832075847667961E-2"/>
    <n v="25.587431364267182"/>
    <n v="6.2821140841001739"/>
    <m/>
    <n v="7374.9652173913046"/>
    <n v="1.0552033023589793"/>
    <n v="26.999942074458456"/>
    <n v="6.6289075273383586"/>
    <m/>
    <m/>
    <m/>
    <m/>
    <m/>
    <m/>
    <n v="517.27469210635002"/>
    <n v="10407.787055961071"/>
    <n v="20968.629803921573"/>
    <d v="2018-04-01T00:00:00"/>
    <n v="44219.5"/>
    <n v="17619.666666666668"/>
    <n v="76601.583333333328"/>
    <m/>
    <n v="108.22185393424871"/>
    <m/>
    <m/>
    <m/>
    <m/>
    <d v="2018-04-01T00:00:00"/>
    <m/>
    <n v="3.932111023140711E-3"/>
    <m/>
    <m/>
    <m/>
    <m/>
    <n v="2.2313028548000029E-2"/>
    <n v="3.2282994148547677E-2"/>
    <n v="5.0436205211284717"/>
    <m/>
    <m/>
    <m/>
    <m/>
    <n v="37196.525913043479"/>
    <n v="17"/>
    <n v="11.25"/>
    <n v="3.3940746998129489E-4"/>
    <m/>
    <n v="-0.13325556290698892"/>
    <n v="0.14325040989413607"/>
    <n v="-4.9393444467290215E-2"/>
    <n v="7.485693460853593E-4"/>
    <m/>
    <m/>
    <n v="102.56019261151982"/>
    <n v="1.0552033023589793"/>
    <e v="#DIV/0!"/>
    <n v="0"/>
    <e v="#DIV/0!"/>
    <n v="5.52033023589793E-2"/>
    <n v="0.05"/>
    <n v="-0.05"/>
  </r>
  <r>
    <x v="78"/>
    <n v="75414"/>
    <n v="1388"/>
    <n v="1.8405070676532208E-2"/>
    <n v="71090.0386"/>
    <n v="0.94266367783170235"/>
    <m/>
    <n v="3.8931251491765441E-2"/>
    <n v="4635382.55"/>
    <m/>
    <n v="34966"/>
    <n v="36594.666666666664"/>
    <n v="406"/>
    <n v="375.08333333333331"/>
    <n v="208"/>
    <n v="206"/>
    <n v="11890"/>
    <n v="12065.5"/>
    <n v="97"/>
    <n v="96.083333333333329"/>
    <n v="63"/>
    <n v="56.5"/>
    <n v="23076"/>
    <n v="24529.166666666668"/>
    <n v="309"/>
    <n v="279"/>
    <n v="145"/>
    <n v="149.5"/>
    <n v="36292"/>
    <n v="15988"/>
    <n v="122"/>
    <n v="76"/>
    <n v="38"/>
    <n v="9"/>
    <m/>
    <m/>
    <n v="923966"/>
    <n v="928585.92"/>
    <n v="40810"/>
    <n v="8575.8559999999998"/>
    <n v="8.8040198537658997E-3"/>
    <n v="0.88040198537658998"/>
    <n v="536.97368421052636"/>
    <n v="334.50819672131149"/>
    <n v="4.4168291906845056E-2"/>
    <n v="26.424698278327519"/>
    <n v="7.3896145702329132"/>
    <n v="12157.447368421053"/>
    <n v="7573.4918032786882"/>
    <n v="1.0050000974061817"/>
    <n v="26.556824343648117"/>
    <n v="7.4265633628782171"/>
    <n v="12218.235789473685"/>
    <n v="7611.3600000000006"/>
    <n v="460.07894736842104"/>
    <n v="286.60655737704917"/>
    <n v="132.56828204541554"/>
    <n v="60991.875657894736"/>
    <n v="540.51543659315178"/>
    <n v="11417.198399014778"/>
    <n v="22285.493028846155"/>
    <d v="2018-05-01T00:00:00"/>
    <n v="43417.666666666664"/>
    <n v="17479.333333333332"/>
    <n v="75329.75"/>
    <n v="112.84021052631579"/>
    <n v="108.27909423852267"/>
    <m/>
    <m/>
    <m/>
    <m/>
    <d v="2018-05-01T00:00:00"/>
    <m/>
    <n v="6.3680654384533058E-3"/>
    <m/>
    <m/>
    <m/>
    <m/>
    <n v="2.2117183073145631E-2"/>
    <n v="3.2304337834024574E-2"/>
    <n v="5.0168323834426802"/>
    <m/>
    <m/>
    <m/>
    <m/>
    <n v="37994.938934426231"/>
    <n v="14"/>
    <n v="11.666666666666666"/>
    <n v="3.3365745772083357E-4"/>
    <m/>
    <m/>
    <m/>
    <m/>
    <m/>
    <m/>
    <m/>
    <n v="107.74038183476962"/>
    <n v="1.0050000974061817"/>
    <e v="#DIV/0!"/>
    <n v="0"/>
    <e v="#DIV/0!"/>
    <n v="5.0000974061816805E-3"/>
    <n v="0.05"/>
    <n v="-0.05"/>
  </r>
  <r>
    <x v="79"/>
    <n v="69590"/>
    <n v="1500"/>
    <n v="2.1554821094984911E-2"/>
    <n v="67790.198099999994"/>
    <n v="0.9741370613593906"/>
    <m/>
    <n v="4.3081175456244902E-3"/>
    <n v="4695293.38"/>
    <m/>
    <n v="28441"/>
    <n v="36054"/>
    <n v="355"/>
    <n v="373.16666666666669"/>
    <n v="181"/>
    <n v="197.66666666666666"/>
    <n v="12296"/>
    <n v="12038.75"/>
    <n v="101"/>
    <n v="96.583333333333329"/>
    <n v="68"/>
    <n v="60.333333333333336"/>
    <n v="16145"/>
    <n v="24015.25"/>
    <n v="254"/>
    <n v="276.58333333333331"/>
    <n v="113"/>
    <n v="137.33333333333334"/>
    <n v="31555"/>
    <n v="11828"/>
    <n v="121"/>
    <n v="76"/>
    <n v="37"/>
    <n v="8"/>
    <m/>
    <m/>
    <n v="1042669"/>
    <n v="935233"/>
    <n v="20990"/>
    <n v="8159.5599999999986"/>
    <n v="4.4704341776402477E-3"/>
    <n v="0.44704341776402479"/>
    <n v="276.18421052631578"/>
    <n v="173.47107438016528"/>
    <n v="2.0131029118540974E-2"/>
    <n v="36.66077142153933"/>
    <n v="9.5671018444462455"/>
    <n v="13719.328947368422"/>
    <n v="8617.0991735537191"/>
    <n v="0.89696058864318395"/>
    <n v="32.883267114377134"/>
    <n v="8.5813133020037959"/>
    <n v="12305.697368421053"/>
    <n v="7729.1983471074382"/>
    <n v="374.2236842105263"/>
    <n v="235.04958677685951"/>
    <n v="165.08889912450334"/>
    <n v="61780.176052631577"/>
    <n v="575.4346288280251"/>
    <n v="13226.178535211267"/>
    <n v="25940.847403314918"/>
    <d v="2018-06-01T00:00:00"/>
    <n v="42490.916666666664"/>
    <n v="17282.166666666668"/>
    <n v="74533.083333333328"/>
    <n v="107.36263157894734"/>
    <n v="114.61806764090223"/>
    <m/>
    <m/>
    <m/>
    <m/>
    <d v="2018-06-01T00:00:00"/>
    <m/>
    <n v="5.7355216848489531E-3"/>
    <m/>
    <m/>
    <m/>
    <m/>
    <n v="2.1943529766836996E-2"/>
    <n v="2.8464890069407559E-2"/>
    <n v="4.5031485351535334"/>
    <m/>
    <m/>
    <m/>
    <m/>
    <n v="38804.077520661158"/>
    <n v="23"/>
    <n v="13"/>
    <n v="4.5708660033050877E-4"/>
    <m/>
    <m/>
    <m/>
    <m/>
    <m/>
    <m/>
    <m/>
    <n v="127.78495409066177"/>
    <n v="0.89696058864318395"/>
    <n v="1.0050000974061817"/>
    <n v="1.0050000974061817"/>
    <e v="#DIV/0!"/>
    <n v="-0.10303941135681605"/>
    <n v="0.05"/>
    <n v="-0.05"/>
  </r>
  <r>
    <x v="80"/>
    <n v="68144"/>
    <n v="1677"/>
    <n v="2.4609650152617984E-2"/>
    <n v="62948.905300000013"/>
    <n v="0.92376299160601094"/>
    <m/>
    <n v="5.1627358241371074E-2"/>
    <n v="5173418.8499999996"/>
    <m/>
    <n v="34818"/>
    <n v="35322.916666666664"/>
    <n v="431"/>
    <n v="372.5"/>
    <n v="209"/>
    <n v="200.5"/>
    <n v="14150"/>
    <n v="11871"/>
    <n v="147"/>
    <n v="98.416666666666671"/>
    <n v="75"/>
    <n v="64"/>
    <n v="20668"/>
    <n v="23451.916666666668"/>
    <n v="284"/>
    <n v="274.08333333333331"/>
    <n v="134"/>
    <n v="136.5"/>
    <n v="48803"/>
    <n v="15815"/>
    <n v="121"/>
    <n v="77"/>
    <n v="36"/>
    <n v="8"/>
    <m/>
    <m/>
    <n v="982769"/>
    <n v="999472"/>
    <n v="23859"/>
    <n v="8355.7690000000002"/>
    <n v="4.6118438680061644E-3"/>
    <n v="0.46118438680061646"/>
    <n v="309.85714285714283"/>
    <n v="197.18181818181819"/>
    <n v="2.4277322544768914E-2"/>
    <n v="28.225888908036072"/>
    <n v="7.2277351389349382"/>
    <n v="12763.233766233767"/>
    <n v="8122.0578512396696"/>
    <n v="1.0169958555876304"/>
    <n v="28.705612039749553"/>
    <n v="7.3505766815819191"/>
    <n v="12980.155844155845"/>
    <n v="8260.0991735537191"/>
    <n v="452.18181818181819"/>
    <n v="287.75206611570246"/>
    <n v="148.58460709977598"/>
    <n v="67187.257792207791"/>
    <n v="619.14335472893038"/>
    <n v="12003.291995359628"/>
    <n v="24753.200239234448"/>
    <d v="2018-07-01T00:00:00"/>
    <n v="41879.416666666664"/>
    <n v="16758.416666666668"/>
    <n v="74009.75"/>
    <n v="108.51648051948052"/>
    <n v="119.61460399395914"/>
    <m/>
    <m/>
    <m/>
    <m/>
    <d v="2018-07-01T00:00:00"/>
    <m/>
    <n v="5.4546022306382561E-3"/>
    <m/>
    <m/>
    <m/>
    <m/>
    <n v="2.195310172722437E-2"/>
    <n v="2.7589499567022936E-2"/>
    <n v="5.2641249876624103"/>
    <m/>
    <m/>
    <m/>
    <m/>
    <n v="42755.527685950408"/>
    <n v="15"/>
    <n v="13.666666666666666"/>
    <n v="3.9251728033392686E-4"/>
    <m/>
    <m/>
    <m/>
    <m/>
    <m/>
    <m/>
    <m/>
    <n v="117.61562580296319"/>
    <n v="1.0169958555876304"/>
    <n v="0.89696058864318395"/>
    <n v="0.89696058864318395"/>
    <e v="#DIV/0!"/>
    <n v="1.6995855587630393E-2"/>
    <n v="0.05"/>
    <n v="-0.05"/>
  </r>
  <r>
    <x v="81"/>
    <n v="83769"/>
    <n v="1929"/>
    <n v="2.3027611646313076E-2"/>
    <n v="77922.066399999982"/>
    <n v="0.93020170230037347"/>
    <m/>
    <n v="4.6770686053313457E-2"/>
    <n v="6032358.25"/>
    <m/>
    <n v="32778"/>
    <n v="34761.083333333336"/>
    <n v="440"/>
    <n v="374.08333333333331"/>
    <n v="217"/>
    <n v="203.8"/>
    <n v="13703"/>
    <n v="12033.083333333334"/>
    <n v="117"/>
    <n v="99"/>
    <n v="63"/>
    <n v="63.8"/>
    <n v="19075"/>
    <n v="22728"/>
    <n v="323"/>
    <n v="275.08333333333331"/>
    <n v="154"/>
    <n v="140"/>
    <n v="47529"/>
    <n v="13214"/>
    <n v="126"/>
    <n v="83"/>
    <n v="34"/>
    <n v="9"/>
    <m/>
    <m/>
    <n v="1146219"/>
    <n v="1160746"/>
    <n v="29994"/>
    <n v="9609.4089999999997"/>
    <n v="4.9721848001981648E-3"/>
    <n v="0.4972184800198165"/>
    <n v="361.37349397590361"/>
    <n v="238.04761904761904"/>
    <n v="2.6167774221156691E-2"/>
    <n v="34.969156141314294"/>
    <n v="8.8499524772687437"/>
    <n v="13809.867469879518"/>
    <n v="9096.9761904761908"/>
    <n v="1.0126738433056859"/>
    <n v="35.412349746781381"/>
    <n v="8.9621153882284155"/>
    <n v="13984.89156626506"/>
    <n v="9212.269841269841"/>
    <n v="394.91566265060243"/>
    <n v="260.14285714285717"/>
    <n v="184.03680059796204"/>
    <n v="72679.01506024097"/>
    <n v="627.75538537281534"/>
    <n v="13709.905113636363"/>
    <n v="27798.885944700462"/>
    <d v="2018-08-01T00:00:00"/>
    <n v="42226.75"/>
    <n v="16191.833333333334"/>
    <n v="73510.666666666672"/>
    <n v="115.77601204819277"/>
    <n v="120.79265228485956"/>
    <m/>
    <m/>
    <m/>
    <m/>
    <d v="2018-08-01T00:00:00"/>
    <m/>
    <n v="5.3581187445502377E-3"/>
    <m/>
    <m/>
    <m/>
    <m/>
    <n v="2.2156344860751714E-2"/>
    <n v="2.7396307305379328E-2"/>
    <n v="5.2628321900090649"/>
    <m/>
    <m/>
    <m/>
    <m/>
    <n v="47875.859126984127"/>
    <n v="17"/>
    <n v="13.916666666666666"/>
    <n v="4.2457339272276119E-4"/>
    <m/>
    <m/>
    <m/>
    <m/>
    <m/>
    <m/>
    <m/>
    <n v="119.28090478821331"/>
    <n v="1.0126738433056859"/>
    <n v="1.0169958555876304"/>
    <n v="1.0169958555876304"/>
    <e v="#DIV/0!"/>
    <n v="1.2673843305685883E-2"/>
    <n v="0.05"/>
    <n v="-0.05"/>
  </r>
  <r>
    <x v="82"/>
    <n v="78824"/>
    <n v="2117"/>
    <n v="2.6857302344463613E-2"/>
    <n v="76360.164000000019"/>
    <n v="0.96874256571602579"/>
    <m/>
    <n v="4.4001319395105924E-3"/>
    <n v="5549339.4800000004"/>
    <m/>
    <n v="34930"/>
    <n v="34035.833333333336"/>
    <n v="365"/>
    <n v="372.58333333333331"/>
    <n v="179"/>
    <n v="199.66666666666666"/>
    <n v="15542"/>
    <n v="12099.666666666666"/>
    <n v="123"/>
    <n v="100.41666666666667"/>
    <n v="64"/>
    <n v="63.833333333333336"/>
    <n v="19388"/>
    <n v="21936.166666666668"/>
    <n v="242"/>
    <n v="272.16666666666669"/>
    <n v="115"/>
    <n v="135.83333333333334"/>
    <n v="46660"/>
    <n v="18050"/>
    <n v="128"/>
    <n v="85"/>
    <n v="36"/>
    <n v="7"/>
    <m/>
    <m/>
    <n v="1012121"/>
    <n v="1037101"/>
    <n v="26474"/>
    <n v="8618.5689999999995"/>
    <n v="4.7706578585457165E-3"/>
    <n v="0.47706578585457166"/>
    <n v="311.45882352941175"/>
    <n v="206.828125"/>
    <n v="2.6156951589780274E-2"/>
    <n v="28.975694245634127"/>
    <n v="7.5087570053879285"/>
    <n v="11907.305882352941"/>
    <n v="7907.1953125"/>
    <n v="1.0246808434959851"/>
    <n v="29.69083882049814"/>
    <n v="7.6940794618872905"/>
    <n v="12201.188235294117"/>
    <n v="8102.3515625"/>
    <n v="410.94117647058823"/>
    <n v="272.890625"/>
    <n v="158.87029716576009"/>
    <n v="65286.34682352942"/>
    <n v="643.88177202039003"/>
    <n v="15203.66980821918"/>
    <n v="31001.896536312852"/>
    <d v="2018-09-01T00:00:00"/>
    <n v="42369.5"/>
    <n v="16455.916666666668"/>
    <n v="73066.166666666672"/>
    <n v="101.39492941176471"/>
    <n v="120.33331751477537"/>
    <m/>
    <m/>
    <m/>
    <m/>
    <d v="2018-09-01T00:00:00"/>
    <m/>
    <n v="5.2602085968828172E-3"/>
    <m/>
    <m/>
    <m/>
    <m/>
    <n v="2.2657640885991311E-2"/>
    <n v="2.7419460728664687E-2"/>
    <n v="5.4828814736577947"/>
    <m/>
    <m/>
    <m/>
    <m/>
    <n v="43354.214687500003"/>
    <n v="10"/>
    <n v="13.416666666666666"/>
    <n v="3.841015364061456E-4"/>
    <m/>
    <m/>
    <m/>
    <m/>
    <m/>
    <m/>
    <m/>
    <n v="117.43492452169265"/>
    <n v="1.0246808434959851"/>
    <n v="1.0126738433056859"/>
    <n v="1.0126738433056859"/>
    <e v="#DIV/0!"/>
    <n v="2.4680843495985094E-2"/>
    <n v="0.05"/>
    <n v="-0.05"/>
  </r>
  <r>
    <x v="83"/>
    <n v="85278"/>
    <n v="1897"/>
    <n v="2.2244893172916815E-2"/>
    <n v="88565.137799999982"/>
    <m/>
    <m/>
    <m/>
    <n v="5670790.04"/>
    <m/>
    <n v="42726"/>
    <n v="34023.5"/>
    <n v="432"/>
    <n v="374.75"/>
    <n v="199"/>
    <n v="199.57142857142858"/>
    <n v="19987"/>
    <n v="12576"/>
    <n v="139"/>
    <n v="103.16666666666667"/>
    <n v="67"/>
    <n v="64.285714285714292"/>
    <n v="22739"/>
    <n v="21447.5"/>
    <n v="293"/>
    <n v="271.58333333333331"/>
    <n v="132"/>
    <n v="135.28571428571428"/>
    <n v="56609"/>
    <n v="20984"/>
    <n v="127"/>
    <n v="83"/>
    <n v="36"/>
    <n v="8"/>
    <m/>
    <m/>
    <n v="1072382"/>
    <n v="1094952.2700000005"/>
    <n v="35646"/>
    <n v="9460.8809999999994"/>
    <n v="6.2858966296696116E-3"/>
    <n v="0.62858966296696117"/>
    <n v="429.46987951807228"/>
    <n v="280.67716535433073"/>
    <n v="3.3240020813478779E-2"/>
    <n v="25.099049758928988"/>
    <n v="6.8942270624628765"/>
    <n v="12920.265060240963"/>
    <n v="8443.9527559055114"/>
    <n v="1.021046856437352"/>
    <n v="25.627305855919126"/>
    <n v="7.0393288696930396"/>
    <n v="13192.196024096391"/>
    <n v="8621.6714173228393"/>
    <n v="514.77108433734941"/>
    <n v="336.42519685039372"/>
    <n v="132.72457145531996"/>
    <n v="68322.771566265059"/>
    <n v="599.39344338016724"/>
    <n v="13126.828796296297"/>
    <n v="28496.432361809046"/>
    <d v="2018-10-01T00:00:00"/>
    <n v="42219.166666666664"/>
    <n v="16654.833333333332"/>
    <n v="73015.5"/>
    <n v="113.98651807228914"/>
    <n v="115.73470483351397"/>
    <m/>
    <m/>
    <m/>
    <m/>
    <d v="2018-10-01T00:00:00"/>
    <m/>
    <n v="5.4067354587095029E-3"/>
    <m/>
    <m/>
    <m/>
    <n v="0.95161604306671232"/>
    <n v="2.2492232568618219E-2"/>
    <n v="2.5671767162940458E-2"/>
    <n v="5.2880317275000888"/>
    <m/>
    <m/>
    <m/>
    <m/>
    <n v="44651.890078740158"/>
    <n v="11"/>
    <n v="13.583333333333334"/>
    <n v="3.1791727129460595E-4"/>
    <m/>
    <m/>
    <m/>
    <m/>
    <m/>
    <m/>
    <m/>
    <n v="113.34906336946845"/>
    <n v="1.021046856437352"/>
    <n v="1.0246808434959851"/>
    <n v="1.0246808434959851"/>
    <e v="#DIV/0!"/>
    <n v="2.1046856437352046E-2"/>
    <n v="0.05"/>
    <n v="-0.05"/>
  </r>
  <r>
    <x v="84"/>
    <n v="97458"/>
    <n v="2059"/>
    <n v="2.1127049600853702E-2"/>
    <n v="95297.1685"/>
    <n v="0.9778280746578013"/>
    <m/>
    <n v="1.044875741344993E-3"/>
    <n v="6463959.3300000001"/>
    <m/>
    <n v="45182"/>
    <n v="34426.083333333336"/>
    <n v="388"/>
    <n v="374.58333333333331"/>
    <n v="207"/>
    <n v="200.5"/>
    <n v="17834"/>
    <n v="12965.166666666666"/>
    <n v="119"/>
    <n v="105.58333333333333"/>
    <n v="68"/>
    <n v="64.75"/>
    <n v="27348"/>
    <n v="21460.916666666668"/>
    <n v="269"/>
    <n v="269"/>
    <n v="139"/>
    <n v="135.75"/>
    <n v="44085"/>
    <n v="20087"/>
    <n v="129"/>
    <n v="88"/>
    <n v="38"/>
    <n v="7"/>
    <m/>
    <m/>
    <n v="1121489"/>
    <n v="1183330.7299999995"/>
    <n v="29732"/>
    <n v="9748.7119999999995"/>
    <n v="4.5996576528584071E-3"/>
    <n v="0.45996576528584071"/>
    <n v="337.86363636363637"/>
    <n v="230.48062015503876"/>
    <n v="2.6511182900590197E-2"/>
    <n v="24.821588243105662"/>
    <n v="7.73706595715079"/>
    <n v="12744.193181818182"/>
    <n v="8693.7131782945744"/>
    <n v="1.0551425203457185"/>
    <n v="26.190313177814161"/>
    <n v="8.163707274109143"/>
    <n v="13446.940113636358"/>
    <n v="9173.1064341085239"/>
    <n v="513.43181818181813"/>
    <n v="350.24806201550388"/>
    <n v="143.06492253552301"/>
    <n v="73454.083295454548"/>
    <n v="663.05777932510478"/>
    <n v="16659.688994845361"/>
    <n v="31226.856666666667"/>
    <d v="2018-11-01T00:00:00"/>
    <n v="42015.333333333336"/>
    <n v="16812.333333333332"/>
    <n v="73945.5"/>
    <n v="110.78081818181818"/>
    <n v="121.38328940274363"/>
    <m/>
    <m/>
    <m/>
    <m/>
    <d v="2018-11-01T00:00:00"/>
    <m/>
    <n v="5.3058507329781157E-3"/>
    <m/>
    <m/>
    <m/>
    <n v="0.95487798001965851"/>
    <n v="2.1735380465493462E-2"/>
    <n v="2.3432958851886322E-2"/>
    <n v="5.7637295862910829"/>
    <m/>
    <m/>
    <m/>
    <m/>
    <n v="50108.211860465119"/>
    <n v="7"/>
    <n v="13"/>
    <n v="2.877252003010048E-4"/>
    <m/>
    <m/>
    <m/>
    <m/>
    <m/>
    <m/>
    <m/>
    <n v="115.0397098611591"/>
    <n v="1.0551425203457185"/>
    <n v="1.021046856437352"/>
    <n v="1.0210468564373523"/>
    <e v="#DIV/0!"/>
    <n v="5.5142520345718538E-2"/>
    <n v="0.05"/>
    <n v="-0.05"/>
  </r>
  <r>
    <x v="85"/>
    <n v="61361"/>
    <n v="1286"/>
    <n v="2.0957937452127574E-2"/>
    <n v="59896.048099999993"/>
    <n v="0.97612568406642641"/>
    <m/>
    <n v="2.9163784814460122E-3"/>
    <n v="3456165.31"/>
    <m/>
    <n v="27625"/>
    <n v="34327.166666666664"/>
    <n v="241"/>
    <n v="371"/>
    <n v="142"/>
    <n v="194"/>
    <n v="12768"/>
    <n v="13248"/>
    <n v="86"/>
    <n v="105.41666666666667"/>
    <n v="57"/>
    <n v="63.888888888888886"/>
    <n v="14857"/>
    <n v="21079.166666666668"/>
    <n v="155"/>
    <n v="265.58333333333331"/>
    <n v="85"/>
    <n v="130.11111111111111"/>
    <n v="29618"/>
    <n v="14973"/>
    <n v="135"/>
    <n v="91"/>
    <n v="35"/>
    <n v="9"/>
    <m/>
    <m/>
    <n v="920013"/>
    <n v="693955.91999999993"/>
    <n v="13685"/>
    <n v="6091.4870000000001"/>
    <n v="3.9595906944624708E-3"/>
    <n v="0.39595906944624709"/>
    <n v="150.38461538461539"/>
    <n v="101.37037037037037"/>
    <n v="1.4874789812752646E-2"/>
    <n v="33.303638009049777"/>
    <n v="8.558963759812821"/>
    <n v="10110.032967032967"/>
    <n v="6814.9111111111115"/>
    <n v="0.75428925460835872"/>
    <n v="25.120576289592758"/>
    <n v="6.4559343946091676"/>
    <n v="7625.8892307692304"/>
    <n v="5140.4142222222217"/>
    <n v="303.57142857142856"/>
    <n v="204.62962962962962"/>
    <n v="125.11005647058823"/>
    <n v="37979.838571428569"/>
    <n v="567.37629252102158"/>
    <n v="14340.93489626556"/>
    <n v="24339.192323943662"/>
    <d v="2018-12-01T00:00:00"/>
    <n v="42113.166666666664"/>
    <n v="16934.75"/>
    <n v="74294.333333333328"/>
    <n v="66.93941758241759"/>
    <n v="113.9222524812086"/>
    <m/>
    <m/>
    <m/>
    <m/>
    <d v="2018-12-01T00:00:00"/>
    <m/>
    <n v="5.1562662842541554E-3"/>
    <m/>
    <m/>
    <m/>
    <n v="0.95510832558788683"/>
    <n v="2.1645408265851127E-2"/>
    <n v="2.3300764774177026E-2"/>
    <n v="3.7566483408386619"/>
    <m/>
    <m/>
    <m/>
    <m/>
    <n v="25601.22451851852"/>
    <n v="9"/>
    <n v="13.083333333333334"/>
    <n v="4.7360482654600306E-4"/>
    <m/>
    <m/>
    <m/>
    <m/>
    <m/>
    <m/>
    <m/>
    <n v="151.03258038636542"/>
    <n v="0.75428925460835872"/>
    <n v="1.0551425203457185"/>
    <n v="1.0551425203457185"/>
    <e v="#DIV/0!"/>
    <n v="-0.24571074539164128"/>
    <n v="0.05"/>
    <n v="-0.05"/>
  </r>
  <r>
    <x v="86"/>
    <n v="67256"/>
    <n v="2337"/>
    <n v="3.4747829189960749E-2"/>
    <n v="65721.9473"/>
    <n v="0.97719084245271792"/>
    <m/>
    <m/>
    <n v="4410960.1100000003"/>
    <m/>
    <n v="30488"/>
    <n v="34634.833333333336"/>
    <n v="253"/>
    <n v="369.16666666666669"/>
    <n v="148"/>
    <n v="189.4"/>
    <n v="11865"/>
    <n v="13525.916666666666"/>
    <n v="69"/>
    <n v="105.41666666666667"/>
    <n v="46"/>
    <n v="62.1"/>
    <n v="18623"/>
    <n v="21108.916666666668"/>
    <n v="184"/>
    <n v="263.75"/>
    <n v="102"/>
    <n v="127.3"/>
    <n v="32500"/>
    <n v="18112"/>
    <n v="130"/>
    <n v="81"/>
    <n v="40"/>
    <n v="9"/>
    <m/>
    <m/>
    <n v="821898"/>
    <n v="835632.25999999978"/>
    <n v="-15475"/>
    <n v="7515.1549999999997"/>
    <n v="-3.5083064942974512E-3"/>
    <n v="-0.35083064942974512"/>
    <n v="-191.04938271604939"/>
    <n v="-119.03846153846153"/>
    <n v="-1.882837043039404E-2"/>
    <n v="26.958081868276043"/>
    <n v="7.0431657388872129"/>
    <n v="10146.888888888889"/>
    <n v="6322.292307692308"/>
    <n v="1.0167104190544323"/>
    <n v="27.408562713198627"/>
    <n v="7.1608599898538383"/>
    <n v="10316.447654320986"/>
    <n v="6427.9404615384601"/>
    <n v="376.39506172839504"/>
    <n v="234.52307692307693"/>
    <n v="144.67856566517975"/>
    <n v="54456.297654320995"/>
    <n v="586.9420005309272"/>
    <n v="17434.624940711463"/>
    <n v="29803.78452702703"/>
    <d v="2019-01-01T00:00:00"/>
    <n v="41500.083333333336"/>
    <n v="17136.583333333332"/>
    <n v="74863.166666666672"/>
    <n v="92.779691358024692"/>
    <n v="111.19295077746231"/>
    <m/>
    <m/>
    <m/>
    <m/>
    <d v="2019-01-01T00:00:00"/>
    <m/>
    <n v="4.2898090063989945E-3"/>
    <m/>
    <m/>
    <m/>
    <n v="0.96270339457742804"/>
    <n v="2.2796618092578092E-2"/>
    <n v="1.7088680735294858E-2"/>
    <n v="5.3667974736524489"/>
    <m/>
    <m/>
    <m/>
    <m/>
    <n v="33930.462384615385"/>
    <n v="9"/>
    <n v="12.75"/>
    <n v="4.1819732353712936E-4"/>
    <m/>
    <m/>
    <m/>
    <m/>
    <m/>
    <m/>
    <m/>
    <n v="109.36540896362085"/>
    <n v="1.0167104190544323"/>
    <n v="0.75428925460835883"/>
    <n v="0.75428925460835872"/>
    <e v="#DIV/0!"/>
    <n v="1.6710419054432268E-2"/>
    <n v="0.05"/>
    <n v="-0.05"/>
  </r>
  <r>
    <x v="87"/>
    <n v="77986"/>
    <n v="2032"/>
    <n v="2.6055958761829045E-2"/>
    <n v="76082.962899999999"/>
    <m/>
    <m/>
    <m/>
    <n v="4759440.4000000004"/>
    <m/>
    <n v="38286"/>
    <n v="35224.75"/>
    <n v="301"/>
    <n v="368.33333333333331"/>
    <n v="173"/>
    <n v="187.90909090909091"/>
    <n v="15780"/>
    <n v="14113.5"/>
    <n v="93"/>
    <n v="106.75"/>
    <n v="58"/>
    <n v="61.727272727272727"/>
    <n v="22506"/>
    <n v="21111.25"/>
    <n v="208"/>
    <n v="261.58333333333331"/>
    <n v="115"/>
    <n v="126.18181818181819"/>
    <n v="33054"/>
    <n v="16132"/>
    <n v="128"/>
    <n v="88"/>
    <n v="32"/>
    <n v="8"/>
    <m/>
    <m/>
    <n v="1037261"/>
    <n v="935479.28000000119"/>
    <n v="18604"/>
    <n v="8136.732"/>
    <n v="3.9088628990920863E-3"/>
    <n v="0.39088628990920865"/>
    <n v="211.40909090909091"/>
    <n v="145.34375"/>
    <n v="1.7935697958373062E-2"/>
    <n v="27.092435877344197"/>
    <n v="8.3834657230119856"/>
    <n v="11787.056818181818"/>
    <n v="8103.6015625"/>
    <n v="0.90187453302495824"/>
    <n v="24.433977955388425"/>
    <n v="7.5608342340721792"/>
    <n v="10630.446363636378"/>
    <n v="7308.4318750000093"/>
    <n v="435.06818181818181"/>
    <n v="299.109375"/>
    <n v="124.31281408347699"/>
    <n v="54084.55"/>
    <n v="584.9326732157333"/>
    <n v="15812.094352159469"/>
    <n v="27511.216184971101"/>
    <d v="2019-02-01T00:00:00"/>
    <n v="41050"/>
    <n v="17181.833333333332"/>
    <n v="75715"/>
    <n v="92.462863636363636"/>
    <n v="114.96990192131204"/>
    <m/>
    <m/>
    <m/>
    <m/>
    <d v="2019-02-01T00:00:00"/>
    <m/>
    <n v="4.2551775420983659E-3"/>
    <m/>
    <m/>
    <m/>
    <n v="0.96144676691398578"/>
    <n v="2.3365573080399285E-2"/>
    <n v="1.837610860808625E-2"/>
    <n v="4.5884694401891135"/>
    <m/>
    <m/>
    <m/>
    <m/>
    <n v="37183.128125000003"/>
    <n v="3"/>
    <n v="12.25"/>
    <n v="3.1996029880374026E-4"/>
    <m/>
    <m/>
    <m/>
    <m/>
    <m/>
    <m/>
    <m/>
    <n v="127.4788207354009"/>
    <n v="0.90187453302495812"/>
    <n v="1.0167104190544323"/>
    <n v="1.0167104190544323"/>
    <e v="#DIV/0!"/>
    <n v="-9.8125466975041764E-2"/>
    <n v="0.05"/>
    <n v="-0.05"/>
  </r>
  <r>
    <x v="88"/>
    <n v="78670"/>
    <n v="2125"/>
    <n v="2.7011567306470065E-2"/>
    <n v="76541.026599999968"/>
    <n v="0.9729379255116305"/>
    <m/>
    <n v="5.0507181899438203E-5"/>
    <n v="5541973.9800000004"/>
    <n v="5055556.8466666667"/>
    <n v="34957"/>
    <n v="34861.916666666664"/>
    <n v="348"/>
    <n v="364.25"/>
    <n v="184"/>
    <n v="187.58333333333334"/>
    <n v="11380"/>
    <n v="14120"/>
    <n v="79"/>
    <n v="105.58333333333333"/>
    <n v="52"/>
    <n v="60.916666666666664"/>
    <n v="23577"/>
    <n v="20741.916666666668"/>
    <n v="269"/>
    <n v="258.66666666666669"/>
    <n v="132"/>
    <n v="126.66666666666667"/>
    <n v="40036"/>
    <n v="17603"/>
    <n v="126"/>
    <n v="80"/>
    <n v="39"/>
    <n v="8"/>
    <m/>
    <m/>
    <n v="1048183"/>
    <n v="988816"/>
    <n v="25374"/>
    <n v="8544.1450000000004"/>
    <n v="4.5785130156818232E-3"/>
    <n v="0.45785130156818232"/>
    <n v="317.17500000000001"/>
    <n v="201.38095238095238"/>
    <n v="2.420760496974288E-2"/>
    <n v="29.984924335612323"/>
    <n v="8.1544167556455385"/>
    <n v="13102.2875"/>
    <n v="8318.9126984126979"/>
    <n v="0.94336198927095749"/>
    <n v="28.286637869382385"/>
    <n v="7.6925668119502024"/>
    <n v="12360.2"/>
    <n v="7847.7460317460318"/>
    <n v="436.96249999999998"/>
    <n v="277.43650793650795"/>
    <n v="158.53688760477158"/>
    <n v="69274.674750000006"/>
    <n v="648.62826883204821"/>
    <n v="15925.212586206897"/>
    <n v="30119.423804347829"/>
    <d v="2019-03-01T00:00:00"/>
    <n v="40839.166666666664"/>
    <n v="16933.833333333332"/>
    <n v="75828"/>
    <n v="106.80181250000001"/>
    <n v="115.73024568286235"/>
    <n v="597.86131062122206"/>
    <n v="8423.8141666666652"/>
    <m/>
    <m/>
    <d v="2019-03-01T00:00:00"/>
    <n v="115.39941122553087"/>
    <n v="4.2821221648969877E-3"/>
    <m/>
    <n v="27020.48823542464"/>
    <n v="14105.617956157279"/>
    <n v="0.96139340603886114"/>
    <n v="2.3918914341072673E-2"/>
    <n v="1.7697610121771238E-2"/>
    <n v="5.2872198652334568"/>
    <m/>
    <m/>
    <m/>
    <m/>
    <n v="43983.920476190477"/>
    <n v="16"/>
    <n v="12.583333333333334"/>
    <n v="3.5996605353243508E-4"/>
    <m/>
    <m/>
    <m/>
    <m/>
    <m/>
    <n v="4.2821221648969877E-3"/>
    <n v="0.42821221648969887"/>
    <n v="122.67851259546741"/>
    <n v="0.94336198927095749"/>
    <n v="0.90187453302495835"/>
    <n v="0.90187453302495824"/>
    <n v="0.20733284814928141"/>
    <n v="-5.6638010729042509E-2"/>
    <n v="0.05"/>
    <n v="-0.05"/>
  </r>
  <r>
    <x v="89"/>
    <n v="63061"/>
    <n v="1670"/>
    <n v="2.6482294920790982E-2"/>
    <n v="61575"/>
    <n v="0.97643551481898483"/>
    <m/>
    <m/>
    <n v="3712412.31"/>
    <n v="5008457.8325000005"/>
    <n v="29592"/>
    <n v="34565.75"/>
    <n v="329"/>
    <n v="357.41666666666669"/>
    <n v="173"/>
    <n v="185"/>
    <n v="11960"/>
    <n v="14096.25"/>
    <n v="78"/>
    <n v="104"/>
    <n v="47"/>
    <n v="60.666666666666664"/>
    <n v="17632"/>
    <n v="20469.5"/>
    <n v="251"/>
    <n v="253.41666666666666"/>
    <n v="126"/>
    <n v="124.33333333333333"/>
    <n v="31642"/>
    <n v="15554"/>
    <n v="127"/>
    <n v="81"/>
    <n v="39"/>
    <n v="8"/>
    <n v="5.3100000000000036E-2"/>
    <m/>
    <n v="988237"/>
    <n v="718163"/>
    <n v="12370"/>
    <n v="6315.357"/>
    <n v="3.3320652360405516E-3"/>
    <n v="0.33320652360405517"/>
    <n v="152.71604938271605"/>
    <n v="97.4015748031496"/>
    <n v="1.2517240297620915E-2"/>
    <n v="33.395410921870777"/>
    <n v="8.7922875373115517"/>
    <n v="12200.456790123457"/>
    <n v="7781.3937007874019"/>
    <n v="0.72671130508167581"/>
    <n v="24.268822654771562"/>
    <n v="6.3894547508930302"/>
    <n v="8866.2098765432092"/>
    <n v="5654.8267716535429"/>
    <n v="365.33333333333331"/>
    <n v="233.00787401574803"/>
    <n v="125.45324107866992"/>
    <n v="45832.250740740739"/>
    <n v="587.83886801648748"/>
    <n v="11283.927993920974"/>
    <n v="21459.03069364162"/>
    <d v="2019-04-01T00:00:00"/>
    <n v="39865.25"/>
    <n v="16528.333333333332"/>
    <n v="75567.583333333328"/>
    <n v="77.967370370370375"/>
    <n v="113.71692843334114"/>
    <n v="603.74165861373353"/>
    <n v="8260.9693333333344"/>
    <n v="145.25249541057886"/>
    <n v="11677.37483888436"/>
    <d v="2019-04-01T00:00:00"/>
    <n v="115.85733410045526"/>
    <n v="4.2321183493053078E-3"/>
    <n v="82.416666666666671"/>
    <n v="27061.354976234648"/>
    <n v="14178.629700987272"/>
    <n v="0.96200260403210636"/>
    <n v="2.4423498859988391E-2"/>
    <n v="1.8756163334534438E-2"/>
    <n v="3.7566012100336255"/>
    <m/>
    <m/>
    <m/>
    <m/>
    <n v="29231.592992125985"/>
    <n v="8"/>
    <n v="11.833333333333334"/>
    <n v="3.9988285122105074E-4"/>
    <m/>
    <n v="-6.021622881202715E-2"/>
    <n v="8.1981822474032073E-2"/>
    <n v="0.16623135470443007"/>
    <n v="5.0195368246996885E-4"/>
    <n v="4.2321183493053078E-3"/>
    <n v="0.42321183493053077"/>
    <n v="156.48157340907252"/>
    <n v="0.7267113050816757"/>
    <n v="0.94336198927095749"/>
    <n v="0.94336198927095749"/>
    <n v="0.1973136308720235"/>
    <n v="-0.27328869491832419"/>
    <n v="0.05"/>
    <n v="-0.05"/>
  </r>
  <r>
    <x v="90"/>
    <n v="86336"/>
    <n v="2481"/>
    <n v="2.8736564121571533E-2"/>
    <n v="80568.292199999982"/>
    <n v="0.93319463723128226"/>
    <m/>
    <m/>
    <n v="5567479.9299999997"/>
    <n v="5086132.6141666668"/>
    <n v="37780"/>
    <n v="34800.25"/>
    <n v="389"/>
    <n v="356"/>
    <n v="196"/>
    <n v="184"/>
    <n v="12625"/>
    <n v="14157.5"/>
    <n v="71"/>
    <n v="101.83333333333333"/>
    <n v="48"/>
    <n v="59.416666666666664"/>
    <n v="25155"/>
    <n v="20642.75"/>
    <n v="318"/>
    <n v="254.16666666666666"/>
    <n v="148"/>
    <n v="124.58333333333333"/>
    <n v="42571"/>
    <n v="18571"/>
    <n v="131"/>
    <n v="82"/>
    <n v="41"/>
    <n v="8"/>
    <n v="4.6399999999999997E-2"/>
    <m/>
    <n v="1147953"/>
    <n v="1035972"/>
    <n v="25905"/>
    <n v="9087.7580000000016"/>
    <n v="4.6529130460646311E-3"/>
    <n v="0.46529130460646312"/>
    <n v="315.91463414634148"/>
    <n v="197.74809160305344"/>
    <n v="2.2566254890226341E-2"/>
    <n v="30.385203811540496"/>
    <n v="8.5129878436527253"/>
    <n v="13999.426829268292"/>
    <n v="8763"/>
    <n v="0.90245158120585078"/>
    <n v="27.421175224986765"/>
    <n v="7.6825593402905881"/>
    <n v="12633.804878048781"/>
    <n v="7908.1832061068699"/>
    <n v="460.73170731707319"/>
    <n v="288.39694656488547"/>
    <n v="147.36580015881418"/>
    <n v="67896.096707317076"/>
    <n v="612.63514389357624"/>
    <n v="14312.287737789202"/>
    <n v="28405.509846938774"/>
    <d v="2019-05-01T00:00:00"/>
    <n v="40388.5"/>
    <n v="16743.583333333332"/>
    <n v="76477.75"/>
    <n v="110.82631707317076"/>
    <n v="113.99643344376025"/>
    <n v="609.75163422210221"/>
    <n v="8303.6278333333339"/>
    <n v="146.48562192002876"/>
    <n v="11712.005596265617"/>
    <d v="2019-05-01T00:00:00"/>
    <n v="116.33377903422506"/>
    <n v="3.8861927819968684E-3"/>
    <n v="82.916666666666671"/>
    <n v="27571.356377742366"/>
    <n v="14419.887145885143"/>
    <n v="0.9610556999720643"/>
    <n v="2.5284456647075002E-2"/>
    <n v="1.5874007883501438E-2"/>
    <n v="4.8499197528121796"/>
    <m/>
    <m/>
    <m/>
    <m/>
    <n v="42499.846793893128"/>
    <n v="7"/>
    <n v="11.25"/>
    <n v="2.9777660137638963E-4"/>
    <m/>
    <m/>
    <m/>
    <m/>
    <m/>
    <n v="3.8861927819968684E-3"/>
    <n v="0.38861927819968689"/>
    <n v="126.31861455817813"/>
    <n v="0.90245158120585078"/>
    <n v="0.7267113050816757"/>
    <n v="0.7267113050816757"/>
    <n v="0.22570253020979977"/>
    <n v="-9.7548418794149216E-2"/>
    <n v="0.05"/>
    <n v="-0.05"/>
  </r>
  <r>
    <x v="91"/>
    <n v="72922"/>
    <n v="1701"/>
    <n v="2.3326293848221387E-2"/>
    <n v="71199.016400000008"/>
    <n v="0.97637223883053137"/>
    <m/>
    <n v="3.0146732124724379E-4"/>
    <n v="4504290.1900000004"/>
    <n v="5070215.6816666666"/>
    <n v="32686"/>
    <n v="35154"/>
    <n v="350"/>
    <n v="355.58333333333331"/>
    <n v="174"/>
    <n v="183.41666666666666"/>
    <n v="12902"/>
    <n v="14208"/>
    <n v="70"/>
    <n v="99.25"/>
    <n v="41"/>
    <n v="57.166666666666664"/>
    <n v="19784"/>
    <n v="20946"/>
    <n v="280"/>
    <n v="256.33333333333331"/>
    <n v="133"/>
    <n v="126.25"/>
    <n v="42661"/>
    <n v="15706"/>
    <n v="131"/>
    <n v="84"/>
    <n v="39"/>
    <n v="8"/>
    <n v="3.73E-2"/>
    <m/>
    <n v="1041480"/>
    <n v="886384"/>
    <n v="16221"/>
    <n v="7852.0690000000004"/>
    <n v="3.6012333388315727E-3"/>
    <n v="0.36012333388315726"/>
    <n v="193.10714285714286"/>
    <n v="123.82442748091603"/>
    <n v="1.5574951031224795E-2"/>
    <n v="31.863183014134492"/>
    <n v="8.1832324978392386"/>
    <n v="12398.571428571429"/>
    <n v="7950.2290076335876"/>
    <n v="0.85108115374275073"/>
    <n v="27.118154561586"/>
    <n v="6.9645949556061915"/>
    <n v="10552.190476190477"/>
    <n v="6766.2900763358775"/>
    <n v="389.11904761904759"/>
    <n v="249.5114503816794"/>
    <n v="137.80487639968183"/>
    <n v="53622.502261904767"/>
    <n v="573.64373517349384"/>
    <n v="12869.400542857144"/>
    <n v="25886.725229885058"/>
    <d v="2019-06-01T00:00:00"/>
    <n v="41314"/>
    <n v="17066.75"/>
    <n v="76755.416666666672"/>
    <n v="93.477011904761909"/>
    <n v="112.88540638142634"/>
    <n v="609.60239308422467"/>
    <n v="8278.0035833333332"/>
    <n v="144.21195335962696"/>
    <n v="11565.88002191307"/>
    <d v="2019-06-01T00:00:00"/>
    <n v="116.18939059593539"/>
    <n v="3.8137593787628127E-3"/>
    <n v="83.583333333333329"/>
    <n v="27566.846196623213"/>
    <n v="14390.155646522298"/>
    <n v="0.96127921771917857"/>
    <n v="2.5432079376511374E-2"/>
    <n v="1.5301629280018976E-2"/>
    <n v="4.3248936033337175"/>
    <m/>
    <m/>
    <m/>
    <m/>
    <n v="34383.894580152672"/>
    <n v="12"/>
    <n v="10.333333333333334"/>
    <n v="3.1613942768565545E-4"/>
    <m/>
    <m/>
    <m/>
    <m/>
    <m/>
    <n v="3.8137593787628127E-3"/>
    <n v="0.38137593787628127"/>
    <n v="132.63765257284416"/>
    <n v="0.85108115374275073"/>
    <n v="0.90245158120585078"/>
    <n v="0.90245158120585067"/>
    <n v="0.20541137998643239"/>
    <n v="-0.14891884625724927"/>
    <n v="0.05"/>
    <n v="-0.05"/>
  </r>
  <r>
    <x v="92"/>
    <n v="82602"/>
    <n v="1747"/>
    <n v="2.1149608968305852E-2"/>
    <n v="80698.279700000014"/>
    <n v="0.9769530967773179"/>
    <m/>
    <n v="1.89729425437625E-3"/>
    <n v="5013074.53"/>
    <n v="5056853.6550000003"/>
    <n v="36077"/>
    <n v="35258.916666666664"/>
    <n v="349"/>
    <n v="348.75"/>
    <n v="188"/>
    <n v="181.66666666666666"/>
    <n v="15477"/>
    <n v="14318.583333333334"/>
    <n v="93"/>
    <n v="94.75"/>
    <n v="49"/>
    <n v="55"/>
    <n v="20600"/>
    <n v="20940.333333333332"/>
    <n v="256"/>
    <n v="254"/>
    <n v="139"/>
    <n v="126.66666666666667"/>
    <n v="62701"/>
    <n v="22787"/>
    <n v="133"/>
    <n v="79"/>
    <n v="45"/>
    <n v="9"/>
    <n v="5.0799999999999956E-2"/>
    <m/>
    <n v="1287992"/>
    <n v="956380"/>
    <n v="131001"/>
    <n v="8179.0410000000002"/>
    <n v="2.6131867622562553E-2"/>
    <n v="2.6131867622562552"/>
    <n v="1658.2405063291139"/>
    <n v="984.96992481203006"/>
    <n v="0.10170948266759421"/>
    <n v="35.70119466696233"/>
    <n v="8.1574585052166668"/>
    <n v="16303.696202531646"/>
    <n v="9684.1503759398493"/>
    <n v="0.7425356679234032"/>
    <n v="26.509410427696317"/>
    <n v="6.0572038997285045"/>
    <n v="12106.075949367088"/>
    <n v="7190.8270676691727"/>
    <n v="456.67088607594934"/>
    <n v="271.25563909774434"/>
    <n v="138.95486126895253"/>
    <n v="63456.639620253169"/>
    <n v="612.91715373477166"/>
    <n v="14364.110401146132"/>
    <n v="26665.290053191489"/>
    <d v="2019-07-01T00:00:00"/>
    <n v="42472.166666666664"/>
    <n v="17647.75"/>
    <n v="77960.25"/>
    <n v="103.53216455696203"/>
    <n v="116.93057902509597"/>
    <n v="609.08354300137808"/>
    <n v="8263.2762500000008"/>
    <n v="143.4094745403917"/>
    <n v="11493.040030680671"/>
    <d v="2019-07-01T00:00:00"/>
    <n v="115.96572184853012"/>
    <n v="5.6070946916425115E-3"/>
    <n v="83.75"/>
    <n v="27726.187014452968"/>
    <n v="14586.890513671175"/>
    <n v="0.96659822823630925"/>
    <n v="2.5143742611152032E-2"/>
    <n v="8.1973344247339985E-3"/>
    <n v="3.8921627851725789"/>
    <m/>
    <m/>
    <m/>
    <m/>
    <n v="37692.289699248126"/>
    <n v="22"/>
    <n v="10.916666666666666"/>
    <n v="3.0259352680840054E-4"/>
    <m/>
    <m/>
    <m/>
    <m/>
    <m/>
    <n v="5.6070946916425115E-3"/>
    <n v="0.56070946916425113"/>
    <n v="157.47469660562894"/>
    <n v="0.74253566792340331"/>
    <n v="0.85108115374275073"/>
    <n v="0.85108115374275073"/>
    <n v="0.25470224923881052"/>
    <n v="-0.2574643320765968"/>
    <n v="0.05"/>
    <n v="-0.05"/>
  </r>
  <r>
    <x v="93"/>
    <n v="86741"/>
    <n v="1681"/>
    <n v="1.9379532170484545E-2"/>
    <n v="84539.285299999989"/>
    <n v="0.97461737010179716"/>
    <m/>
    <n v="6.0030977277182908E-3"/>
    <n v="5510141.6299999999"/>
    <n v="5013335.6033333344"/>
    <n v="38941"/>
    <n v="35772.5"/>
    <n v="360"/>
    <n v="342.08333333333331"/>
    <n v="211"/>
    <n v="181.16666666666666"/>
    <n v="16558"/>
    <n v="14556.5"/>
    <n v="87"/>
    <n v="92.25"/>
    <n v="57"/>
    <n v="54.5"/>
    <n v="22383"/>
    <n v="21216"/>
    <n v="273"/>
    <n v="249.83333333333334"/>
    <n v="154"/>
    <n v="126.66666666666667"/>
    <n v="47148"/>
    <n v="16384"/>
    <n v="132"/>
    <n v="80"/>
    <n v="43"/>
    <n v="9"/>
    <n v="7.2200000000000042E-2"/>
    <m/>
    <n v="1105068"/>
    <n v="1193075"/>
    <n v="-1224"/>
    <n v="8543.8629999999994"/>
    <n v="-2.2213585097993207E-4"/>
    <n v="-2.2213585097993208E-2"/>
    <n v="-15.3"/>
    <n v="-9.2727272727272734"/>
    <n v="-1.1076241462063873E-3"/>
    <n v="28.378007755322155"/>
    <n v="7.9307448161777243"/>
    <n v="13813.35"/>
    <n v="8371.7272727272721"/>
    <n v="1.0796394430026026"/>
    <n v="30.638016486479547"/>
    <n v="8.5623449159338954"/>
    <n v="14913.4375"/>
    <n v="9038.44696969697"/>
    <n v="486.76249999999999"/>
    <n v="295.00757575757575"/>
    <n v="141.49974653963687"/>
    <n v="68876.770374999993"/>
    <n v="644.92392141587482"/>
    <n v="15305.948972222222"/>
    <n v="26114.415308056872"/>
    <d v="2019-08-01T00:00:00"/>
    <n v="42440.416666666664"/>
    <n v="17911.916666666668"/>
    <n v="78207.916666666672"/>
    <n v="106.79828749999999"/>
    <n v="139.64116699904952"/>
    <n v="610.51425433829979"/>
    <n v="8174.4807499999997"/>
    <n v="139.86472003553123"/>
    <n v="11570.418858491917"/>
    <d v="2019-08-01T00:00:00"/>
    <n v="117.53643140804594"/>
    <n v="5.1742346373776704E-3"/>
    <n v="83.5"/>
    <n v="27585.814461399332"/>
    <n v="14719.894168553328"/>
    <n v="0.97103979501645166"/>
    <n v="2.4839735988166325E-2"/>
    <n v="2.3733932353632602E-3"/>
    <n v="4.9862466653635797"/>
    <m/>
    <m/>
    <m/>
    <m/>
    <n v="41743.497196969693"/>
    <n v="10"/>
    <n v="10.333333333333334"/>
    <n v="2.6535870504951935E-4"/>
    <m/>
    <m/>
    <m/>
    <m/>
    <m/>
    <n v="5.1742346373776704E-3"/>
    <n v="0.51742346373776704"/>
    <n v="129.3405570758801"/>
    <n v="1.0796394430026026"/>
    <n v="0.7425356679234032"/>
    <n v="0.74253566792340331"/>
    <n v="0.22042569806522577"/>
    <n v="7.9639443002602617E-2"/>
    <n v="0.05"/>
    <n v="-0.05"/>
  </r>
  <r>
    <x v="94"/>
    <n v="80300"/>
    <n v="1557"/>
    <n v="1.9389788293897883E-2"/>
    <n v="76369.141899999988"/>
    <n v="0.95104784433374834"/>
    <m/>
    <n v="2.9562367372353779E-2"/>
    <n v="5463230.4400000004"/>
    <n v="5006159.8500000006"/>
    <n v="37953"/>
    <n v="36024.416666666664"/>
    <n v="326"/>
    <n v="338.83333333333331"/>
    <n v="169"/>
    <n v="180.33333333333334"/>
    <n v="19241"/>
    <n v="14864.75"/>
    <n v="110"/>
    <n v="91.166666666666671"/>
    <n v="58"/>
    <n v="54"/>
    <n v="18712"/>
    <n v="21159.666666666668"/>
    <n v="216"/>
    <n v="247.66666666666666"/>
    <n v="111"/>
    <n v="126.33333333333333"/>
    <n v="52455"/>
    <n v="20194"/>
    <n v="128"/>
    <n v="75"/>
    <n v="44"/>
    <n v="9"/>
    <n v="5.0799999999999956E-2"/>
    <m/>
    <n v="1082205"/>
    <n v="1037342"/>
    <n v="24693"/>
    <n v="7726.2220000000007"/>
    <n v="4.5198532756747485E-3"/>
    <n v="0.45198532756747484"/>
    <n v="329.24"/>
    <n v="192.9140625"/>
    <n v="2.281730356078562E-2"/>
    <n v="28.514346691961109"/>
    <n v="7.3299967770830863"/>
    <n v="14429.4"/>
    <n v="8454.7265625"/>
    <n v="0.95854482283855647"/>
    <n v="27.332279398203042"/>
    <n v="7.0261304620962965"/>
    <n v="13831.226666666667"/>
    <n v="8104.234375"/>
    <n v="506.04"/>
    <n v="296.5078125"/>
    <n v="143.94726214001528"/>
    <n v="72843.072533333339"/>
    <n v="707.10244152963764"/>
    <n v="16758.375582822086"/>
    <n v="32326.807337278107"/>
    <d v="2019-09-01T00:00:00"/>
    <n v="42923.333333333336"/>
    <n v="18090.583333333332"/>
    <n v="78330.916666666672"/>
    <n v="103.01629333333334"/>
    <n v="134.26251536650125"/>
    <n v="615.78264346407036"/>
    <n v="8100.1185000000005"/>
    <n v="138.62113378338583"/>
    <n v="11706.25539443963"/>
    <d v="2019-09-01T00:00:00"/>
    <n v="118.69719789568978"/>
    <n v="5.1533342554717565E-3"/>
    <n v="82.666666666666671"/>
    <n v="27696.223694813103"/>
    <n v="14849.452983103567"/>
    <n v="0.9692703228782239"/>
    <n v="2.4217443150619175E-2"/>
    <n v="5.9679982971980001E-3"/>
    <n v="5.0482398806141173"/>
    <m/>
    <m/>
    <m/>
    <m/>
    <n v="42681.487812500003"/>
    <n v="12"/>
    <n v="10.5"/>
    <n v="2.7665797170184174E-4"/>
    <m/>
    <m/>
    <m/>
    <m/>
    <m/>
    <n v="5.1533342554717565E-3"/>
    <n v="0.51533342554717565"/>
    <n v="140.0691049260557"/>
    <n v="0.95854482283855658"/>
    <n v="1.0796394430026026"/>
    <n v="1.0796394430026026"/>
    <n v="0.21617467928036693"/>
    <n v="-4.1455177161443535E-2"/>
    <n v="0.05"/>
    <n v="-0.05"/>
  </r>
  <r>
    <x v="95"/>
    <n v="89976"/>
    <n v="1340"/>
    <n v="1.4892860318307104E-2"/>
    <n v="87716.15330000002"/>
    <n v="0.97488389459411418"/>
    <m/>
    <n v="1.0223245087578721E-2"/>
    <n v="5494825.4500000002"/>
    <n v="4991496.1341666663"/>
    <n v="36110"/>
    <n v="35473.083333333336"/>
    <n v="337"/>
    <n v="330.91666666666669"/>
    <n v="190"/>
    <n v="179.58333333333334"/>
    <n v="15291"/>
    <n v="14473.416666666666"/>
    <n v="84"/>
    <n v="86.583333333333329"/>
    <n v="51"/>
    <n v="52.666666666666664"/>
    <n v="20819"/>
    <n v="20999.666666666668"/>
    <n v="253"/>
    <n v="244.33333333333334"/>
    <n v="139"/>
    <n v="126.91666666666667"/>
    <n v="55404"/>
    <n v="16317"/>
    <n v="128"/>
    <n v="77"/>
    <n v="43"/>
    <n v="8"/>
    <n v="5.7400000000000007E-2"/>
    <m/>
    <n v="1120670"/>
    <n v="1120822"/>
    <n v="15210"/>
    <n v="7970.4460000000008"/>
    <n v="2.7680588106761424E-3"/>
    <n v="0.27680588106761422"/>
    <n v="197.53246753246754"/>
    <n v="118.828125"/>
    <n v="1.3572238036174787E-2"/>
    <n v="31.034893381334811"/>
    <n v="7.7640134888363779"/>
    <n v="14554.155844155845"/>
    <n v="8755.234375"/>
    <n v="1.0001356331480276"/>
    <n v="31.03910274162282"/>
    <n v="7.7650665464271968"/>
    <n v="14556.129870129869"/>
    <n v="8756.421875"/>
    <n v="468.96103896103898"/>
    <n v="282.109375"/>
    <n v="152.16907920243699"/>
    <n v="71361.369480519483"/>
    <n v="689.39999718961769"/>
    <n v="16305.120029673591"/>
    <n v="28920.133947368424"/>
    <d v="2019-10-01T00:00:00"/>
    <n v="42822.916666666664"/>
    <n v="17701.666666666668"/>
    <n v="78722.416666666672"/>
    <n v="103.51228571428572"/>
    <n v="140.62224372387692"/>
    <n v="623.28318961485797"/>
    <n v="7975.9155833333325"/>
    <n v="140.24150942897893"/>
    <n v="11819.916548275754"/>
    <d v="2019-10-01T00:00:00"/>
    <n v="120.77115946988668"/>
    <n v="4.8601811038889667E-3"/>
    <n v="82.166666666666671"/>
    <n v="27731.532160276387"/>
    <n v="15114.310585885009"/>
    <n v="0.96978064757966853"/>
    <n v="2.3604773746068369E-2"/>
    <n v="6.4999041459955905E-3"/>
    <n v="4.9031610108238821"/>
    <m/>
    <m/>
    <m/>
    <m/>
    <n v="42928.323828125001"/>
    <n v="5"/>
    <n v="10"/>
    <n v="2.7693159789531985E-4"/>
    <m/>
    <m/>
    <m/>
    <m/>
    <m/>
    <n v="4.8601811038889667E-3"/>
    <n v="0.4860181103888967"/>
    <n v="140.60317327286327"/>
    <n v="1.0001356331480273"/>
    <n v="0.95854482283855658"/>
    <n v="0.95854482283855647"/>
    <n v="0.22451585053407971"/>
    <n v="1.3563314802755855E-4"/>
    <n v="0.05"/>
    <n v="-0.05"/>
  </r>
  <r>
    <x v="96"/>
    <n v="87133"/>
    <n v="1135"/>
    <n v="1.3026063603915852E-2"/>
    <n v="85162.418000000005"/>
    <n v="0.97738420575442142"/>
    <m/>
    <n v="9.5897306416627276E-3"/>
    <n v="5484324.0700000003"/>
    <n v="4909859.8624999998"/>
    <n v="34330"/>
    <n v="34568.75"/>
    <n v="302"/>
    <n v="323.75"/>
    <n v="181"/>
    <n v="177.41666666666666"/>
    <n v="15252"/>
    <n v="14258.25"/>
    <n v="93"/>
    <n v="84.416666666666671"/>
    <n v="58"/>
    <n v="51.833333333333336"/>
    <n v="19078"/>
    <n v="20310.5"/>
    <n v="209"/>
    <n v="239.33333333333334"/>
    <n v="123"/>
    <n v="125.58333333333333"/>
    <n v="44484"/>
    <n v="14217"/>
    <n v="128"/>
    <n v="77"/>
    <n v="43"/>
    <n v="8"/>
    <n v="6.2899999999999956E-2"/>
    <m/>
    <n v="1107174"/>
    <n v="1106002"/>
    <n v="592"/>
    <n v="7625.1850000000004"/>
    <n v="1.0794402235242089E-4"/>
    <n v="1.079440223524209E-2"/>
    <n v="7.6883116883116882"/>
    <n v="4.625"/>
    <n v="5.3469463697666309E-4"/>
    <n v="32.25091756481212"/>
    <n v="8.6105169970064956"/>
    <n v="14378.883116883117"/>
    <n v="8649.796875"/>
    <n v="0.99894144913085026"/>
    <n v="32.216778327993012"/>
    <n v="8.6014023267554851"/>
    <n v="14363.662337662337"/>
    <n v="8640.640625"/>
    <n v="445.84415584415586"/>
    <n v="268.203125"/>
    <n v="159.75310428196914"/>
    <n v="71224.987922077926"/>
    <n v="719.23816536910249"/>
    <n v="18160.013476821194"/>
    <n v="30300.132983425417"/>
    <d v="2019-11-01T00:00:00"/>
    <n v="42856.166666666664"/>
    <n v="17212.5"/>
    <n v="77862"/>
    <n v="99.02837662337663"/>
    <n v="145.04592347595499"/>
    <n v="627.96488845185775"/>
    <n v="7798.954999999999"/>
    <n v="141.63219124118277"/>
    <n v="11896.310066944585"/>
    <d v="2019-11-01T00:00:00"/>
    <n v="122.74304564265431"/>
    <n v="4.4858716346801355E-3"/>
    <n v="81.25"/>
    <n v="27654.305186672947"/>
    <n v="15239.337626049659"/>
    <n v="0.96974029586117938"/>
    <n v="2.292969157965688E-2"/>
    <n v="7.5680110085353082E-3"/>
    <n v="4.9534436953902459"/>
    <m/>
    <m/>
    <m/>
    <m/>
    <n v="42846.281796875002"/>
    <n v="6"/>
    <n v="9.9166666666666661"/>
    <n v="2.8886299640741819E-4"/>
    <m/>
    <m/>
    <m/>
    <m/>
    <m/>
    <n v="4.4858716346801355E-3"/>
    <n v="0.44858716346801347"/>
    <n v="145.19962466484418"/>
    <n v="0.99894144913085026"/>
    <n v="1.0001356331480273"/>
    <n v="1.0001356331480276"/>
    <n v="0.22550012240802525"/>
    <n v="-1.0585508691497436E-3"/>
    <n v="0.05"/>
    <n v="-0.05"/>
  </r>
  <r>
    <x v="97"/>
    <n v="62837"/>
    <n v="922"/>
    <n v="1.4672883810493817E-2"/>
    <n v="61284.890199999987"/>
    <n v="0.97529942868055419"/>
    <m/>
    <n v="1.002768750895199E-2"/>
    <n v="3832569.98"/>
    <n v="4941226.9183333339"/>
    <n v="30474"/>
    <n v="34806.166666666664"/>
    <n v="224"/>
    <n v="322.33333333333331"/>
    <n v="129"/>
    <n v="176.33333333333334"/>
    <n v="14238"/>
    <n v="14380.75"/>
    <n v="64"/>
    <n v="82.583333333333329"/>
    <n v="43"/>
    <n v="50.666666666666664"/>
    <n v="16236"/>
    <n v="20425.416666666668"/>
    <n v="160"/>
    <n v="239.75"/>
    <n v="86"/>
    <n v="125.66666666666667"/>
    <n v="42262"/>
    <n v="12514"/>
    <n v="124"/>
    <n v="73"/>
    <n v="44"/>
    <n v="7"/>
    <n v="3.8599999999999968E-2"/>
    <m/>
    <n v="974002"/>
    <n v="778737"/>
    <n v="8922"/>
    <n v="5470.2740000000003"/>
    <n v="2.3279418370855164E-3"/>
    <n v="0.23279418370855165"/>
    <n v="122.21917808219177"/>
    <n v="71.951612903225808"/>
    <n v="9.1601454617136306E-3"/>
    <n v="31.961737874909758"/>
    <n v="8.0557394268637115"/>
    <n v="13342.493150684932"/>
    <n v="7854.8548387096771"/>
    <n v="0.79952299892608025"/>
    <n v="25.554144516637134"/>
    <n v="6.4407489451331381"/>
    <n v="10667.630136986301"/>
    <n v="6280.1370967741932"/>
    <n v="417.45205479452056"/>
    <n v="245.75806451612902"/>
    <n v="125.76524184550765"/>
    <n v="52500.958630136985"/>
    <n v="700.61755224692581"/>
    <n v="17109.687410714287"/>
    <n v="29709.844806201549"/>
    <d v="2019-12-01T00:00:00"/>
    <n v="43909.833333333336"/>
    <n v="17007.583333333332"/>
    <n v="77985"/>
    <n v="74.935260273972602"/>
    <n v="142.35795135673277"/>
    <n v="639.06832676234978"/>
    <n v="7747.187249999999"/>
    <n v="141.68679002242607"/>
    <n v="12149.788475796007"/>
    <d v="2019-12-01T00:00:00"/>
    <n v="125.11268721561468"/>
    <n v="4.3499008965653891E-3"/>
    <n v="79.75"/>
    <n v="28101.859560194436"/>
    <n v="15470.067002253722"/>
    <n v="0.96966518173519101"/>
    <n v="2.240593710952073E-2"/>
    <n v="8.4569246369735548E-3"/>
    <n v="3.9348686963681798"/>
    <m/>
    <m/>
    <m/>
    <m/>
    <n v="30907.822419354838"/>
    <n v="3"/>
    <n v="9.4166666666666661"/>
    <n v="3.0900658484828597E-4"/>
    <m/>
    <m/>
    <m/>
    <m/>
    <m/>
    <n v="4.3499008965653891E-3"/>
    <n v="0.43499008965653885"/>
    <n v="178.05360389625821"/>
    <n v="0.79952299892608025"/>
    <n v="0.99894144913085026"/>
    <n v="0.99894144913085026"/>
    <n v="0.19711743987837924"/>
    <n v="-0.20047700107391975"/>
    <n v="0.05"/>
    <n v="-0.05"/>
  </r>
  <r>
    <x v="98"/>
    <n v="92832"/>
    <n v="1311"/>
    <n v="1.4122285418821096E-2"/>
    <n v="90812.282399999996"/>
    <n v="0.97824330403309201"/>
    <m/>
    <n v="7.6344105480868948E-3"/>
    <n v="5219122.3"/>
    <n v="5008573.7675000001"/>
    <n v="39057"/>
    <n v="35520.25"/>
    <n v="293"/>
    <n v="325.66666666666669"/>
    <n v="151"/>
    <n v="176.58333333333334"/>
    <n v="18241"/>
    <n v="14912.083333333334"/>
    <n v="67"/>
    <n v="82.416666666666671"/>
    <n v="39"/>
    <n v="50.083333333333336"/>
    <n v="20816"/>
    <n v="20608.166666666668"/>
    <n v="226"/>
    <n v="243.25"/>
    <n v="112"/>
    <n v="126.5"/>
    <n v="50058"/>
    <n v="16445"/>
    <n v="126"/>
    <n v="68"/>
    <n v="50"/>
    <n v="8"/>
    <n v="5.0899999999999945E-2"/>
    <m/>
    <n v="1071165"/>
    <n v="1053028"/>
    <n v="10984"/>
    <n v="7737.16"/>
    <n v="2.1045684252311925E-3"/>
    <n v="0.21045684252311925"/>
    <n v="161.52941176470588"/>
    <n v="87.174603174603178"/>
    <n v="1.0254255880279882E-2"/>
    <n v="27.425685536523542"/>
    <n v="7.5420080055482606"/>
    <n v="15752.426470588236"/>
    <n v="8501.3095238095229"/>
    <n v="0.98306796805347452"/>
    <n v="26.961312952863764"/>
    <n v="7.4143064850573657"/>
    <n v="15485.705882352941"/>
    <n v="8357.3650793650795"/>
    <n v="574.36764705882354"/>
    <n v="309.97619047619048"/>
    <n v="133.62834575108175"/>
    <n v="76751.798529411768"/>
    <n v="674.55271701761365"/>
    <n v="17812.704095563138"/>
    <n v="34563.723841059604"/>
    <d v="2020-01-01T00:00:00"/>
    <n v="45373"/>
    <n v="16868.666666666668"/>
    <n v="80116.333333333328"/>
    <n v="113.78176470588235"/>
    <n v="136.10006772510843"/>
    <n v="646.36921980290697"/>
    <n v="7765.6876666666676"/>
    <n v="140.76593836291789"/>
    <n v="12580.55999479867"/>
    <d v="2020-01-01T00:00:00"/>
    <n v="127.18828029458517"/>
    <n v="4.8176404731927764E-3"/>
    <n v="78.666666666666671"/>
    <n v="28498.521169697149"/>
    <n v="15501.573598491363"/>
    <n v="0.96976086006067963"/>
    <n v="2.0687141795259097E-2"/>
    <n v="8.3655341826528139E-3"/>
    <n v="4.8723794186703264"/>
    <m/>
    <m/>
    <m/>
    <m/>
    <n v="41421.605555555558"/>
    <n v="5"/>
    <n v="9.0833333333333339"/>
    <n v="2.3256607863720547E-4"/>
    <m/>
    <m/>
    <m/>
    <m/>
    <m/>
    <n v="4.8176404731927764E-3"/>
    <n v="0.48176404731927763"/>
    <n v="138.44420950322856"/>
    <n v="0.98306796805347452"/>
    <n v="0.79952299892608025"/>
    <n v="0.79952299892608025"/>
    <n v="0.21386627206145067"/>
    <n v="-1.6932031946525483E-2"/>
    <n v="0.05"/>
    <n v="-0.05"/>
  </r>
  <r>
    <x v="99"/>
    <n v="76316"/>
    <n v="1209"/>
    <n v="1.5842025263378585E-2"/>
    <n v="74341.794800000003"/>
    <n v="0.97413117563813623"/>
    <m/>
    <n v="1.0026799098485188E-2"/>
    <n v="4998390.04"/>
    <n v="5028486.2374999998"/>
    <n v="33516"/>
    <n v="35122.75"/>
    <n v="303"/>
    <n v="325.83333333333331"/>
    <n v="173"/>
    <n v="176.58333333333334"/>
    <n v="15062"/>
    <n v="14852.25"/>
    <n v="62"/>
    <n v="79.833333333333329"/>
    <n v="41"/>
    <n v="48.666666666666664"/>
    <n v="18454"/>
    <n v="20270.5"/>
    <n v="241"/>
    <n v="246"/>
    <n v="132"/>
    <n v="127.91666666666667"/>
    <n v="46023"/>
    <n v="13516"/>
    <n v="121"/>
    <n v="65"/>
    <n v="48"/>
    <n v="8"/>
    <n v="4.9200000000000021E-2"/>
    <m/>
    <n v="1058618"/>
    <n v="1027456"/>
    <n v="4786"/>
    <n v="7124.28"/>
    <n v="9.5750831001575854E-4"/>
    <n v="9.5750831001575859E-2"/>
    <n v="73.630769230769232"/>
    <n v="39.553719008264466"/>
    <n v="4.5209886852481257E-3"/>
    <n v="31.585451724549468"/>
    <n v="8.1964185475722537"/>
    <n v="16286.430769230768"/>
    <n v="8748.9090909090901"/>
    <n v="0.97056350827210569"/>
    <n v="30.655686836137964"/>
    <n v="7.9551447407982838"/>
    <n v="15807.015384615384"/>
    <n v="8491.371900826447"/>
    <n v="515.63076923076926"/>
    <n v="276.9917355371901"/>
    <n v="149.13444444444445"/>
    <n v="76898.308307692307"/>
    <n v="701.59932512478451"/>
    <n v="16496.336765676569"/>
    <n v="28892.427976878615"/>
    <d v="2020-02-01T00:00:00"/>
    <n v="46453.75"/>
    <n v="16650.666666666668"/>
    <n v="79977.166666666672"/>
    <n v="109.60430769230769"/>
    <n v="144.21892457904519"/>
    <n v="656.0914407953278"/>
    <n v="7681.3166666666684"/>
    <n v="142.83440755966518"/>
    <n v="13011.940746546921"/>
    <d v="2020-02-01T00:00:00"/>
    <n v="129.62569884939626"/>
    <n v="4.5716942574364153E-3"/>
    <n v="76.75"/>
    <n v="28613.622152356111"/>
    <n v="15558.593799617787"/>
    <n v="0.97012505302546781"/>
    <n v="1.9835980670388224E-2"/>
    <n v="8.5316606742360523E-3"/>
    <n v="4.7216182230039543"/>
    <m/>
    <m/>
    <m/>
    <m/>
    <n v="41309.008595041319"/>
    <n v="10"/>
    <n v="9.6666666666666661"/>
    <n v="2.8841946135179216E-4"/>
    <m/>
    <m/>
    <m/>
    <m/>
    <m/>
    <n v="4.5716942574364153E-3"/>
    <n v="0.45716942574364156"/>
    <n v="148.59298062400691"/>
    <n v="0.9705635082721058"/>
    <n v="0.98306796805347441"/>
    <n v="0.98306796805347463"/>
    <n v="0.21052419157585495"/>
    <n v="-2.9436491727894309E-2"/>
    <n v="0.05"/>
    <n v="-0.05"/>
  </r>
  <r>
    <x v="100"/>
    <n v="66537"/>
    <n v="920"/>
    <n v="1.3826893307483054E-2"/>
    <n v="65003.089699999997"/>
    <n v="0.97694650645505499"/>
    <m/>
    <n v="9.2266002374619595E-3"/>
    <n v="3853416.1"/>
    <n v="4887773.0808333335"/>
    <n v="30730"/>
    <n v="34770.5"/>
    <n v="281"/>
    <n v="320.25"/>
    <n v="154"/>
    <n v="174.08333333333334"/>
    <n v="16484"/>
    <n v="15277.583333333334"/>
    <n v="68"/>
    <n v="78.916666666666671"/>
    <n v="42"/>
    <n v="47.833333333333336"/>
    <n v="14246"/>
    <n v="19492.916666666668"/>
    <n v="213"/>
    <n v="241.33333333333334"/>
    <n v="112"/>
    <n v="126.25"/>
    <n v="54126"/>
    <n v="21103"/>
    <n v="119"/>
    <n v="64"/>
    <n v="47"/>
    <n v="8"/>
    <n v="6.8699999999999983E-2"/>
    <m/>
    <n v="1101807"/>
    <n v="810881"/>
    <n v="29102"/>
    <n v="5700.5740000000005"/>
    <n v="7.5522599285345795E-3"/>
    <n v="0.75522599285345793"/>
    <n v="454.71875"/>
    <n v="244.55462184873949"/>
    <n v="2.6412974323089252E-2"/>
    <n v="35.854441913439636"/>
    <n v="7.7778912481043081"/>
    <n v="17215.734375"/>
    <n v="9258.8823529411766"/>
    <n v="0.73595557116627508"/>
    <n v="26.387276277253498"/>
    <n v="5.7241823959677776"/>
    <n v="12670.015625"/>
    <n v="6814.1260504201682"/>
    <n v="480.15625"/>
    <n v="258.23529411764707"/>
    <n v="125.39590302635861"/>
    <n v="60209.626562500001"/>
    <n v="675.96984093180788"/>
    <n v="13713.224555160143"/>
    <n v="25022.182467532468"/>
    <d v="2020-03-01T00:00:00"/>
    <n v="47627.916666666664"/>
    <n v="16942.333333333332"/>
    <n v="78966.083333333328"/>
    <n v="89.071468750000008"/>
    <n v="142.24550018998085"/>
    <n v="658.36990513697447"/>
    <n v="7444.3524166666684"/>
    <n v="140.07265884479742"/>
    <n v="13037.758715296921"/>
    <d v="2020-03-01T00:00:00"/>
    <n v="131.83530339165614"/>
    <n v="4.8195065001741455E-3"/>
    <n v="75.416666666666671"/>
    <n v="28188.852040954833"/>
    <n v="15374.261463697223"/>
    <n v="0.97045910143741965"/>
    <n v="1.8737257837139306E-2"/>
    <n v="9.4492699797923026E-3"/>
    <n v="3.4973603362476369"/>
    <m/>
    <m/>
    <m/>
    <m/>
    <n v="32381.647899159663"/>
    <n v="5"/>
    <n v="8.75"/>
    <n v="2.8473804100227789E-4"/>
    <m/>
    <m/>
    <m/>
    <m/>
    <m/>
    <n v="4.8195065001741455E-3"/>
    <n v="0.48195065001741444"/>
    <n v="193.28001004811094"/>
    <n v="0.73595557116627497"/>
    <n v="0.97056350827210569"/>
    <n v="0.97056350827210591"/>
    <n v="0.22542106226669367"/>
    <n v="-0.26404442883372492"/>
    <n v="0.05"/>
    <n v="-0.05"/>
  </r>
  <r>
    <x v="101"/>
    <n v="38552"/>
    <n v="466"/>
    <n v="1.2087570035277028E-2"/>
    <n v="37678.227599999998"/>
    <n v="0.97733522515044613"/>
    <m/>
    <n v="1.0577204814276842E-2"/>
    <n v="2311650.86"/>
    <n v="4771042.96"/>
    <n v="8390"/>
    <n v="33003.666666666664"/>
    <n v="56"/>
    <n v="297.5"/>
    <n v="41"/>
    <n v="163.08333333333334"/>
    <n v="5724"/>
    <n v="14757.916666666666"/>
    <n v="28"/>
    <n v="74.75"/>
    <n v="23"/>
    <n v="45.833333333333336"/>
    <n v="2666"/>
    <n v="18245.75"/>
    <n v="28"/>
    <n v="222.75"/>
    <n v="18"/>
    <n v="117.25"/>
    <n v="7734"/>
    <n v="3349"/>
    <n v="117"/>
    <n v="62"/>
    <n v="47"/>
    <n v="8"/>
    <n v="5.0000000000000044E-3"/>
    <n v="2.3E-3"/>
    <n v="1024467"/>
    <n v="472308"/>
    <n v="4215"/>
    <n v="2996.288"/>
    <n v="1.8233722371033142E-3"/>
    <n v="0.18233722371033143"/>
    <n v="67.983870967741936"/>
    <n v="36.025641025641029"/>
    <n v="4.1143345759307032E-3"/>
    <n v="122.1057210965435"/>
    <n v="19.317082828549474"/>
    <n v="16523.66129032258"/>
    <n v="8756.1282051282051"/>
    <n v="0.46102802725710051"/>
    <n v="56.29415971394517"/>
    <n v="8.9057165888081755"/>
    <n v="7617.8709677419356"/>
    <n v="4036.8205128205127"/>
    <n v="135.32258064516128"/>
    <n v="71.709401709401703"/>
    <n v="275.52453635280096"/>
    <n v="37284.691290322582"/>
    <n v="771.50489539056321"/>
    <n v="41279.479642857143"/>
    <n v="56381.728292682921"/>
    <d v="2020-04-01T00:00:00"/>
    <n v="45635.583333333336"/>
    <n v="15925.25"/>
    <n v="76923.666666666672"/>
    <n v="48.327225806451615"/>
    <n v="157.63104214281137"/>
    <n v="673.67540741814753"/>
    <n v="7167.7633333333333"/>
    <n v="152.57860011764168"/>
    <n v="12933.730472896816"/>
    <d v="2020-04-01T00:00:00"/>
    <n v="135.49481286744532"/>
    <n v="4.6937820835960421E-3"/>
    <n v="73.833333333333329"/>
    <n v="31099.076840874939"/>
    <n v="17873.89076777524"/>
    <n v="0.97053407729837471"/>
    <n v="1.7537697430013145E-2"/>
    <n v="9.5518095101999895E-3"/>
    <n v="2.2564424817978517"/>
    <m/>
    <m/>
    <m/>
    <m/>
    <n v="19757.699658119658"/>
    <n v="3"/>
    <n v="8.3333333333333339"/>
    <n v="9.9324592769169649E-4"/>
    <m/>
    <n v="0.16736421349635555"/>
    <n v="2.5347595333031547E-2"/>
    <n v="-3.5227938796399183E-2"/>
    <n v="0.20968186200247896"/>
    <n v="4.6937820835960421E-3"/>
    <n v="0.46937820835960414"/>
    <n v="341.91205918790183"/>
    <n v="0.46102802725710051"/>
    <n v="0.73595557116627508"/>
    <n v="0.73595557116627508"/>
    <n v="0.21472600615610471"/>
    <n v="-0.53897197274289943"/>
    <n v="0.05"/>
    <n v="-0.05"/>
  </r>
  <r>
    <x v="102"/>
    <n v="87606"/>
    <n v="1314"/>
    <n v="1.4998972673104582E-2"/>
    <n v="85461.818200000009"/>
    <n v="0.97552471520215522"/>
    <m/>
    <n v="9.4763121247401945E-3"/>
    <n v="6138751.7400000002"/>
    <n v="4818648.9441666668"/>
    <n v="36921"/>
    <n v="32932.083333333336"/>
    <n v="290"/>
    <n v="289.25"/>
    <n v="163"/>
    <n v="160.33333333333334"/>
    <n v="16868"/>
    <n v="15111.5"/>
    <n v="82"/>
    <n v="75.666666666666671"/>
    <n v="51"/>
    <n v="46.083333333333336"/>
    <n v="20053"/>
    <n v="17820.583333333332"/>
    <n v="208"/>
    <n v="213.58333333333334"/>
    <n v="112"/>
    <n v="114.25"/>
    <n v="46990"/>
    <n v="18279"/>
    <n v="118"/>
    <n v="66"/>
    <n v="44"/>
    <n v="8"/>
    <n v="6.0400000000000009E-2"/>
    <n v="2.2100000000000002E-2"/>
    <n v="976563"/>
    <n v="1297419"/>
    <n v="12344"/>
    <n v="8154.9969999999994"/>
    <n v="2.0108322543110368E-3"/>
    <n v="0.20108322543110368"/>
    <n v="187.03030303030303"/>
    <n v="104.61016949152543"/>
    <n v="1.2640249528192241E-2"/>
    <n v="26.450069066384984"/>
    <n v="7.1793081646956196"/>
    <n v="14796.40909090909"/>
    <n v="8275.9576271186434"/>
    <n v="1.3285563757791357"/>
    <n v="35.140407897944257"/>
    <n v="9.5381156358895698"/>
    <n v="19657.863636363636"/>
    <n v="10995.076271186441"/>
    <n v="559.40909090909088"/>
    <n v="312.88983050847457"/>
    <n v="166.26721215568375"/>
    <n v="93011.39"/>
    <n v="752.75953381711861"/>
    <n v="21168.109448275864"/>
    <n v="37661.053619631901"/>
    <d v="2020-05-01T00:00:00"/>
    <n v="46003.833333333336"/>
    <n v="15900.916666666666"/>
    <n v="77029.5"/>
    <n v="123.56056060606059"/>
    <n v="159.09496962414579"/>
    <n v="685.35243991177595"/>
    <n v="7090.0332500000004"/>
    <n v="154.15371778404747"/>
    <n v="13519.068702756389"/>
    <d v="2020-05-01T00:00:00"/>
    <n v="139.25302421581077"/>
    <n v="4.4736086842832425E-3"/>
    <n v="72.5"/>
    <n v="31870.372155266039"/>
    <n v="18445.209243649126"/>
    <n v="0.97406158379594743"/>
    <n v="1.6392898142640899E-2"/>
    <n v="9.545518061411672E-3"/>
    <n v="6.2860785632877763"/>
    <m/>
    <m/>
    <m/>
    <m/>
    <n v="52023.319830508473"/>
    <n v="20"/>
    <n v="9.4166666666666661"/>
    <n v="2.5504906873233837E-4"/>
    <m/>
    <m/>
    <m/>
    <m/>
    <m/>
    <n v="4.4736086842832425E-3"/>
    <n v="0.44736086842832418"/>
    <n v="119.75025864509823"/>
    <n v="1.3285563757791354"/>
    <n v="0.46102802725710057"/>
    <n v="0.46102802725710051"/>
    <n v="0.20266323845446391"/>
    <n v="0.32855637577913566"/>
    <n v="0.05"/>
    <n v="-0.05"/>
  </r>
  <r>
    <x v="103"/>
    <n v="105868"/>
    <n v="1500"/>
    <n v="1.4168587297389202E-2"/>
    <n v="103336.2818"/>
    <n v="0.9760860864472739"/>
    <m/>
    <n v="9.7453262553368943E-3"/>
    <n v="6430948"/>
    <n v="4979203.7616666667"/>
    <n v="47833"/>
    <n v="34194.333333333336"/>
    <n v="348"/>
    <n v="289.08333333333331"/>
    <n v="188"/>
    <n v="161.5"/>
    <n v="26657"/>
    <n v="16257.75"/>
    <n v="109"/>
    <n v="78.916666666666671"/>
    <n v="59"/>
    <n v="47.583333333333336"/>
    <n v="21176"/>
    <n v="17936.583333333332"/>
    <n v="239"/>
    <n v="210.16666666666666"/>
    <n v="129"/>
    <n v="113.91666666666667"/>
    <n v="61357"/>
    <n v="21124"/>
    <n v="128"/>
    <n v="77"/>
    <n v="42"/>
    <n v="9"/>
    <n v="9.7699999999999995E-2"/>
    <n v="4.4400000000000002E-2"/>
    <n v="1207469"/>
    <n v="1318202"/>
    <n v="16152"/>
    <n v="8968"/>
    <n v="2.5116048209377529E-3"/>
    <n v="0.25116048209377528"/>
    <n v="209.76623376623377"/>
    <n v="126.1875"/>
    <n v="1.3376740934963962E-2"/>
    <n v="25.243430267806744"/>
    <n v="7.2961092964083987"/>
    <n v="15681.415584415585"/>
    <n v="9433.3515625"/>
    <n v="1.0917067022010503"/>
    <n v="27.558422009909478"/>
    <n v="7.9652114188804379"/>
    <n v="17119.506493506495"/>
    <n v="10298.453125"/>
    <n v="621.20779220779218"/>
    <n v="373.6953125"/>
    <n v="134.44584282817303"/>
    <n v="83518.805194805202"/>
    <n v="717.09946476360392"/>
    <n v="18479.735632183907"/>
    <n v="34207.170212765959"/>
    <d v="2020-06-01T00:00:00"/>
    <n v="47561.833333333336"/>
    <n v="16352.416666666666"/>
    <n v="79775"/>
    <n v="116.46753246753246"/>
    <n v="146.98951828724353"/>
    <n v="697.30708404428515"/>
    <n v="7183.0274999999992"/>
    <n v="153.87379831975508"/>
    <n v="14066.345037532721"/>
    <d v="2020-06-01T00:00:00"/>
    <n v="142.09503354129555"/>
    <n v="4.3828063077920908E-3"/>
    <n v="71.916666666666671"/>
    <n v="32563.742570506114"/>
    <n v="18912.737167759693"/>
    <n v="0.97403773776400937"/>
    <n v="1.562975593007155E-2"/>
    <n v="1.0332506305919142E-2"/>
    <n v="5.3259735860713606"/>
    <m/>
    <m/>
    <n v="54"/>
    <n v="30"/>
    <n v="50241.78125"/>
    <n v="9"/>
    <n v="9.1666666666666661"/>
    <n v="1.9163896612519948E-4"/>
    <m/>
    <m/>
    <m/>
    <m/>
    <m/>
    <n v="4.3828063077920908E-3"/>
    <n v="0.43828063077920904"/>
    <n v="134.64194915254237"/>
    <n v="1.0917067022010503"/>
    <n v="1.3285563757791357"/>
    <n v="1.3285563757791357"/>
    <n v="0.24250242765639085"/>
    <n v="9.1706702201050261E-2"/>
    <n v="0.05"/>
    <n v="-0.05"/>
  </r>
  <r>
    <x v="104"/>
    <n v="107756"/>
    <n v="1944"/>
    <n v="1.8040758751252831E-2"/>
    <n v="111959"/>
    <m/>
    <m/>
    <m/>
    <n v="7451275"/>
    <n v="5182387.1341666672"/>
    <n v="47950"/>
    <n v="35183.75"/>
    <n v="355"/>
    <n v="289.58333333333331"/>
    <n v="181"/>
    <n v="160.91666666666666"/>
    <n v="24139"/>
    <n v="16979.583333333332"/>
    <n v="93"/>
    <n v="78.916666666666671"/>
    <n v="58"/>
    <n v="48.333333333333336"/>
    <n v="23811"/>
    <n v="18204.166666666668"/>
    <n v="262"/>
    <n v="210.66666666666666"/>
    <n v="123"/>
    <n v="112.58333333333333"/>
    <n v="52884"/>
    <n v="15318"/>
    <n v="135"/>
    <n v="85"/>
    <n v="42"/>
    <n v="8"/>
    <n v="5.6799999999999996E-2"/>
    <n v="3.1899999999999998E-2"/>
    <n v="1242234"/>
    <n v="1512163"/>
    <n v="30306"/>
    <n v="10438"/>
    <n v="4.0672233946539354E-3"/>
    <n v="0.40672233946539355"/>
    <n v="356.54117647058825"/>
    <n v="224.48888888888888"/>
    <n v="2.4396369766082719E-2"/>
    <n v="25.906861313868614"/>
    <n v="8.1553023277951837"/>
    <n v="14614.517647058823"/>
    <n v="9201.7333333333336"/>
    <n v="1.2172931991879148"/>
    <n v="31.536246089676748"/>
    <n v="9.9273940609464475"/>
    <n v="17790.152941176471"/>
    <n v="11201.207407407408"/>
    <n v="564.11764705882354"/>
    <n v="355.18518518518516"/>
    <n v="155.39676746611053"/>
    <n v="87662.058823529413"/>
    <n v="713.86041387238936"/>
    <n v="20989.507042253521"/>
    <n v="41167.265193370164"/>
    <d v="2020-07-01T00:00:00"/>
    <n v="46743.75"/>
    <n v="15730"/>
    <n v="81871.166666666672"/>
    <n v="122.8"/>
    <n v="144.87095228971069"/>
    <n v="705.71902238908672"/>
    <n v="7371.2740833333328"/>
    <n v="155.24395716951824"/>
    <n v="14540.018120183502"/>
    <d v="2020-07-01T00:00:00"/>
    <n v="144.42339798001342"/>
    <n v="2.544085955466372E-3"/>
    <n v="72.416666666666671"/>
    <n v="33772.240498854335"/>
    <n v="19464.853554518642"/>
    <n v="0.97377270512643577"/>
    <n v="1.5370685078650465E-2"/>
    <n v="1.1099343765150316E-2"/>
    <n v="5.9982861522064281"/>
    <n v="140"/>
    <n v="93"/>
    <n v="54"/>
    <n v="29"/>
    <n v="55194.629629629628"/>
    <n v="6"/>
    <n v="7.833333333333333"/>
    <n v="1.6336461591936043E-4"/>
    <m/>
    <m/>
    <m/>
    <m/>
    <m/>
    <n v="2.544085955466372E-3"/>
    <n v="0.2544085955466372"/>
    <n v="119.01073002490898"/>
    <n v="1.2172931991879148"/>
    <n v="1.0917067022010503"/>
    <n v="1.0917067022010503"/>
    <n v="0.23970304954837235"/>
    <n v="0.21729319918791479"/>
    <n v="0.05"/>
    <n v="-0.05"/>
  </r>
  <r>
    <x v="105"/>
    <n v="90073"/>
    <n v="1559"/>
    <n v="1.7308183362383843E-2"/>
    <n v="87758"/>
    <n v="0.97429862444905801"/>
    <m/>
    <n v="8.393192188558142E-3"/>
    <n v="5621755"/>
    <n v="5191688.248333334"/>
    <n v="42421"/>
    <n v="35473.75"/>
    <n v="345"/>
    <n v="288.33333333333331"/>
    <n v="198"/>
    <n v="159.83333333333334"/>
    <n v="17912"/>
    <n v="17092.416666666668"/>
    <n v="74"/>
    <n v="77.833333333333329"/>
    <n v="53"/>
    <n v="48"/>
    <n v="24509"/>
    <n v="18381.333333333332"/>
    <n v="271"/>
    <n v="210.5"/>
    <n v="145"/>
    <n v="111.83333333333333"/>
    <n v="55544"/>
    <n v="26131"/>
    <n v="132"/>
    <n v="83"/>
    <n v="40"/>
    <n v="9"/>
    <n v="6.0100000000000001E-2"/>
    <n v="4.2200000000000001E-2"/>
    <n v="1155925"/>
    <n v="1218145"/>
    <n v="21677"/>
    <n v="9155"/>
    <n v="3.855913322441124E-3"/>
    <n v="0.38559133224411241"/>
    <n v="261.1686746987952"/>
    <n v="164.21969696969697"/>
    <n v="1.8752946774228431E-2"/>
    <n v="27.248886164871173"/>
    <n v="7.1992924803721943"/>
    <n v="13926.807228915663"/>
    <n v="8757.007575757576"/>
    <n v="1.0538270216493284"/>
    <n v="28.715612550387778"/>
    <n v="7.586808952573036"/>
    <n v="14676.445783132531"/>
    <n v="9228.371212121212"/>
    <n v="511.09638554216866"/>
    <n v="321.37121212121212"/>
    <n v="132.52292496640814"/>
    <n v="67731.987951807227"/>
    <n v="614.06389950846528"/>
    <n v="16294.942028985508"/>
    <n v="28392.702020202021"/>
    <d v="2020-08-01T00:00:00"/>
    <n v="47443.416666666664"/>
    <n v="16542.25"/>
    <n v="82148.833333333328"/>
    <n v="110.3012048192771"/>
    <n v="133.0578918623703"/>
    <n v="703.14735389680254"/>
    <n v="7422.2021666666669"/>
    <n v="154.49588870508251"/>
    <n v="14520.268810444548"/>
    <d v="2020-08-01T00:00:00"/>
    <n v="143.8747917186235"/>
    <n v="2.8839233865847937E-3"/>
    <n v="72.666666666666671"/>
    <n v="33962.097724866435"/>
    <n v="19547.269642582243"/>
    <n v="0.9737437282489142"/>
    <n v="1.5198072677975407E-2"/>
    <n v="1.131662507977212E-2"/>
    <n v="4.8634253952462316"/>
    <n v="186"/>
    <n v="113"/>
    <n v="68"/>
    <n v="33"/>
    <n v="42589.053030303032"/>
    <n v="7"/>
    <n v="7.583333333333333"/>
    <n v="1.7876366265135978E-4"/>
    <m/>
    <m/>
    <m/>
    <m/>
    <m/>
    <n v="2.8839233865847937E-3"/>
    <n v="0.2883923386584793"/>
    <n v="126.2616056799563"/>
    <n v="1.0538270216493286"/>
    <n v="1.2172931991879148"/>
    <n v="1.2172931991879148"/>
    <n v="0.22264915470821689"/>
    <n v="5.3827021649328399E-2"/>
    <n v="0.05"/>
    <n v="-0.05"/>
  </r>
  <r>
    <x v="106"/>
    <n v="97767"/>
    <n v="1593"/>
    <n v="1.6293841480254073E-2"/>
    <n v="95642"/>
    <n v="0.97826464962615201"/>
    <m/>
    <n v="5.4415088935939222E-3"/>
    <n v="5924969"/>
    <n v="5230166.4616666669"/>
    <n v="42639"/>
    <n v="35864.25"/>
    <n v="358"/>
    <n v="291"/>
    <n v="199"/>
    <n v="162.33333333333334"/>
    <n v="14201"/>
    <n v="16672.416666666668"/>
    <n v="62"/>
    <n v="73.833333333333329"/>
    <n v="44"/>
    <n v="46.833333333333336"/>
    <n v="28438"/>
    <n v="19191.833333333332"/>
    <n v="296"/>
    <n v="217.16666666666666"/>
    <n v="155"/>
    <n v="115.5"/>
    <n v="45106"/>
    <n v="27003"/>
    <n v="135"/>
    <n v="83"/>
    <n v="42"/>
    <n v="10"/>
    <n v="3.0200000000000001E-2"/>
    <n v="3.9199999999999999E-2"/>
    <n v="1273607"/>
    <n v="1339989"/>
    <n v="22125"/>
    <n v="9603"/>
    <n v="3.7341967527593817E-3"/>
    <n v="0.37341967527593817"/>
    <n v="266.56626506024094"/>
    <n v="163.88888888888889"/>
    <n v="1.7371920851565671E-2"/>
    <n v="29.869532587537233"/>
    <n v="8.3998502861546029"/>
    <n v="15344.662650602409"/>
    <n v="9434.1259259259259"/>
    <n v="1.0521212587556443"/>
    <n v="31.426370224442412"/>
    <n v="8.8376610564279403"/>
    <n v="16144.445783132531"/>
    <n v="9925.8444444444449"/>
    <n v="513.72289156626505"/>
    <n v="315.84444444444443"/>
    <n v="138.95656558549683"/>
    <n v="71385.168674698798"/>
    <n v="616.99146100177029"/>
    <n v="16550.192737430167"/>
    <n v="29773.713567839197"/>
    <d v="2020-09-01T00:00:00"/>
    <n v="46831"/>
    <n v="17109.666666666668"/>
    <n v="83604.416666666672"/>
    <n v="115.6987951807229"/>
    <n v="139.53858169322086"/>
    <n v="695.63810551948029"/>
    <n v="7578.6003333333329"/>
    <n v="154.07999732553932"/>
    <n v="14713.037070150036"/>
    <d v="2020-09-01T00:00:00"/>
    <n v="144.3144639125168"/>
    <n v="2.8184520096751799E-3"/>
    <n v="73.333333333333329"/>
    <n v="33749.339910746516"/>
    <n v="19529.921072132918"/>
    <n v="0.97621798327549625"/>
    <n v="1.4940077110171755E-2"/>
    <n v="9.1238197635212254E-3"/>
    <n v="4.6521171758635118"/>
    <n v="143"/>
    <n v="92"/>
    <n v="53"/>
    <n v="28"/>
    <n v="43888.659259259257"/>
    <n v="5"/>
    <n v="7"/>
    <n v="1.6416895330565915E-4"/>
    <m/>
    <m/>
    <m/>
    <m/>
    <m/>
    <n v="2.8184520096751799E-3"/>
    <n v="0.28184520096751792"/>
    <n v="132.62595022388837"/>
    <n v="1.0521212587556443"/>
    <n v="1.0538270216493286"/>
    <n v="1.0538270216493284"/>
    <n v="0.24351175231890174"/>
    <n v="5.2121258755644329E-2"/>
    <n v="0.05"/>
    <n v="-0.05"/>
  </r>
  <r>
    <x v="107"/>
    <n v="96319"/>
    <n v="1582"/>
    <n v="1.6424589125717669E-2"/>
    <n v="94050"/>
    <n v="0.97644286174067418"/>
    <m/>
    <n v="7.1325491336081473E-3"/>
    <n v="5648569"/>
    <n v="5242978.4241666673"/>
    <n v="39090"/>
    <n v="36112.583333333336"/>
    <n v="344"/>
    <n v="291.58333333333331"/>
    <n v="189"/>
    <n v="162.25"/>
    <n v="14917"/>
    <n v="16641.25"/>
    <n v="72"/>
    <n v="72.833333333333329"/>
    <n v="52"/>
    <n v="46.916666666666664"/>
    <n v="24173"/>
    <n v="19471.333333333332"/>
    <n v="272"/>
    <n v="218.75"/>
    <n v="137"/>
    <n v="115.33333333333333"/>
    <n v="51740"/>
    <n v="26659"/>
    <n v="141"/>
    <n v="89"/>
    <n v="43"/>
    <n v="9"/>
    <n v="3.4500000000000003E-2"/>
    <n v="3.5700000000000003E-2"/>
    <n v="1246836"/>
    <n v="1154505"/>
    <n v="19232"/>
    <n v="9571"/>
    <n v="3.4047561426619735E-3"/>
    <n v="0.34047561426619732"/>
    <n v="216.08988764044943"/>
    <n v="136.39716312056737"/>
    <n v="1.54246428559971E-2"/>
    <n v="31.896546431312355"/>
    <n v="8.0655202173944698"/>
    <n v="14009.393258426966"/>
    <n v="8842.8085106382987"/>
    <n v="0.92594775896749848"/>
    <n v="29.534535686876438"/>
    <n v="7.4682503702034602"/>
    <n v="12971.966292134832"/>
    <n v="8187.9787234042551"/>
    <n v="439.2134831460674"/>
    <n v="277.2340425531915"/>
    <n v="144.50163724737786"/>
    <n v="63467.067415730337"/>
    <n v="590.17542576533276"/>
    <n v="16420.258720930233"/>
    <n v="29886.608465608464"/>
    <d v="2020-10-01T00:00:00"/>
    <n v="46525.666666666664"/>
    <n v="17971.5"/>
    <n v="84133"/>
    <n v="107.53932584269663"/>
    <n v="120.62532650715704"/>
    <n v="687.36939123412321"/>
    <n v="7711.9798333333338"/>
    <n v="153.44104382928438"/>
    <n v="14581.023438650451"/>
    <d v="2020-10-01T00:00:00"/>
    <n v="142.64805414445681"/>
    <n v="2.8715101206739989E-3"/>
    <n v="74.333333333333329"/>
    <n v="33829.879453933187"/>
    <n v="19539.515963070968"/>
    <n v="0.97635970756154711"/>
    <n v="1.5067721177455971E-2"/>
    <n v="8.8428474040693553E-3"/>
    <n v="4.5303223519372233"/>
    <n v="172"/>
    <n v="99"/>
    <n v="51"/>
    <n v="27"/>
    <n v="40060.773049645388"/>
    <n v="2"/>
    <n v="6.75"/>
    <n v="1.7267843438219493E-4"/>
    <m/>
    <m/>
    <m/>
    <m/>
    <m/>
    <n v="2.8715101206739989E-3"/>
    <n v="0.28715101206739985"/>
    <n v="130.27228084839621"/>
    <n v="0.92594775896749848"/>
    <n v="1.0521212587556446"/>
    <n v="1.0521212587556446"/>
    <n v="0.23781062959422256"/>
    <n v="-7.405224103250152E-2"/>
    <n v="0.05"/>
    <n v="-0.05"/>
  </r>
  <r>
    <x v="108"/>
    <n v="100372"/>
    <n v="1770"/>
    <n v="1.7634400031881402E-2"/>
    <n v="98022"/>
    <n v="0.9765870960028693"/>
    <m/>
    <n v="5.7785039652492945E-3"/>
    <n v="6154335"/>
    <n v="5298812.6683333339"/>
    <n v="47073"/>
    <n v="37174.5"/>
    <n v="312"/>
    <n v="292.41666666666669"/>
    <n v="185"/>
    <n v="162.58333333333334"/>
    <n v="16963"/>
    <n v="16783.833333333332"/>
    <n v="75"/>
    <n v="71.333333333333329"/>
    <n v="52"/>
    <n v="46.416666666666664"/>
    <n v="30110"/>
    <n v="20390.666666666668"/>
    <n v="237"/>
    <n v="221.08333333333334"/>
    <n v="133"/>
    <n v="116.16666666666667"/>
    <n v="65536"/>
    <n v="31529"/>
    <n v="141"/>
    <n v="90"/>
    <n v="42"/>
    <n v="9"/>
    <n v="6.5700000000000008E-2"/>
    <n v="2.9499999999999998E-2"/>
    <n v="1254403"/>
    <n v="1316918"/>
    <n v="11240"/>
    <n v="9935"/>
    <n v="1.8263549189311275E-3"/>
    <n v="0.18263549189311273"/>
    <n v="124.88888888888889"/>
    <n v="79.716312056737593"/>
    <n v="8.9604377540551169E-3"/>
    <n v="26.648036029146219"/>
    <n v="6.8823221197764788"/>
    <n v="13937.81111111111"/>
    <n v="8896.4751773049647"/>
    <n v="1.0498364560671491"/>
    <n v="27.976079705988571"/>
    <n v="7.2253126637386877"/>
    <n v="14632.422222222222"/>
    <n v="9339.8439716312059"/>
    <n v="523.0333333333333"/>
    <n v="333.85106382978722"/>
    <n v="130.740233254732"/>
    <n v="68381.5"/>
    <n v="619.45998993457476"/>
    <n v="19725.432692307691"/>
    <n v="33266.675675675673"/>
    <d v="2020-11-01T00:00:00"/>
    <n v="48280"/>
    <n v="19414.166666666668"/>
    <n v="85236.25"/>
    <n v="110.38888888888889"/>
    <n v="132.55339708102667"/>
    <n v="679.05454328124597"/>
    <n v="7904.4644166666667"/>
    <n v="151.02330457701461"/>
    <n v="14603.420095697109"/>
    <d v="2020-11-01T00:00:00"/>
    <n v="141.60701027821278"/>
    <n v="3.0147110287222245E-3"/>
    <n v="75.416666666666671"/>
    <n v="34077.091344954039"/>
    <n v="19669.967564361516"/>
    <n v="0.97628724303867886"/>
    <n v="1.5451749213119766E-2"/>
    <n v="8.4963722516681328E-3"/>
    <n v="4.9061864488525622"/>
    <n v="190"/>
    <n v="106"/>
    <n v="70"/>
    <n v="28"/>
    <n v="43647.765957446805"/>
    <n v="2"/>
    <n v="6.416666666666667"/>
    <n v="1.3631310234458536E-4"/>
    <m/>
    <m/>
    <m/>
    <m/>
    <m/>
    <n v="3.0147110287222245E-3"/>
    <n v="0.30147110287222245"/>
    <n v="126.26099647710116"/>
    <n v="1.0498364560671491"/>
    <n v="0.92594775896749859"/>
    <n v="0.92594775896749837"/>
    <n v="0.23673284535921416"/>
    <n v="4.9836456067149149E-2"/>
    <n v="0.05"/>
    <n v="-0.05"/>
  </r>
  <r>
    <x v="109"/>
    <n v="66556"/>
    <n v="999"/>
    <n v="1.50099164613258E-2"/>
    <n v="64875"/>
    <n v="0.97474307350201339"/>
    <m/>
    <n v="1.0247010036660809E-2"/>
    <n v="4568308"/>
    <n v="5360124.17"/>
    <n v="33170"/>
    <n v="37399.166666666664"/>
    <n v="287"/>
    <n v="297.66666666666669"/>
    <n v="183"/>
    <n v="167.08333333333334"/>
    <n v="7905"/>
    <n v="16256.083333333334"/>
    <n v="57"/>
    <n v="70.75"/>
    <n v="49"/>
    <n v="46.916666666666664"/>
    <n v="25265"/>
    <n v="21143.083333333332"/>
    <n v="230"/>
    <n v="226.91666666666666"/>
    <n v="134"/>
    <n v="120.16666666666667"/>
    <n v="32406"/>
    <n v="11482"/>
    <n v="139"/>
    <n v="87"/>
    <n v="43"/>
    <n v="9"/>
    <n v="6.3799999999999996E-2"/>
    <n v="0.26350000000000001"/>
    <n v="1227528"/>
    <n v="975774"/>
    <n v="15701"/>
    <n v="7227"/>
    <n v="3.4369398910931576E-3"/>
    <n v="0.34369398910931576"/>
    <n v="180.4712643678161"/>
    <n v="112.9568345323741"/>
    <n v="1.2790746932045542E-2"/>
    <n v="37.007175158275551"/>
    <n v="10.637902857146983"/>
    <n v="14109.51724137931"/>
    <n v="8831.1366906474814"/>
    <n v="0.79490976987897632"/>
    <n v="29.417365088935785"/>
    <n v="8.4561729121696132"/>
    <n v="11215.793103448275"/>
    <n v="7019.9568345323742"/>
    <n v="381.26436781609198"/>
    <n v="238.63309352517985"/>
    <n v="137.72408803135363"/>
    <n v="52509.287356321838"/>
    <n v="632.11678428116784"/>
    <n v="15917.449477351916"/>
    <n v="24963.43169398907"/>
    <d v="2020-12-01T00:00:00"/>
    <n v="47458.666666666664"/>
    <n v="19328.166666666668"/>
    <n v="85546.166666666672"/>
    <n v="83.068965517241381"/>
    <n v="135.01784973017851"/>
    <n v="673.34614595076607"/>
    <n v="8050.8582500000002"/>
    <n v="152.01987509250179"/>
    <n v="14649.100342902273"/>
    <d v="2020-12-01T00:00:00"/>
    <n v="140.99533514266662"/>
    <n v="3.1071275332228612E-3"/>
    <n v="76.583333333333329"/>
    <n v="33681.556918936338"/>
    <n v="19570.614403247982"/>
    <n v="0.97623666529517517"/>
    <n v="1.5479835267355765E-2"/>
    <n v="8.5163106632780254E-3"/>
    <n v="3.7215509544385137"/>
    <n v="93"/>
    <n v="70"/>
    <n v="33"/>
    <n v="24"/>
    <n v="32865.525179856115"/>
    <n v="3"/>
    <n v="6.416666666666667"/>
    <n v="1.9344789468395137E-4"/>
    <m/>
    <m/>
    <m/>
    <m/>
    <m/>
    <n v="3.1071275332228612E-3"/>
    <n v="0.31071275332228615"/>
    <n v="169.8530510585305"/>
    <n v="0.79490976987897644"/>
    <n v="1.0498364560671491"/>
    <n v="1.0498364560671491"/>
    <n v="0.22901111262875837"/>
    <n v="-0.20509023012102368"/>
    <n v="0.05"/>
    <n v="-0.05"/>
  </r>
  <r>
    <x v="110"/>
    <n v="77022"/>
    <n v="1346"/>
    <n v="1.747552647295578E-2"/>
    <n v="74996"/>
    <n v="0.97369582716626424"/>
    <m/>
    <n v="8.8286463607799813E-3"/>
    <n v="4840134"/>
    <n v="5328541.8116666665"/>
    <n v="33542"/>
    <n v="36939.583333333336"/>
    <n v="282"/>
    <n v="296.75"/>
    <n v="174"/>
    <n v="169"/>
    <n v="12451"/>
    <n v="15773.583333333334"/>
    <n v="55"/>
    <n v="69.75"/>
    <n v="42"/>
    <n v="47.166666666666664"/>
    <n v="21091"/>
    <n v="21166"/>
    <n v="227"/>
    <n v="227"/>
    <n v="132"/>
    <n v="121.83333333333333"/>
    <n v="34378"/>
    <n v="21182"/>
    <n v="136"/>
    <n v="82"/>
    <n v="45"/>
    <n v="9"/>
    <n v="6.6799999999999998E-2"/>
    <n v="9.3399999999999997E-2"/>
    <n v="1100908"/>
    <n v="1058078"/>
    <n v="11284"/>
    <n v="7664"/>
    <n v="2.3313404133026069E-3"/>
    <n v="0.23313404133026069"/>
    <n v="137.60975609756099"/>
    <n v="82.970588235294116"/>
    <n v="1.0249721139277759E-2"/>
    <n v="32.821775684216803"/>
    <n v="8.6710703877759983"/>
    <n v="13425.707317073171"/>
    <n v="8094.911764705882"/>
    <n v="0.96109575005359216"/>
    <n v="31.544869119313098"/>
    <n v="8.333728898107065"/>
    <n v="12903.390243902439"/>
    <n v="7779.9852941176468"/>
    <n v="409.04878048780489"/>
    <n v="246.63235294117646"/>
    <n v="144.30069763281855"/>
    <n v="59026.024390243903"/>
    <n v="631.54149269311063"/>
    <n v="17163.59574468085"/>
    <n v="27816.862068965518"/>
    <d v="2021-01-01T00:00:00"/>
    <n v="46152"/>
    <n v="19722.916666666668"/>
    <n v="84228.666666666672"/>
    <n v="93.463414634146346"/>
    <n v="138.05819415448852"/>
    <n v="669.76187725705745"/>
    <n v="8044.761583333333"/>
    <n v="152.90923774931318"/>
    <n v="14433.907373031398"/>
    <d v="2021-01-01T00:00:00"/>
    <n v="141.15851234511496"/>
    <n v="3.1260251988954792E-3"/>
    <n v="77.75"/>
    <n v="33119.318437928494"/>
    <n v="19516.522040674459"/>
    <n v="0.97582325830728156"/>
    <n v="1.5759272021866989E-2"/>
    <n v="8.6248775553410331E-3"/>
    <n v="4.3964927132875768"/>
    <n v="106"/>
    <n v="74"/>
    <n v="39"/>
    <n v="27"/>
    <n v="35589.220588235294"/>
    <n v="4"/>
    <n v="6.333333333333333"/>
    <n v="1.888179993242303E-4"/>
    <m/>
    <m/>
    <m/>
    <m/>
    <m/>
    <n v="3.1260251988954792E-3"/>
    <n v="0.3126025198895479"/>
    <n v="143.64665970772444"/>
    <n v="0.96109575005359205"/>
    <n v="0.79490976987897632"/>
    <n v="0.79490976987897632"/>
    <n v="0.20660586684139332"/>
    <n v="-3.8904249946407843E-2"/>
    <n v="0.05"/>
    <n v="-0.05"/>
  </r>
  <r>
    <x v="111"/>
    <n v="75949"/>
    <n v="1102"/>
    <n v="1.4509736797061187E-2"/>
    <n v="74398"/>
    <n v="0.97957840129560625"/>
    <m/>
    <n v="5.9118619073325641E-3"/>
    <n v="4600143"/>
    <n v="5295354.5583333336"/>
    <n v="31481"/>
    <n v="36770"/>
    <n v="319"/>
    <n v="298.08333333333331"/>
    <n v="196"/>
    <n v="170.91666666666666"/>
    <n v="10428"/>
    <n v="15387.416666666666"/>
    <n v="72"/>
    <n v="70.583333333333329"/>
    <n v="51"/>
    <n v="48"/>
    <n v="21053"/>
    <n v="21382.583333333332"/>
    <n v="247"/>
    <n v="227.5"/>
    <n v="145"/>
    <n v="122.91666666666667"/>
    <n v="40800"/>
    <n v="18744"/>
    <n v="132"/>
    <n v="78"/>
    <n v="45"/>
    <n v="9"/>
    <n v="4.4500000000000005E-2"/>
    <n v="3.7200000000000004E-2"/>
    <n v="1177971"/>
    <n v="997771"/>
    <n v="32539"/>
    <n v="7342"/>
    <n v="7.0734757593405246E-3"/>
    <n v="0.70734757593405251"/>
    <n v="417.16666666666669"/>
    <n v="246.50757575757575"/>
    <n v="2.7622921107565465E-2"/>
    <n v="37.418474635494427"/>
    <n v="9.1472289736680672"/>
    <n v="15102.192307692309"/>
    <n v="8924.0227272727279"/>
    <n v="0.84702509654312375"/>
    <n v="31.69438709062609"/>
    <n v="7.747932504523253"/>
    <n v="12791.935897435897"/>
    <n v="7558.871212121212"/>
    <n v="403.60256410256409"/>
    <n v="238.49242424242425"/>
    <n v="146.12442425590038"/>
    <n v="58976.192307692305"/>
    <n v="626.5517570144375"/>
    <n v="14420.510971786834"/>
    <n v="23470.117346938776"/>
    <d v="2021-02-01T00:00:00"/>
    <n v="45716.75"/>
    <n v="20158.583333333332"/>
    <n v="84198.083333333328"/>
    <n v="94.128205128205124"/>
    <n v="135.89907382184691"/>
    <n v="663.50791324786189"/>
    <n v="8062.9049166666664"/>
    <n v="152.65840273360118"/>
    <n v="14182.650749099774"/>
    <d v="2021-02-01T00:00:00"/>
    <n v="140.46519144868174"/>
    <n v="3.6356891530058763E-3"/>
    <n v="78.833333333333329"/>
    <n v="32667.459218766846"/>
    <n v="19343.536557850315"/>
    <n v="0.9763184606397789"/>
    <n v="1.5648247983007204E-2"/>
    <n v="8.2507923561453405E-3"/>
    <n v="3.9051411282620712"/>
    <n v="123"/>
    <n v="82"/>
    <n v="33"/>
    <n v="20"/>
    <n v="34849.568181818184"/>
    <n v="2"/>
    <n v="5.666666666666667"/>
    <n v="1.8000275298328094E-4"/>
    <m/>
    <m/>
    <m/>
    <m/>
    <m/>
    <n v="3.6356891530058763E-3"/>
    <n v="0.36356891530058766"/>
    <n v="160.44279487877964"/>
    <n v="0.84702509654312363"/>
    <n v="0.96109575005359205"/>
    <n v="0.96109575005359216"/>
    <n v="0.22245365952808949"/>
    <n v="-0.15297490345687625"/>
    <n v="0.05"/>
    <n v="-0.05"/>
  </r>
  <r>
    <x v="112"/>
    <n v="99450"/>
    <n v="2026"/>
    <n v="2.0372046254399194E-2"/>
    <n v="97087"/>
    <n v="0.97623931623931626"/>
    <m/>
    <n v="3.3886375062845489E-3"/>
    <n v="5568012"/>
    <n v="5438237.5499999998"/>
    <n v="50532"/>
    <n v="38420.166666666664"/>
    <n v="343"/>
    <n v="303.25"/>
    <n v="200"/>
    <n v="174.75"/>
    <n v="19813"/>
    <n v="15664.833333333334"/>
    <n v="75"/>
    <n v="71.166666666666671"/>
    <n v="49"/>
    <n v="48.583333333333336"/>
    <n v="30719"/>
    <n v="22755.333333333332"/>
    <n v="268"/>
    <n v="232.08333333333334"/>
    <n v="151"/>
    <n v="126.16666666666667"/>
    <n v="56926"/>
    <n v="25138"/>
    <n v="138"/>
    <n v="89"/>
    <n v="41"/>
    <n v="8"/>
    <n v="3.1300000000000001E-2"/>
    <n v="2.8799999999999999E-2"/>
    <n v="1235014"/>
    <n v="983776"/>
    <n v="-15429"/>
    <n v="9653"/>
    <n v="-2.7710069590367262E-3"/>
    <n v="-0.27710069590367264"/>
    <n v="-173.35955056179776"/>
    <n v="-111.80434782608695"/>
    <n v="-1.2492975788128717E-2"/>
    <n v="24.440235890129028"/>
    <n v="7.1787627285964364"/>
    <n v="13876.561797752809"/>
    <n v="8949.3768115942021"/>
    <n v="0.79657072713345756"/>
    <n v="19.468376474313306"/>
    <n v="5.7183922466366273"/>
    <n v="11053.662921348314"/>
    <n v="7128.811594202899"/>
    <n v="567.77528089887642"/>
    <n v="366.17391304347825"/>
    <n v="110.18784136784612"/>
    <n v="62561.932584269663"/>
    <n v="576.81674090956176"/>
    <n v="16233.271137026239"/>
    <n v="27840.06"/>
    <d v="2021-03-01T00:00:00"/>
    <n v="45950.083333333336"/>
    <n v="20494.833333333332"/>
    <n v="86940.833333333328"/>
    <n v="108.46067415730337"/>
    <n v="101.9140163679685"/>
    <n v="655.24515491267482"/>
    <n v="8392.2737500000003"/>
    <n v="151.39106426205848"/>
    <n v="14047.954690462133"/>
    <d v="2021-03-01T00:00:00"/>
    <n v="137.10423446351408"/>
    <n v="2.775416912374934E-3"/>
    <n v="80.916666666666671"/>
    <n v="32902.282346472472"/>
    <n v="19553.540439672488"/>
    <n v="0.97625417062016628"/>
    <n v="1.6193677395250215E-2"/>
    <n v="7.7200684714928492E-3"/>
    <n v="4.5084606328349315"/>
    <n v="159"/>
    <n v="89"/>
    <n v="64"/>
    <n v="28"/>
    <n v="40347.913043478264"/>
    <n v="10"/>
    <n v="6.083333333333333"/>
    <n v="1.2038576215731285E-4"/>
    <m/>
    <m/>
    <m/>
    <m/>
    <m/>
    <n v="2.775416912374934E-3"/>
    <n v="0.27754169123749345"/>
    <n v="127.94095099968922"/>
    <n v="0.79657072713345756"/>
    <n v="0.84702509654312363"/>
    <n v="0.84702509654312363"/>
    <n v="0.2270982075801378"/>
    <n v="-0.20342927286654244"/>
    <n v="0.05"/>
    <n v="-0.05"/>
  </r>
  <r>
    <x v="113"/>
    <n v="76552"/>
    <n v="1401"/>
    <n v="1.8301285400773332E-2"/>
    <n v="74772"/>
    <n v="0.97674783153934586"/>
    <m/>
    <n v="4.9508830598808118E-3"/>
    <n v="4844169"/>
    <n v="5649280.7283333344"/>
    <n v="35887"/>
    <n v="40711.583333333336"/>
    <n v="285"/>
    <n v="322.33333333333331"/>
    <n v="163"/>
    <n v="184.91666666666666"/>
    <n v="10844"/>
    <n v="16091.5"/>
    <n v="54"/>
    <n v="73.333333333333329"/>
    <n v="37"/>
    <n v="49.75"/>
    <n v="25043"/>
    <n v="24620.083333333332"/>
    <n v="231"/>
    <n v="249"/>
    <n v="126"/>
    <n v="135.16666666666666"/>
    <n v="44560"/>
    <n v="18272"/>
    <n v="136"/>
    <n v="87"/>
    <n v="41"/>
    <n v="8"/>
    <n v="3.9900000000000005E-2"/>
    <n v="6.9500000000000006E-2"/>
    <n v="1004637"/>
    <n v="971890"/>
    <n v="21210"/>
    <n v="7946"/>
    <n v="4.3784599587669212E-3"/>
    <n v="0.43784599587669215"/>
    <n v="243.79310344827587"/>
    <n v="155.95588235294119"/>
    <n v="2.1112103177565629E-2"/>
    <n v="27.994454816507371"/>
    <n v="7.156256269922773"/>
    <n v="11547.551724137931"/>
    <n v="7387.036764705882"/>
    <n v="0.96740414697049781"/>
    <n v="27.081951681667455"/>
    <n v="6.9229919923069172"/>
    <n v="11171.149425287356"/>
    <n v="7146.25"/>
    <n v="412.4942528735632"/>
    <n v="263.875"/>
    <n v="134.98394961963942"/>
    <n v="55680.103448275862"/>
    <n v="609.63616914170655"/>
    <n v="16997.084210526315"/>
    <n v="29718.828220858897"/>
    <d v="2021-04-01T00:00:00"/>
    <n v="49018.916666666664"/>
    <n v="21738.416666666668"/>
    <n v="90107.5"/>
    <n v="91.333333333333329"/>
    <n v="122.31185502139441"/>
    <n v="641.7560943919367"/>
    <n v="8804.7497500000009"/>
    <n v="139.6793487009617"/>
    <n v="14344.061228590917"/>
    <d v="2021-04-01T00:00:00"/>
    <n v="134.16096887006265"/>
    <n v="2.988340889180235E-3"/>
    <n v="83"/>
    <n v="30680.374007153805"/>
    <n v="17530.007486978251"/>
    <n v="0.97620077120097537"/>
    <n v="1.6711487009041574E-2"/>
    <n v="7.2085846756386636E-3"/>
    <n v="4.8218102657974971"/>
    <n v="134"/>
    <n v="90"/>
    <n v="49"/>
    <n v="28"/>
    <n v="35618.88970588235"/>
    <n v="4"/>
    <n v="6.166666666666667"/>
    <n v="1.718356693695953E-4"/>
    <m/>
    <n v="0.22804543989687409"/>
    <n v="0.58102543914713434"/>
    <n v="0.3804653963268112"/>
    <n v="0.15848303230895588"/>
    <n v="2.988340889180235E-3"/>
    <n v="0.29883408891802343"/>
    <n v="126.43304807450289"/>
    <n v="0.96740414697049781"/>
    <n v="0.79657072713345756"/>
    <n v="0.79657072713345767"/>
    <n v="0.17783449757795813"/>
    <n v="-3.2595853029502186E-2"/>
    <n v="0.05"/>
    <n v="-0.05"/>
  </r>
  <r>
    <x v="114"/>
    <n v="95267"/>
    <n v="1447"/>
    <n v="1.5188890171832848E-2"/>
    <n v="93267"/>
    <n v="0.97900637156622961"/>
    <m/>
    <n v="5.8047382619375466E-3"/>
    <n v="5464720"/>
    <n v="5593111.416666667"/>
    <n v="50285"/>
    <n v="41825.25"/>
    <n v="355"/>
    <n v="327.75"/>
    <n v="185"/>
    <n v="186.75"/>
    <n v="18263"/>
    <n v="16207.75"/>
    <n v="84"/>
    <n v="73.5"/>
    <n v="56"/>
    <n v="50.166666666666664"/>
    <n v="32022"/>
    <n v="25617.5"/>
    <n v="271"/>
    <n v="254.25"/>
    <n v="129"/>
    <n v="136.58333333333334"/>
    <n v="49588"/>
    <n v="23730"/>
    <n v="140"/>
    <n v="89"/>
    <n v="42"/>
    <n v="9"/>
    <n v="6.9199999999999998E-2"/>
    <n v="3.4500000000000003E-2"/>
    <n v="1004637"/>
    <n v="1098912"/>
    <n v="15217"/>
    <n v="9093"/>
    <n v="2.7845891463789546E-3"/>
    <n v="0.27845891463789546"/>
    <n v="170.97752808988764"/>
    <n v="108.69285714285714"/>
    <n v="1.514676445323037E-2"/>
    <n v="19.978860495177489"/>
    <n v="6.0344810498384964"/>
    <n v="11288.056179775282"/>
    <n v="7175.9785714285717"/>
    <n v="1.0938398645480905"/>
    <n v="21.853674057870141"/>
    <n v="6.6007559341733604"/>
    <n v="12347.325842696629"/>
    <n v="7849.3714285714286"/>
    <n v="565"/>
    <n v="359.17857142857144"/>
    <n v="108.67495276921547"/>
    <n v="61401.348314606745"/>
    <n v="600.98097437589354"/>
    <n v="15393.577464788732"/>
    <n v="29539.027027027027"/>
    <d v="2021-05-01T00:00:00"/>
    <n v="49235.416666666664"/>
    <n v="22192.666666666668"/>
    <n v="90745.916666666672"/>
    <n v="102.1685393258427"/>
    <n v="120.85252391949851"/>
    <n v="629.10788110516796"/>
    <n v="8882.9166666666661"/>
    <n v="134.87999375208932"/>
    <n v="13734.84974578533"/>
    <d v="2021-05-01T00:00:00"/>
    <n v="130.97409839467539"/>
    <n v="3.0528206301858947E-3"/>
    <n v="84.916666666666671"/>
    <n v="30003.538457770061"/>
    <n v="17048.796488354325"/>
    <n v="0.97651728541589122"/>
    <n v="1.6727313467268929E-2"/>
    <n v="6.8748052335656949E-3"/>
    <n v="5.4394970521690915"/>
    <n v="158"/>
    <n v="91"/>
    <n v="71"/>
    <n v="33"/>
    <n v="39033.714285714283"/>
    <n v="2"/>
    <n v="4.666666666666667"/>
    <n v="9.2804348546617622E-5"/>
    <m/>
    <m/>
    <m/>
    <m/>
    <m/>
    <n v="3.0528206301858947E-3"/>
    <n v="0.3052820630185894"/>
    <n v="110.48465852853843"/>
    <n v="1.0938398645480905"/>
    <n v="0.96740414697049781"/>
    <n v="0.96740414697049781"/>
    <n v="0.17962041610798712"/>
    <n v="9.3839864548090457E-2"/>
    <n v="0.05"/>
    <n v="-0.05"/>
  </r>
  <r>
    <x v="115"/>
    <n v="84696"/>
    <n v="1547"/>
    <n v="1.8265325399074335E-2"/>
    <n v="82296"/>
    <n v="0.97166336072541792"/>
    <m/>
    <n v="1.0071313875507741E-2"/>
    <n v="5464721"/>
    <n v="5512592.5"/>
    <n v="39588"/>
    <n v="41138.166666666664"/>
    <n v="355"/>
    <n v="328.33333333333331"/>
    <n v="197"/>
    <n v="187.5"/>
    <n v="13628"/>
    <n v="15122"/>
    <n v="76"/>
    <n v="70.75"/>
    <n v="56"/>
    <n v="49.916666666666664"/>
    <n v="25960"/>
    <n v="26016.166666666668"/>
    <n v="279"/>
    <n v="257.58333333333331"/>
    <n v="141"/>
    <n v="137.58333333333334"/>
    <n v="48437"/>
    <n v="20702"/>
    <n v="138"/>
    <n v="86"/>
    <n v="44"/>
    <n v="8"/>
    <n v="6.2199999999999998E-2"/>
    <n v="4.4999999999999998E-2"/>
    <n v="1422347"/>
    <n v="1123368"/>
    <n v="22441"/>
    <n v="8666"/>
    <n v="4.1065225470797136E-3"/>
    <n v="0.41065225470797134"/>
    <n v="260.94186046511629"/>
    <n v="162.6159420289855"/>
    <n v="1.5777443900820264E-2"/>
    <n v="35.928741032636154"/>
    <n v="9.4236979321950791"/>
    <n v="16538.918604651164"/>
    <n v="10306.86231884058"/>
    <n v="0.78979883249305549"/>
    <n v="28.376477720521372"/>
    <n v="7.4428256246148949"/>
    <n v="13062.418604651162"/>
    <n v="8140.347826086957"/>
    <n v="460.32558139534882"/>
    <n v="286.86956521739131"/>
    <n v="138.03983530362737"/>
    <n v="63543.267441860466"/>
    <n v="630.59323794138015"/>
    <n v="15393.580281690141"/>
    <n v="27739.700507614212"/>
    <d v="2021-06-01T00:00:00"/>
    <n v="48158.75"/>
    <n v="22157.5"/>
    <n v="88981.583333333328"/>
    <n v="100.76744186046511"/>
    <n v="129.62935610431572"/>
    <n v="621.89902886998254"/>
    <n v="8857.75"/>
    <n v="135.17949312504385"/>
    <n v="13396.759088380721"/>
    <d v="2021-06-01T00:00:00"/>
    <n v="129.52741821276473"/>
    <n v="3.1857304406977247E-3"/>
    <n v="85.666666666666671"/>
    <n v="29464.582649007421"/>
    <n v="16791.616875813179"/>
    <n v="0.97611521944117707"/>
    <n v="1.7068708309076024E-2"/>
    <n v="6.9044404717630466E-3"/>
    <n v="3.8420448737192823"/>
    <n v="147"/>
    <n v="94"/>
    <n v="51"/>
    <n v="24"/>
    <n v="39599.427536231888"/>
    <n v="5"/>
    <n v="4.333333333333333"/>
    <n v="1.0946077936074905E-4"/>
    <m/>
    <m/>
    <m/>
    <m/>
    <m/>
    <n v="3.1857304406977247E-3"/>
    <n v="0.31857304406977244"/>
    <n v="164.12958689129934"/>
    <n v="0.78979883249305549"/>
    <n v="1.0938398645480905"/>
    <n v="1.0938398645480905"/>
    <n v="0.25801780196885588"/>
    <n v="-0.21020116750694451"/>
    <n v="0.05"/>
    <n v="-0.05"/>
  </r>
  <r>
    <x v="116"/>
    <n v="98436"/>
    <n v="1842"/>
    <n v="1.8712666097769108E-2"/>
    <n v="95876"/>
    <n v="0.97399325450038599"/>
    <m/>
    <n v="7.2940794018449065E-3"/>
    <n v="6986771"/>
    <n v="5473883.833333333"/>
    <n v="45140"/>
    <n v="40904"/>
    <n v="361"/>
    <n v="328.83333333333331"/>
    <n v="183"/>
    <n v="187.66666666666666"/>
    <n v="19866"/>
    <n v="14765.916666666666"/>
    <n v="84"/>
    <n v="70"/>
    <n v="59"/>
    <n v="50"/>
    <n v="25274"/>
    <n v="26138.083333333332"/>
    <n v="277"/>
    <n v="258.83333333333331"/>
    <n v="124"/>
    <n v="137.66666666666666"/>
    <n v="47168"/>
    <n v="21659"/>
    <n v="147"/>
    <n v="95"/>
    <n v="45"/>
    <n v="7"/>
    <n v="4.4999999999999998E-2"/>
    <n v="4.8099999999999997E-2"/>
    <n v="1515606"/>
    <n v="1338707"/>
    <n v="12553"/>
    <n v="9861"/>
    <n v="1.7966811850567308E-3"/>
    <n v="0.17966811850567307"/>
    <n v="132.13684210526316"/>
    <n v="85.394557823129247"/>
    <n v="8.2824955826250359E-3"/>
    <n v="33.575675675675676"/>
    <n v="9.7196910181714404"/>
    <n v="15953.747368421053"/>
    <n v="10310.244897959185"/>
    <n v="0.88328167083001785"/>
    <n v="29.6567789100576"/>
    <n v="8.5852249224819879"/>
    <n v="14091.652631578947"/>
    <n v="9106.850340136054"/>
    <n v="475.15789473684208"/>
    <n v="307.07482993197277"/>
    <n v="154.78003987594153"/>
    <n v="73544.957894736843"/>
    <n v="708.52560592232021"/>
    <n v="19353.936288088644"/>
    <n v="38179.076502732241"/>
    <d v="2021-07-01T00:00:00"/>
    <n v="47682.416666666664"/>
    <n v="22685.916666666668"/>
    <n v="88204.916666666672"/>
    <n v="103.8"/>
    <n v="135.75773248149275"/>
    <n v="621.45446154081003"/>
    <n v="8809.6666666666661"/>
    <n v="135.12809915919644"/>
    <n v="13088.550729247594"/>
    <d v="2021-07-01T00:00:00"/>
    <n v="128.76798322874657"/>
    <n v="2.9965185898979574E-3"/>
    <n v="86.5"/>
    <n v="29215.566924787596"/>
    <n v="16655.319312966105"/>
    <n v="0.97593838902944441"/>
    <n v="1.7124700587952377E-2"/>
    <n v="6.936910382603201E-3"/>
    <n v="4.6098860785718712"/>
    <n v="142"/>
    <n v="90"/>
    <n v="63"/>
    <n v="33"/>
    <n v="47529.054421768706"/>
    <n v="7"/>
    <n v="4.416666666666667"/>
    <n v="9.7843745384729001E-5"/>
    <m/>
    <m/>
    <m/>
    <m/>
    <m/>
    <n v="2.9965185898979574E-3"/>
    <n v="0.29965185898979574"/>
    <n v="153.69698813507759"/>
    <n v="0.88328167083001774"/>
    <n v="0.78979883249305538"/>
    <n v="0.78979883249305549"/>
    <n v="0.27687946002264147"/>
    <n v="-0.11671832916998215"/>
    <n v="0.05"/>
    <n v="-0.05"/>
  </r>
  <r>
    <x v="117"/>
    <n v="103934"/>
    <n v="2032"/>
    <n v="1.9550868820597686E-2"/>
    <n v="100988"/>
    <n v="0.97165508880635787"/>
    <m/>
    <n v="8.7940423730444445E-3"/>
    <n v="10143380"/>
    <n v="5850685.916666667"/>
    <n v="46010"/>
    <n v="41203.083333333336"/>
    <n v="320"/>
    <n v="326.75"/>
    <n v="178"/>
    <n v="186"/>
    <n v="23942"/>
    <n v="15268.416666666666"/>
    <n v="95"/>
    <n v="71.75"/>
    <n v="59"/>
    <n v="50.5"/>
    <n v="22068"/>
    <n v="25934.666666666668"/>
    <n v="225"/>
    <n v="255"/>
    <n v="119"/>
    <n v="135.5"/>
    <n v="76959"/>
    <n v="25562"/>
    <n v="152"/>
    <n v="98"/>
    <n v="44"/>
    <n v="10"/>
    <n v="4.8600000000000004E-2"/>
    <n v="4.3700000000000003E-2"/>
    <n v="1402452"/>
    <n v="1693015"/>
    <n v="45962"/>
    <n v="9369"/>
    <n v="4.5312312069546836E-3"/>
    <n v="0.45312312069546834"/>
    <n v="469"/>
    <n v="302.38157894736844"/>
    <n v="3.2772601130020847E-2"/>
    <n v="30.4814605520539"/>
    <n v="7.3525032132805705"/>
    <n v="14310.734693877552"/>
    <n v="9226.6578947368416"/>
    <n v="1.2071821352887657"/>
    <n v="36.796674635948705"/>
    <n v="8.87581052872555"/>
    <n v="17275.663265306124"/>
    <n v="11138.256578947368"/>
    <n v="469.48979591836735"/>
    <n v="302.69736842105266"/>
    <n v="220.46033470984568"/>
    <n v="103503.87755102041"/>
    <n v="1082.6534315295123"/>
    <n v="31698.0625"/>
    <n v="56985.280898876401"/>
    <d v="2021-08-01T00:00:00"/>
    <n v="49467"/>
    <n v="22638.5"/>
    <n v="89360"/>
    <n v="95.602040816326536"/>
    <n v="180.7039171736578"/>
    <n v="660.50358920923065"/>
    <n v="8827.5"/>
    <n v="142.45621663781625"/>
    <n v="13305.152186095393"/>
    <d v="2021-08-01T00:00:00"/>
    <n v="132.73848533802052"/>
    <n v="3.0527950802740878E-3"/>
    <n v="87.75"/>
    <n v="31598.281831343793"/>
    <n v="17938.912685550647"/>
    <n v="0.97571809439255264"/>
    <n v="1.7311591042803536E-2"/>
    <n v="6.9703145646437268E-3"/>
    <n v="7.2326040392113242"/>
    <n v="173"/>
    <n v="99"/>
    <n v="44"/>
    <n v="22"/>
    <n v="66732.763157894733"/>
    <n v="3"/>
    <n v="4.083333333333333"/>
    <n v="8.8748822719698613E-5"/>
    <m/>
    <m/>
    <m/>
    <m/>
    <m/>
    <n v="3.0527950802740878E-3"/>
    <n v="0.30527950802740877"/>
    <n v="149.69068203650338"/>
    <n v="1.2071821352887655"/>
    <n v="0.88328167083001785"/>
    <n v="0.88328167083001774"/>
    <n v="0.23970727876621759"/>
    <n v="0.20718213528876572"/>
    <n v="0.05"/>
    <n v="-0.05"/>
  </r>
  <r>
    <x v="118"/>
    <n v="124244"/>
    <n v="2577"/>
    <n v="2.0741444254853351E-2"/>
    <n v="116131"/>
    <n v="0.9347010720839638"/>
    <m/>
    <n v="4.4557483661182846E-2"/>
    <n v="16448447"/>
    <n v="6727642.416666667"/>
    <n v="62523"/>
    <n v="42860.083333333336"/>
    <n v="352"/>
    <n v="326.25"/>
    <n v="199"/>
    <n v="186"/>
    <n v="34318"/>
    <n v="16944.833333333332"/>
    <n v="107"/>
    <n v="75.5"/>
    <n v="68"/>
    <n v="52.5"/>
    <n v="28205"/>
    <n v="25915.25"/>
    <n v="245"/>
    <n v="250.75"/>
    <n v="131"/>
    <n v="133.5"/>
    <n v="79466"/>
    <n v="22259"/>
    <n v="154"/>
    <n v="101"/>
    <n v="43"/>
    <n v="10"/>
    <n v="3.8599999999999995E-2"/>
    <n v="0.03"/>
    <n v="1508162"/>
    <n v="2217482"/>
    <n v="63785"/>
    <n v="11329"/>
    <n v="3.8778736983497591E-3"/>
    <n v="0.38778736983497591"/>
    <n v="631.53465346534654"/>
    <n v="414.18831168831167"/>
    <n v="4.2293201923931246E-2"/>
    <n v="24.12171520880316"/>
    <n v="7.2448111651620311"/>
    <n v="14932.29702970297"/>
    <n v="9793.2597402597403"/>
    <n v="1.4703208276034008"/>
    <n v="35.466660269020998"/>
    <n v="10.652196748191395"/>
    <n v="21955.267326732672"/>
    <n v="14399.233766233767"/>
    <n v="619.03960396039599"/>
    <n v="405.99350649350652"/>
    <n v="263.07833917118501"/>
    <n v="162855.91089108912"/>
    <n v="1451.8886927354577"/>
    <n v="46728.54261363636"/>
    <n v="82655.512562814067"/>
    <d v="2021-09-01T00:00:00"/>
    <n v="52330.333333333336"/>
    <n v="22243.166666666668"/>
    <n v="91566.416666666672"/>
    <n v="112.16831683168317"/>
    <n v="195.73501632977315"/>
    <n v="730.07835852037124"/>
    <n v="8971.3333333333339"/>
    <n v="152.79969776995691"/>
    <n v="13789.38731472874"/>
    <d v="2021-09-01T00:00:00"/>
    <n v="137.4215215577332"/>
    <n v="3.0647681590732852E-3"/>
    <n v="89.25"/>
    <n v="36005.098414258362"/>
    <n v="20453.775175234496"/>
    <n v="0.97208779626403707"/>
    <n v="1.7682224607353473E-2"/>
    <n v="1.022997912860947E-2"/>
    <n v="10.90628659255438"/>
    <n v="174"/>
    <n v="112"/>
    <n v="45"/>
    <n v="30"/>
    <n v="106808.0974025974"/>
    <n v="4"/>
    <n v="4"/>
    <n v="6.3976456663947663E-5"/>
    <m/>
    <m/>
    <m/>
    <m/>
    <m/>
    <n v="3.0647681590732852E-3"/>
    <n v="0.30647681590732861"/>
    <n v="133.124018006885"/>
    <n v="1.4703208276034005"/>
    <n v="1.2071821352887657"/>
    <n v="1.2071821352887657"/>
    <n v="0.22417392402779432"/>
    <n v="0.47032082760340077"/>
    <n v="0.05"/>
    <n v="-0.05"/>
  </r>
  <r>
    <x v="119"/>
    <n v="130875"/>
    <n v="2187"/>
    <n v="1.6710601719197707E-2"/>
    <n v="127685"/>
    <n v="0.97562559694364848"/>
    <m/>
    <n v="7.6638013371538166E-3"/>
    <n v="17127174"/>
    <n v="7684192.833333333"/>
    <n v="61764"/>
    <n v="44749.583333333336"/>
    <n v="314"/>
    <n v="323.75"/>
    <n v="169"/>
    <n v="184.33333333333334"/>
    <n v="36138"/>
    <n v="18713.25"/>
    <n v="91"/>
    <n v="77.083333333333329"/>
    <n v="57"/>
    <n v="52.916666666666664"/>
    <n v="25626"/>
    <n v="26036.333333333332"/>
    <n v="223"/>
    <n v="246.66666666666666"/>
    <n v="112"/>
    <n v="131.41666666666666"/>
    <n v="75159"/>
    <n v="24389"/>
    <n v="173"/>
    <n v="111"/>
    <n v="47"/>
    <n v="10"/>
    <n v="5.1799999999999999E-2"/>
    <n v="3.2400000000000005E-2"/>
    <n v="1558477"/>
    <n v="1747731"/>
    <n v="104425"/>
    <n v="11659.727999999999"/>
    <n v="6.0970362069072224E-3"/>
    <n v="0.60970362069072226"/>
    <n v="940.76576576576576"/>
    <n v="603.61271676300578"/>
    <n v="6.7004517872256059E-2"/>
    <n v="25.232773136454892"/>
    <n v="7.526959324358697"/>
    <n v="14040.333333333334"/>
    <n v="9008.5375722543358"/>
    <n v="1.121435221694"/>
    <n v="28.296920536234701"/>
    <n v="8.4409972985939152"/>
    <n v="15745.324324324325"/>
    <n v="10102.491329479768"/>
    <n v="556.43243243243239"/>
    <n v="357.01734104046244"/>
    <n v="277.3002720031086"/>
    <n v="154298.86486486485"/>
    <n v="1468.9171136753791"/>
    <n v="54545.140127388535"/>
    <n v="101344.22485207101"/>
    <d v="2021-10-01T00:00:00"/>
    <n v="54281.916666666664"/>
    <n v="22054"/>
    <n v="94446.083333333328"/>
    <n v="105.04259459459459"/>
    <n v="149.89466306589657"/>
    <n v="803.30683251287519"/>
    <n v="9145.3940000000002"/>
    <n v="163.8662506662678"/>
    <n v="14020.500484077864"/>
    <d v="2021-10-01T00:00:00"/>
    <n v="139.86063293762817"/>
    <n v="3.289124831093723E-3"/>
    <n v="91.083333333333329"/>
    <n v="41959.899779796913"/>
    <n v="23630.848625772691"/>
    <n v="0.97201969086428486"/>
    <n v="1.7706058990143478E-2"/>
    <n v="1.0274250145571607E-2"/>
    <n v="10.989686726207701"/>
    <n v="149"/>
    <n v="100"/>
    <n v="40"/>
    <n v="25"/>
    <n v="99001.005780346823"/>
    <n v="3"/>
    <n v="4.083333333333333"/>
    <n v="6.6111866675301679E-5"/>
    <m/>
    <m/>
    <m/>
    <m/>
    <m/>
    <n v="3.289124831093723E-3"/>
    <n v="0.32891248310937232"/>
    <n v="133.66323811327331"/>
    <n v="1.121435221694"/>
    <n v="1.4703208276034005"/>
    <n v="1.4703208276034008"/>
    <n v="0.20281596698607923"/>
    <n v="0.12143522169400001"/>
    <n v="0.05"/>
    <n v="-0.05"/>
  </r>
  <r>
    <x v="120"/>
    <n v="155119"/>
    <n v="2780"/>
    <n v="1.7921724611427357E-2"/>
    <n v="150756"/>
    <n v="0.97187320702170588"/>
    <m/>
    <n v="1.0205068366866767E-2"/>
    <n v="15363040"/>
    <n v="8451584.916666666"/>
    <n v="68326"/>
    <n v="46520.666666666664"/>
    <n v="411"/>
    <n v="332"/>
    <n v="233"/>
    <n v="188.33333333333334"/>
    <n v="38980"/>
    <n v="20548"/>
    <n v="142"/>
    <n v="82.666666666666671"/>
    <n v="82"/>
    <n v="55.416666666666664"/>
    <n v="29346"/>
    <n v="25972.666666666668"/>
    <n v="269"/>
    <n v="249.33333333333334"/>
    <n v="151"/>
    <n v="132.91666666666666"/>
    <n v="84812"/>
    <n v="28636"/>
    <n v="185"/>
    <n v="128"/>
    <n v="47"/>
    <n v="10"/>
    <n v="2.8999999999999998E-2"/>
    <n v="6.25E-2"/>
    <n v="1752743"/>
    <n v="1829118"/>
    <n v="42212"/>
    <n v="11382.971"/>
    <n v="2.7476332809131527E-3"/>
    <n v="0.27476332809131526"/>
    <n v="329.78125"/>
    <n v="228.17297297297299"/>
    <n v="2.4083393857513624E-2"/>
    <n v="25.652650528349383"/>
    <n v="7.6385890289768543"/>
    <n v="13693.3046875"/>
    <n v="9474.286486486486"/>
    <n v="1.0435745571370132"/>
    <n v="26.770453414512776"/>
    <n v="7.9714371630661685"/>
    <n v="14289.984375"/>
    <n v="9887.1243243243243"/>
    <n v="533.796875"/>
    <n v="369.32972972972971"/>
    <n v="224.84910575769106"/>
    <n v="120023.75"/>
    <n v="1349.6511587352722"/>
    <n v="37379.659367396591"/>
    <n v="65935.793991416314"/>
    <d v="2021-11-01T00:00:00"/>
    <n v="55888.25"/>
    <n v="21812.916666666668"/>
    <n v="99008.333333333328"/>
    <n v="88.929460937499996"/>
    <n v="160.68898005626124"/>
    <n v="864.15609657959988"/>
    <n v="9266.05825"/>
    <n v="171.70865670818105"/>
    <n v="13991.963996809345"/>
    <d v="2021-11-01T00:00:00"/>
    <n v="142.20526485223104"/>
    <n v="3.3658980279255585E-3"/>
    <n v="94.25"/>
    <n v="44682.326306108625"/>
    <n v="25102.034182030096"/>
    <n v="0.9716268667825213"/>
    <n v="1.7730002705105642E-2"/>
    <n v="1.0643130512373063E-2"/>
    <n v="8.7651412671452693"/>
    <n v="184"/>
    <n v="108"/>
    <n v="48"/>
    <n v="29"/>
    <n v="83043.459459459453"/>
    <n v="4"/>
    <n v="4.25"/>
    <n v="6.2201797266048058E-5"/>
    <m/>
    <m/>
    <m/>
    <m/>
    <m/>
    <n v="3.3658980279255585E-3"/>
    <n v="0.33658980279255585"/>
    <n v="153.97939606452482"/>
    <n v="1.0435745571370132"/>
    <n v="1.121435221694"/>
    <n v="1.1214352216939998"/>
    <n v="0.20738630887368376"/>
    <n v="4.3574557137013192E-2"/>
    <n v="0.05"/>
    <n v="-0.05"/>
  </r>
  <r>
    <x v="121"/>
    <n v="119820"/>
    <n v="2445"/>
    <n v="2.0405608412618927E-2"/>
    <n v="116883"/>
    <n v="0.97548823234852278"/>
    <m/>
    <n v="4.1061592388582958E-3"/>
    <n v="11226330"/>
    <n v="9006420.083333334"/>
    <n v="62116"/>
    <n v="48932.833333333336"/>
    <n v="316"/>
    <n v="334.41666666666669"/>
    <n v="206"/>
    <n v="190.25"/>
    <n v="30630"/>
    <n v="22441.75"/>
    <n v="93"/>
    <n v="85.666666666666671"/>
    <n v="71"/>
    <n v="57.25"/>
    <n v="31486"/>
    <n v="26491.083333333332"/>
    <n v="223"/>
    <n v="248.75"/>
    <n v="135"/>
    <n v="133"/>
    <n v="64750"/>
    <n v="17991"/>
    <n v="191"/>
    <n v="131"/>
    <n v="50"/>
    <n v="10"/>
    <n v="2.3599999999999999E-2"/>
    <n v="0.24109999999999998"/>
    <n v="1607770"/>
    <n v="1411046"/>
    <n v="33721"/>
    <n v="13834.32"/>
    <n v="3.0037420955913463E-3"/>
    <n v="0.30037420955913463"/>
    <n v="257.41221374045801"/>
    <n v="176.54973821989529"/>
    <n v="2.0973771123979176E-2"/>
    <n v="25.883347285723485"/>
    <n v="8.2518932540874008"/>
    <n v="12273.053435114503"/>
    <n v="8417.6439790575914"/>
    <n v="0.87764170248232021"/>
    <n v="22.716304977783501"/>
    <n v="7.2422056442196405"/>
    <n v="10771.343511450381"/>
    <n v="7387.6753926701567"/>
    <n v="474.16793893129773"/>
    <n v="325.21465968586386"/>
    <n v="180.73169553738168"/>
    <n v="85697.175572519089"/>
    <n v="811.48404836667078"/>
    <n v="35526.360759493669"/>
    <n v="54496.747572815533"/>
    <d v="2021-12-01T00:00:00"/>
    <n v="58583.583333333336"/>
    <n v="22355.333333333332"/>
    <n v="103447"/>
    <n v="105.6054961832061"/>
    <n v="101.99605040218819"/>
    <n v="879.1033685867252"/>
    <n v="9816.6682500000006"/>
    <n v="175.29262400035006"/>
    <n v="13954.92653080952"/>
    <d v="2021-12-01T00:00:00"/>
    <n v="139.45344824156518"/>
    <n v="3.3297982116337406E-3"/>
    <n v="97.916666666666671"/>
    <n v="47143.435962677497"/>
    <n v="26736.110122208574"/>
    <n v="0.97168896335306376"/>
    <n v="1.8179643701046733E-2"/>
    <n v="1.0131392945889522E-2"/>
    <n v="6.982547254893424"/>
    <n v="141"/>
    <n v="96"/>
    <n v="36"/>
    <n v="26"/>
    <n v="58776.596858638746"/>
    <n v="1"/>
    <n v="4.083333333333333"/>
    <n v="6.5737222830403324E-5"/>
    <m/>
    <m/>
    <m/>
    <m/>
    <m/>
    <n v="3.3297982116337406E-3"/>
    <n v="0.33297982116337405"/>
    <n v="116.21604820475456"/>
    <n v="0.87764170248232021"/>
    <n v="1.0435745571370132"/>
    <n v="1.0435745571370132"/>
    <n v="0.17851376963586557"/>
    <n v="-0.12235829751767979"/>
    <n v="0.05"/>
    <n v="-0.05"/>
  </r>
  <r>
    <x v="122"/>
    <n v="91133"/>
    <n v="1878"/>
    <n v="2.0607244357148342E-2"/>
    <n v="88946"/>
    <n v="0.9760021068109247"/>
    <m/>
    <n v="3.3906488319269609E-3"/>
    <n v="9733117"/>
    <n v="9414168.666666666"/>
    <n v="42762"/>
    <n v="49701.166666666664"/>
    <n v="310"/>
    <n v="336.75"/>
    <n v="191"/>
    <n v="191.66666666666666"/>
    <n v="19268"/>
    <n v="23009.833333333332"/>
    <n v="90"/>
    <n v="88.583333333333329"/>
    <n v="60"/>
    <n v="58.75"/>
    <n v="23494"/>
    <n v="26691.333333333332"/>
    <n v="220"/>
    <n v="248.16666666666666"/>
    <n v="131"/>
    <n v="132.91666666666666"/>
    <n v="56660"/>
    <n v="21366"/>
    <n v="200"/>
    <n v="139"/>
    <n v="52"/>
    <n v="9"/>
    <n v="4.2300000000000004E-2"/>
    <n v="0.15659999999999999"/>
    <n v="1319071"/>
    <n v="1353860"/>
    <n v="47884"/>
    <n v="10828.633"/>
    <n v="4.9196983864470143E-3"/>
    <n v="0.49196983864470145"/>
    <n v="344.48920863309354"/>
    <n v="239.42"/>
    <n v="3.6301305994900959E-2"/>
    <n v="30.846803236518404"/>
    <n v="7.6905427643165982"/>
    <n v="9489.7194244604325"/>
    <n v="6595.3549999999996"/>
    <n v="1.026373864636551"/>
    <n v="31.660352649548663"/>
    <n v="7.8933720981642912"/>
    <n v="9740"/>
    <n v="6769.3"/>
    <n v="307.64028776978415"/>
    <n v="213.81"/>
    <n v="227.61136055376269"/>
    <n v="70022.424460431648"/>
    <n v="898.83155149869799"/>
    <n v="31397.151612903224"/>
    <n v="50958.727748691097"/>
    <d v="2022-01-01T00:00:00"/>
    <n v="60440.416666666664"/>
    <n v="22370.666666666668"/>
    <n v="104622.91666666667"/>
    <n v="77.903834532374105"/>
    <n v="125.02593817705338"/>
    <n v="901.37754015385747"/>
    <n v="10080.387666666667"/>
    <n v="182.23517924376208"/>
    <n v="13691.310677150983"/>
    <d v="2022-01-01T00:00:00"/>
    <n v="138.36742691011227"/>
    <n v="3.5454947093957745E-3"/>
    <n v="102.66666666666667"/>
    <n v="49071.924769321304"/>
    <n v="27922.239777893774"/>
    <n v="0.97188115332345204"/>
    <n v="1.8440620191396112E-2"/>
    <n v="9.678226485151771E-3"/>
    <n v="7.378766571321786"/>
    <n v="124"/>
    <n v="90"/>
    <n v="41"/>
    <n v="23"/>
    <n v="48665.584999999999"/>
    <n v="1"/>
    <n v="3.8333333333333335"/>
    <n v="8.9643452909904441E-5"/>
    <m/>
    <m/>
    <m/>
    <m/>
    <m/>
    <n v="3.5454947093957745E-3"/>
    <n v="0.3545494709395775"/>
    <n v="121.81325195894995"/>
    <n v="1.026373864636551"/>
    <n v="0.87764170248232021"/>
    <n v="0.87764170248232021"/>
    <n v="0.14011550533086548"/>
    <n v="2.6373864636551003E-2"/>
    <n v="0.05"/>
    <n v="-0.05"/>
  </r>
  <r>
    <x v="123"/>
    <n v="118125"/>
    <n v="2882"/>
    <n v="2.4397883597883599E-2"/>
    <n v="114625"/>
    <n v="0.97037037037037033"/>
    <m/>
    <n v="5.2317460317460734E-3"/>
    <n v="10406780"/>
    <n v="9898055.083333334"/>
    <n v="52184"/>
    <n v="51426.416666666664"/>
    <n v="369"/>
    <n v="340.91666666666669"/>
    <n v="220"/>
    <n v="193.66666666666666"/>
    <n v="21795"/>
    <n v="23957.083333333332"/>
    <n v="108"/>
    <n v="91.583333333333329"/>
    <n v="77"/>
    <n v="60.916666666666664"/>
    <n v="30389"/>
    <n v="27469.333333333332"/>
    <n v="261"/>
    <n v="249.33333333333334"/>
    <n v="143"/>
    <n v="132.75"/>
    <n v="58263"/>
    <n v="28277"/>
    <n v="199"/>
    <n v="135"/>
    <n v="54"/>
    <n v="10"/>
    <n v="3.0600000000000002E-2"/>
    <n v="4.2099999999999999E-2"/>
    <n v="1803505"/>
    <n v="1465793"/>
    <n v="79169"/>
    <n v="12449"/>
    <n v="7.6074443776076748E-3"/>
    <n v="0.7607444377607675"/>
    <n v="586.43703703703704"/>
    <n v="397.83417085427135"/>
    <n v="4.3897299979761634E-2"/>
    <n v="34.56049747048904"/>
    <n v="9.4289082677206526"/>
    <n v="13359.296296296296"/>
    <n v="9062.8391959798992"/>
    <n v="0.8127468457254069"/>
    <n v="28.08893530584087"/>
    <n v="7.663315453224171"/>
    <n v="10857.725925925926"/>
    <n v="7365.7939698492464"/>
    <n v="386.54814814814813"/>
    <n v="262.23115577889445"/>
    <n v="199.42472788594205"/>
    <n v="77087.259259259255"/>
    <n v="835.95308860149407"/>
    <n v="28202.655826558264"/>
    <n v="47303.545454545456"/>
    <d v="2022-02-01T00:00:00"/>
    <n v="61895.666666666664"/>
    <n v="23165.083333333332"/>
    <n v="108137.58333333333"/>
    <n v="92.214814814814815"/>
    <n v="117.74383484617238"/>
    <n v="918.8276511194457"/>
    <n v="10505.971"/>
    <n v="186.67687121293224"/>
    <n v="13530.126512858486"/>
    <d v="2022-02-01T00:00:00"/>
    <n v="136.85449032880604"/>
    <n v="3.5899920942513708E-3"/>
    <n v="107.41666666666667"/>
    <n v="51058.04377828852"/>
    <n v="29070.751849124721"/>
    <n v="0.97111381741301572"/>
    <n v="1.9264632424797978E-2"/>
    <n v="9.621550162186231E-3"/>
    <n v="5.7703083717538908"/>
    <n v="151"/>
    <n v="100"/>
    <n v="57"/>
    <n v="28"/>
    <n v="52295.376884422112"/>
    <n v="2"/>
    <n v="3.8333333333333335"/>
    <n v="7.3458020338290162E-5"/>
    <m/>
    <m/>
    <m/>
    <m/>
    <m/>
    <n v="3.5899920942513708E-3"/>
    <n v="0.35899920942513702"/>
    <n v="144.87147562053178"/>
    <n v="0.81274684572540679"/>
    <n v="1.026373864636551"/>
    <n v="1.0263738646365512"/>
    <n v="0.1822080181223481"/>
    <n v="-0.1872531542745931"/>
    <n v="0.05"/>
    <n v="-0.05"/>
  </r>
  <r>
    <x v="124"/>
    <n v="142262"/>
    <n v="2903"/>
    <n v="2.0406011443674349E-2"/>
    <n v="138181"/>
    <n v="0.97131349200770412"/>
    <m/>
    <n v="8.2804965486215354E-3"/>
    <n v="10658832"/>
    <n v="10322290.083333334"/>
    <n v="65948"/>
    <n v="52711.083333333336"/>
    <n v="342"/>
    <n v="340.83333333333331"/>
    <n v="181"/>
    <n v="192.08333333333334"/>
    <n v="29526"/>
    <n v="24766.5"/>
    <n v="98"/>
    <n v="93.5"/>
    <n v="66"/>
    <n v="62.333333333333336"/>
    <n v="36422"/>
    <n v="27944.583333333332"/>
    <n v="244"/>
    <n v="247.33333333333334"/>
    <n v="115"/>
    <n v="129.75"/>
    <n v="75368"/>
    <n v="32072"/>
    <n v="193"/>
    <n v="128"/>
    <n v="56"/>
    <n v="9"/>
    <n v="3.1400000000000004E-2"/>
    <n v="2.4E-2"/>
    <n v="1430112"/>
    <n v="1604985"/>
    <n v="-9607"/>
    <n v="14185"/>
    <n v="-9.0131826826804289E-4"/>
    <n v="-9.013182682680429E-2"/>
    <n v="-75.0546875"/>
    <n v="-49.777202072538863"/>
    <n v="-6.7176556801145648E-3"/>
    <n v="21.685449141748045"/>
    <n v="6.2957540005722965"/>
    <n v="11172.75"/>
    <n v="7409.9067357512949"/>
    <n v="1.1222792340739747"/>
    <n v="24.337129253351126"/>
    <n v="7.0655939776804386"/>
    <n v="12538.9453125"/>
    <n v="8315.984455958549"/>
    <n v="515.21875"/>
    <n v="341.69948186528495"/>
    <n v="161.62479529326137"/>
    <n v="83272.125"/>
    <n v="751.41572083186463"/>
    <n v="31166.175438596492"/>
    <n v="58888.574585635361"/>
    <d v="2022-03-01T00:00:00"/>
    <n v="63432.5"/>
    <n v="23742.916666666668"/>
    <n v="111705.25"/>
    <n v="110.8203125"/>
    <n v="113.14663376806486"/>
    <n v="933.37756611297084"/>
    <n v="10883.637666666667"/>
    <n v="190.96328404005018"/>
    <n v="13653.900045454458"/>
    <d v="2022-03-01T00:00:00"/>
    <n v="137.79054177881406"/>
    <n v="3.7457994851487603E-3"/>
    <n v="110.66666666666667"/>
    <n v="53645.419993758122"/>
    <n v="30315.16054092225"/>
    <n v="0.9707033320603814"/>
    <n v="1.9267462857237579E-2"/>
    <n v="1.0029205082380978E-2"/>
    <n v="7.4531449285090954"/>
    <n v="148"/>
    <n v="96"/>
    <n v="53"/>
    <n v="31"/>
    <n v="55227.108808290155"/>
    <n v="4"/>
    <n v="3.3333333333333335"/>
    <n v="5.0544873738905401E-5"/>
    <m/>
    <m/>
    <m/>
    <m/>
    <m/>
    <n v="3.7457994851487603E-3"/>
    <n v="0.37457994851487614"/>
    <n v="100.81861120902362"/>
    <n v="1.1222792340739747"/>
    <n v="0.81274684572540701"/>
    <n v="0.81274684572540701"/>
    <n v="0.13854599981733703"/>
    <n v="0.12227923407397467"/>
    <n v="0.05"/>
    <n v="-0.05"/>
  </r>
  <r>
    <x v="125"/>
    <n v="114270"/>
    <n v="2088"/>
    <n v="1.8272512470464689E-2"/>
    <n v="110849"/>
    <n v="0.97006213354336224"/>
    <m/>
    <n v="1.1665353986173074E-2"/>
    <n v="8970290"/>
    <n v="10666133.5"/>
    <n v="58682"/>
    <n v="54610.666666666664"/>
    <n v="260"/>
    <n v="338.75"/>
    <n v="150"/>
    <n v="191"/>
    <n v="27593"/>
    <n v="26162.25"/>
    <n v="71"/>
    <n v="94.916666666666671"/>
    <n v="53"/>
    <n v="63.666666666666664"/>
    <n v="31089"/>
    <n v="28448.416666666668"/>
    <n v="189"/>
    <n v="243.83333333333334"/>
    <n v="97"/>
    <n v="127.33333333333333"/>
    <n v="64025"/>
    <n v="20194"/>
    <n v="183"/>
    <n v="120"/>
    <n v="55"/>
    <n v="8"/>
    <n v="3.6799999999999999E-2"/>
    <n v="0.1191"/>
    <n v="1580054"/>
    <n v="1439385"/>
    <n v="6318"/>
    <n v="9758"/>
    <n v="7.0432505526577178E-4"/>
    <n v="7.0432505526577177E-2"/>
    <n v="52.65"/>
    <n v="34.524590163934427"/>
    <n v="3.9985975162874178E-3"/>
    <n v="26.925701237176646"/>
    <n v="7.9619184712295246"/>
    <n v="13167.116666666667"/>
    <n v="8634.1748633879779"/>
    <n v="0.91097203006985839"/>
    <n v="24.528560717085305"/>
    <n v="7.2530850329866636"/>
    <n v="11994.875"/>
    <n v="7865.4918032786882"/>
    <n v="489.01666666666665"/>
    <n v="320.66666666666669"/>
    <n v="152.86271769878329"/>
    <n v="74752.416666666672"/>
    <n v="919.27546628407458"/>
    <n v="34501.115384615383"/>
    <n v="59801.933333333334"/>
    <d v="2022-04-01T00:00:00"/>
    <n v="65054.583333333336"/>
    <n v="23903.083333333332"/>
    <n v="114848.41666666667"/>
    <n v="81.316666666666663"/>
    <n v="147.50819840131174"/>
    <n v="959.18084087483476"/>
    <n v="11034.637666666667"/>
    <n v="192.45318137997887"/>
    <n v="13722.543843347179"/>
    <d v="2022-04-01T00:00:00"/>
    <n v="139.89023706047385"/>
    <n v="3.4396215765236647E-3"/>
    <n v="113.41666666666667"/>
    <n v="56152.345419797668"/>
    <n v="31773.829805429665"/>
    <n v="0.97014619056071616"/>
    <n v="1.9265065113045193E-2"/>
    <n v="1.0588744326238665E-2"/>
    <n v="5.6772047031303989"/>
    <n v="128"/>
    <n v="95"/>
    <n v="49"/>
    <n v="30"/>
    <n v="49017.978142076499"/>
    <n v="6"/>
    <n v="3.5"/>
    <n v="5.9643502266453083E-5"/>
    <m/>
    <n v="-0.3432120118687283"/>
    <n v="-8.7322256542776144E-2"/>
    <n v="-0.205203694215636"/>
    <n v="-0.48062404576803608"/>
    <n v="3.4396215765236647E-3"/>
    <n v="0.34396215765236654"/>
    <n v="161.92395982783358"/>
    <n v="0.91097203006985827"/>
    <n v="1.1222792340739747"/>
    <n v="1.1222792340739747"/>
    <n v="0.14813746705870501"/>
    <n v="-8.9027969930141615E-2"/>
    <n v="0.05"/>
    <n v="-0.05"/>
  </r>
  <r>
    <x v="126"/>
    <n v="125108"/>
    <n v="2605"/>
    <n v="2.0822009783547014E-2"/>
    <n v="121554"/>
    <n v="0.97159254404194773"/>
    <m/>
    <n v="7.5854461745052601E-3"/>
    <n v="9434352"/>
    <n v="10996936.166666666"/>
    <n v="56920"/>
    <n v="55163.583333333336"/>
    <n v="360"/>
    <n v="339.16666666666669"/>
    <n v="212"/>
    <n v="193.25"/>
    <n v="25682"/>
    <n v="26780.5"/>
    <n v="92"/>
    <n v="95.583333333333329"/>
    <n v="67"/>
    <n v="64.583333333333329"/>
    <n v="31238"/>
    <n v="28383.083333333332"/>
    <n v="268"/>
    <n v="243.58333333333334"/>
    <n v="145"/>
    <n v="128.66666666666666"/>
    <n v="74483"/>
    <n v="19509"/>
    <n v="187"/>
    <n v="118"/>
    <n v="56"/>
    <n v="13"/>
    <n v="4.2099999999999999E-2"/>
    <n v="3.5000000000000003E-2"/>
    <n v="1636239"/>
    <n v="1449767"/>
    <n v="45699"/>
    <n v="11383"/>
    <n v="4.8438938890556556E-3"/>
    <n v="0.48438938890556554"/>
    <n v="387.27966101694915"/>
    <n v="244.37967914438502"/>
    <n v="2.7929293947889032E-2"/>
    <n v="28.746293042867183"/>
    <n v="7.8976686938893712"/>
    <n v="13866.43220338983"/>
    <n v="8749.9411764705874"/>
    <n v="0.88603620864678079"/>
    <n v="25.470256500351372"/>
    <n v="6.9976204266821123"/>
    <n v="12286.161016949152"/>
    <n v="7752.7647058823532"/>
    <n v="482.37288135593218"/>
    <n v="304.38502673796791"/>
    <n v="165.74757554462403"/>
    <n v="79952.135593220344"/>
    <n v="828.81068259685492"/>
    <n v="26206.533333333333"/>
    <n v="44501.660377358494"/>
    <d v="2022-05-01T00:00:00"/>
    <n v="67129.166666666672"/>
    <n v="23551.333333333332"/>
    <n v="117335.16666666667"/>
    <n v="96.466101694915253"/>
    <n v="127.36247035052271"/>
    <n v="978.16664989324829"/>
    <n v="11225.471"/>
    <n v="197.20923327792954"/>
    <n v="13717.44677453489"/>
    <d v="2022-05-01T00:00:00"/>
    <n v="140.43273259639255"/>
    <n v="3.6112303050800567E-3"/>
    <n v="115.83333333333333"/>
    <n v="57399.231532325291"/>
    <n v="32674.90946114172"/>
    <n v="0.96952837160035921"/>
    <n v="1.9734491747354702E-2"/>
    <n v="1.0737136652285977E-2"/>
    <n v="5.7658765009268205"/>
    <n v="138"/>
    <n v="109"/>
    <n v="52"/>
    <n v="26"/>
    <n v="50451.080213903741"/>
    <n v="1"/>
    <n v="3.4166666666666665"/>
    <n v="6.0025767158585147E-5"/>
    <m/>
    <m/>
    <m/>
    <m/>
    <m/>
    <n v="3.6112303050800567E-3"/>
    <n v="0.36112303050800559"/>
    <n v="143.74409206711763"/>
    <n v="0.88603620864678079"/>
    <n v="0.91097203006985839"/>
    <n v="0.91097203006985839"/>
    <n v="0.14879044264707852"/>
    <n v="-0.11396379135321921"/>
    <n v="0.05"/>
    <n v="-0.05"/>
  </r>
  <r>
    <x v="127"/>
    <n v="111549"/>
    <n v="2147"/>
    <n v="1.9247146993697836E-2"/>
    <n v="108072"/>
    <n v="0.96882984159427699"/>
    <m/>
    <n v="1.1923011412025179E-2"/>
    <n v="9335502"/>
    <n v="11319501.25"/>
    <n v="58872"/>
    <n v="56770.583333333336"/>
    <n v="319"/>
    <n v="336.16666666666669"/>
    <n v="183"/>
    <n v="192.08333333333334"/>
    <n v="35456"/>
    <n v="28599.5"/>
    <n v="89"/>
    <n v="96.666666666666671"/>
    <n v="55"/>
    <n v="64.5"/>
    <n v="23416"/>
    <n v="28171.083333333332"/>
    <n v="230"/>
    <n v="239.5"/>
    <n v="128"/>
    <n v="127.58333333333333"/>
    <n v="73221"/>
    <n v="19549"/>
    <n v="180"/>
    <n v="110"/>
    <n v="58"/>
    <n v="12"/>
    <n v="5.8499999999999996E-2"/>
    <n v="5.8700000000000002E-2"/>
    <n v="1693475"/>
    <n v="1394287"/>
    <n v="42861"/>
    <n v="10471"/>
    <n v="4.5911832057879695E-3"/>
    <n v="0.45911832057879698"/>
    <n v="389.64545454545453"/>
    <n v="238.11666666666667"/>
    <n v="2.5309496744858943E-2"/>
    <n v="28.765372333197444"/>
    <n v="8.0856192262486903"/>
    <n v="15395.227272727272"/>
    <n v="9408.1944444444453"/>
    <n v="0.82332895377847326"/>
    <n v="23.683363908139693"/>
    <n v="6.6571244181984426"/>
    <n v="12675.336363636363"/>
    <n v="7746.0388888888892"/>
    <n v="535.20000000000005"/>
    <n v="327.06666666666666"/>
    <n v="158.57286995515696"/>
    <n v="84868.2"/>
    <n v="891.55782637761433"/>
    <n v="29264.896551724138"/>
    <n v="51013.672131147541"/>
    <d v="2022-06-01T00:00:00"/>
    <n v="69194.5"/>
    <n v="23455.25"/>
    <n v="119572.91666666667"/>
    <n v="95.190909090909088"/>
    <n v="133.15700506159871"/>
    <n v="999.9136989296012"/>
    <n v="11375.887666666667"/>
    <n v="198.92031949889031"/>
    <n v="13685.189921116989"/>
    <d v="2022-06-01T00:00:00"/>
    <n v="140.72670334283279"/>
    <n v="3.6516186933057446E-3"/>
    <n v="117.83333333333333"/>
    <n v="59338.729167619749"/>
    <n v="33830.85248364455"/>
    <n v="0.96929224500609756"/>
    <n v="1.9816310213573329E-2"/>
    <n v="1.0891444780329095E-2"/>
    <n v="5.5126305377994953"/>
    <n v="149"/>
    <n v="93"/>
    <n v="53"/>
    <n v="28"/>
    <n v="51863.9"/>
    <n v="10"/>
    <n v="3.8333333333333335"/>
    <n v="6.5113013543506823E-5"/>
    <m/>
    <m/>
    <m/>
    <m/>
    <m/>
    <n v="3.6516186933057446E-3"/>
    <n v="0.36516186933057454"/>
    <n v="161.73001623531658"/>
    <n v="0.82332895377847337"/>
    <n v="0.8860362086467809"/>
    <n v="0.8860362086467809"/>
    <n v="0.14960685657417988"/>
    <n v="-0.17667104622152674"/>
    <n v="0.05"/>
    <n v="-0.05"/>
  </r>
  <r>
    <x v="128"/>
    <n v="107457"/>
    <n v="2606"/>
    <n v="2.42515610895521E-2"/>
    <n v="103461"/>
    <n v="0.96281303218962"/>
    <m/>
    <n v="1.2935406720827901E-2"/>
    <n v="8608730"/>
    <n v="11454664.5"/>
    <n v="48043"/>
    <n v="57012.5"/>
    <n v="290"/>
    <n v="330.25"/>
    <n v="180"/>
    <n v="191.83333333333334"/>
    <n v="28740"/>
    <n v="29339"/>
    <n v="78"/>
    <n v="96.166666666666671"/>
    <n v="52"/>
    <n v="63.916666666666664"/>
    <n v="19303"/>
    <n v="27673.5"/>
    <n v="212"/>
    <n v="234.08333333333334"/>
    <n v="128"/>
    <n v="127.91666666666667"/>
    <n v="62066"/>
    <n v="13790"/>
    <n v="187"/>
    <n v="116"/>
    <n v="59"/>
    <n v="13"/>
    <n v="6.9000000000000006E-2"/>
    <n v="5.7200000000000001E-2"/>
    <n v="1769250"/>
    <n v="1345801"/>
    <n v="28017"/>
    <n v="10590"/>
    <n v="3.2544870149255464E-3"/>
    <n v="0.32544870149255462"/>
    <n v="241.52586206896552"/>
    <n v="149.8235294117647"/>
    <n v="1.5835523526918187E-2"/>
    <n v="36.826384697042236"/>
    <n v="9.7263064727971749"/>
    <n v="15252.155172413793"/>
    <n v="9461.2299465240649"/>
    <n v="0.76066186237106115"/>
    <n v="28.012426368045293"/>
    <n v="7.3984303955896058"/>
    <n v="11601.73275862069"/>
    <n v="7196.7967914438505"/>
    <n v="414.16379310344826"/>
    <n v="256.91443850267382"/>
    <n v="179.18801906625316"/>
    <n v="74213.18965517242"/>
    <n v="812.91123701605284"/>
    <n v="29685.275862068964"/>
    <n v="47826.277777777781"/>
    <d v="2022-07-01T00:00:00"/>
    <n v="70436"/>
    <n v="22799.5"/>
    <n v="120324.66666666667"/>
    <n v="91.293103448275858"/>
    <n v="127.08224740321057"/>
    <n v="1008.6125015207455"/>
    <n v="11436.637666666667"/>
    <n v="200.95431776474962"/>
    <n v="13477.696598370472"/>
    <d v="2022-07-01T00:00:00"/>
    <n v="140.00374625297596"/>
    <n v="3.7731025124614795E-3"/>
    <n v="119.58333333333333"/>
    <n v="60142.662607206876"/>
    <n v="34691.797448142912"/>
    <n v="0.96836055981353386"/>
    <n v="2.0277884796221911E-2"/>
    <n v="1.1361555390244346E-2"/>
    <n v="4.8657510244453865"/>
    <n v="159"/>
    <n v="103"/>
    <n v="39"/>
    <n v="26"/>
    <n v="46035.989304812836"/>
    <n v="4"/>
    <n v="3.5833333333333335"/>
    <n v="7.4585961187547271E-5"/>
    <m/>
    <m/>
    <m/>
    <m/>
    <m/>
    <n v="3.7731025124614795E-3"/>
    <n v="0.37731025124614792"/>
    <n v="167.06798866855524"/>
    <n v="0.76066186237106115"/>
    <n v="0.82332895377847326"/>
    <n v="0.82332895377847326"/>
    <n v="0.15445672808662358"/>
    <n v="-0.23933813762893885"/>
    <n v="0.05"/>
    <n v="-0.05"/>
  </r>
  <r>
    <x v="129"/>
    <n v="120562"/>
    <n v="3211"/>
    <n v="2.6633599309898642E-2"/>
    <n v="115995"/>
    <n v="0.9621190756623148"/>
    <m/>
    <n v="1.1247325027786553E-2"/>
    <n v="10343667"/>
    <n v="11471355.083333334"/>
    <n v="50773"/>
    <n v="57409.416666666664"/>
    <n v="381"/>
    <n v="335.33333333333331"/>
    <n v="214"/>
    <n v="194.83333333333334"/>
    <n v="28978"/>
    <n v="29758.666666666668"/>
    <n v="112"/>
    <n v="97.583333333333329"/>
    <n v="73"/>
    <n v="65.083333333333329"/>
    <n v="21795"/>
    <n v="27650.75"/>
    <n v="269"/>
    <n v="237.75"/>
    <n v="141"/>
    <n v="129.75"/>
    <n v="66539"/>
    <n v="12866"/>
    <n v="191"/>
    <n v="117"/>
    <n v="59"/>
    <n v="15"/>
    <n v="6.6000000000000003E-2"/>
    <n v="6.6400000000000001E-2"/>
    <n v="2087019"/>
    <n v="1574791"/>
    <n v="82253"/>
    <n v="15405"/>
    <n v="7.9520154699489077E-3"/>
    <n v="0.79520154699489076"/>
    <n v="703.017094017094"/>
    <n v="430.64397905759165"/>
    <n v="3.9411715945087231E-2"/>
    <n v="41.104898272703998"/>
    <n v="11.059246623282053"/>
    <n v="17837.76923076923"/>
    <n v="10926.80104712042"/>
    <n v="0.75456476438403297"/>
    <n v="31.016307880172533"/>
    <n v="8.3449178225617349"/>
    <n v="13459.752136752137"/>
    <n v="8244.9790575916231"/>
    <n v="433.95726495726495"/>
    <n v="265.82722513089004"/>
    <n v="203.72377050794714"/>
    <n v="88407.41025641025"/>
    <n v="671.4486854917235"/>
    <n v="27148.732283464567"/>
    <n v="48334.892523364484"/>
    <d v="2022-08-01T00:00:00"/>
    <n v="69567.666666666672"/>
    <n v="21741.5"/>
    <n v="121710.33333333333"/>
    <n v="131.66666666666666"/>
    <n v="102.22596559558585"/>
    <n v="974.34543935092972"/>
    <n v="11939.637666666667"/>
    <n v="199.55960408125804"/>
    <n v="13159.704004324303"/>
    <d v="2022-08-01T00:00:00"/>
    <n v="133.4639169548033"/>
    <n v="4.0581678677109982E-3"/>
    <n v="121.16666666666667"/>
    <n v="59421.796909247547"/>
    <n v="34312.686596764957"/>
    <n v="0.96756589205153032"/>
    <n v="2.0868112336996991E-2"/>
    <n v="1.1565995611472854E-2"/>
    <n v="4.9561920615001585"/>
    <n v="171"/>
    <n v="110"/>
    <n v="39"/>
    <n v="27"/>
    <n v="54155.324607329843"/>
    <n v="16"/>
    <n v="4.666666666666667"/>
    <n v="9.1912368122164679E-5"/>
    <m/>
    <m/>
    <m/>
    <m/>
    <m/>
    <n v="4.0581678677109982E-3"/>
    <n v="0.40581678677109984"/>
    <n v="135.47672833495619"/>
    <n v="0.75456476438403286"/>
    <n v="0.76066186237106115"/>
    <n v="0.76066186237106115"/>
    <n v="0.18193308330523375"/>
    <n v="-0.24543523561596703"/>
    <n v="0.05"/>
    <n v="-0.05"/>
  </r>
  <r>
    <x v="130"/>
    <n v="126006"/>
    <n v="3250"/>
    <n v="2.5792422583051602E-2"/>
    <n v="122479"/>
    <n v="0.97200926939986987"/>
    <m/>
    <n v="2.1983080170785291E-3"/>
    <n v="10066416"/>
    <n v="10939519.166666666"/>
    <n v="63989"/>
    <n v="57531.583333333336"/>
    <n v="352"/>
    <n v="335.33333333333331"/>
    <n v="200"/>
    <n v="194.91666666666666"/>
    <n v="39831"/>
    <n v="30218.083333333332"/>
    <n v="122"/>
    <n v="98.833333333333329"/>
    <n v="62"/>
    <n v="64.583333333333329"/>
    <n v="24158"/>
    <n v="27313.5"/>
    <n v="230"/>
    <n v="236.5"/>
    <n v="138"/>
    <n v="130.33333333333334"/>
    <n v="55611"/>
    <n v="13565"/>
    <n v="199"/>
    <n v="126"/>
    <n v="61"/>
    <n v="12"/>
    <n v="4.9500000000000002E-2"/>
    <n v="6.9800000000000001E-2"/>
    <n v="1836545"/>
    <n v="1463214"/>
    <n v="31211"/>
    <n v="12253"/>
    <n v="3.1005076682704153E-3"/>
    <n v="0.31005076682704152"/>
    <n v="247.70634920634922"/>
    <n v="156.8391959798995"/>
    <n v="1.6994410700527349E-2"/>
    <n v="28.700948600540716"/>
    <n v="9.5763696549758279"/>
    <n v="14575.753968253968"/>
    <n v="9228.8693467336689"/>
    <n v="0.79672101690946862"/>
    <n v="22.86664895528919"/>
    <n v="7.6296949698133183"/>
    <n v="11612.809523809523"/>
    <n v="7352.8341708542712"/>
    <n v="507.84920634920633"/>
    <n v="321.5527638190955"/>
    <n v="157.31478847926988"/>
    <n v="79892.190476190473"/>
    <n v="821.54704970211378"/>
    <n v="28597.772727272728"/>
    <n v="50332.08"/>
    <d v="2022-09-01T00:00:00"/>
    <n v="67579.75"/>
    <n v="21017"/>
    <n v="121857.16666666667"/>
    <n v="97.246031746031747"/>
    <n v="119.41679588672162"/>
    <n v="921.81696909815116"/>
    <n v="12016.637666666667"/>
    <n v="190.74597485693178"/>
    <n v="12297.832520747375"/>
    <d v="2022-09-01T00:00:00"/>
    <n v="127.10406525121566"/>
    <n v="3.993387365204386E-3"/>
    <n v="123.25"/>
    <n v="56728.177529013024"/>
    <n v="32801.789106234653"/>
    <n v="0.97067490849452243"/>
    <n v="2.128902719768018E-2"/>
    <n v="8.0360643077974948E-3"/>
    <n v="5.4811703497600117"/>
    <n v="179"/>
    <n v="110"/>
    <n v="37"/>
    <n v="23"/>
    <n v="50585.005025125625"/>
    <n v="7"/>
    <n v="4.916666666666667"/>
    <n v="7.6836122875285855E-5"/>
    <m/>
    <m/>
    <m/>
    <m/>
    <m/>
    <n v="3.993387365204386E-3"/>
    <n v="0.39933873652043861"/>
    <n v="149.88533420386844"/>
    <n v="0.79672101690946862"/>
    <n v="0.75456476438403297"/>
    <n v="0.75456476438403286"/>
    <n v="0.16788169315485607"/>
    <n v="-0.20327898309053138"/>
    <n v="0.05"/>
    <n v="-0.05"/>
  </r>
  <r>
    <x v="131"/>
    <n v="123760"/>
    <n v="3148"/>
    <n v="2.5436328377504848E-2"/>
    <n v="120212"/>
    <n v="0.97133160956690368"/>
    <m/>
    <n v="3.2320620555914767E-3"/>
    <n v="9729746"/>
    <n v="10323066.833333334"/>
    <n v="53147"/>
    <n v="56813.5"/>
    <n v="351"/>
    <n v="338.41666666666669"/>
    <n v="220"/>
    <n v="199.16666666666666"/>
    <n v="33172"/>
    <n v="29970.916666666668"/>
    <n v="122"/>
    <n v="101.41666666666667"/>
    <n v="88"/>
    <n v="67.166666666666671"/>
    <n v="19975"/>
    <n v="26842.583333333332"/>
    <n v="229"/>
    <n v="237"/>
    <n v="132"/>
    <n v="132"/>
    <n v="62739"/>
    <n v="12484"/>
    <n v="199"/>
    <n v="123"/>
    <n v="65"/>
    <n v="11"/>
    <n v="5.0199999999999995E-2"/>
    <n v="7.2700000000000001E-2"/>
    <n v="1830031"/>
    <n v="1387391"/>
    <n v="52706"/>
    <n v="13528"/>
    <n v="5.4169964971336349E-3"/>
    <n v="0.54169964971336348"/>
    <n v="428.5040650406504"/>
    <n v="264.8542713567839"/>
    <n v="2.8800605017073481E-2"/>
    <n v="34.433382881442036"/>
    <n v="9.8234501823972664"/>
    <n v="14878.300813008131"/>
    <n v="9196.13567839196"/>
    <n v="0.75812431592688867"/>
    <n v="26.104784842041884"/>
    <n v="7.4473964495717979"/>
    <n v="11279.60162601626"/>
    <n v="6971.8140703517583"/>
    <n v="432.08943089430892"/>
    <n v="267.07035175879395"/>
    <n v="183.07234651062149"/>
    <n v="79103.626016260168"/>
    <n v="719.23018923713778"/>
    <n v="27720.074074074073"/>
    <n v="44226.118181818179"/>
    <d v="2022-10-01T00:00:00"/>
    <n v="66544.75"/>
    <n v="20024.916666666668"/>
    <n v="121264.25"/>
    <n v="109.98373983739837"/>
    <n v="102.55699290360734"/>
    <n v="859.34305872829771"/>
    <n v="12172.326999999999"/>
    <n v="182.89364773255792"/>
    <n v="11925.688962555038"/>
    <d v="2022-10-01T00:00:00"/>
    <n v="123.15925940435822"/>
    <n v="3.9367173893899206E-3"/>
    <n v="124.25"/>
    <n v="51968.335306491965"/>
    <n v="30566.366935125116"/>
    <n v="0.97031707621312691"/>
    <n v="2.2016171085872446E-2"/>
    <n v="7.666752701000634E-3"/>
    <n v="5.3167110283924153"/>
    <n v="133"/>
    <n v="91"/>
    <n v="27"/>
    <n v="18"/>
    <n v="48893.195979899494"/>
    <n v="4"/>
    <n v="5"/>
    <n v="9.4078687414153204E-5"/>
    <m/>
    <m/>
    <m/>
    <m/>
    <m/>
    <n v="3.9367173893899206E-3"/>
    <n v="0.39367173893899204"/>
    <n v="135.27727675931402"/>
    <n v="0.75812431592688867"/>
    <n v="0.7967210169094685"/>
    <n v="0.7967210169094685"/>
    <n v="0.17727590352227529"/>
    <n v="-0.24187568407311133"/>
    <n v="0.05"/>
    <n v="-0.05"/>
  </r>
  <r>
    <x v="132"/>
    <n v="93874"/>
    <n v="3341"/>
    <n v="3.5590259283720733E-2"/>
    <n v="91032"/>
    <n v="0.96972537656859192"/>
    <m/>
    <n v="-5.3156358523126571E-3"/>
    <n v="7428029"/>
    <n v="9661815.916666666"/>
    <n v="35966"/>
    <n v="54116.833333333336"/>
    <n v="280"/>
    <n v="327.5"/>
    <n v="182"/>
    <n v="194.91666666666666"/>
    <n v="21077"/>
    <n v="28479"/>
    <n v="80"/>
    <n v="96.25"/>
    <n v="55"/>
    <n v="64.916666666666671"/>
    <n v="14889"/>
    <n v="25637.833333333332"/>
    <n v="200"/>
    <n v="231.25"/>
    <n v="127"/>
    <n v="130"/>
    <n v="60004"/>
    <n v="8667"/>
    <n v="169"/>
    <n v="101"/>
    <n v="57"/>
    <n v="11"/>
    <n v="5.8499999999999996E-2"/>
    <n v="0.1081"/>
    <n v="1946725"/>
    <n v="1407928"/>
    <n v="23584"/>
    <n v="11559"/>
    <n v="3.1750010669048278E-3"/>
    <n v="0.31750010669048279"/>
    <n v="233.50495049504951"/>
    <n v="139.55029585798817"/>
    <n v="1.2114705466873852E-2"/>
    <n v="54.126814213423792"/>
    <n v="12.18696836856545"/>
    <n v="19274.504950495051"/>
    <n v="11519.082840236686"/>
    <n v="0.7232290128292389"/>
    <n v="39.146082411166098"/>
    <n v="8.8139691025787492"/>
    <n v="13939.881188118812"/>
    <n v="8330.9349112426044"/>
    <n v="356.0990099009901"/>
    <n v="212.81656804733728"/>
    <n v="206.52919423900352"/>
    <n v="73544.841584158421"/>
    <n v="642.61865213253736"/>
    <n v="26528.674999999999"/>
    <n v="40813.346153846156"/>
    <d v="2022-11-01T00:00:00"/>
    <n v="64477.416666666664"/>
    <n v="18360.833333333332"/>
    <n v="116160.5"/>
    <n v="114.44554455445545"/>
    <n v="121.80361622977766"/>
    <n v="800.42368317806984"/>
    <n v="12186.996083333333"/>
    <n v="181.36698843933394"/>
    <n v="11896.513696981603"/>
    <d v="2022-11-01T00:00:00"/>
    <n v="119.91881241881792"/>
    <n v="3.9723313715558928E-3"/>
    <n v="122"/>
    <n v="49874.797986694459"/>
    <n v="29662.118237842064"/>
    <n v="0.97013809034203413"/>
    <n v="2.3488548975230224E-2"/>
    <n v="6.373360682735682E-3"/>
    <n v="3.8156539829714009"/>
    <n v="145"/>
    <n v="90"/>
    <n v="34"/>
    <n v="22"/>
    <n v="43952.834319526628"/>
    <m/>
    <m/>
    <m/>
    <m/>
    <m/>
    <m/>
    <m/>
    <m/>
    <n v="3.9723313715558928E-3"/>
    <n v="0.39723313715558933"/>
    <n v="168.41638550047583"/>
    <n v="0.72322901282923879"/>
    <n v="0.75812431592688856"/>
    <n v="0.75812431592688856"/>
    <n v="0.20148645107612664"/>
    <n v="-0.2767709871707611"/>
    <n v="0.05"/>
    <n v="-0.05"/>
  </r>
  <r>
    <x v="133"/>
    <n v="48146"/>
    <n v="1027"/>
    <n v="2.1330951688613799E-2"/>
    <n v="46960"/>
    <n v="0.97536659327877706"/>
    <m/>
    <n v="3.3024550326091404E-3"/>
    <n v="4104662"/>
    <n v="9068343.583333334"/>
    <n v="20029"/>
    <n v="50609.583333333336"/>
    <n v="155"/>
    <n v="314.08333333333331"/>
    <n v="112"/>
    <n v="187.08333333333334"/>
    <n v="10987"/>
    <n v="26842.083333333332"/>
    <n v="52"/>
    <n v="92.833333333333329"/>
    <n v="39"/>
    <n v="62.25"/>
    <n v="9042"/>
    <n v="23767.5"/>
    <n v="103"/>
    <n v="221.25"/>
    <n v="73"/>
    <n v="124.83333333333333"/>
    <n v="41200"/>
    <n v="11704"/>
    <n v="153"/>
    <n v="91"/>
    <n v="54"/>
    <n v="8"/>
    <n v="6.0100000000000001E-2"/>
    <n v="0.3004"/>
    <n v="1327616"/>
    <n v="832199"/>
    <n v="40838"/>
    <n v="5898"/>
    <n v="9.9491748650680622E-3"/>
    <n v="0.99491748650680623"/>
    <n v="448.76923076923077"/>
    <n v="266.91503267973854"/>
    <n v="3.0760400597763207E-2"/>
    <n v="66.284687203554839"/>
    <n v="10.679816508226361"/>
    <n v="14589.186813186812"/>
    <n v="8677.2287581699347"/>
    <n v="0.62683712760316235"/>
    <n v="41.549702930750414"/>
    <n v="6.6945055033454475"/>
    <n v="9145.0439560439554"/>
    <n v="5439.2091503267975"/>
    <n v="220.09890109890111"/>
    <n v="130.90849673202615"/>
    <n v="204.93594288281992"/>
    <n v="45106.175824175822"/>
    <n v="695.94133604611727"/>
    <n v="26481.690322580645"/>
    <n v="36648.767857142855"/>
    <d v="2022-12-01T00:00:00"/>
    <n v="62514.916666666664"/>
    <n v="17836.916666666668"/>
    <n v="110187.66666666667"/>
    <n v="64.813186813186817"/>
    <n v="141.09850796880298"/>
    <n v="790.79512381802363"/>
    <n v="11525.636083333333"/>
    <n v="183.38400905145377"/>
    <n v="11760.988734031069"/>
    <d v="2022-12-01T00:00:00"/>
    <n v="123.17735054936914"/>
    <n v="4.5511174356789525E-3"/>
    <n v="118.66666666666667"/>
    <n v="48387.466343721731"/>
    <n v="28908.395701432644"/>
    <n v="0.97012795375288852"/>
    <n v="2.3565660914896466E-2"/>
    <n v="6.3063853322149199E-3"/>
    <n v="3.091753940898573"/>
    <n v="93"/>
    <n v="75"/>
    <n v="22"/>
    <n v="16"/>
    <n v="26827.856209150326"/>
    <m/>
    <m/>
    <m/>
    <m/>
    <m/>
    <m/>
    <m/>
    <m/>
    <n v="4.5511174356789525E-3"/>
    <n v="0.4551117435678953"/>
    <n v="225.09596473380807"/>
    <n v="0.62683712760316235"/>
    <n v="0.72322901282923879"/>
    <n v="0.7232290128292389"/>
    <n v="0.14640115780791757"/>
    <n v="-0.37316287239683765"/>
    <n v="0.05"/>
    <n v="-0.05"/>
  </r>
  <r>
    <x v="134"/>
    <n v="39371"/>
    <n v="880"/>
    <n v="2.2351476975438773E-2"/>
    <n v="38029"/>
    <n v="0.96591399761245589"/>
    <m/>
    <n v="1.1734525412105339E-2"/>
    <n v="2924488"/>
    <n v="8500957.833333334"/>
    <n v="17373"/>
    <n v="48493.833333333336"/>
    <n v="122"/>
    <n v="298.41666666666669"/>
    <n v="101"/>
    <n v="179.58333333333334"/>
    <n v="8384"/>
    <n v="25935.083333333332"/>
    <n v="34"/>
    <n v="88.166666666666671"/>
    <n v="32"/>
    <n v="59.916666666666664"/>
    <n v="8989"/>
    <n v="22558.75"/>
    <n v="88"/>
    <n v="210.25"/>
    <n v="69"/>
    <n v="119.66666666666667"/>
    <n v="18898"/>
    <n v="6174"/>
    <n v="147"/>
    <n v="87"/>
    <n v="54"/>
    <n v="6"/>
    <n v="1.72E-2"/>
    <n v="0.51690000000000003"/>
    <n v="1141783"/>
    <n v="580344"/>
    <n v="-8387"/>
    <n v="4400"/>
    <n v="-2.8678524240824377E-3"/>
    <n v="-0.28678524240824377"/>
    <n v="-96.402298850574709"/>
    <n v="-57.054421768707485"/>
    <n v="-7.345528878955108E-3"/>
    <n v="65.72169458354918"/>
    <n v="12.459461769718045"/>
    <n v="13123.942528735632"/>
    <n v="7767.2312925170072"/>
    <n v="0.50827871846051309"/>
    <n v="33.404938697979624"/>
    <n v="6.3328792610200439"/>
    <n v="6670.6206896551721"/>
    <n v="3947.9183673469388"/>
    <n v="199.68965517241378"/>
    <n v="118.18367346938776"/>
    <n v="168.33523283255627"/>
    <n v="33614.80459770115"/>
    <n v="664.65636363636361"/>
    <n v="23971.213114754097"/>
    <n v="28955.326732673268"/>
    <d v="2023-01-01T00:00:00"/>
    <n v="59368.083333333336"/>
    <n v="16570.916666666668"/>
    <n v="105874.16666666667"/>
    <n v="50.574712643678161"/>
    <n v="131.89636363636365"/>
    <n v="771.28052482949579"/>
    <n v="10989.916666666666"/>
    <n v="178.44433174135327"/>
    <n v="11505.207124835666"/>
    <d v="2023-01-01T00:00:00"/>
    <n v="123.74988600431168"/>
    <n v="3.9021548681348315E-3"/>
    <n v="114.33333333333333"/>
    <n v="46553.849592386912"/>
    <n v="28289.567493253558"/>
    <n v="0.96928727798634939"/>
    <n v="2.3711013633087332E-2"/>
    <n v="7.0017083805631181E-3"/>
    <n v="2.561334334107269"/>
    <n v="53"/>
    <n v="50"/>
    <n v="13"/>
    <n v="12"/>
    <n v="19894.476190476191"/>
    <m/>
    <m/>
    <m/>
    <m/>
    <m/>
    <m/>
    <m/>
    <m/>
    <n v="3.9021548681348315E-3"/>
    <n v="0.39021548681348323"/>
    <n v="259.49613636363637"/>
    <n v="0.50827871846051309"/>
    <n v="0.62683712760316235"/>
    <n v="0.62683712760316235"/>
    <n v="0.13431227661463324"/>
    <n v="-0.49172128153948691"/>
    <n v="0.05"/>
    <n v="-0.05"/>
  </r>
  <r>
    <x v="135"/>
    <n v="56431"/>
    <n v="1042"/>
    <n v="1.846502808739877E-2"/>
    <n v="54438"/>
    <n v="0.96468253265049353"/>
    <m/>
    <n v="1.68524392621077E-2"/>
    <n v="4442152"/>
    <n v="8003905.5"/>
    <n v="27696"/>
    <n v="46453.166666666664"/>
    <n v="237"/>
    <n v="287.41666666666669"/>
    <n v="162"/>
    <n v="174.75"/>
    <n v="11346"/>
    <n v="25064.333333333332"/>
    <n v="50"/>
    <n v="83.333333333333329"/>
    <n v="37"/>
    <n v="56.583333333333336"/>
    <n v="16350"/>
    <n v="21388.833333333332"/>
    <n v="187"/>
    <n v="204.08333333333334"/>
    <n v="125"/>
    <n v="118.16666666666667"/>
    <n v="26205"/>
    <n v="9476"/>
    <n v="142"/>
    <n v="88"/>
    <n v="48"/>
    <n v="6"/>
    <n v="3.9E-2"/>
    <n v="0.08"/>
    <n v="1209964"/>
    <n v="926725"/>
    <n v="23009"/>
    <n v="7486"/>
    <n v="5.1796966875514387E-3"/>
    <n v="0.51796966875514383"/>
    <n v="261.46590909090907"/>
    <n v="162.03521126760563"/>
    <n v="1.9016268252609169E-2"/>
    <n v="43.687319468515312"/>
    <n v="10.93097321681312"/>
    <n v="13749.59090909091"/>
    <n v="8520.8732394366198"/>
    <n v="0.76591121719323885"/>
    <n v="33.46060803004044"/>
    <n v="8.3721550015960293"/>
    <n v="10530.96590909091"/>
    <n v="6526.2323943661968"/>
    <n v="314.72727272727275"/>
    <n v="195.04225352112675"/>
    <n v="160.38965915655692"/>
    <n v="50479"/>
    <n v="593.39460325941764"/>
    <n v="18743.257383966244"/>
    <n v="27420.691358024691"/>
    <d v="2023-02-01T00:00:00"/>
    <n v="56696.583333333336"/>
    <n v="15004.166666666666"/>
    <n v="100733"/>
    <n v="85.068181818181813"/>
    <n v="123.79441624365482"/>
    <n v="751.06731771765601"/>
    <n v="10576.333333333334"/>
    <n v="175.19140934723785"/>
    <n v="11477.977123432749"/>
    <d v="2023-02-01T00:00:00"/>
    <n v="124.25410112076855"/>
    <n v="3.6998425606301452E-3"/>
    <n v="110.41666666666667"/>
    <n v="44896.945084343512"/>
    <n v="27501.284289704225"/>
    <n v="0.9688132915096932"/>
    <n v="2.321660900721359E-2"/>
    <n v="7.9700994830932542E-3"/>
    <n v="3.6713092290349136"/>
    <n v="88"/>
    <n v="70"/>
    <n v="35"/>
    <n v="26"/>
    <n v="31282.760563380281"/>
    <m/>
    <m/>
    <m/>
    <m/>
    <m/>
    <m/>
    <m/>
    <m/>
    <n v="3.6998425606301452E-3"/>
    <n v="0.3699842560630146"/>
    <n v="161.63024312049157"/>
    <n v="0.76591121719323885"/>
    <n v="0.50827871846051309"/>
    <n v="0.50827871846051309"/>
    <n v="0.15117169986577178"/>
    <n v="-0.23408878280676115"/>
    <n v="0.05"/>
    <n v="-0.05"/>
  </r>
  <r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580F2-25CD-44E6-9056-E848DD27BDE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0:B66" firstHeaderRow="1" firstDataRow="1" firstDataCol="1"/>
  <pivotFields count="86">
    <pivotField axis="axisRow" numFmtId="17" showAll="0">
      <items count="1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6"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Sum of $ Transfer to FG" fld="8" baseField="0" baseItem="0" numFmtId="169"/>
  </dataFields>
  <formats count="2">
    <format dxfId="23">
      <pivotArea grandRow="1" outline="0" collapsedLevelsAreSubtotals="1" fieldPosition="0"/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D064A-966B-4824-A806-F22C0C425606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A19:AB142" firstHeaderRow="1" firstDataRow="1" firstDataCol="1"/>
  <pivotFields count="86">
    <pivotField axis="axisRow" numFmtId="17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Sum of Total Team" fld="30" baseField="0" baseItem="0"/>
  </dataFields>
  <formats count="3">
    <format dxfId="26">
      <pivotArea grandRow="1" outline="0" collapsedLevelsAreSubtotals="1" fieldPosition="0"/>
    </format>
    <format dxfId="25">
      <pivotArea outline="0" collapsedLevelsAreSubtotals="1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1648A-5251-46F4-A156-8ABC1E2D99A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9:J142" firstHeaderRow="1" firstDataRow="1" firstDataCol="1"/>
  <pivotFields count="86">
    <pivotField axis="axisRow" numFmtId="17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Sum of SEC Completed Units" fld="16" baseField="0" baseItem="0"/>
  </dataFields>
  <formats count="3">
    <format dxfId="29">
      <pivotArea grandRow="1" outline="0" collapsedLevelsAreSubtotals="1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EC0A4-0561-46D6-AE09-EB882316B616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19:R142" firstHeaderRow="1" firstDataRow="1" firstDataCol="1"/>
  <pivotFields count="86">
    <pivotField axis="axisRow" numFmtId="17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Sum of Modules PCB's" fld="28" baseField="0" baseItem="0"/>
  </dataFields>
  <formats count="3">
    <format dxfId="32">
      <pivotArea grandRow="1" outline="0" collapsedLevelsAreSubtotals="1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7E850-D8B6-4745-8CB7-1B3AD8CD121C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E19:AF142" firstHeaderRow="1" firstDataRow="1" firstDataCol="1"/>
  <pivotFields count="86">
    <pivotField axis="axisRow" numFmtId="17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Sum of Directs" fld="31" baseField="0" baseItem="8"/>
  </dataFields>
  <formats count="3">
    <format dxfId="35">
      <pivotArea grandRow="1" outline="0" collapsedLevelsAreSubtotals="1" fieldPosition="0"/>
    </format>
    <format dxfId="34">
      <pivotArea outline="0" collapsedLevelsAreSubtotals="1" fieldPosition="0"/>
    </format>
    <format dxfId="3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A1CD4-90FD-431D-B09A-3644B4F3206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9:N142" firstHeaderRow="1" firstDataRow="1" firstDataCol="1"/>
  <pivotFields count="86">
    <pivotField axis="axisRow" numFmtId="17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Sum of AM Completed Units" fld="22" baseField="0" baseItem="0"/>
  </dataFields>
  <formats count="3">
    <format dxfId="38">
      <pivotArea grandRow="1" outline="0" collapsedLevelsAreSubtotals="1" fieldPosition="0"/>
    </format>
    <format dxfId="37">
      <pivotArea outline="0" collapsedLevelsAreSubtotals="1" fieldPosition="0"/>
    </format>
    <format dxfId="3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28605-FD08-4A11-A62F-E9597C2D497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9:F142" firstHeaderRow="1" firstDataRow="1" firstDataCol="1"/>
  <pivotFields count="86">
    <pivotField axis="axisRow" numFmtId="17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Sum of Total Finished Goods Units (SEC&amp;AM)" fld="10" baseField="0" baseItem="0" numFmtId="165"/>
  </dataFields>
  <formats count="3">
    <format dxfId="41">
      <pivotArea grandRow="1" outline="0" collapsedLevelsAreSubtotals="1" fieldPosition="0"/>
    </format>
    <format dxfId="40">
      <pivotArea outline="0" collapsedLevelsAreSubtotals="1" fieldPosition="0"/>
    </format>
    <format dxfId="3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E353A-5549-4A39-AC1D-487417640AF5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W19:X65" firstHeaderRow="1" firstDataRow="1" firstDataCol="1"/>
  <pivotFields count="86">
    <pivotField axis="axisRow" numFmtId="17" showAll="0">
      <items count="1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6"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Sum of Total Labour Hours" fld="39" baseField="0" baseItem="0"/>
  </dataFields>
  <formats count="3">
    <format dxfId="44">
      <pivotArea grandRow="1" outline="0" collapsedLevelsAreSubtotals="1" fieldPosition="0"/>
    </format>
    <format dxfId="43">
      <pivotArea outline="0" collapsedLevelsAreSubtotals="1" fieldPosition="0"/>
    </format>
    <format dxfId="4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381B0-DED3-4FFC-AD34-F4A65359BD7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26:J155" firstHeaderRow="0" firstDataRow="1" firstDataCol="1"/>
  <pivotFields count="7"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44" showAll="0"/>
    <pivotField dataField="1" numFmtId="44" showAll="0"/>
    <pivotField dataField="1" numFmtId="8" showAll="0"/>
    <pivotField numFmtId="9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x="2"/>
        <item x="3"/>
        <item x="4"/>
        <item x="5"/>
        <item x="6"/>
        <item x="7"/>
        <item sd="0" x="8"/>
        <item t="default"/>
      </items>
    </pivotField>
  </pivotFields>
  <rowFields count="2">
    <field x="6"/>
    <field x="5"/>
  </rowFields>
  <rowItems count="29">
    <i>
      <x v="1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xpenses" fld="1" baseField="0" baseItem="0"/>
    <dataField name="Sum of Recoveries" fld="2" baseField="0" baseItem="0"/>
    <dataField name="Sum of Over/(Under) Recovery" fld="3" baseField="0" baseItem="0"/>
  </dataFields>
  <formats count="7">
    <format dxfId="6">
      <pivotArea collapsedLevelsAreSubtotals="1" fieldPosition="0">
        <references count="1">
          <reference field="6" count="1">
            <x v="1"/>
          </reference>
        </references>
      </pivotArea>
    </format>
    <format dxfId="5">
      <pivotArea collapsedLevelsAreSubtotals="1" fieldPosition="0">
        <references count="1">
          <reference field="6" count="1">
            <x v="2"/>
          </reference>
        </references>
      </pivotArea>
    </format>
    <format dxfId="4">
      <pivotArea collapsedLevelsAreSubtotals="1" fieldPosition="0">
        <references count="1">
          <reference field="6" count="1">
            <x v="3"/>
          </reference>
        </references>
      </pivotArea>
    </format>
    <format dxfId="3">
      <pivotArea collapsedLevelsAreSubtotals="1" fieldPosition="0">
        <references count="1">
          <reference field="6" count="1">
            <x v="4"/>
          </reference>
        </references>
      </pivotArea>
    </format>
    <format dxfId="2">
      <pivotArea collapsedLevelsAreSubtotals="1" fieldPosition="0">
        <references count="1">
          <reference field="6" count="1">
            <x v="5"/>
          </reference>
        </references>
      </pivotArea>
    </format>
    <format dxfId="1">
      <pivotArea collapsedLevelsAreSubtotals="1" fieldPosition="0">
        <references count="1">
          <reference field="6" count="1">
            <x v="6"/>
          </reference>
        </references>
      </pivotArea>
    </format>
    <format dxfId="0">
      <pivotArea collapsedLevelsAreSubtotals="1" fieldPosition="0">
        <references count="1">
          <reference field="6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AABB5-9052-429E-B054-6F5B6881725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41" firstHeaderRow="0" firstDataRow="1" firstDataCol="1"/>
  <pivotFields count="106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6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x="10"/>
        <item x="11"/>
        <item x="12"/>
        <item x="13"/>
        <item sd="0" x="14"/>
        <item t="default"/>
      </items>
    </pivotField>
  </pivotFields>
  <rowFields count="3">
    <field x="105"/>
    <field x="104"/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nses" fld="36" baseField="0" baseItem="0"/>
    <dataField name="Sum of $ Transfer to FG" fld="8" baseField="0" baseItem="0" numFmtId="169"/>
    <dataField name="Sum of Total Finished Goods Units (SEC&amp;AM)" fld="10" baseField="0" baseItem="0" numFmtId="165"/>
    <dataField name="Average of Total Team" fld="30" subtotal="average" baseField="102" baseItem="0"/>
    <dataField name="Average of Directs" fld="31" subtotal="average" baseField="102" baseItem="0"/>
    <dataField name="Sum of Recovery" fld="37" baseField="0" baseItem="0"/>
  </dataFields>
  <formats count="15">
    <format dxfId="21">
      <pivotArea outline="0" collapsedLevelsAreSubtotals="1" fieldPosition="0"/>
    </format>
    <format dxfId="2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2"/>
          </reference>
        </references>
      </pivotArea>
    </format>
    <format dxfId="18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3"/>
          </reference>
        </references>
      </pivotArea>
    </format>
    <format dxfId="17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4"/>
          </reference>
        </references>
      </pivotArea>
    </format>
    <format dxfId="16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5"/>
          </reference>
        </references>
      </pivotArea>
    </format>
    <format dxfId="15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6"/>
          </reference>
        </references>
      </pivotArea>
    </format>
    <format dxfId="14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7"/>
          </reference>
        </references>
      </pivotArea>
    </format>
    <format dxfId="13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8"/>
          </reference>
        </references>
      </pivotArea>
    </format>
    <format dxfId="12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9"/>
          </reference>
        </references>
      </pivotArea>
    </format>
    <format dxfId="11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10"/>
          </reference>
        </references>
      </pivotArea>
    </format>
    <format dxfId="10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11"/>
          </reference>
        </references>
      </pivotArea>
    </format>
    <format dxfId="9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12"/>
          </reference>
        </references>
      </pivotArea>
    </format>
    <format dxfId="8">
      <pivotArea collapsedLevelsAreSubtotals="1" fieldPosition="0">
        <references count="2">
          <reference field="4294967294" count="2" selected="0">
            <x v="3"/>
            <x v="4"/>
          </reference>
          <reference field="105" count="1">
            <x v="13"/>
          </reference>
        </references>
      </pivotArea>
    </format>
    <format dxfId="7">
      <pivotArea field="105" grandRow="1" outline="0" collapsedLevelsAreSubtotals="1" axis="axisRow" fieldPosition="0">
        <references count="1">
          <reference field="4294967294" count="2" selected="0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99" dT="2019-05-08T00:18:56.62" personId="{2749C95F-4EF1-41B7-8B8B-7CF1B50DCD98}" id="{818F2D5C-9C31-41CF-81FF-AF048F571496}">
    <text>1 casual - Ryanky Le
1 temp - Steffi James</text>
  </threadedComment>
  <threadedComment ref="R100" dT="2019-06-07T01:40:29.99" personId="{2749C95F-4EF1-41B7-8B8B-7CF1B50DCD98}" id="{F5691389-A560-4F0A-B88E-160D172D705D}">
    <text>2 temps - Jack O'Leary and Darren Hatcher (Advanced Personnel)</text>
  </threadedComment>
  <threadedComment ref="R101" dT="2019-07-05T00:11:37.87" personId="{2749C95F-4EF1-41B7-8B8B-7CF1B50DCD98}" id="{1AB19DED-34D1-4A7D-B909-6756A33FDA61}">
    <text>I Temp - Jack O'Leary</text>
  </threadedComment>
  <threadedComment ref="M108" dT="2020-02-05T02:25:47.08" personId="{2749C95F-4EF1-41B7-8B8B-7CF1B50DCD98}" id="{6554F045-787E-44BF-BF6F-35A8BA9C789B}">
    <text>1 temp - Ishveerpal Sagoo</text>
  </threadedComment>
  <threadedComment ref="R108" dT="2020-02-05T02:31:11.60" personId="{2749C95F-4EF1-41B7-8B8B-7CF1B50DCD98}" id="{ACD994B1-D50A-4EED-9E83-84960666299D}">
    <text>1 temp - Thomas Purves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allagher203.sharepoint.com/sites/Operations-General/A3s/Electronics%20Value%20Stream/Electronics%20Growth/Tracking%20Growth/Electronics%20Tracking.xlsx" TargetMode="External"/><Relationship Id="rId3" Type="http://schemas.openxmlformats.org/officeDocument/2006/relationships/hyperlink" Target="https://gallagher203.sharepoint.com/sites/Operations-General/A3s/Electronics%20Value%20Stream/Electronics%20Growth/Tracking%20Growth/Electronics%20Tracking.xlsx" TargetMode="External"/><Relationship Id="rId7" Type="http://schemas.openxmlformats.org/officeDocument/2006/relationships/hyperlink" Target="https://gallagher203.sharepoint.com/sites/Operations-General/A3s/Electronics%20Value%20Stream/Electronics%20Growth/Tracking%20Growth/Electronics%20Tracking.xlsx" TargetMode="External"/><Relationship Id="rId2" Type="http://schemas.openxmlformats.org/officeDocument/2006/relationships/hyperlink" Target="https://gallagher203.sharepoint.com/sites/Operations-General/A3s/Electronics%20Value%20Stream/Electronics%20Growth/Tracking%20Growth/Electronics%20Tracking.xlsx" TargetMode="External"/><Relationship Id="rId1" Type="http://schemas.openxmlformats.org/officeDocument/2006/relationships/hyperlink" Target="https://gallagher203.sharepoint.com/sites/Operations-General/A3s/Electronics%20Value%20Stream/Electronics%20Growth/Tracking%20Growth/Electronics%20Tracking.xlsx" TargetMode="External"/><Relationship Id="rId6" Type="http://schemas.openxmlformats.org/officeDocument/2006/relationships/hyperlink" Target="https://gallagher203.sharepoint.com/sites/Operations-General/A3s/Electronics%20Value%20Stream/Electronics%20Growth/Tracking%20Growth/Electronics%20Tracking.xlsx" TargetMode="External"/><Relationship Id="rId5" Type="http://schemas.openxmlformats.org/officeDocument/2006/relationships/hyperlink" Target="https://gallagher203.sharepoint.com/sites/Operations-General/A3s/Electronics%20Value%20Stream/Electronics%20Growth/Tracking%20Growth/Electronics%20Tracking.xlsx" TargetMode="External"/><Relationship Id="rId4" Type="http://schemas.openxmlformats.org/officeDocument/2006/relationships/hyperlink" Target="https://gallagher203.sharepoint.com/sites/Operations-General/A3s/Electronics%20Value%20Stream/Electronics%20Growth/Tracking%20Growth/Electronics%20Tracking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7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9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8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7CC47-FE74-4603-B392-6DCF6D006330}">
  <sheetPr>
    <tabColor rgb="FF00B0F0"/>
  </sheetPr>
  <dimension ref="A2:A9"/>
  <sheetViews>
    <sheetView workbookViewId="0">
      <selection activeCell="A9" sqref="A9"/>
    </sheetView>
  </sheetViews>
  <sheetFormatPr defaultRowHeight="15" x14ac:dyDescent="0.25"/>
  <sheetData>
    <row r="2" spans="1:1" x14ac:dyDescent="0.25">
      <c r="A2" s="1343" t="s">
        <v>0</v>
      </c>
    </row>
    <row r="3" spans="1:1" x14ac:dyDescent="0.25">
      <c r="A3" s="1343" t="s">
        <v>1</v>
      </c>
    </row>
    <row r="4" spans="1:1" x14ac:dyDescent="0.25">
      <c r="A4" s="1343" t="s">
        <v>2</v>
      </c>
    </row>
    <row r="5" spans="1:1" x14ac:dyDescent="0.25">
      <c r="A5" s="1343" t="s">
        <v>3</v>
      </c>
    </row>
    <row r="6" spans="1:1" x14ac:dyDescent="0.25">
      <c r="A6" s="1343" t="s">
        <v>4</v>
      </c>
    </row>
    <row r="7" spans="1:1" x14ac:dyDescent="0.25">
      <c r="A7" s="1343" t="s">
        <v>5</v>
      </c>
    </row>
    <row r="8" spans="1:1" x14ac:dyDescent="0.25">
      <c r="A8" s="1343" t="s">
        <v>6</v>
      </c>
    </row>
    <row r="9" spans="1:1" x14ac:dyDescent="0.25">
      <c r="A9" s="1343" t="s">
        <v>7</v>
      </c>
    </row>
  </sheetData>
  <hyperlinks>
    <hyperlink ref="A2" r:id="rId1" location="'Growth Predic 52 Wk on Stretch'!A1" xr:uid="{84A2AFFE-BEB0-4AD4-91C7-6F6503AAFE73}"/>
    <hyperlink ref="A3" r:id="rId2" location="'Growth Prediction Exec Summary'!A1" xr:uid="{C0CB4F45-C00F-4954-8C0B-A91E2B8AE152}"/>
    <hyperlink ref="A4" r:id="rId3" location="'Team Eff'!A1" xr:uid="{5926D2D0-EB52-4946-905E-9D72C0F446A1}"/>
    <hyperlink ref="A5" r:id="rId4" location="'Team Numbers'!C100" xr:uid="{A77324DD-2621-49A8-B6D8-5A8C8F19C03E}"/>
    <hyperlink ref="A6" r:id="rId5" location="'Unit Numbers '!Y1" xr:uid="{0EB68896-000A-4103-B2A9-1D1B8782E7B2}"/>
    <hyperlink ref="A7" r:id="rId6" location="'Units made'!AD1" xr:uid="{D3F1CDC7-5457-44B4-AB56-FAF66527130D}"/>
    <hyperlink ref="A8" r:id="rId7" location="'eShepherd Analysis'!A1" xr:uid="{60585312-60F0-43EB-93DD-727775DFBF24}"/>
    <hyperlink ref="A9" r:id="rId8" location="'Group Totals'!A144" xr:uid="{A03C253F-FA8C-41CF-BD0D-3AD1032255F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A827-962A-4EEF-92C0-55FCBB3EC3B5}">
  <sheetPr>
    <tabColor rgb="FF00B050"/>
    <pageSetUpPr fitToPage="1"/>
  </sheetPr>
  <dimension ref="A1:BA238"/>
  <sheetViews>
    <sheetView zoomScale="85" zoomScaleNormal="85" workbookViewId="0">
      <pane xSplit="1" topLeftCell="E1" activePane="topRight" state="frozen"/>
      <selection pane="topRight" activeCell="E19" sqref="E19"/>
    </sheetView>
  </sheetViews>
  <sheetFormatPr defaultColWidth="8.7109375" defaultRowHeight="15" outlineLevelRow="1" outlineLevelCol="1" x14ac:dyDescent="0.25"/>
  <cols>
    <col min="1" max="1" width="14.42578125" style="43" customWidth="1"/>
    <col min="2" max="4" width="14.42578125" style="43" hidden="1" customWidth="1" outlineLevel="1"/>
    <col min="5" max="5" width="14.42578125" style="43" customWidth="1" collapsed="1"/>
    <col min="6" max="6" width="14.42578125" style="43" customWidth="1"/>
    <col min="7" max="7" width="9.5703125" style="67" hidden="1" customWidth="1" outlineLevel="1"/>
    <col min="8" max="9" width="10.42578125" style="43" hidden="1" customWidth="1" outlineLevel="1"/>
    <col min="10" max="10" width="14.42578125" style="43" customWidth="1" collapsed="1"/>
    <col min="11" max="11" width="13" style="81" customWidth="1"/>
    <col min="12" max="13" width="14.7109375" style="43" hidden="1" customWidth="1" outlineLevel="1"/>
    <col min="14" max="14" width="15.5703125" style="43" hidden="1" customWidth="1" outlineLevel="1"/>
    <col min="15" max="15" width="15.5703125" style="67" bestFit="1" customWidth="1" collapsed="1"/>
    <col min="16" max="16" width="14.7109375" style="81" bestFit="1" customWidth="1"/>
    <col min="17" max="19" width="10.42578125" style="43" hidden="1" customWidth="1" outlineLevel="1"/>
    <col min="20" max="20" width="10.5703125" style="67" bestFit="1" customWidth="1" collapsed="1"/>
    <col min="21" max="21" width="14.140625" style="81" bestFit="1" customWidth="1"/>
    <col min="22" max="24" width="11.7109375" style="43" hidden="1" customWidth="1" outlineLevel="1"/>
    <col min="25" max="25" width="15" style="67" bestFit="1" customWidth="1" collapsed="1"/>
    <col min="26" max="26" width="11.7109375" style="81" bestFit="1" customWidth="1"/>
    <col min="27" max="29" width="13.42578125" style="43" hidden="1" customWidth="1" outlineLevel="1"/>
    <col min="30" max="30" width="13.42578125" style="67" bestFit="1" customWidth="1" collapsed="1"/>
    <col min="31" max="31" width="13.42578125" style="81" bestFit="1" customWidth="1"/>
    <col min="32" max="32" width="6.85546875" style="43" hidden="1" customWidth="1" outlineLevel="1"/>
    <col min="33" max="34" width="10.42578125" style="43" hidden="1" customWidth="1" outlineLevel="1"/>
    <col min="35" max="35" width="11.140625" style="67" bestFit="1" customWidth="1" collapsed="1"/>
    <col min="36" max="36" width="10.7109375" style="81" bestFit="1" customWidth="1"/>
    <col min="37" max="37" width="6.42578125" style="43" hidden="1" customWidth="1" outlineLevel="1"/>
    <col min="38" max="38" width="10.42578125" style="43" hidden="1" customWidth="1" outlineLevel="1"/>
    <col min="39" max="39" width="1.7109375" style="43" hidden="1" customWidth="1" outlineLevel="1"/>
    <col min="40" max="40" width="10.5703125" style="67" bestFit="1" customWidth="1" collapsed="1"/>
    <col min="41" max="41" width="14.42578125" style="81" customWidth="1"/>
    <col min="42" max="42" width="6.42578125" style="43" hidden="1" customWidth="1" outlineLevel="1"/>
    <col min="43" max="43" width="10.42578125" style="43" hidden="1" customWidth="1" outlineLevel="1"/>
    <col min="44" max="44" width="11.28515625" style="43" hidden="1" customWidth="1" outlineLevel="1"/>
    <col min="45" max="45" width="10.5703125" style="67" bestFit="1" customWidth="1" collapsed="1"/>
    <col min="46" max="46" width="16.140625" style="81" bestFit="1" customWidth="1"/>
    <col min="47" max="47" width="6.85546875" style="43" hidden="1" customWidth="1" outlineLevel="1"/>
    <col min="48" max="49" width="10.42578125" style="43" hidden="1" customWidth="1" outlineLevel="1"/>
    <col min="50" max="50" width="13.140625" style="67" customWidth="1" collapsed="1"/>
    <col min="51" max="51" width="12.140625" style="81" bestFit="1" customWidth="1"/>
    <col min="52" max="52" width="11" style="43" customWidth="1"/>
    <col min="53" max="16384" width="8.7109375" style="43"/>
  </cols>
  <sheetData>
    <row r="1" spans="1:51" x14ac:dyDescent="0.25">
      <c r="A1" s="1340" t="s">
        <v>8</v>
      </c>
      <c r="B1" s="1340"/>
      <c r="C1" s="1340"/>
      <c r="D1" s="1340"/>
      <c r="E1" s="1340"/>
      <c r="F1" s="1340"/>
      <c r="G1" s="43"/>
    </row>
    <row r="2" spans="1:51" x14ac:dyDescent="0.25">
      <c r="A2" s="1339" t="s">
        <v>9</v>
      </c>
      <c r="B2" s="1339"/>
      <c r="C2" s="1339"/>
      <c r="D2" s="1339"/>
      <c r="E2" s="1339"/>
      <c r="F2" s="1339"/>
      <c r="G2" s="43"/>
    </row>
    <row r="3" spans="1:51" x14ac:dyDescent="0.25">
      <c r="A3" s="1339" t="s">
        <v>10</v>
      </c>
      <c r="B3" s="1339"/>
      <c r="C3" s="1339"/>
      <c r="D3" s="1339"/>
      <c r="E3" s="1339"/>
      <c r="F3" s="1339"/>
      <c r="G3" s="43"/>
    </row>
    <row r="4" spans="1:51" s="87" customFormat="1" x14ac:dyDescent="0.25">
      <c r="B4" s="1554" t="s">
        <v>11</v>
      </c>
      <c r="C4" s="1554"/>
      <c r="D4" s="1554"/>
      <c r="E4" s="1554" t="s">
        <v>12</v>
      </c>
      <c r="F4" s="1555"/>
      <c r="G4" s="1554" t="s">
        <v>13</v>
      </c>
      <c r="H4" s="1554"/>
      <c r="I4" s="1554"/>
      <c r="J4" s="1554" t="s">
        <v>12</v>
      </c>
      <c r="K4" s="1555"/>
      <c r="L4" s="1554" t="s">
        <v>13</v>
      </c>
      <c r="M4" s="1554"/>
      <c r="N4" s="1554"/>
      <c r="O4" s="1554" t="s">
        <v>12</v>
      </c>
      <c r="P4" s="1555"/>
      <c r="Q4" s="1554" t="s">
        <v>13</v>
      </c>
      <c r="R4" s="1554"/>
      <c r="S4" s="1554"/>
      <c r="T4" s="1554" t="s">
        <v>12</v>
      </c>
      <c r="U4" s="1555"/>
      <c r="V4" s="1554" t="s">
        <v>13</v>
      </c>
      <c r="W4" s="1554"/>
      <c r="X4" s="1554"/>
      <c r="Y4" s="1554" t="s">
        <v>12</v>
      </c>
      <c r="Z4" s="1555"/>
      <c r="AA4" s="1554" t="s">
        <v>13</v>
      </c>
      <c r="AB4" s="1554"/>
      <c r="AC4" s="1554"/>
      <c r="AD4" s="1554" t="s">
        <v>12</v>
      </c>
      <c r="AE4" s="1555"/>
      <c r="AF4" s="1554" t="s">
        <v>13</v>
      </c>
      <c r="AG4" s="1554"/>
      <c r="AH4" s="1554"/>
      <c r="AI4" s="1554" t="s">
        <v>12</v>
      </c>
      <c r="AJ4" s="1555"/>
      <c r="AK4" s="1554" t="s">
        <v>13</v>
      </c>
      <c r="AL4" s="1554"/>
      <c r="AM4" s="1554"/>
      <c r="AN4" s="1554" t="s">
        <v>12</v>
      </c>
      <c r="AO4" s="1555"/>
      <c r="AP4" s="1554" t="s">
        <v>13</v>
      </c>
      <c r="AQ4" s="1554"/>
      <c r="AR4" s="1554"/>
      <c r="AS4" s="1554" t="s">
        <v>12</v>
      </c>
      <c r="AT4" s="1555"/>
      <c r="AU4" s="1554" t="s">
        <v>13</v>
      </c>
      <c r="AV4" s="1554"/>
      <c r="AW4" s="1554"/>
      <c r="AX4" s="1554" t="s">
        <v>12</v>
      </c>
      <c r="AY4" s="1555"/>
    </row>
    <row r="5" spans="1:51" s="87" customFormat="1" x14ac:dyDescent="0.25">
      <c r="A5" s="87" t="s">
        <v>14</v>
      </c>
      <c r="E5" s="1554" t="s">
        <v>15</v>
      </c>
      <c r="F5" s="1555"/>
      <c r="G5" s="1335">
        <f>'SEC Benches Data'!B2</f>
        <v>950</v>
      </c>
      <c r="H5" s="87">
        <f>'SEC Benches Data'!N2</f>
        <v>950</v>
      </c>
      <c r="I5" s="87">
        <f>'SEC Benches Data'!Z2</f>
        <v>950</v>
      </c>
      <c r="J5" s="87">
        <f>I5</f>
        <v>950</v>
      </c>
      <c r="K5" s="1336">
        <f>J5</f>
        <v>950</v>
      </c>
      <c r="L5" s="87">
        <f>'SEC Benches Data'!O2</f>
        <v>980</v>
      </c>
      <c r="M5" s="87">
        <f>'SEC Benches Data'!AA2</f>
        <v>980</v>
      </c>
      <c r="N5" s="87">
        <f>'SEC Benches Data'!AA2</f>
        <v>980</v>
      </c>
      <c r="O5" s="1335">
        <f>N5</f>
        <v>980</v>
      </c>
      <c r="P5" s="1336">
        <f>O5</f>
        <v>980</v>
      </c>
      <c r="Q5" s="87">
        <f>'SEC Benches Data'!D2</f>
        <v>981</v>
      </c>
      <c r="R5" s="87">
        <f>Q5</f>
        <v>981</v>
      </c>
      <c r="S5" s="87">
        <f>R5</f>
        <v>981</v>
      </c>
      <c r="T5" s="1335">
        <f>S5</f>
        <v>981</v>
      </c>
      <c r="U5" s="1336">
        <f>T5</f>
        <v>981</v>
      </c>
      <c r="V5" s="87">
        <f>'SEC Benches Data'!E2</f>
        <v>983</v>
      </c>
      <c r="W5" s="87">
        <f>V5</f>
        <v>983</v>
      </c>
      <c r="X5" s="87">
        <f>W5</f>
        <v>983</v>
      </c>
      <c r="Y5" s="1335">
        <f>X5</f>
        <v>983</v>
      </c>
      <c r="Z5" s="1336">
        <f>Y5</f>
        <v>983</v>
      </c>
      <c r="AA5" s="87">
        <f>'SEC Benches Data'!F2</f>
        <v>984</v>
      </c>
      <c r="AB5" s="87">
        <f>AA5</f>
        <v>984</v>
      </c>
      <c r="AC5" s="87">
        <f>AB5</f>
        <v>984</v>
      </c>
      <c r="AD5" s="1335">
        <f>AC5</f>
        <v>984</v>
      </c>
      <c r="AE5" s="1336">
        <f>AD5</f>
        <v>984</v>
      </c>
      <c r="AF5" s="87" t="str">
        <f>'SEC Benches Data'!G2</f>
        <v>982A</v>
      </c>
      <c r="AG5" s="87" t="str">
        <f>AF5</f>
        <v>982A</v>
      </c>
      <c r="AH5" s="87" t="str">
        <f>AG5</f>
        <v>982A</v>
      </c>
      <c r="AI5" s="1335" t="str">
        <f>AH5</f>
        <v>982A</v>
      </c>
      <c r="AJ5" s="1336" t="str">
        <f>AI5</f>
        <v>982A</v>
      </c>
      <c r="AK5" s="87" t="str">
        <f>'SEC Benches Data'!H2</f>
        <v>982B</v>
      </c>
      <c r="AL5" s="87" t="str">
        <f>AK5</f>
        <v>982B</v>
      </c>
      <c r="AM5" s="87" t="str">
        <f>AL5</f>
        <v>982B</v>
      </c>
      <c r="AN5" s="1335" t="str">
        <f>AM5</f>
        <v>982B</v>
      </c>
      <c r="AO5" s="1336" t="str">
        <f>AN5</f>
        <v>982B</v>
      </c>
      <c r="AP5" s="87">
        <f>'SEC Benches Data'!J2</f>
        <v>986</v>
      </c>
      <c r="AQ5" s="87">
        <f>AP5</f>
        <v>986</v>
      </c>
      <c r="AR5" s="87">
        <f>AQ5</f>
        <v>986</v>
      </c>
      <c r="AS5" s="1335">
        <f>AR5</f>
        <v>986</v>
      </c>
      <c r="AT5" s="1336">
        <f>AS5</f>
        <v>986</v>
      </c>
      <c r="AU5" s="87" t="str">
        <f>'SEC Benches Data'!M2</f>
        <v>985A/B</v>
      </c>
      <c r="AV5" s="87" t="str">
        <f>AU5</f>
        <v>985A/B</v>
      </c>
      <c r="AW5" s="87" t="str">
        <f>AV5</f>
        <v>985A/B</v>
      </c>
      <c r="AX5" s="1335" t="str">
        <f>AW5</f>
        <v>985A/B</v>
      </c>
      <c r="AY5" s="1336" t="str">
        <f>AX5</f>
        <v>985A/B</v>
      </c>
    </row>
    <row r="6" spans="1:51" s="87" customFormat="1" x14ac:dyDescent="0.25">
      <c r="A6" s="87" t="s">
        <v>16</v>
      </c>
      <c r="B6" s="1335" t="s">
        <v>17</v>
      </c>
      <c r="C6" s="87" t="s">
        <v>18</v>
      </c>
      <c r="D6" s="87" t="s">
        <v>19</v>
      </c>
      <c r="E6" s="87" t="s">
        <v>20</v>
      </c>
      <c r="F6" s="1336" t="s">
        <v>21</v>
      </c>
      <c r="G6" s="1335" t="s">
        <v>17</v>
      </c>
      <c r="H6" s="87" t="s">
        <v>18</v>
      </c>
      <c r="I6" s="87" t="s">
        <v>19</v>
      </c>
      <c r="J6" s="87" t="s">
        <v>20</v>
      </c>
      <c r="K6" s="1336" t="s">
        <v>21</v>
      </c>
      <c r="L6" s="87" t="s">
        <v>17</v>
      </c>
      <c r="M6" s="87" t="s">
        <v>18</v>
      </c>
      <c r="N6" s="87" t="s">
        <v>19</v>
      </c>
      <c r="O6" s="1335" t="s">
        <v>20</v>
      </c>
      <c r="P6" s="1336" t="s">
        <v>21</v>
      </c>
      <c r="Q6" s="87" t="s">
        <v>17</v>
      </c>
      <c r="R6" s="87" t="s">
        <v>18</v>
      </c>
      <c r="S6" s="87" t="s">
        <v>19</v>
      </c>
      <c r="T6" s="1335" t="s">
        <v>20</v>
      </c>
      <c r="U6" s="1336" t="s">
        <v>21</v>
      </c>
      <c r="V6" s="87" t="s">
        <v>17</v>
      </c>
      <c r="W6" s="87" t="s">
        <v>18</v>
      </c>
      <c r="X6" s="87" t="s">
        <v>19</v>
      </c>
      <c r="Y6" s="1335" t="s">
        <v>20</v>
      </c>
      <c r="Z6" s="1336" t="s">
        <v>21</v>
      </c>
      <c r="AA6" s="87" t="s">
        <v>17</v>
      </c>
      <c r="AB6" s="87" t="s">
        <v>18</v>
      </c>
      <c r="AC6" s="87" t="s">
        <v>19</v>
      </c>
      <c r="AD6" s="1335" t="s">
        <v>20</v>
      </c>
      <c r="AE6" s="1336" t="s">
        <v>21</v>
      </c>
      <c r="AF6" s="87" t="s">
        <v>17</v>
      </c>
      <c r="AG6" s="87" t="s">
        <v>18</v>
      </c>
      <c r="AH6" s="87" t="s">
        <v>19</v>
      </c>
      <c r="AI6" s="1335" t="s">
        <v>20</v>
      </c>
      <c r="AJ6" s="1336" t="s">
        <v>21</v>
      </c>
      <c r="AK6" s="87" t="s">
        <v>17</v>
      </c>
      <c r="AL6" s="87" t="s">
        <v>18</v>
      </c>
      <c r="AM6" s="87" t="s">
        <v>19</v>
      </c>
      <c r="AN6" s="1335" t="s">
        <v>20</v>
      </c>
      <c r="AO6" s="1336" t="s">
        <v>21</v>
      </c>
      <c r="AP6" s="87" t="s">
        <v>17</v>
      </c>
      <c r="AQ6" s="87" t="s">
        <v>18</v>
      </c>
      <c r="AR6" s="87" t="s">
        <v>19</v>
      </c>
      <c r="AS6" s="1335" t="s">
        <v>20</v>
      </c>
      <c r="AT6" s="1336" t="s">
        <v>21</v>
      </c>
      <c r="AU6" s="87" t="s">
        <v>17</v>
      </c>
      <c r="AV6" s="87" t="s">
        <v>18</v>
      </c>
      <c r="AW6" s="87" t="s">
        <v>19</v>
      </c>
      <c r="AX6" s="1335" t="s">
        <v>20</v>
      </c>
      <c r="AY6" s="1336" t="s">
        <v>21</v>
      </c>
    </row>
    <row r="7" spans="1:51" s="87" customFormat="1" x14ac:dyDescent="0.25">
      <c r="A7" s="87" t="s">
        <v>22</v>
      </c>
      <c r="B7" s="1345" t="s">
        <v>23</v>
      </c>
      <c r="C7" s="1346" t="s">
        <v>24</v>
      </c>
      <c r="D7" s="1346" t="s">
        <v>25</v>
      </c>
      <c r="E7" s="87" t="s">
        <v>26</v>
      </c>
      <c r="F7" s="1336" t="s">
        <v>27</v>
      </c>
      <c r="G7" s="1335" t="str">
        <f>'SEC Benches Data'!B3</f>
        <v>13 wks</v>
      </c>
      <c r="H7" s="87" t="str">
        <f>'SEC Benches Data'!N3</f>
        <v>14 - 26 Wks</v>
      </c>
      <c r="I7" s="87" t="str">
        <f>'SEC Benches Data'!Z3</f>
        <v>27 - 52 Wks</v>
      </c>
      <c r="J7" s="87" t="s">
        <v>26</v>
      </c>
      <c r="K7" s="1336" t="s">
        <v>27</v>
      </c>
      <c r="L7" s="87" t="str">
        <f>G7</f>
        <v>13 wks</v>
      </c>
      <c r="M7" s="87" t="str">
        <f t="shared" ref="M7:N7" si="0">H7</f>
        <v>14 - 26 Wks</v>
      </c>
      <c r="N7" s="87" t="str">
        <f t="shared" si="0"/>
        <v>27 - 52 Wks</v>
      </c>
      <c r="O7" s="1335"/>
      <c r="P7" s="1336"/>
      <c r="Q7" s="87" t="str">
        <f>G7</f>
        <v>13 wks</v>
      </c>
      <c r="R7" s="87" t="str">
        <f t="shared" ref="R7:S7" si="1">H7</f>
        <v>14 - 26 Wks</v>
      </c>
      <c r="S7" s="87" t="str">
        <f t="shared" si="1"/>
        <v>27 - 52 Wks</v>
      </c>
      <c r="T7" s="1335"/>
      <c r="U7" s="1336"/>
      <c r="V7" s="87" t="str">
        <f>Q7</f>
        <v>13 wks</v>
      </c>
      <c r="W7" s="87" t="str">
        <f>R7</f>
        <v>14 - 26 Wks</v>
      </c>
      <c r="X7" s="87" t="str">
        <f>S7</f>
        <v>27 - 52 Wks</v>
      </c>
      <c r="Y7" s="1335"/>
      <c r="Z7" s="1336"/>
      <c r="AA7" s="87" t="str">
        <f>V7</f>
        <v>13 wks</v>
      </c>
      <c r="AB7" s="87" t="str">
        <f>W7</f>
        <v>14 - 26 Wks</v>
      </c>
      <c r="AC7" s="87" t="str">
        <f>X7</f>
        <v>27 - 52 Wks</v>
      </c>
      <c r="AD7" s="1335"/>
      <c r="AE7" s="1336"/>
      <c r="AF7" s="87" t="str">
        <f>AA7</f>
        <v>13 wks</v>
      </c>
      <c r="AG7" s="87" t="str">
        <f>AB7</f>
        <v>14 - 26 Wks</v>
      </c>
      <c r="AH7" s="87" t="str">
        <f>AC7</f>
        <v>27 - 52 Wks</v>
      </c>
      <c r="AI7" s="1335"/>
      <c r="AJ7" s="1336"/>
      <c r="AK7" s="87" t="str">
        <f>AF7</f>
        <v>13 wks</v>
      </c>
      <c r="AL7" s="87" t="str">
        <f>AG7</f>
        <v>14 - 26 Wks</v>
      </c>
      <c r="AM7" s="87" t="str">
        <f>AH7</f>
        <v>27 - 52 Wks</v>
      </c>
      <c r="AN7" s="1335"/>
      <c r="AO7" s="1336"/>
      <c r="AP7" s="87" t="str">
        <f>AK7</f>
        <v>13 wks</v>
      </c>
      <c r="AQ7" s="87" t="str">
        <f>AL7</f>
        <v>14 - 26 Wks</v>
      </c>
      <c r="AR7" s="87" t="str">
        <f>AM7</f>
        <v>27 - 52 Wks</v>
      </c>
      <c r="AS7" s="1335"/>
      <c r="AT7" s="1336"/>
      <c r="AU7" s="87" t="str">
        <f>AP7</f>
        <v>13 wks</v>
      </c>
      <c r="AV7" s="87" t="str">
        <f>AQ7</f>
        <v>14 - 26 Wks</v>
      </c>
      <c r="AW7" s="87" t="str">
        <f>AR7</f>
        <v>27 - 52 Wks</v>
      </c>
      <c r="AX7" s="1335"/>
      <c r="AY7" s="1336"/>
    </row>
    <row r="8" spans="1:51" s="191" customFormat="1" x14ac:dyDescent="0.25">
      <c r="A8" s="1333">
        <f>'SEC Benches Data'!A52</f>
        <v>44593</v>
      </c>
      <c r="B8" s="7">
        <f>'SEC Benches Data'!AO52*('SEC Benches Data'!AL52/100)</f>
        <v>1161.6399999999999</v>
      </c>
      <c r="C8" s="7">
        <f>'SEC Benches Data'!AP52*('SEC Benches Data'!AM52/100)</f>
        <v>716.80000000000007</v>
      </c>
      <c r="D8" s="7">
        <f>'SEC Benches Data'!AQ52*('SEC Benches Data'!AN52/100)</f>
        <v>774.75</v>
      </c>
      <c r="E8" s="191" t="s">
        <v>28</v>
      </c>
      <c r="F8" s="192" t="s">
        <v>28</v>
      </c>
      <c r="G8" s="190">
        <f>'SEC Benches Data'!B52</f>
        <v>41</v>
      </c>
      <c r="H8" s="191">
        <f>'SEC Benches Data'!N52</f>
        <v>25</v>
      </c>
      <c r="I8" s="191">
        <f>'SEC Benches Data'!Z52</f>
        <v>31</v>
      </c>
      <c r="J8" s="191" t="s">
        <v>28</v>
      </c>
      <c r="K8" s="192" t="s">
        <v>28</v>
      </c>
      <c r="L8" s="191">
        <f>'SEC Benches Data'!C52</f>
        <v>85</v>
      </c>
      <c r="M8" s="191">
        <f>'SEC Benches Data'!O52</f>
        <v>19</v>
      </c>
      <c r="N8" s="191">
        <f>'SEC Benches Data'!AA52</f>
        <v>34</v>
      </c>
      <c r="O8" s="190" t="s">
        <v>28</v>
      </c>
      <c r="P8" s="192" t="s">
        <v>28</v>
      </c>
      <c r="Q8" s="191">
        <f>'SEC Benches Data'!D52</f>
        <v>91</v>
      </c>
      <c r="R8" s="191">
        <f>'SEC Benches Data'!P52</f>
        <v>16</v>
      </c>
      <c r="S8" s="191">
        <f>'SEC Benches Data'!AB52</f>
        <v>20</v>
      </c>
      <c r="T8" s="190" t="s">
        <v>28</v>
      </c>
      <c r="U8" s="192" t="s">
        <v>28</v>
      </c>
      <c r="V8" s="191">
        <f>'SEC Benches Data'!E52</f>
        <v>81</v>
      </c>
      <c r="W8" s="191">
        <f>'SEC Benches Data'!Q52</f>
        <v>58</v>
      </c>
      <c r="X8" s="191">
        <f>'SEC Benches Data'!AC52</f>
        <v>59</v>
      </c>
      <c r="Y8" s="190" t="s">
        <v>28</v>
      </c>
      <c r="Z8" s="192" t="s">
        <v>28</v>
      </c>
      <c r="AA8" s="191">
        <f>'SEC Benches Data'!F52</f>
        <v>74</v>
      </c>
      <c r="AB8" s="191">
        <f>'SEC Benches Data'!R52</f>
        <v>57</v>
      </c>
      <c r="AC8" s="191">
        <f>'SEC Benches Data'!AD52</f>
        <v>61</v>
      </c>
      <c r="AD8" s="190" t="s">
        <v>28</v>
      </c>
      <c r="AE8" s="192" t="s">
        <v>28</v>
      </c>
      <c r="AF8" s="191">
        <f>'SEC Benches Data'!G52</f>
        <v>92</v>
      </c>
      <c r="AG8" s="191">
        <f>'SEC Benches Data'!S52</f>
        <v>75</v>
      </c>
      <c r="AH8" s="191">
        <f>'SEC Benches Data'!AE52</f>
        <v>71</v>
      </c>
      <c r="AI8" s="190" t="s">
        <v>28</v>
      </c>
      <c r="AJ8" s="192" t="s">
        <v>28</v>
      </c>
      <c r="AK8" s="191">
        <f>'SEC Benches Data'!H52</f>
        <v>105</v>
      </c>
      <c r="AL8" s="191">
        <f>'SEC Benches Data'!T52</f>
        <v>38</v>
      </c>
      <c r="AM8" s="191">
        <f>'SEC Benches Data'!AF52</f>
        <v>62</v>
      </c>
      <c r="AN8" s="190" t="s">
        <v>28</v>
      </c>
      <c r="AO8" s="192" t="s">
        <v>28</v>
      </c>
      <c r="AP8" s="191">
        <f>'SEC Benches Data'!J52</f>
        <v>34</v>
      </c>
      <c r="AQ8" s="191">
        <f>'SEC Benches Data'!V52</f>
        <v>13</v>
      </c>
      <c r="AR8" s="191">
        <f>'SEC Benches Data'!AH52</f>
        <v>21</v>
      </c>
      <c r="AS8" s="190" t="s">
        <v>28</v>
      </c>
      <c r="AT8" s="192" t="s">
        <v>28</v>
      </c>
      <c r="AU8" s="191">
        <f>'SEC Benches Data'!M52</f>
        <v>81</v>
      </c>
      <c r="AV8" s="191">
        <f>'SEC Benches Data'!Y52</f>
        <v>49</v>
      </c>
      <c r="AW8" s="191">
        <f>'SEC Benches Data'!AK52</f>
        <v>59</v>
      </c>
      <c r="AX8" s="190" t="s">
        <v>28</v>
      </c>
      <c r="AY8" s="192" t="s">
        <v>28</v>
      </c>
    </row>
    <row r="9" spans="1:51" x14ac:dyDescent="0.25">
      <c r="A9" s="1332">
        <f>'SEC Benches Data'!A53</f>
        <v>44617</v>
      </c>
      <c r="B9" s="7">
        <f>'SEC Benches Data'!AO53*('SEC Benches Data'!AL53/100)</f>
        <v>1133.6000000000001</v>
      </c>
      <c r="C9" s="7">
        <f>'SEC Benches Data'!AP53*('SEC Benches Data'!AM53/100)</f>
        <v>635.59999999999991</v>
      </c>
      <c r="D9" s="7">
        <f>'SEC Benches Data'!AQ53*('SEC Benches Data'!AN53/100)</f>
        <v>788.5</v>
      </c>
      <c r="E9" s="43" t="s">
        <v>28</v>
      </c>
      <c r="F9" s="81" t="s">
        <v>28</v>
      </c>
      <c r="G9" s="67">
        <f>'SEC Benches Data'!B53</f>
        <v>42</v>
      </c>
      <c r="H9" s="43">
        <f>'SEC Benches Data'!N53</f>
        <v>22</v>
      </c>
      <c r="I9" s="43">
        <f>'SEC Benches Data'!Z53</f>
        <v>32</v>
      </c>
      <c r="J9" s="43" t="s">
        <v>28</v>
      </c>
      <c r="K9" s="81" t="s">
        <v>28</v>
      </c>
      <c r="L9" s="43">
        <f>'SEC Benches Data'!C53</f>
        <v>70</v>
      </c>
      <c r="M9" s="43">
        <f>'SEC Benches Data'!O53</f>
        <v>31</v>
      </c>
      <c r="N9" s="43">
        <f>'SEC Benches Data'!AA53</f>
        <v>40</v>
      </c>
      <c r="O9" s="67" t="s">
        <v>28</v>
      </c>
      <c r="P9" s="81" t="s">
        <v>28</v>
      </c>
      <c r="Q9" s="43">
        <f>'SEC Benches Data'!D53</f>
        <v>84</v>
      </c>
      <c r="R9" s="43">
        <f>'SEC Benches Data'!P53</f>
        <v>16</v>
      </c>
      <c r="S9" s="43">
        <f>'SEC Benches Data'!AB53</f>
        <v>21</v>
      </c>
      <c r="T9" s="67" t="s">
        <v>28</v>
      </c>
      <c r="U9" s="81" t="s">
        <v>28</v>
      </c>
      <c r="V9" s="43">
        <f>'SEC Benches Data'!E53</f>
        <v>72</v>
      </c>
      <c r="W9" s="43">
        <f>'SEC Benches Data'!Q53</f>
        <v>43</v>
      </c>
      <c r="X9" s="43">
        <f>'SEC Benches Data'!AC53</f>
        <v>65</v>
      </c>
      <c r="Y9" s="67" t="s">
        <v>28</v>
      </c>
      <c r="Z9" s="81" t="s">
        <v>28</v>
      </c>
      <c r="AA9" s="43">
        <f>'SEC Benches Data'!J53</f>
        <v>24</v>
      </c>
      <c r="AB9" s="43">
        <f>'SEC Benches Data'!V53</f>
        <v>17</v>
      </c>
      <c r="AC9" s="43">
        <f>'SEC Benches Data'!AH53</f>
        <v>22</v>
      </c>
      <c r="AD9" s="67" t="s">
        <v>28</v>
      </c>
      <c r="AE9" s="81" t="s">
        <v>28</v>
      </c>
      <c r="AF9" s="43">
        <f>'SEC Benches Data'!G53</f>
        <v>85</v>
      </c>
      <c r="AG9" s="43">
        <f>'SEC Benches Data'!S53</f>
        <v>59</v>
      </c>
      <c r="AH9" s="43">
        <f>'SEC Benches Data'!AE53</f>
        <v>74</v>
      </c>
      <c r="AI9" s="67" t="s">
        <v>28</v>
      </c>
      <c r="AJ9" s="81" t="s">
        <v>28</v>
      </c>
      <c r="AK9" s="43">
        <f>'SEC Benches Data'!H53</f>
        <v>94</v>
      </c>
      <c r="AL9" s="43">
        <f>'SEC Benches Data'!T53</f>
        <v>48</v>
      </c>
      <c r="AM9" s="43">
        <f>'SEC Benches Data'!AF53</f>
        <v>62</v>
      </c>
      <c r="AN9" s="67" t="s">
        <v>28</v>
      </c>
      <c r="AO9" s="81" t="s">
        <v>28</v>
      </c>
      <c r="AP9" s="43">
        <f>'SEC Benches Data'!J53</f>
        <v>24</v>
      </c>
      <c r="AQ9" s="43">
        <f>'SEC Benches Data'!V53</f>
        <v>17</v>
      </c>
      <c r="AR9" s="43">
        <f>'SEC Benches Data'!AH53</f>
        <v>22</v>
      </c>
      <c r="AS9" s="67" t="s">
        <v>28</v>
      </c>
      <c r="AT9" s="81" t="s">
        <v>28</v>
      </c>
      <c r="AU9" s="43">
        <f>'SEC Benches Data'!M53</f>
        <v>84</v>
      </c>
      <c r="AV9" s="43">
        <f>'SEC Benches Data'!Y53</f>
        <v>41</v>
      </c>
      <c r="AW9" s="43">
        <f>'SEC Benches Data'!AK53</f>
        <v>59</v>
      </c>
      <c r="AX9" s="67" t="s">
        <v>28</v>
      </c>
      <c r="AY9" s="81" t="s">
        <v>28</v>
      </c>
    </row>
    <row r="10" spans="1:51" x14ac:dyDescent="0.25">
      <c r="A10" s="1332">
        <f>'SEC Benches Data'!A54</f>
        <v>44655</v>
      </c>
      <c r="B10" s="7">
        <f>'SEC Benches Data'!AO54*('SEC Benches Data'!AL54/100)</f>
        <v>1030.71</v>
      </c>
      <c r="C10" s="7">
        <f>'SEC Benches Data'!AP54*('SEC Benches Data'!AM54/100)</f>
        <v>669</v>
      </c>
      <c r="D10" s="7">
        <f>'SEC Benches Data'!AQ54*('SEC Benches Data'!AN54/100)</f>
        <v>740.28000000000009</v>
      </c>
      <c r="E10" s="116" t="s">
        <v>28</v>
      </c>
      <c r="F10" s="81" t="s">
        <v>28</v>
      </c>
      <c r="G10" s="67">
        <f>'SEC Benches Data'!B54</f>
        <v>44</v>
      </c>
      <c r="H10" s="43">
        <f>'SEC Benches Data'!N54</f>
        <v>26</v>
      </c>
      <c r="I10" s="43">
        <f>'SEC Benches Data'!Z54</f>
        <v>26</v>
      </c>
      <c r="J10" s="116" t="s">
        <v>28</v>
      </c>
      <c r="K10" s="81" t="s">
        <v>28</v>
      </c>
      <c r="L10" s="43">
        <f>'SEC Benches Data'!C54</f>
        <v>76</v>
      </c>
      <c r="M10" s="43">
        <f>'SEC Benches Data'!O54</f>
        <v>25</v>
      </c>
      <c r="N10" s="43">
        <f>'SEC Benches Data'!AA54</f>
        <v>38</v>
      </c>
      <c r="O10" s="1341" t="s">
        <v>28</v>
      </c>
      <c r="P10" s="81" t="s">
        <v>28</v>
      </c>
      <c r="Q10" s="43">
        <f>'SEC Benches Data'!D54</f>
        <v>64</v>
      </c>
      <c r="R10" s="43">
        <f>'SEC Benches Data'!P54</f>
        <v>23</v>
      </c>
      <c r="S10" s="43">
        <f>'SEC Benches Data'!AB54</f>
        <v>27</v>
      </c>
      <c r="T10" s="1341" t="s">
        <v>28</v>
      </c>
      <c r="U10" s="81" t="s">
        <v>28</v>
      </c>
      <c r="V10" s="43">
        <f>'SEC Benches Data'!E54</f>
        <v>47</v>
      </c>
      <c r="W10" s="43">
        <f>'SEC Benches Data'!Q54</f>
        <v>39</v>
      </c>
      <c r="X10" s="43">
        <f>'SEC Benches Data'!AC54</f>
        <v>57</v>
      </c>
      <c r="Y10" s="1341" t="s">
        <v>28</v>
      </c>
      <c r="Z10" s="81" t="s">
        <v>28</v>
      </c>
      <c r="AA10" s="43">
        <f>'SEC Benches Data'!J54</f>
        <v>39</v>
      </c>
      <c r="AB10" s="43">
        <f>'SEC Benches Data'!V54</f>
        <v>20</v>
      </c>
      <c r="AC10" s="43">
        <f>'SEC Benches Data'!AH54</f>
        <v>24</v>
      </c>
      <c r="AD10" s="1341" t="s">
        <v>28</v>
      </c>
      <c r="AE10" s="81" t="s">
        <v>28</v>
      </c>
      <c r="AF10" s="43">
        <f>'SEC Benches Data'!G54</f>
        <v>70</v>
      </c>
      <c r="AG10" s="43">
        <f>'SEC Benches Data'!S54</f>
        <v>48</v>
      </c>
      <c r="AH10" s="43">
        <f>'SEC Benches Data'!AE54</f>
        <v>76</v>
      </c>
      <c r="AI10" s="1341" t="s">
        <v>28</v>
      </c>
      <c r="AJ10" s="81" t="s">
        <v>28</v>
      </c>
      <c r="AK10" s="43">
        <f>'SEC Benches Data'!H54</f>
        <v>86</v>
      </c>
      <c r="AL10" s="43">
        <f>'SEC Benches Data'!T54</f>
        <v>40</v>
      </c>
      <c r="AM10" s="43">
        <f>'SEC Benches Data'!AF54</f>
        <v>56</v>
      </c>
      <c r="AN10" s="1341" t="s">
        <v>28</v>
      </c>
      <c r="AO10" s="81" t="s">
        <v>28</v>
      </c>
      <c r="AP10" s="43">
        <f>'SEC Benches Data'!J54</f>
        <v>39</v>
      </c>
      <c r="AQ10" s="43">
        <f>'SEC Benches Data'!V54</f>
        <v>20</v>
      </c>
      <c r="AR10" s="43">
        <f>'SEC Benches Data'!AH54</f>
        <v>24</v>
      </c>
      <c r="AS10" s="1341" t="s">
        <v>28</v>
      </c>
      <c r="AT10" s="81" t="s">
        <v>28</v>
      </c>
      <c r="AU10" s="43">
        <f>'SEC Benches Data'!M54</f>
        <v>77</v>
      </c>
      <c r="AV10" s="43">
        <f>'SEC Benches Data'!Y54</f>
        <v>51</v>
      </c>
      <c r="AW10" s="43">
        <f>'SEC Benches Data'!AK54</f>
        <v>53</v>
      </c>
      <c r="AX10" s="1341" t="s">
        <v>28</v>
      </c>
      <c r="AY10" s="81" t="s">
        <v>28</v>
      </c>
    </row>
    <row r="11" spans="1:51" x14ac:dyDescent="0.25">
      <c r="A11" s="1332">
        <f>'SEC Benches Data'!A55</f>
        <v>44691</v>
      </c>
      <c r="B11" s="7">
        <f>'SEC Benches Data'!AO55*('SEC Benches Data'!AL55/100)</f>
        <v>915.68</v>
      </c>
      <c r="C11" s="7">
        <f>'SEC Benches Data'!AP55*('SEC Benches Data'!AM55/100)</f>
        <v>678.40000000000009</v>
      </c>
      <c r="D11" s="7">
        <f>'SEC Benches Data'!AQ55*('SEC Benches Data'!AN55/100)</f>
        <v>640.07999999999993</v>
      </c>
      <c r="E11" s="116">
        <f>B11/C8</f>
        <v>1.2774553571428569</v>
      </c>
      <c r="F11" s="81" t="s">
        <v>28</v>
      </c>
      <c r="G11" s="67">
        <f>'SEC Benches Data'!B55</f>
        <v>28</v>
      </c>
      <c r="H11" s="43">
        <f>'SEC Benches Data'!N55</f>
        <v>20</v>
      </c>
      <c r="I11" s="43">
        <f>'SEC Benches Data'!Z55</f>
        <v>22</v>
      </c>
      <c r="J11" s="116">
        <f>G11/H8</f>
        <v>1.1200000000000001</v>
      </c>
      <c r="K11" s="81" t="s">
        <v>28</v>
      </c>
      <c r="L11" s="43">
        <f>'SEC Benches Data'!C55</f>
        <v>119</v>
      </c>
      <c r="M11" s="43">
        <f>'SEC Benches Data'!O55</f>
        <v>61</v>
      </c>
      <c r="N11" s="43">
        <f>'SEC Benches Data'!AA55</f>
        <v>53</v>
      </c>
      <c r="O11" s="1341">
        <f>L11/M8</f>
        <v>6.2631578947368425</v>
      </c>
      <c r="P11" s="81" t="s">
        <v>28</v>
      </c>
      <c r="Q11" s="43">
        <f>'SEC Benches Data'!D55</f>
        <v>94</v>
      </c>
      <c r="R11" s="43">
        <f>'SEC Benches Data'!P55</f>
        <v>24</v>
      </c>
      <c r="S11" s="43">
        <f>'SEC Benches Data'!AB55</f>
        <v>17</v>
      </c>
      <c r="T11" s="1341">
        <f>Q11/R8</f>
        <v>5.875</v>
      </c>
      <c r="U11" s="81" t="s">
        <v>28</v>
      </c>
      <c r="V11" s="43">
        <f>'SEC Benches Data'!E55</f>
        <v>49</v>
      </c>
      <c r="W11" s="43">
        <f>'SEC Benches Data'!Q55</f>
        <v>43</v>
      </c>
      <c r="X11" s="43">
        <f>'SEC Benches Data'!AC55</f>
        <v>47</v>
      </c>
      <c r="Y11" s="1341">
        <f>V11/W8</f>
        <v>0.84482758620689657</v>
      </c>
      <c r="Z11" s="81" t="s">
        <v>28</v>
      </c>
      <c r="AA11" s="43">
        <f>'SEC Benches Data'!J55</f>
        <v>53</v>
      </c>
      <c r="AB11" s="43">
        <f>'SEC Benches Data'!V55</f>
        <v>31</v>
      </c>
      <c r="AC11" s="43">
        <f>'SEC Benches Data'!AH55</f>
        <v>26</v>
      </c>
      <c r="AD11" s="1341">
        <f>AA11/AB8</f>
        <v>0.92982456140350878</v>
      </c>
      <c r="AE11" s="81" t="s">
        <v>28</v>
      </c>
      <c r="AF11" s="43">
        <f>'SEC Benches Data'!G55</f>
        <v>53</v>
      </c>
      <c r="AG11" s="43">
        <f>'SEC Benches Data'!S55</f>
        <v>57</v>
      </c>
      <c r="AH11" s="43">
        <f>'SEC Benches Data'!AE55</f>
        <v>69</v>
      </c>
      <c r="AI11" s="1341">
        <f>AF11/AG8</f>
        <v>0.70666666666666667</v>
      </c>
      <c r="AJ11" s="81" t="s">
        <v>28</v>
      </c>
      <c r="AK11" s="43">
        <f>'SEC Benches Data'!H55</f>
        <v>71</v>
      </c>
      <c r="AL11" s="43">
        <f>'SEC Benches Data'!T55</f>
        <v>48</v>
      </c>
      <c r="AM11" s="43">
        <f>'SEC Benches Data'!AF55</f>
        <v>51</v>
      </c>
      <c r="AN11" s="1341">
        <f>AK11/AL8</f>
        <v>1.868421052631579</v>
      </c>
      <c r="AO11" s="81" t="s">
        <v>28</v>
      </c>
      <c r="AP11" s="43">
        <f>'SEC Benches Data'!J55</f>
        <v>53</v>
      </c>
      <c r="AQ11" s="43">
        <f>'SEC Benches Data'!V55</f>
        <v>31</v>
      </c>
      <c r="AR11" s="43">
        <f>'SEC Benches Data'!AH55</f>
        <v>26</v>
      </c>
      <c r="AS11" s="1341">
        <f>AP11/AQ8</f>
        <v>4.0769230769230766</v>
      </c>
      <c r="AT11" s="81" t="s">
        <v>28</v>
      </c>
      <c r="AU11" s="43">
        <f>'SEC Benches Data'!M55</f>
        <v>51</v>
      </c>
      <c r="AV11" s="43">
        <f>'SEC Benches Data'!Y55</f>
        <v>41</v>
      </c>
      <c r="AW11" s="43">
        <f>'SEC Benches Data'!AK55</f>
        <v>44</v>
      </c>
      <c r="AX11" s="1341">
        <f>AU11/AV8</f>
        <v>1.0408163265306123</v>
      </c>
      <c r="AY11" s="81" t="s">
        <v>28</v>
      </c>
    </row>
    <row r="12" spans="1:51" x14ac:dyDescent="0.25">
      <c r="A12" s="1332">
        <f>'SEC Benches Data'!A56</f>
        <v>44714</v>
      </c>
      <c r="B12" s="7">
        <f>'SEC Benches Data'!AO56*('SEC Benches Data'!AL56/100)</f>
        <v>931.49999999999989</v>
      </c>
      <c r="C12" s="7">
        <f>'SEC Benches Data'!AP56*('SEC Benches Data'!AM56/100)</f>
        <v>695.36</v>
      </c>
      <c r="D12" s="7">
        <f>'SEC Benches Data'!AQ56*('SEC Benches Data'!AN56/100)</f>
        <v>685.80000000000007</v>
      </c>
      <c r="E12" s="116">
        <f>B12/C9</f>
        <v>1.4655443675267463</v>
      </c>
      <c r="F12" s="81" t="s">
        <v>28</v>
      </c>
      <c r="G12" s="67">
        <f>'SEC Benches Data'!B56</f>
        <v>29</v>
      </c>
      <c r="H12" s="43">
        <f>'SEC Benches Data'!N56</f>
        <v>23</v>
      </c>
      <c r="I12" s="43">
        <f>'SEC Benches Data'!Z56</f>
        <v>24</v>
      </c>
      <c r="J12" s="116">
        <f>G12/H9</f>
        <v>1.3181818181818181</v>
      </c>
      <c r="K12" s="81" t="s">
        <v>28</v>
      </c>
      <c r="L12" s="43">
        <f>'SEC Benches Data'!C56</f>
        <v>120</v>
      </c>
      <c r="M12" s="43">
        <f>'SEC Benches Data'!O56</f>
        <v>53</v>
      </c>
      <c r="N12" s="43">
        <f>'SEC Benches Data'!AA56</f>
        <v>64</v>
      </c>
      <c r="O12" s="1341">
        <f>L12/M9</f>
        <v>3.870967741935484</v>
      </c>
      <c r="P12" s="81" t="s">
        <v>28</v>
      </c>
      <c r="Q12" s="43">
        <f>'SEC Benches Data'!D56</f>
        <v>78</v>
      </c>
      <c r="R12" s="43">
        <f>'SEC Benches Data'!P56</f>
        <v>24</v>
      </c>
      <c r="S12" s="43">
        <f>'SEC Benches Data'!AB56</f>
        <v>22</v>
      </c>
      <c r="T12" s="1341">
        <f>Q12/R9</f>
        <v>4.875</v>
      </c>
      <c r="U12" s="81" t="s">
        <v>28</v>
      </c>
      <c r="V12" s="43">
        <f>'SEC Benches Data'!E56</f>
        <v>66</v>
      </c>
      <c r="W12" s="43">
        <f>'SEC Benches Data'!Q56</f>
        <v>49</v>
      </c>
      <c r="X12" s="43">
        <f>'SEC Benches Data'!AC56</f>
        <v>50</v>
      </c>
      <c r="Y12" s="1341">
        <f>V12/W9</f>
        <v>1.5348837209302326</v>
      </c>
      <c r="Z12" s="81" t="s">
        <v>28</v>
      </c>
      <c r="AA12" s="43">
        <f>'SEC Benches Data'!J56</f>
        <v>54</v>
      </c>
      <c r="AB12" s="43">
        <f>'SEC Benches Data'!V56</f>
        <v>25</v>
      </c>
      <c r="AC12" s="43">
        <f>'SEC Benches Data'!AH56</f>
        <v>27</v>
      </c>
      <c r="AD12" s="1341">
        <f>AA12/AB9</f>
        <v>3.1764705882352939</v>
      </c>
      <c r="AE12" s="81" t="s">
        <v>28</v>
      </c>
      <c r="AF12" s="43">
        <f>'SEC Benches Data'!G56</f>
        <v>49</v>
      </c>
      <c r="AG12" s="43">
        <f>'SEC Benches Data'!S56</f>
        <v>73</v>
      </c>
      <c r="AH12" s="43">
        <f>'SEC Benches Data'!AE56</f>
        <v>71</v>
      </c>
      <c r="AI12" s="1341">
        <f>AF12/AG9</f>
        <v>0.83050847457627119</v>
      </c>
      <c r="AJ12" s="81" t="s">
        <v>28</v>
      </c>
      <c r="AK12" s="43">
        <f>'SEC Benches Data'!H56</f>
        <v>70</v>
      </c>
      <c r="AL12" s="43">
        <f>'SEC Benches Data'!T56</f>
        <v>46</v>
      </c>
      <c r="AM12" s="43">
        <f>'SEC Benches Data'!AF56</f>
        <v>54</v>
      </c>
      <c r="AN12" s="1341">
        <f>AK12/AL9</f>
        <v>1.4583333333333333</v>
      </c>
      <c r="AO12" s="81" t="s">
        <v>28</v>
      </c>
      <c r="AP12" s="43">
        <f>'SEC Benches Data'!J56</f>
        <v>54</v>
      </c>
      <c r="AQ12" s="43">
        <f>'SEC Benches Data'!V56</f>
        <v>25</v>
      </c>
      <c r="AR12" s="43">
        <f>'SEC Benches Data'!AH56</f>
        <v>27</v>
      </c>
      <c r="AS12" s="1341">
        <f>AP12/AQ9</f>
        <v>3.1764705882352939</v>
      </c>
      <c r="AT12" s="81" t="s">
        <v>28</v>
      </c>
      <c r="AU12" s="43">
        <f>'SEC Benches Data'!M56</f>
        <v>51</v>
      </c>
      <c r="AV12" s="43">
        <f>'SEC Benches Data'!Y56</f>
        <v>43</v>
      </c>
      <c r="AW12" s="43">
        <f>'SEC Benches Data'!AK56</f>
        <v>47</v>
      </c>
      <c r="AX12" s="1341">
        <f>AU12/AV9</f>
        <v>1.2439024390243902</v>
      </c>
      <c r="AY12" s="81" t="s">
        <v>28</v>
      </c>
    </row>
    <row r="13" spans="1:51" x14ac:dyDescent="0.25">
      <c r="A13" s="1332">
        <f>'SEC Benches Data'!A57</f>
        <v>44753</v>
      </c>
      <c r="B13" s="7">
        <f>'SEC Benches Data'!AO57*('SEC Benches Data'!AL57/100)</f>
        <v>1041.81</v>
      </c>
      <c r="C13" s="7">
        <f>'SEC Benches Data'!AP57*('SEC Benches Data'!AM57/100)</f>
        <v>843.69999999999993</v>
      </c>
      <c r="D13" s="7">
        <f>'SEC Benches Data'!AQ57*('SEC Benches Data'!AN57/100)</f>
        <v>790.55</v>
      </c>
      <c r="E13" s="116">
        <f>B13/C10</f>
        <v>1.5572645739910314</v>
      </c>
      <c r="F13" s="81" t="s">
        <v>28</v>
      </c>
      <c r="G13" s="67">
        <f>'SEC Benches Data'!B57</f>
        <v>31</v>
      </c>
      <c r="H13" s="43">
        <f>'SEC Benches Data'!N57</f>
        <v>32</v>
      </c>
      <c r="I13" s="43">
        <f>'SEC Benches Data'!Z57</f>
        <v>27</v>
      </c>
      <c r="J13" s="116">
        <f>G13/H10</f>
        <v>1.1923076923076923</v>
      </c>
      <c r="K13" s="81" t="s">
        <v>28</v>
      </c>
      <c r="L13" s="43">
        <f>'SEC Benches Data'!C57</f>
        <v>89</v>
      </c>
      <c r="M13" s="43">
        <f>'SEC Benches Data'!O57</f>
        <v>96</v>
      </c>
      <c r="N13" s="43">
        <f>'SEC Benches Data'!AA57</f>
        <v>65</v>
      </c>
      <c r="O13" s="1341">
        <f>L13/M10</f>
        <v>3.56</v>
      </c>
      <c r="P13" s="81" t="s">
        <v>28</v>
      </c>
      <c r="Q13" s="43">
        <f>'SEC Benches Data'!D57</f>
        <v>82</v>
      </c>
      <c r="R13" s="43">
        <f>'SEC Benches Data'!P57</f>
        <v>29</v>
      </c>
      <c r="S13" s="43">
        <f>'SEC Benches Data'!AB57</f>
        <v>20</v>
      </c>
      <c r="T13" s="1341">
        <f>Q13/R10</f>
        <v>3.5652173913043477</v>
      </c>
      <c r="U13" s="81" t="s">
        <v>28</v>
      </c>
      <c r="V13" s="43">
        <f>'SEC Benches Data'!E57</f>
        <v>75</v>
      </c>
      <c r="W13" s="43">
        <f>'SEC Benches Data'!Q57</f>
        <v>71</v>
      </c>
      <c r="X13" s="43">
        <f>'SEC Benches Data'!AC57</f>
        <v>57</v>
      </c>
      <c r="Y13" s="1341">
        <f>V13/W10</f>
        <v>1.9230769230769231</v>
      </c>
      <c r="Z13" s="81" t="s">
        <v>28</v>
      </c>
      <c r="AA13" s="43">
        <f>'SEC Benches Data'!J57</f>
        <v>34</v>
      </c>
      <c r="AB13" s="43">
        <f>'SEC Benches Data'!V57</f>
        <v>57</v>
      </c>
      <c r="AC13" s="43">
        <f>'SEC Benches Data'!AH57</f>
        <v>28</v>
      </c>
      <c r="AD13" s="1341">
        <f>AA13/AB10</f>
        <v>1.7</v>
      </c>
      <c r="AE13" s="81" t="s">
        <v>28</v>
      </c>
      <c r="AF13" s="43">
        <f>'SEC Benches Data'!G57</f>
        <v>122</v>
      </c>
      <c r="AG13" s="43">
        <f>'SEC Benches Data'!S57</f>
        <v>95</v>
      </c>
      <c r="AH13" s="43">
        <f>'SEC Benches Data'!AE57</f>
        <v>78</v>
      </c>
      <c r="AI13" s="1341">
        <f>AF13/AG10</f>
        <v>2.5416666666666665</v>
      </c>
      <c r="AJ13" s="81" t="s">
        <v>28</v>
      </c>
      <c r="AK13" s="43">
        <f>'SEC Benches Data'!H57</f>
        <v>65</v>
      </c>
      <c r="AL13" s="43">
        <f>'SEC Benches Data'!T57</f>
        <v>67</v>
      </c>
      <c r="AM13" s="43">
        <f>'SEC Benches Data'!AF57</f>
        <v>58</v>
      </c>
      <c r="AN13" s="1341">
        <f>AK13/AL10</f>
        <v>1.625</v>
      </c>
      <c r="AO13" s="81" t="s">
        <v>28</v>
      </c>
      <c r="AP13" s="43">
        <f>'SEC Benches Data'!J57</f>
        <v>34</v>
      </c>
      <c r="AQ13" s="43">
        <f>'SEC Benches Data'!V57</f>
        <v>57</v>
      </c>
      <c r="AR13" s="43">
        <f>'SEC Benches Data'!AH57</f>
        <v>28</v>
      </c>
      <c r="AS13" s="1341">
        <f>AP13/AQ10</f>
        <v>1.7</v>
      </c>
      <c r="AT13" s="81" t="s">
        <v>28</v>
      </c>
      <c r="AU13" s="43">
        <f>'SEC Benches Data'!M57</f>
        <v>53</v>
      </c>
      <c r="AV13" s="43">
        <f>'SEC Benches Data'!Y57</f>
        <v>59</v>
      </c>
      <c r="AW13" s="43">
        <f>'SEC Benches Data'!AK57</f>
        <v>50.5</v>
      </c>
      <c r="AX13" s="1341">
        <f>AU13/AV10</f>
        <v>1.0392156862745099</v>
      </c>
      <c r="AY13" s="81" t="s">
        <v>28</v>
      </c>
    </row>
    <row r="14" spans="1:51" x14ac:dyDescent="0.25">
      <c r="A14" s="1332">
        <v>44774</v>
      </c>
      <c r="B14" s="7">
        <f>'SEC Benches Data'!AO58*('SEC Benches Data'!AL58/100)</f>
        <v>1038.4499999999998</v>
      </c>
      <c r="C14" s="7">
        <f>'SEC Benches Data'!AP58*('SEC Benches Data'!AM58/100)</f>
        <v>855.36</v>
      </c>
      <c r="D14" s="7">
        <f>'SEC Benches Data'!AQ58*('SEC Benches Data'!AN58/100)</f>
        <v>833.28</v>
      </c>
      <c r="E14" s="116">
        <f>B14/C11</f>
        <v>1.5307340801886788</v>
      </c>
      <c r="F14" s="116">
        <f t="shared" ref="F14:F19" si="2">B14/D8</f>
        <v>1.3403678606001934</v>
      </c>
      <c r="G14" s="67">
        <f>'SEC Benches Data'!B58</f>
        <v>33</v>
      </c>
      <c r="H14" s="43">
        <f>'SEC Benches Data'!N58</f>
        <v>31</v>
      </c>
      <c r="I14" s="43">
        <f>'SEC Benches Data'!Z58</f>
        <v>28</v>
      </c>
      <c r="J14" s="116">
        <f>G14/H11</f>
        <v>1.65</v>
      </c>
      <c r="K14" s="116">
        <f>G14/I8</f>
        <v>1.064516129032258</v>
      </c>
      <c r="L14" s="43">
        <f>'SEC Benches Data'!C58</f>
        <v>74</v>
      </c>
      <c r="M14" s="43">
        <f>'SEC Benches Data'!O58</f>
        <v>86</v>
      </c>
      <c r="N14" s="43">
        <f>'SEC Benches Data'!AA58</f>
        <v>64</v>
      </c>
      <c r="O14" s="1341">
        <f>L14/M11</f>
        <v>1.2131147540983607</v>
      </c>
      <c r="P14" s="116">
        <f>L14/N8</f>
        <v>2.1764705882352939</v>
      </c>
      <c r="Q14" s="43">
        <f>'SEC Benches Data'!D58</f>
        <v>72</v>
      </c>
      <c r="R14" s="43">
        <f>'SEC Benches Data'!P58</f>
        <v>53</v>
      </c>
      <c r="S14" s="43">
        <f>'SEC Benches Data'!AB58</f>
        <v>22</v>
      </c>
      <c r="T14" s="1341">
        <f>Q14/R11</f>
        <v>3</v>
      </c>
      <c r="U14" s="116">
        <f>Q14/S8</f>
        <v>3.6</v>
      </c>
      <c r="V14" s="43">
        <f>'SEC Benches Data'!E58</f>
        <v>80</v>
      </c>
      <c r="W14" s="43">
        <f>'SEC Benches Data'!Q58</f>
        <v>81</v>
      </c>
      <c r="X14" s="43">
        <f>'SEC Benches Data'!AC58</f>
        <v>57</v>
      </c>
      <c r="Y14" s="1341">
        <f>V14/W11</f>
        <v>1.8604651162790697</v>
      </c>
      <c r="Z14" s="116">
        <f>V14/X8</f>
        <v>1.3559322033898304</v>
      </c>
      <c r="AA14" s="43">
        <f>'SEC Benches Data'!J58</f>
        <v>44</v>
      </c>
      <c r="AB14" s="43">
        <f>'SEC Benches Data'!V58</f>
        <v>35</v>
      </c>
      <c r="AC14" s="43">
        <f>'SEC Benches Data'!AH58</f>
        <v>26</v>
      </c>
      <c r="AD14" s="1341">
        <f>AA14/AB11</f>
        <v>1.4193548387096775</v>
      </c>
      <c r="AE14" s="116">
        <f>AA14/AC8</f>
        <v>0.72131147540983609</v>
      </c>
      <c r="AF14" s="43">
        <f>'SEC Benches Data'!G58</f>
        <v>131</v>
      </c>
      <c r="AG14" s="43">
        <f>'SEC Benches Data'!S58</f>
        <v>90</v>
      </c>
      <c r="AH14" s="43">
        <f>'SEC Benches Data'!AE58</f>
        <v>78</v>
      </c>
      <c r="AI14" s="1341">
        <f>AF14/AG11</f>
        <v>2.2982456140350878</v>
      </c>
      <c r="AJ14" s="116">
        <f>AF14/AH8</f>
        <v>1.8450704225352113</v>
      </c>
      <c r="AK14" s="43">
        <f>'SEC Benches Data'!H58</f>
        <v>73</v>
      </c>
      <c r="AL14" s="43">
        <f>'SEC Benches Data'!T58</f>
        <v>65</v>
      </c>
      <c r="AM14" s="43">
        <f>'SEC Benches Data'!AF58</f>
        <v>58</v>
      </c>
      <c r="AN14" s="1341">
        <f>AK14/AL11</f>
        <v>1.5208333333333333</v>
      </c>
      <c r="AO14" s="116">
        <f>AK14/AM8</f>
        <v>1.1774193548387097</v>
      </c>
      <c r="AP14" s="43">
        <f>'SEC Benches Data'!J58</f>
        <v>44</v>
      </c>
      <c r="AQ14" s="43">
        <f>'SEC Benches Data'!V58</f>
        <v>35</v>
      </c>
      <c r="AR14" s="43">
        <f>'SEC Benches Data'!AH58</f>
        <v>26</v>
      </c>
      <c r="AS14" s="1341">
        <f>AP14/AQ11</f>
        <v>1.4193548387096775</v>
      </c>
      <c r="AT14" s="116">
        <f>AP14/AR8</f>
        <v>2.0952380952380953</v>
      </c>
      <c r="AU14" s="43">
        <f>'SEC Benches Data'!M58</f>
        <v>58</v>
      </c>
      <c r="AV14" s="43">
        <f>'SEC Benches Data'!Y58</f>
        <v>56</v>
      </c>
      <c r="AW14" s="43">
        <f>'SEC Benches Data'!AK58</f>
        <v>54</v>
      </c>
      <c r="AX14" s="1341">
        <f>AU14/AV11</f>
        <v>1.4146341463414633</v>
      </c>
      <c r="AY14" s="116">
        <f>AU14/AW8</f>
        <v>0.98305084745762716</v>
      </c>
    </row>
    <row r="15" spans="1:51" x14ac:dyDescent="0.25">
      <c r="A15" s="1332">
        <v>44805</v>
      </c>
      <c r="B15" s="7">
        <f>'SEC Benches Data'!AO59*('SEC Benches Data'!AL59/100)</f>
        <v>1061.06</v>
      </c>
      <c r="C15" s="7">
        <f>'SEC Benches Data'!AP59*('SEC Benches Data'!AM59/100)</f>
        <v>731.64</v>
      </c>
      <c r="D15" s="7">
        <f>'SEC Benches Data'!AQ59*('SEC Benches Data'!AN59/100)</f>
        <v>903.76</v>
      </c>
      <c r="E15" s="116">
        <f>B15/C12</f>
        <v>1.5259146341463414</v>
      </c>
      <c r="F15" s="116">
        <f t="shared" si="2"/>
        <v>1.3456689917564997</v>
      </c>
      <c r="G15" s="67">
        <f>'SEC Benches Data'!B59</f>
        <v>34</v>
      </c>
      <c r="H15" s="43">
        <f>'SEC Benches Data'!N59</f>
        <v>29</v>
      </c>
      <c r="I15" s="43">
        <f>'SEC Benches Data'!Z59</f>
        <v>33</v>
      </c>
      <c r="J15" s="116">
        <f>G15/H12</f>
        <v>1.4782608695652173</v>
      </c>
      <c r="K15" s="116">
        <f>G15/I9</f>
        <v>1.0625</v>
      </c>
      <c r="L15" s="43">
        <f>'SEC Benches Data'!C59</f>
        <v>60</v>
      </c>
      <c r="M15" s="43">
        <f>'SEC Benches Data'!O59</f>
        <v>51</v>
      </c>
      <c r="N15" s="43">
        <f>'SEC Benches Data'!AA59</f>
        <v>35</v>
      </c>
      <c r="O15" s="1341">
        <f>L15/M12</f>
        <v>1.1320754716981132</v>
      </c>
      <c r="P15" s="116">
        <f>L15/N9</f>
        <v>1.5</v>
      </c>
      <c r="Q15" s="43">
        <f>'SEC Benches Data'!D59</f>
        <v>51</v>
      </c>
      <c r="R15" s="43">
        <f>'SEC Benches Data'!P59</f>
        <v>32</v>
      </c>
      <c r="S15" s="43">
        <f>'SEC Benches Data'!AB59</f>
        <v>34</v>
      </c>
      <c r="T15" s="1341">
        <f>Q15/R12</f>
        <v>2.125</v>
      </c>
      <c r="U15" s="116">
        <f>Q15/S9</f>
        <v>2.4285714285714284</v>
      </c>
      <c r="V15" s="43">
        <f>'SEC Benches Data'!E59</f>
        <v>102</v>
      </c>
      <c r="W15" s="43">
        <f>'SEC Benches Data'!Q59</f>
        <v>74</v>
      </c>
      <c r="X15" s="43">
        <f>'SEC Benches Data'!AC59</f>
        <v>62</v>
      </c>
      <c r="Y15" s="1341">
        <f>V15/W12</f>
        <v>2.0816326530612246</v>
      </c>
      <c r="Z15" s="116">
        <f>V15/X9</f>
        <v>1.5692307692307692</v>
      </c>
      <c r="AA15" s="43">
        <f>'SEC Benches Data'!J59</f>
        <v>29</v>
      </c>
      <c r="AB15" s="43">
        <f>'SEC Benches Data'!V59</f>
        <v>19</v>
      </c>
      <c r="AC15" s="43">
        <f>'SEC Benches Data'!AH59</f>
        <v>10</v>
      </c>
      <c r="AD15" s="1341">
        <f>AA15/AB12</f>
        <v>1.1599999999999999</v>
      </c>
      <c r="AE15" s="116">
        <f>AA15/AC9</f>
        <v>1.3181818181818181</v>
      </c>
      <c r="AF15" s="43">
        <f>'SEC Benches Data'!G59</f>
        <v>137</v>
      </c>
      <c r="AG15" s="43">
        <f>'SEC Benches Data'!S59</f>
        <v>83</v>
      </c>
      <c r="AH15" s="43">
        <f>'SEC Benches Data'!AE59</f>
        <v>92</v>
      </c>
      <c r="AI15" s="1341">
        <f>AF15/AG12</f>
        <v>1.8767123287671232</v>
      </c>
      <c r="AJ15" s="116">
        <f>AF15/AH9</f>
        <v>1.8513513513513513</v>
      </c>
      <c r="AK15" s="43">
        <f>'SEC Benches Data'!H59</f>
        <v>63</v>
      </c>
      <c r="AL15" s="43">
        <f>'SEC Benches Data'!T59</f>
        <v>63</v>
      </c>
      <c r="AM15" s="43">
        <f>'SEC Benches Data'!AF59</f>
        <v>65</v>
      </c>
      <c r="AN15" s="1341">
        <f>AK15/AL12</f>
        <v>1.3695652173913044</v>
      </c>
      <c r="AO15" s="116">
        <f>AK15/AM9</f>
        <v>1.0161290322580645</v>
      </c>
      <c r="AP15" s="43">
        <f>'SEC Benches Data'!J59</f>
        <v>29</v>
      </c>
      <c r="AQ15" s="43">
        <f>'SEC Benches Data'!V59</f>
        <v>19</v>
      </c>
      <c r="AR15" s="43">
        <f>'SEC Benches Data'!AH59</f>
        <v>10</v>
      </c>
      <c r="AS15" s="1341">
        <f>AP15/AQ12</f>
        <v>1.1599999999999999</v>
      </c>
      <c r="AT15" s="116">
        <f>AP15/AR9</f>
        <v>1.3181818181818181</v>
      </c>
      <c r="AU15" s="43">
        <f>'SEC Benches Data'!M59</f>
        <v>63</v>
      </c>
      <c r="AV15" s="43">
        <f>'SEC Benches Data'!Y59</f>
        <v>54</v>
      </c>
      <c r="AW15" s="43">
        <f>'SEC Benches Data'!AK59</f>
        <v>64</v>
      </c>
      <c r="AX15" s="1341">
        <f>AU15/AV12</f>
        <v>1.4651162790697674</v>
      </c>
      <c r="AY15" s="116">
        <f>AU15/AW9</f>
        <v>1.0677966101694916</v>
      </c>
    </row>
    <row r="16" spans="1:51" x14ac:dyDescent="0.25">
      <c r="A16" s="1332">
        <v>44838</v>
      </c>
      <c r="B16" s="7">
        <f>'SEC Benches Data'!AO60*('SEC Benches Data'!AL60/100)</f>
        <v>963.36</v>
      </c>
      <c r="C16" s="7">
        <f>'SEC Benches Data'!AP60*('SEC Benches Data'!AM60/100)</f>
        <v>885.8</v>
      </c>
      <c r="D16" s="7">
        <f>'SEC Benches Data'!AQ60*('SEC Benches Data'!AN60/100)</f>
        <v>889.94999999999993</v>
      </c>
      <c r="E16" s="116">
        <f t="shared" ref="E16" si="3">B16/C13</f>
        <v>1.1418276638615623</v>
      </c>
      <c r="F16" s="116">
        <f t="shared" si="2"/>
        <v>1.3013454368617279</v>
      </c>
      <c r="G16" s="67">
        <f>'SEC Benches Data'!B60</f>
        <v>33</v>
      </c>
      <c r="H16" s="43">
        <f>'SEC Benches Data'!N60</f>
        <v>29</v>
      </c>
      <c r="I16" s="43">
        <f>'SEC Benches Data'!Z60</f>
        <v>31</v>
      </c>
      <c r="J16" s="116">
        <f t="shared" ref="J16:J52" si="4">G16/H13</f>
        <v>1.03125</v>
      </c>
      <c r="K16" s="116">
        <f t="shared" ref="K16:K52" si="5">G16/I10</f>
        <v>1.2692307692307692</v>
      </c>
      <c r="L16" s="43">
        <f>'SEC Benches Data'!C60</f>
        <v>67</v>
      </c>
      <c r="M16" s="43">
        <f>'SEC Benches Data'!O60</f>
        <v>33</v>
      </c>
      <c r="N16" s="43">
        <f>'SEC Benches Data'!AA60</f>
        <v>30</v>
      </c>
      <c r="O16" s="1341">
        <f t="shared" ref="O16:O52" si="6">L16/M13</f>
        <v>0.69791666666666663</v>
      </c>
      <c r="P16" s="116">
        <f t="shared" ref="P16:P52" si="7">L16/N10</f>
        <v>1.763157894736842</v>
      </c>
      <c r="Q16" s="43">
        <f>'SEC Benches Data'!D60</f>
        <v>74</v>
      </c>
      <c r="R16" s="43">
        <f>'SEC Benches Data'!P60</f>
        <v>28</v>
      </c>
      <c r="S16" s="43">
        <f>'SEC Benches Data'!AB60</f>
        <v>33</v>
      </c>
      <c r="T16" s="1341">
        <f t="shared" ref="T16:T52" si="8">Q16/R13</f>
        <v>2.5517241379310347</v>
      </c>
      <c r="U16" s="116">
        <f t="shared" ref="U16:U52" si="9">Q16/S10</f>
        <v>2.7407407407407409</v>
      </c>
      <c r="V16" s="43">
        <f>'SEC Benches Data'!E60</f>
        <v>91</v>
      </c>
      <c r="W16" s="43">
        <f>'SEC Benches Data'!Q60</f>
        <v>69</v>
      </c>
      <c r="X16" s="43">
        <f>'SEC Benches Data'!AC60</f>
        <v>63</v>
      </c>
      <c r="Y16" s="1341">
        <f t="shared" ref="Y16:Y52" si="10">V16/W13</f>
        <v>1.2816901408450705</v>
      </c>
      <c r="Z16" s="116">
        <f t="shared" ref="Z16:Z52" si="11">V16/X10</f>
        <v>1.5964912280701755</v>
      </c>
      <c r="AA16" s="43">
        <f>'SEC Benches Data'!J60</f>
        <v>38</v>
      </c>
      <c r="AB16" s="43">
        <f>'SEC Benches Data'!V60</f>
        <v>12</v>
      </c>
      <c r="AC16" s="43">
        <f>'SEC Benches Data'!AH60</f>
        <v>10</v>
      </c>
      <c r="AD16" s="1341">
        <f t="shared" ref="AD16:AD52" si="12">AA16/AB13</f>
        <v>0.66666666666666663</v>
      </c>
      <c r="AE16" s="116">
        <f t="shared" ref="AE16:AE52" si="13">AA16/AC10</f>
        <v>1.5833333333333333</v>
      </c>
      <c r="AF16" s="43">
        <f>'SEC Benches Data'!G60</f>
        <v>130</v>
      </c>
      <c r="AG16" s="43">
        <f>'SEC Benches Data'!S60</f>
        <v>92</v>
      </c>
      <c r="AH16" s="43">
        <f>'SEC Benches Data'!AE60</f>
        <v>84</v>
      </c>
      <c r="AI16" s="1341">
        <f t="shared" ref="AI16:AI52" si="14">AF16/AG13</f>
        <v>1.368421052631579</v>
      </c>
      <c r="AJ16" s="116">
        <f t="shared" ref="AJ16:AJ52" si="15">AF16/AH10</f>
        <v>1.7105263157894737</v>
      </c>
      <c r="AK16" s="43">
        <f>'SEC Benches Data'!H60</f>
        <v>103</v>
      </c>
      <c r="AL16" s="43">
        <f>'SEC Benches Data'!T60</f>
        <v>92</v>
      </c>
      <c r="AM16" s="43">
        <f>'SEC Benches Data'!AF60</f>
        <v>83</v>
      </c>
      <c r="AN16" s="1341">
        <f t="shared" ref="AN16:AN52" si="16">AK16/AL13</f>
        <v>1.5373134328358209</v>
      </c>
      <c r="AO16" s="116">
        <f t="shared" ref="AO16:AO52" si="17">AK16/AM10</f>
        <v>1.8392857142857142</v>
      </c>
      <c r="AP16" s="43">
        <f>'SEC Benches Data'!J60</f>
        <v>38</v>
      </c>
      <c r="AQ16" s="43">
        <f>'SEC Benches Data'!V60</f>
        <v>12</v>
      </c>
      <c r="AR16" s="43">
        <f>'SEC Benches Data'!AH60</f>
        <v>10</v>
      </c>
      <c r="AS16" s="1341">
        <f t="shared" ref="AS16:AS52" si="18">AP16/AQ13</f>
        <v>0.66666666666666663</v>
      </c>
      <c r="AT16" s="116">
        <f t="shared" ref="AT16:AT52" si="19">AP16/AR10</f>
        <v>1.5833333333333333</v>
      </c>
      <c r="AU16" s="43">
        <f>'SEC Benches Data'!M60</f>
        <v>64</v>
      </c>
      <c r="AV16" s="43">
        <f>'SEC Benches Data'!Y60</f>
        <v>56</v>
      </c>
      <c r="AW16" s="43">
        <f>'SEC Benches Data'!AK60</f>
        <v>61</v>
      </c>
      <c r="AX16" s="1341">
        <f t="shared" ref="AX16:AX52" si="20">AU16/AV13</f>
        <v>1.0847457627118644</v>
      </c>
      <c r="AY16" s="116">
        <f t="shared" ref="AY16:AY52" si="21">AU16/AW10</f>
        <v>1.2075471698113207</v>
      </c>
    </row>
    <row r="17" spans="1:51" x14ac:dyDescent="0.25">
      <c r="A17" s="1332">
        <v>44868</v>
      </c>
      <c r="B17" s="7">
        <f>'SEC Benches Data'!AO61*('SEC Benches Data'!AL61/100)</f>
        <v>578.26</v>
      </c>
      <c r="C17" s="7">
        <f>'SEC Benches Data'!AP61*('SEC Benches Data'!AM61/100)</f>
        <v>585.87</v>
      </c>
      <c r="D17" s="7">
        <f>'SEC Benches Data'!AQ61*('SEC Benches Data'!AN61/100)</f>
        <v>672.1</v>
      </c>
      <c r="E17" s="116">
        <f t="shared" ref="E17" si="22">B17/C14</f>
        <v>0.67604283576505797</v>
      </c>
      <c r="F17" s="116">
        <f t="shared" si="2"/>
        <v>0.90341832270966138</v>
      </c>
      <c r="G17" s="67">
        <f>'SEC Benches Data'!B61</f>
        <v>18</v>
      </c>
      <c r="H17" s="43">
        <f>'SEC Benches Data'!N61</f>
        <v>21</v>
      </c>
      <c r="I17" s="43">
        <f>'SEC Benches Data'!Z61</f>
        <v>21</v>
      </c>
      <c r="J17" s="116">
        <f t="shared" si="4"/>
        <v>0.58064516129032262</v>
      </c>
      <c r="K17" s="116">
        <f t="shared" si="5"/>
        <v>0.81818181818181823</v>
      </c>
      <c r="L17" s="43">
        <f>'SEC Benches Data'!C61</f>
        <v>18</v>
      </c>
      <c r="M17" s="43">
        <f>'SEC Benches Data'!O61</f>
        <v>25</v>
      </c>
      <c r="N17" s="43">
        <f>'SEC Benches Data'!AA61</f>
        <v>29</v>
      </c>
      <c r="O17" s="1341">
        <f t="shared" si="6"/>
        <v>0.20930232558139536</v>
      </c>
      <c r="P17" s="116">
        <f t="shared" si="7"/>
        <v>0.33962264150943394</v>
      </c>
      <c r="Q17" s="43">
        <f>'SEC Benches Data'!D61</f>
        <v>47</v>
      </c>
      <c r="R17" s="43">
        <f>'SEC Benches Data'!P61</f>
        <v>12</v>
      </c>
      <c r="S17" s="43">
        <f>'SEC Benches Data'!AB61</f>
        <v>16</v>
      </c>
      <c r="T17" s="1341">
        <f t="shared" si="8"/>
        <v>0.8867924528301887</v>
      </c>
      <c r="U17" s="116">
        <f t="shared" si="9"/>
        <v>2.7647058823529411</v>
      </c>
      <c r="V17" s="43">
        <f>'SEC Benches Data'!E61</f>
        <v>59</v>
      </c>
      <c r="W17" s="43">
        <f>'SEC Benches Data'!Q61</f>
        <v>53</v>
      </c>
      <c r="X17" s="43">
        <f>'SEC Benches Data'!AC61</f>
        <v>54</v>
      </c>
      <c r="Y17" s="1341">
        <f t="shared" si="10"/>
        <v>0.72839506172839508</v>
      </c>
      <c r="Z17" s="116">
        <f t="shared" si="11"/>
        <v>1.2553191489361701</v>
      </c>
      <c r="AA17" s="43">
        <f>'SEC Benches Data'!J61</f>
        <v>5</v>
      </c>
      <c r="AB17" s="43">
        <f>'SEC Benches Data'!V61</f>
        <v>11</v>
      </c>
      <c r="AC17" s="43">
        <f>'SEC Benches Data'!AH61</f>
        <v>11</v>
      </c>
      <c r="AD17" s="1341">
        <f t="shared" si="12"/>
        <v>0.14285714285714285</v>
      </c>
      <c r="AE17" s="116">
        <f t="shared" si="13"/>
        <v>0.19230769230769232</v>
      </c>
      <c r="AF17" s="43">
        <f>'SEC Benches Data'!G61</f>
        <v>85</v>
      </c>
      <c r="AG17" s="43">
        <f>'SEC Benches Data'!S61</f>
        <v>61</v>
      </c>
      <c r="AH17" s="43">
        <f>'SEC Benches Data'!AE61</f>
        <v>68</v>
      </c>
      <c r="AI17" s="1341">
        <f t="shared" si="14"/>
        <v>0.94444444444444442</v>
      </c>
      <c r="AJ17" s="116">
        <f t="shared" si="15"/>
        <v>1.2318840579710144</v>
      </c>
      <c r="AK17" s="43">
        <f>'SEC Benches Data'!H61</f>
        <v>64</v>
      </c>
      <c r="AL17" s="43">
        <f>'SEC Benches Data'!T61</f>
        <v>78</v>
      </c>
      <c r="AM17" s="43">
        <f>'SEC Benches Data'!AF61</f>
        <v>73</v>
      </c>
      <c r="AN17" s="1341">
        <f t="shared" si="16"/>
        <v>0.98461538461538467</v>
      </c>
      <c r="AO17" s="116">
        <f t="shared" si="17"/>
        <v>1.2549019607843137</v>
      </c>
      <c r="AP17" s="43">
        <f>'SEC Benches Data'!J61</f>
        <v>5</v>
      </c>
      <c r="AQ17" s="43">
        <f>'SEC Benches Data'!V61</f>
        <v>11</v>
      </c>
      <c r="AR17" s="43">
        <f>'SEC Benches Data'!AH61</f>
        <v>11</v>
      </c>
      <c r="AS17" s="1341">
        <f t="shared" si="18"/>
        <v>0.14285714285714285</v>
      </c>
      <c r="AT17" s="116">
        <f t="shared" si="19"/>
        <v>0.19230769230769232</v>
      </c>
      <c r="AU17" s="43">
        <f>'SEC Benches Data'!M61</f>
        <v>29</v>
      </c>
      <c r="AV17" s="43">
        <f>'SEC Benches Data'!Y61</f>
        <v>36</v>
      </c>
      <c r="AW17" s="43">
        <f>'SEC Benches Data'!AK61</f>
        <v>39</v>
      </c>
      <c r="AX17" s="1341">
        <f t="shared" si="20"/>
        <v>0.5178571428571429</v>
      </c>
      <c r="AY17" s="116">
        <f t="shared" si="21"/>
        <v>0.65909090909090906</v>
      </c>
    </row>
    <row r="18" spans="1:51" x14ac:dyDescent="0.25">
      <c r="A18" s="1332">
        <v>44908</v>
      </c>
      <c r="B18" s="7">
        <f>'SEC Benches Data'!AO62*('SEC Benches Data'!AL62/100)</f>
        <v>396</v>
      </c>
      <c r="C18" s="7">
        <f>'SEC Benches Data'!AP62*('SEC Benches Data'!AM62/100)</f>
        <v>387.60999999999996</v>
      </c>
      <c r="D18" s="7">
        <f>'SEC Benches Data'!AQ62*('SEC Benches Data'!AN62/100)</f>
        <v>480.2</v>
      </c>
      <c r="E18" s="116">
        <f t="shared" ref="E18" si="23">B18/C15</f>
        <v>0.54124979498113823</v>
      </c>
      <c r="F18" s="116">
        <f t="shared" si="2"/>
        <v>0.57742782152230965</v>
      </c>
      <c r="G18" s="67">
        <f>'SEC Benches Data'!B62</f>
        <v>15</v>
      </c>
      <c r="H18" s="43">
        <f>'SEC Benches Data'!N62</f>
        <v>13</v>
      </c>
      <c r="I18" s="43">
        <f>'SEC Benches Data'!Z62</f>
        <v>17</v>
      </c>
      <c r="J18" s="116">
        <f t="shared" si="4"/>
        <v>0.51724137931034486</v>
      </c>
      <c r="K18" s="116">
        <f t="shared" si="5"/>
        <v>0.625</v>
      </c>
      <c r="L18" s="43">
        <f>'SEC Benches Data'!C62</f>
        <v>13</v>
      </c>
      <c r="M18" s="43">
        <f>'SEC Benches Data'!O62</f>
        <v>19</v>
      </c>
      <c r="N18" s="43">
        <f>'SEC Benches Data'!AA62</f>
        <v>20</v>
      </c>
      <c r="O18" s="1341">
        <f t="shared" si="6"/>
        <v>0.25490196078431371</v>
      </c>
      <c r="P18" s="116">
        <f t="shared" si="7"/>
        <v>0.203125</v>
      </c>
      <c r="Q18" s="43">
        <f>'SEC Benches Data'!D62</f>
        <v>15</v>
      </c>
      <c r="R18" s="43">
        <f>'SEC Benches Data'!P62</f>
        <v>7</v>
      </c>
      <c r="S18" s="43">
        <f>'SEC Benches Data'!AB62</f>
        <v>12</v>
      </c>
      <c r="T18" s="1341">
        <f t="shared" si="8"/>
        <v>0.46875</v>
      </c>
      <c r="U18" s="116">
        <f t="shared" si="9"/>
        <v>0.68181818181818177</v>
      </c>
      <c r="V18" s="43">
        <f>'SEC Benches Data'!E62</f>
        <v>33</v>
      </c>
      <c r="W18" s="43">
        <f>'SEC Benches Data'!Q62</f>
        <v>51</v>
      </c>
      <c r="X18" s="43">
        <f>'SEC Benches Data'!AC62</f>
        <v>41</v>
      </c>
      <c r="Y18" s="1341">
        <f t="shared" si="10"/>
        <v>0.44594594594594594</v>
      </c>
      <c r="Z18" s="116">
        <f t="shared" si="11"/>
        <v>0.66</v>
      </c>
      <c r="AA18" s="43">
        <f>'SEC Benches Data'!J62</f>
        <v>17</v>
      </c>
      <c r="AB18" s="43">
        <f>'SEC Benches Data'!V62</f>
        <v>9</v>
      </c>
      <c r="AC18" s="43">
        <f>'SEC Benches Data'!AH62</f>
        <v>10</v>
      </c>
      <c r="AD18" s="1341">
        <f t="shared" si="12"/>
        <v>0.89473684210526316</v>
      </c>
      <c r="AE18" s="116">
        <f t="shared" si="13"/>
        <v>0.62962962962962965</v>
      </c>
      <c r="AF18" s="43">
        <f>'SEC Benches Data'!G62</f>
        <v>54</v>
      </c>
      <c r="AG18" s="43">
        <f>'SEC Benches Data'!S62</f>
        <v>46</v>
      </c>
      <c r="AH18" s="43">
        <f>'SEC Benches Data'!AE62</f>
        <v>40</v>
      </c>
      <c r="AI18" s="1341">
        <f t="shared" si="14"/>
        <v>0.6506024096385542</v>
      </c>
      <c r="AJ18" s="116">
        <f t="shared" si="15"/>
        <v>0.76056338028169013</v>
      </c>
      <c r="AK18" s="43">
        <f>'SEC Benches Data'!H62</f>
        <v>56</v>
      </c>
      <c r="AL18" s="43">
        <f>'SEC Benches Data'!T62</f>
        <v>45</v>
      </c>
      <c r="AM18" s="43">
        <f>'SEC Benches Data'!AF62</f>
        <v>53</v>
      </c>
      <c r="AN18" s="1341">
        <f t="shared" si="16"/>
        <v>0.88888888888888884</v>
      </c>
      <c r="AO18" s="116">
        <f t="shared" si="17"/>
        <v>1.037037037037037</v>
      </c>
      <c r="AP18" s="43">
        <f>'SEC Benches Data'!J62</f>
        <v>17</v>
      </c>
      <c r="AQ18" s="43">
        <f>'SEC Benches Data'!V62</f>
        <v>9</v>
      </c>
      <c r="AR18" s="43">
        <f>'SEC Benches Data'!AH62</f>
        <v>10</v>
      </c>
      <c r="AS18" s="1341">
        <f t="shared" si="18"/>
        <v>0.89473684210526316</v>
      </c>
      <c r="AT18" s="116">
        <f t="shared" si="19"/>
        <v>0.62962962962962965</v>
      </c>
      <c r="AU18" s="43">
        <f>'SEC Benches Data'!M62</f>
        <v>23</v>
      </c>
      <c r="AV18" s="43">
        <f>'SEC Benches Data'!Y62</f>
        <v>23</v>
      </c>
      <c r="AW18" s="43">
        <f>'SEC Benches Data'!AK62</f>
        <v>30</v>
      </c>
      <c r="AX18" s="1341">
        <f t="shared" si="20"/>
        <v>0.42592592592592593</v>
      </c>
      <c r="AY18" s="116">
        <f t="shared" si="21"/>
        <v>0.48936170212765956</v>
      </c>
    </row>
    <row r="19" spans="1:51" x14ac:dyDescent="0.25">
      <c r="A19" s="1332">
        <v>44965</v>
      </c>
      <c r="B19" s="7">
        <f>'SEC Benches Data'!AO63*('SEC Benches Data'!AL63/100)</f>
        <v>208.37</v>
      </c>
      <c r="C19" s="7">
        <f>'SEC Benches Data'!AP63*('SEC Benches Data'!AM63/100)</f>
        <v>322.24</v>
      </c>
      <c r="D19" s="7">
        <f>'SEC Benches Data'!AQ63*('SEC Benches Data'!AN63/100)</f>
        <v>566.57999999999993</v>
      </c>
      <c r="E19" s="116">
        <f t="shared" ref="E19" si="24">B19/C16</f>
        <v>0.23523368706254236</v>
      </c>
      <c r="F19" s="116">
        <f t="shared" si="2"/>
        <v>0.26357599139839355</v>
      </c>
      <c r="G19" s="67">
        <f>'SEC Benches Data'!B63</f>
        <v>10</v>
      </c>
      <c r="H19" s="43">
        <f>'SEC Benches Data'!N63</f>
        <v>13</v>
      </c>
      <c r="I19" s="43">
        <f>'SEC Benches Data'!Z63</f>
        <v>26</v>
      </c>
      <c r="J19" s="116">
        <f t="shared" si="4"/>
        <v>0.34482758620689657</v>
      </c>
      <c r="K19" s="116">
        <f t="shared" si="5"/>
        <v>0.37037037037037035</v>
      </c>
      <c r="L19" s="43">
        <f>'SEC Benches Data'!C63</f>
        <v>1</v>
      </c>
      <c r="M19" s="43">
        <f>'SEC Benches Data'!O63</f>
        <v>7</v>
      </c>
      <c r="N19" s="43">
        <f>'SEC Benches Data'!AA63</f>
        <v>20</v>
      </c>
      <c r="O19" s="1341">
        <f t="shared" si="6"/>
        <v>3.0303030303030304E-2</v>
      </c>
      <c r="P19" s="116">
        <f t="shared" si="7"/>
        <v>1.5384615384615385E-2</v>
      </c>
      <c r="Q19" s="43">
        <f>'SEC Benches Data'!D63</f>
        <v>53</v>
      </c>
      <c r="R19" s="43">
        <f>'SEC Benches Data'!P63</f>
        <v>5</v>
      </c>
      <c r="S19" s="43">
        <f>'SEC Benches Data'!AB63</f>
        <v>11</v>
      </c>
      <c r="T19" s="1341">
        <f t="shared" si="8"/>
        <v>1.8928571428571428</v>
      </c>
      <c r="U19" s="116">
        <f t="shared" si="9"/>
        <v>2.65</v>
      </c>
      <c r="V19" s="43">
        <f>'SEC Benches Data'!E63</f>
        <v>31</v>
      </c>
      <c r="W19" s="43">
        <f>'SEC Benches Data'!Q63</f>
        <v>28</v>
      </c>
      <c r="X19" s="43">
        <f>'SEC Benches Data'!AC63</f>
        <v>50</v>
      </c>
      <c r="Y19" s="1341">
        <f t="shared" si="10"/>
        <v>0.44927536231884058</v>
      </c>
      <c r="Z19" s="116">
        <f t="shared" si="11"/>
        <v>0.54385964912280704</v>
      </c>
      <c r="AA19" s="43">
        <f>'SEC Benches Data'!J63</f>
        <v>2</v>
      </c>
      <c r="AB19" s="43">
        <f>'SEC Benches Data'!V63</f>
        <v>6</v>
      </c>
      <c r="AC19" s="43">
        <f>'SEC Benches Data'!AH63</f>
        <v>12</v>
      </c>
      <c r="AD19" s="1341">
        <f t="shared" si="12"/>
        <v>0.16666666666666666</v>
      </c>
      <c r="AE19" s="116">
        <f t="shared" si="13"/>
        <v>7.1428571428571425E-2</v>
      </c>
      <c r="AF19" s="43">
        <f>'SEC Benches Data'!G63</f>
        <v>18</v>
      </c>
      <c r="AG19" s="43">
        <f>'SEC Benches Data'!S63</f>
        <v>29</v>
      </c>
      <c r="AH19" s="43">
        <f>'SEC Benches Data'!AE63</f>
        <v>62</v>
      </c>
      <c r="AI19" s="1341">
        <f t="shared" si="14"/>
        <v>0.19565217391304349</v>
      </c>
      <c r="AJ19" s="116">
        <f t="shared" si="15"/>
        <v>0.23076923076923078</v>
      </c>
      <c r="AK19" s="43">
        <f>'SEC Benches Data'!H63</f>
        <v>30</v>
      </c>
      <c r="AL19" s="43">
        <f>'SEC Benches Data'!T63</f>
        <v>25</v>
      </c>
      <c r="AM19" s="43">
        <f>'SEC Benches Data'!AF63</f>
        <v>53</v>
      </c>
      <c r="AN19" s="1341">
        <f t="shared" si="16"/>
        <v>0.32608695652173914</v>
      </c>
      <c r="AO19" s="116">
        <f t="shared" si="17"/>
        <v>0.51724137931034486</v>
      </c>
      <c r="AP19" s="43">
        <f>'SEC Benches Data'!J63</f>
        <v>2</v>
      </c>
      <c r="AQ19" s="43">
        <f>'SEC Benches Data'!V63</f>
        <v>6</v>
      </c>
      <c r="AR19" s="43">
        <f>'SEC Benches Data'!AH63</f>
        <v>12</v>
      </c>
      <c r="AS19" s="1341">
        <f t="shared" si="18"/>
        <v>0.16666666666666666</v>
      </c>
      <c r="AT19" s="116">
        <f t="shared" si="19"/>
        <v>7.1428571428571425E-2</v>
      </c>
      <c r="AU19" s="43">
        <f>'SEC Benches Data'!M63</f>
        <v>16</v>
      </c>
      <c r="AV19" s="43">
        <f>'SEC Benches Data'!Y63</f>
        <v>19</v>
      </c>
      <c r="AW19" s="43">
        <f>'SEC Benches Data'!AK63</f>
        <v>36</v>
      </c>
      <c r="AX19" s="1341">
        <f t="shared" si="20"/>
        <v>0.2857142857142857</v>
      </c>
      <c r="AY19" s="116">
        <f t="shared" si="21"/>
        <v>0.31683168316831684</v>
      </c>
    </row>
    <row r="20" spans="1:51" x14ac:dyDescent="0.25">
      <c r="A20" s="1332">
        <v>44992</v>
      </c>
      <c r="B20" s="7">
        <f>'SEC Benches Data'!AO64*('SEC Benches Data'!AL64/100)</f>
        <v>189.66</v>
      </c>
      <c r="C20" s="7">
        <f>'SEC Benches Data'!AP64*('SEC Benches Data'!AM64/100)</f>
        <v>208.01</v>
      </c>
      <c r="D20" s="7">
        <f>'SEC Benches Data'!AQ64*('SEC Benches Data'!AN64/100)</f>
        <v>422.40000000000003</v>
      </c>
      <c r="E20" s="116">
        <f t="shared" ref="E20:E52" si="25">B20/C17</f>
        <v>0.32372369296943004</v>
      </c>
      <c r="F20" s="116">
        <f t="shared" ref="F20:F52" si="26">B20/D14</f>
        <v>0.2276065668202765</v>
      </c>
      <c r="G20" s="67">
        <f>'SEC Benches Data'!B64</f>
        <v>10</v>
      </c>
      <c r="H20" s="43">
        <f>'SEC Benches Data'!N64</f>
        <v>5</v>
      </c>
      <c r="I20" s="43">
        <f>'SEC Benches Data'!Z64</f>
        <v>17</v>
      </c>
      <c r="J20" s="116">
        <f t="shared" si="4"/>
        <v>0.47619047619047616</v>
      </c>
      <c r="K20" s="116">
        <f>G20/I14</f>
        <v>0.35714285714285715</v>
      </c>
      <c r="L20" s="43">
        <f>'SEC Benches Data'!C64</f>
        <v>3</v>
      </c>
      <c r="M20" s="43">
        <f>'SEC Benches Data'!O64</f>
        <v>12</v>
      </c>
      <c r="N20" s="43">
        <f>'SEC Benches Data'!AA64</f>
        <v>23</v>
      </c>
      <c r="O20" s="1341">
        <f t="shared" si="6"/>
        <v>0.12</v>
      </c>
      <c r="P20" s="116">
        <f t="shared" si="7"/>
        <v>4.6875E-2</v>
      </c>
      <c r="Q20" s="43">
        <f>'SEC Benches Data'!D64</f>
        <v>37</v>
      </c>
      <c r="R20" s="43">
        <f>'SEC Benches Data'!P64</f>
        <v>6</v>
      </c>
      <c r="S20" s="43">
        <f>'SEC Benches Data'!AB64</f>
        <v>10</v>
      </c>
      <c r="T20" s="1341">
        <f t="shared" si="8"/>
        <v>3.0833333333333335</v>
      </c>
      <c r="U20" s="116">
        <f t="shared" si="9"/>
        <v>1.6818181818181819</v>
      </c>
      <c r="V20" s="43">
        <f>'SEC Benches Data'!E64</f>
        <v>21</v>
      </c>
      <c r="W20" s="43">
        <f>'SEC Benches Data'!Q64</f>
        <v>28</v>
      </c>
      <c r="X20" s="43">
        <f>'SEC Benches Data'!AC64</f>
        <v>37</v>
      </c>
      <c r="Y20" s="1341">
        <f t="shared" si="10"/>
        <v>0.39622641509433965</v>
      </c>
      <c r="Z20" s="116">
        <f t="shared" si="11"/>
        <v>0.36842105263157893</v>
      </c>
      <c r="AA20" s="43">
        <f>'SEC Benches Data'!J64</f>
        <v>4</v>
      </c>
      <c r="AB20" s="43">
        <f>'SEC Benches Data'!V64</f>
        <v>6</v>
      </c>
      <c r="AC20" s="43">
        <f>'SEC Benches Data'!AH64</f>
        <v>10</v>
      </c>
      <c r="AD20" s="1341">
        <f t="shared" si="12"/>
        <v>0.36363636363636365</v>
      </c>
      <c r="AE20" s="116">
        <f t="shared" si="13"/>
        <v>0.15384615384615385</v>
      </c>
      <c r="AF20" s="43">
        <f>'SEC Benches Data'!G64</f>
        <v>12</v>
      </c>
      <c r="AG20" s="43">
        <f>'SEC Benches Data'!S64</f>
        <v>24</v>
      </c>
      <c r="AH20" s="43">
        <f>'SEC Benches Data'!AE64</f>
        <v>46</v>
      </c>
      <c r="AI20" s="1341">
        <f t="shared" si="14"/>
        <v>0.19672131147540983</v>
      </c>
      <c r="AJ20" s="116">
        <f t="shared" si="15"/>
        <v>0.15384615384615385</v>
      </c>
      <c r="AK20" s="43">
        <f>'SEC Benches Data'!H64</f>
        <v>18</v>
      </c>
      <c r="AL20" s="43">
        <f>'SEC Benches Data'!T64</f>
        <v>24</v>
      </c>
      <c r="AM20" s="43">
        <f>'SEC Benches Data'!AF64</f>
        <v>45</v>
      </c>
      <c r="AN20" s="1341">
        <f t="shared" si="16"/>
        <v>0.23076923076923078</v>
      </c>
      <c r="AO20" s="116">
        <f t="shared" si="17"/>
        <v>0.31034482758620691</v>
      </c>
      <c r="AP20" s="43">
        <f>'SEC Benches Data'!J64</f>
        <v>4</v>
      </c>
      <c r="AQ20" s="43">
        <f>'SEC Benches Data'!V64</f>
        <v>6</v>
      </c>
      <c r="AR20" s="43">
        <f>'SEC Benches Data'!AH64</f>
        <v>10</v>
      </c>
      <c r="AS20" s="1341">
        <f t="shared" si="18"/>
        <v>0.36363636363636365</v>
      </c>
      <c r="AT20" s="116">
        <f t="shared" si="19"/>
        <v>0.15384615384615385</v>
      </c>
      <c r="AU20" s="43">
        <f>'SEC Benches Data'!M64</f>
        <v>18</v>
      </c>
      <c r="AV20" s="43">
        <f>'SEC Benches Data'!Y64</f>
        <v>10</v>
      </c>
      <c r="AW20" s="43">
        <f>'SEC Benches Data'!AK64</f>
        <v>24</v>
      </c>
      <c r="AX20" s="1341">
        <f t="shared" si="20"/>
        <v>0.5</v>
      </c>
      <c r="AY20" s="116">
        <f t="shared" si="21"/>
        <v>0.33333333333333331</v>
      </c>
    </row>
    <row r="21" spans="1:51" x14ac:dyDescent="0.25">
      <c r="A21" s="1332">
        <v>45020</v>
      </c>
      <c r="B21" s="7">
        <f>'SEC Benches Data'!AO65*('SEC Benches Data'!AL65/100)</f>
        <v>258.99</v>
      </c>
      <c r="C21" s="7">
        <f>'SEC Benches Data'!AP65*('SEC Benches Data'!AM65/100)</f>
        <v>307.71999999999997</v>
      </c>
      <c r="D21" s="7">
        <f>'SEC Benches Data'!AQ65*('SEC Benches Data'!AN65/100)</f>
        <v>344.65</v>
      </c>
      <c r="E21" s="116">
        <f t="shared" si="25"/>
        <v>0.66817161579938611</v>
      </c>
      <c r="F21" s="116">
        <f t="shared" si="26"/>
        <v>0.28656944321501288</v>
      </c>
      <c r="G21" s="67">
        <f>'SEC Benches Data'!B65</f>
        <v>9</v>
      </c>
      <c r="H21" s="43">
        <f>'SEC Benches Data'!N65</f>
        <v>10</v>
      </c>
      <c r="I21" s="43">
        <f>'SEC Benches Data'!Z65</f>
        <v>15</v>
      </c>
      <c r="J21" s="116">
        <f t="shared" si="4"/>
        <v>0.69230769230769229</v>
      </c>
      <c r="K21" s="116">
        <f t="shared" si="5"/>
        <v>0.27272727272727271</v>
      </c>
      <c r="L21" s="43">
        <f>'SEC Benches Data'!C65</f>
        <v>14</v>
      </c>
      <c r="M21" s="43">
        <f>'SEC Benches Data'!O65</f>
        <v>18</v>
      </c>
      <c r="N21" s="43">
        <f>'SEC Benches Data'!AA65</f>
        <v>17</v>
      </c>
      <c r="O21" s="1341">
        <f t="shared" si="6"/>
        <v>0.73684210526315785</v>
      </c>
      <c r="P21" s="116">
        <f t="shared" si="7"/>
        <v>0.4</v>
      </c>
      <c r="Q21" s="43">
        <f>'SEC Benches Data'!D65</f>
        <v>14</v>
      </c>
      <c r="R21" s="43">
        <f>'SEC Benches Data'!P65</f>
        <v>0</v>
      </c>
      <c r="S21" s="43">
        <f>'SEC Benches Data'!AB65</f>
        <v>2</v>
      </c>
      <c r="T21" s="1341">
        <f t="shared" si="8"/>
        <v>2</v>
      </c>
      <c r="U21" s="116">
        <f t="shared" si="9"/>
        <v>0.41176470588235292</v>
      </c>
      <c r="V21" s="43">
        <f>'SEC Benches Data'!E65</f>
        <v>29</v>
      </c>
      <c r="W21" s="43">
        <f>'SEC Benches Data'!Q65</f>
        <v>37</v>
      </c>
      <c r="X21" s="43">
        <f>'SEC Benches Data'!AC65</f>
        <v>26</v>
      </c>
      <c r="Y21" s="1341">
        <f t="shared" si="10"/>
        <v>0.56862745098039214</v>
      </c>
      <c r="Z21" s="116">
        <f t="shared" si="11"/>
        <v>0.46774193548387094</v>
      </c>
      <c r="AA21" s="43">
        <f>'SEC Benches Data'!J65</f>
        <v>5</v>
      </c>
      <c r="AB21" s="43">
        <f>'SEC Benches Data'!V65</f>
        <v>7</v>
      </c>
      <c r="AC21" s="43">
        <f>'SEC Benches Data'!AH65</f>
        <v>8</v>
      </c>
      <c r="AD21" s="1341">
        <f t="shared" si="12"/>
        <v>0.55555555555555558</v>
      </c>
      <c r="AE21" s="116">
        <f t="shared" si="13"/>
        <v>0.5</v>
      </c>
      <c r="AF21" s="43">
        <f>'SEC Benches Data'!G65</f>
        <v>25</v>
      </c>
      <c r="AG21" s="43">
        <f>'SEC Benches Data'!S65</f>
        <v>28</v>
      </c>
      <c r="AH21" s="43">
        <f>'SEC Benches Data'!AE65</f>
        <v>39</v>
      </c>
      <c r="AI21" s="1341">
        <f t="shared" si="14"/>
        <v>0.54347826086956519</v>
      </c>
      <c r="AJ21" s="116">
        <f t="shared" si="15"/>
        <v>0.27173913043478259</v>
      </c>
      <c r="AK21" s="43">
        <f>'SEC Benches Data'!H65</f>
        <v>30</v>
      </c>
      <c r="AL21" s="43">
        <f>'SEC Benches Data'!T65</f>
        <v>32</v>
      </c>
      <c r="AM21" s="43">
        <f>'SEC Benches Data'!AF65</f>
        <v>35</v>
      </c>
      <c r="AN21" s="1341">
        <f t="shared" si="16"/>
        <v>0.66666666666666663</v>
      </c>
      <c r="AO21" s="116">
        <f t="shared" si="17"/>
        <v>0.46153846153846156</v>
      </c>
      <c r="AP21" s="43">
        <f>'SEC Benches Data'!J65</f>
        <v>5</v>
      </c>
      <c r="AQ21" s="43">
        <f>'SEC Benches Data'!V65</f>
        <v>7</v>
      </c>
      <c r="AR21" s="43">
        <f>'SEC Benches Data'!AH65</f>
        <v>8</v>
      </c>
      <c r="AS21" s="1341">
        <f t="shared" si="18"/>
        <v>0.55555555555555558</v>
      </c>
      <c r="AT21" s="116">
        <f t="shared" si="19"/>
        <v>0.5</v>
      </c>
      <c r="AU21" s="43">
        <f>'SEC Benches Data'!M65</f>
        <v>19</v>
      </c>
      <c r="AV21" s="43">
        <f>'SEC Benches Data'!Y65</f>
        <v>19</v>
      </c>
      <c r="AW21" s="43">
        <f>'SEC Benches Data'!AK65</f>
        <v>25</v>
      </c>
      <c r="AX21" s="1341">
        <f t="shared" si="20"/>
        <v>0.82608695652173914</v>
      </c>
      <c r="AY21" s="116">
        <f t="shared" si="21"/>
        <v>0.296875</v>
      </c>
    </row>
    <row r="22" spans="1:51" x14ac:dyDescent="0.25">
      <c r="A22" s="1332">
        <v>45047</v>
      </c>
      <c r="B22" s="7">
        <f>'SEC Benches Data'!AO66*('SEC Benches Data'!AL66/100)</f>
        <v>278.10000000000002</v>
      </c>
      <c r="C22" s="7">
        <f>'SEC Benches Data'!AP66*('SEC Benches Data'!AM66/100)</f>
        <v>389.36</v>
      </c>
      <c r="D22" s="7">
        <f>'SEC Benches Data'!AQ66*('SEC Benches Data'!AN66/100)</f>
        <v>564.25</v>
      </c>
      <c r="E22" s="116">
        <f t="shared" si="25"/>
        <v>0.86302135054617679</v>
      </c>
      <c r="F22" s="116">
        <f t="shared" si="26"/>
        <v>0.31248946570032027</v>
      </c>
      <c r="G22" s="67">
        <f>'SEC Benches Data'!B66</f>
        <v>8</v>
      </c>
      <c r="H22" s="43">
        <f>'SEC Benches Data'!N66</f>
        <v>12</v>
      </c>
      <c r="I22" s="43">
        <f>'SEC Benches Data'!Z66</f>
        <v>16</v>
      </c>
      <c r="J22" s="116">
        <f t="shared" si="4"/>
        <v>0.61538461538461542</v>
      </c>
      <c r="K22" s="116">
        <f t="shared" si="5"/>
        <v>0.25806451612903225</v>
      </c>
      <c r="L22" s="43">
        <f>'SEC Benches Data'!C66</f>
        <v>30</v>
      </c>
      <c r="M22" s="43">
        <f>'SEC Benches Data'!O66</f>
        <v>37</v>
      </c>
      <c r="N22" s="43">
        <f>'SEC Benches Data'!AA66</f>
        <v>53</v>
      </c>
      <c r="O22" s="1341">
        <f t="shared" si="6"/>
        <v>4.2857142857142856</v>
      </c>
      <c r="P22" s="116">
        <f t="shared" si="7"/>
        <v>1</v>
      </c>
      <c r="Q22" s="43">
        <f>'SEC Benches Data'!D66</f>
        <v>18</v>
      </c>
      <c r="R22" s="43">
        <f>'SEC Benches Data'!P66</f>
        <v>1</v>
      </c>
      <c r="S22" s="43">
        <f>'SEC Benches Data'!AB66</f>
        <v>2</v>
      </c>
      <c r="T22" s="1341">
        <f t="shared" si="8"/>
        <v>3.6</v>
      </c>
      <c r="U22" s="116">
        <f t="shared" si="9"/>
        <v>0.54545454545454541</v>
      </c>
      <c r="V22" s="43">
        <f>'SEC Benches Data'!E66</f>
        <v>30</v>
      </c>
      <c r="W22" s="43">
        <f>'SEC Benches Data'!Q66</f>
        <v>45</v>
      </c>
      <c r="X22" s="43">
        <f>'SEC Benches Data'!AC66</f>
        <v>58</v>
      </c>
      <c r="Y22" s="1341">
        <f t="shared" si="10"/>
        <v>1.0714285714285714</v>
      </c>
      <c r="Z22" s="116">
        <f t="shared" si="11"/>
        <v>0.47619047619047616</v>
      </c>
      <c r="AA22" s="43">
        <f>'SEC Benches Data'!J66</f>
        <v>16</v>
      </c>
      <c r="AB22" s="43">
        <f>'SEC Benches Data'!V66</f>
        <v>14</v>
      </c>
      <c r="AC22" s="43">
        <f>'SEC Benches Data'!AH66</f>
        <v>29</v>
      </c>
      <c r="AD22" s="1341">
        <f t="shared" si="12"/>
        <v>2.6666666666666665</v>
      </c>
      <c r="AE22" s="116">
        <f t="shared" si="13"/>
        <v>1.6</v>
      </c>
      <c r="AF22" s="43">
        <f>'SEC Benches Data'!G66</f>
        <v>22</v>
      </c>
      <c r="AG22" s="43">
        <f>'SEC Benches Data'!S66</f>
        <v>36</v>
      </c>
      <c r="AH22" s="43">
        <f>'SEC Benches Data'!AE66</f>
        <v>69</v>
      </c>
      <c r="AI22" s="1341">
        <f t="shared" si="14"/>
        <v>0.75862068965517238</v>
      </c>
      <c r="AJ22" s="116">
        <f t="shared" si="15"/>
        <v>0.26190476190476192</v>
      </c>
      <c r="AK22" s="43">
        <f>'SEC Benches Data'!H66</f>
        <v>28</v>
      </c>
      <c r="AL22" s="43">
        <f>'SEC Benches Data'!T66</f>
        <v>38</v>
      </c>
      <c r="AM22" s="43">
        <f>'SEC Benches Data'!AF66</f>
        <v>53</v>
      </c>
      <c r="AN22" s="1341">
        <f t="shared" si="16"/>
        <v>1.1200000000000001</v>
      </c>
      <c r="AO22" s="116">
        <f t="shared" si="17"/>
        <v>0.33734939759036142</v>
      </c>
      <c r="AP22" s="43">
        <f>'SEC Benches Data'!J66</f>
        <v>16</v>
      </c>
      <c r="AQ22" s="43">
        <f>'SEC Benches Data'!V66</f>
        <v>14</v>
      </c>
      <c r="AR22" s="43">
        <f>'SEC Benches Data'!AH66</f>
        <v>29</v>
      </c>
      <c r="AS22" s="1341">
        <f t="shared" si="18"/>
        <v>2.6666666666666665</v>
      </c>
      <c r="AT22" s="116">
        <f t="shared" si="19"/>
        <v>1.6</v>
      </c>
      <c r="AU22" s="43">
        <f>'SEC Benches Data'!M66</f>
        <v>15</v>
      </c>
      <c r="AV22" s="43">
        <f>'SEC Benches Data'!Y66</f>
        <v>21</v>
      </c>
      <c r="AW22" s="43">
        <f>'SEC Benches Data'!AK66</f>
        <v>30</v>
      </c>
      <c r="AX22" s="1341">
        <f t="shared" si="20"/>
        <v>0.78947368421052633</v>
      </c>
      <c r="AY22" s="116">
        <f t="shared" si="21"/>
        <v>0.24590163934426229</v>
      </c>
    </row>
    <row r="23" spans="1:51" x14ac:dyDescent="0.25">
      <c r="B23" s="7">
        <f>'SEC Benches Data'!AO67*('SEC Benches Data'!AL67/100)</f>
        <v>0</v>
      </c>
      <c r="C23" s="7">
        <f>'SEC Benches Data'!AP67*('SEC Benches Data'!AM67/100)</f>
        <v>0</v>
      </c>
      <c r="D23" s="7">
        <f>'SEC Benches Data'!AQ67*('SEC Benches Data'!AN67/100)</f>
        <v>0</v>
      </c>
      <c r="E23" s="116">
        <f t="shared" si="25"/>
        <v>0</v>
      </c>
      <c r="F23" s="116">
        <f t="shared" si="26"/>
        <v>0</v>
      </c>
      <c r="G23" s="67">
        <f>'SEC Benches Data'!B67</f>
        <v>0</v>
      </c>
      <c r="H23" s="43">
        <f>'SEC Benches Data'!N67</f>
        <v>0</v>
      </c>
      <c r="I23" s="43">
        <f>'SEC Benches Data'!Z67</f>
        <v>0</v>
      </c>
      <c r="J23" s="116">
        <f t="shared" si="4"/>
        <v>0</v>
      </c>
      <c r="K23" s="116">
        <f t="shared" si="5"/>
        <v>0</v>
      </c>
      <c r="L23" s="43">
        <f>'SEC Benches Data'!C67</f>
        <v>0</v>
      </c>
      <c r="M23" s="43">
        <f>'SEC Benches Data'!O67</f>
        <v>0</v>
      </c>
      <c r="N23" s="43">
        <f>'SEC Benches Data'!AA67</f>
        <v>0</v>
      </c>
      <c r="O23" s="1341">
        <f t="shared" si="6"/>
        <v>0</v>
      </c>
      <c r="P23" s="116">
        <f t="shared" si="7"/>
        <v>0</v>
      </c>
      <c r="Q23" s="43">
        <f>'SEC Benches Data'!D67</f>
        <v>0</v>
      </c>
      <c r="R23" s="43">
        <f>'SEC Benches Data'!P67</f>
        <v>0</v>
      </c>
      <c r="S23" s="43">
        <f>'SEC Benches Data'!AB67</f>
        <v>0</v>
      </c>
      <c r="T23" s="1341">
        <f t="shared" si="8"/>
        <v>0</v>
      </c>
      <c r="U23" s="116">
        <f t="shared" si="9"/>
        <v>0</v>
      </c>
      <c r="V23" s="43">
        <f>'SEC Benches Data'!E67</f>
        <v>0</v>
      </c>
      <c r="W23" s="43">
        <f>'SEC Benches Data'!Q67</f>
        <v>0</v>
      </c>
      <c r="X23" s="43">
        <f>'SEC Benches Data'!AC67</f>
        <v>0</v>
      </c>
      <c r="Y23" s="1341">
        <f t="shared" si="10"/>
        <v>0</v>
      </c>
      <c r="Z23" s="116">
        <f t="shared" si="11"/>
        <v>0</v>
      </c>
      <c r="AA23" s="43">
        <f>'SEC Benches Data'!J67</f>
        <v>0</v>
      </c>
      <c r="AB23" s="43">
        <f>'SEC Benches Data'!V67</f>
        <v>0</v>
      </c>
      <c r="AC23" s="43">
        <f>'SEC Benches Data'!AH67</f>
        <v>0</v>
      </c>
      <c r="AD23" s="1341">
        <f t="shared" si="12"/>
        <v>0</v>
      </c>
      <c r="AE23" s="116">
        <f t="shared" si="13"/>
        <v>0</v>
      </c>
      <c r="AF23" s="43">
        <f>'SEC Benches Data'!G67</f>
        <v>0</v>
      </c>
      <c r="AG23" s="43">
        <f>'SEC Benches Data'!S67</f>
        <v>0</v>
      </c>
      <c r="AH23" s="43">
        <f>'SEC Benches Data'!AE67</f>
        <v>0</v>
      </c>
      <c r="AI23" s="1341">
        <f t="shared" si="14"/>
        <v>0</v>
      </c>
      <c r="AJ23" s="116">
        <f t="shared" si="15"/>
        <v>0</v>
      </c>
      <c r="AK23" s="43">
        <f>'SEC Benches Data'!H67</f>
        <v>0</v>
      </c>
      <c r="AL23" s="43">
        <f>'SEC Benches Data'!T67</f>
        <v>0</v>
      </c>
      <c r="AM23" s="43">
        <f>'SEC Benches Data'!AF67</f>
        <v>0</v>
      </c>
      <c r="AN23" s="1341">
        <f t="shared" si="16"/>
        <v>0</v>
      </c>
      <c r="AO23" s="116">
        <f t="shared" si="17"/>
        <v>0</v>
      </c>
      <c r="AP23" s="43">
        <f>'SEC Benches Data'!J67</f>
        <v>0</v>
      </c>
      <c r="AQ23" s="43">
        <f>'SEC Benches Data'!V67</f>
        <v>0</v>
      </c>
      <c r="AR23" s="43">
        <f>'SEC Benches Data'!AH67</f>
        <v>0</v>
      </c>
      <c r="AS23" s="1341">
        <f t="shared" si="18"/>
        <v>0</v>
      </c>
      <c r="AT23" s="116">
        <f t="shared" si="19"/>
        <v>0</v>
      </c>
      <c r="AU23" s="43">
        <f>'SEC Benches Data'!M67</f>
        <v>0</v>
      </c>
      <c r="AV23" s="43">
        <f>'SEC Benches Data'!Y67</f>
        <v>0</v>
      </c>
      <c r="AW23" s="43">
        <f>'SEC Benches Data'!AK67</f>
        <v>0</v>
      </c>
      <c r="AX23" s="1341">
        <f t="shared" si="20"/>
        <v>0</v>
      </c>
      <c r="AY23" s="116">
        <f t="shared" si="21"/>
        <v>0</v>
      </c>
    </row>
    <row r="24" spans="1:51" x14ac:dyDescent="0.25">
      <c r="B24" s="7">
        <f>'SEC Benches Data'!AO68*('SEC Benches Data'!AL68/100)</f>
        <v>0</v>
      </c>
      <c r="C24" s="7">
        <f>'SEC Benches Data'!AP68*('SEC Benches Data'!AM68/100)</f>
        <v>0</v>
      </c>
      <c r="D24" s="7">
        <f>'SEC Benches Data'!AQ68*('SEC Benches Data'!AN68/100)</f>
        <v>0</v>
      </c>
      <c r="E24" s="116">
        <f t="shared" si="25"/>
        <v>0</v>
      </c>
      <c r="F24" s="116">
        <f t="shared" si="26"/>
        <v>0</v>
      </c>
      <c r="G24" s="67">
        <f>'SEC Benches Data'!B68</f>
        <v>0</v>
      </c>
      <c r="H24" s="43">
        <f>'SEC Benches Data'!N68</f>
        <v>0</v>
      </c>
      <c r="I24" s="43">
        <f>'SEC Benches Data'!Z68</f>
        <v>0</v>
      </c>
      <c r="J24" s="116">
        <f t="shared" si="4"/>
        <v>0</v>
      </c>
      <c r="K24" s="116">
        <f t="shared" si="5"/>
        <v>0</v>
      </c>
      <c r="L24" s="43">
        <f>'SEC Benches Data'!C68</f>
        <v>0</v>
      </c>
      <c r="M24" s="43">
        <f>'SEC Benches Data'!O68</f>
        <v>0</v>
      </c>
      <c r="N24" s="43">
        <f>'SEC Benches Data'!AA68</f>
        <v>0</v>
      </c>
      <c r="O24" s="1341">
        <f t="shared" si="6"/>
        <v>0</v>
      </c>
      <c r="P24" s="116">
        <f t="shared" si="7"/>
        <v>0</v>
      </c>
      <c r="Q24" s="43">
        <f>'SEC Benches Data'!D68</f>
        <v>0</v>
      </c>
      <c r="R24" s="43">
        <f>'SEC Benches Data'!P68</f>
        <v>0</v>
      </c>
      <c r="S24" s="43">
        <f>'SEC Benches Data'!AB68</f>
        <v>0</v>
      </c>
      <c r="T24" s="1341" t="e">
        <f t="shared" si="8"/>
        <v>#DIV/0!</v>
      </c>
      <c r="U24" s="116">
        <f t="shared" si="9"/>
        <v>0</v>
      </c>
      <c r="V24" s="43">
        <f>'SEC Benches Data'!E68</f>
        <v>0</v>
      </c>
      <c r="W24" s="43">
        <f>'SEC Benches Data'!Q68</f>
        <v>0</v>
      </c>
      <c r="X24" s="43">
        <f>'SEC Benches Data'!AC68</f>
        <v>0</v>
      </c>
      <c r="Y24" s="1341">
        <f t="shared" si="10"/>
        <v>0</v>
      </c>
      <c r="Z24" s="116">
        <f t="shared" si="11"/>
        <v>0</v>
      </c>
      <c r="AA24" s="43">
        <f>'SEC Benches Data'!J68</f>
        <v>0</v>
      </c>
      <c r="AB24" s="43">
        <f>'SEC Benches Data'!V68</f>
        <v>0</v>
      </c>
      <c r="AC24" s="43">
        <f>'SEC Benches Data'!AH68</f>
        <v>0</v>
      </c>
      <c r="AD24" s="1341">
        <f t="shared" si="12"/>
        <v>0</v>
      </c>
      <c r="AE24" s="116">
        <f t="shared" si="13"/>
        <v>0</v>
      </c>
      <c r="AF24" s="43">
        <f>'SEC Benches Data'!G68</f>
        <v>0</v>
      </c>
      <c r="AG24" s="43">
        <f>'SEC Benches Data'!S68</f>
        <v>0</v>
      </c>
      <c r="AH24" s="43">
        <f>'SEC Benches Data'!AE68</f>
        <v>0</v>
      </c>
      <c r="AI24" s="1341">
        <f t="shared" si="14"/>
        <v>0</v>
      </c>
      <c r="AJ24" s="116">
        <f t="shared" si="15"/>
        <v>0</v>
      </c>
      <c r="AK24" s="43">
        <f>'SEC Benches Data'!H68</f>
        <v>0</v>
      </c>
      <c r="AL24" s="43">
        <f>'SEC Benches Data'!T68</f>
        <v>0</v>
      </c>
      <c r="AM24" s="43">
        <f>'SEC Benches Data'!AF68</f>
        <v>0</v>
      </c>
      <c r="AN24" s="1341">
        <f t="shared" si="16"/>
        <v>0</v>
      </c>
      <c r="AO24" s="116">
        <f t="shared" si="17"/>
        <v>0</v>
      </c>
      <c r="AP24" s="43">
        <f>'SEC Benches Data'!J68</f>
        <v>0</v>
      </c>
      <c r="AQ24" s="43">
        <f>'SEC Benches Data'!V68</f>
        <v>0</v>
      </c>
      <c r="AR24" s="43">
        <f>'SEC Benches Data'!AH68</f>
        <v>0</v>
      </c>
      <c r="AS24" s="1341">
        <f t="shared" si="18"/>
        <v>0</v>
      </c>
      <c r="AT24" s="116">
        <f t="shared" si="19"/>
        <v>0</v>
      </c>
      <c r="AU24" s="43">
        <f>'SEC Benches Data'!M68</f>
        <v>0</v>
      </c>
      <c r="AV24" s="43">
        <f>'SEC Benches Data'!Y68</f>
        <v>0</v>
      </c>
      <c r="AW24" s="43">
        <f>'SEC Benches Data'!AK68</f>
        <v>0</v>
      </c>
      <c r="AX24" s="1341">
        <f t="shared" si="20"/>
        <v>0</v>
      </c>
      <c r="AY24" s="116">
        <f t="shared" si="21"/>
        <v>0</v>
      </c>
    </row>
    <row r="25" spans="1:51" x14ac:dyDescent="0.25">
      <c r="B25" s="7">
        <f>'SEC Benches Data'!AO69*('SEC Benches Data'!AL69/100)</f>
        <v>0</v>
      </c>
      <c r="C25" s="7">
        <f>'SEC Benches Data'!AP69*('SEC Benches Data'!AM69/100)</f>
        <v>0</v>
      </c>
      <c r="D25" s="7">
        <f>'SEC Benches Data'!AQ69*('SEC Benches Data'!AN69/100)</f>
        <v>0</v>
      </c>
      <c r="E25" s="116">
        <f t="shared" si="25"/>
        <v>0</v>
      </c>
      <c r="F25" s="116">
        <f t="shared" si="26"/>
        <v>0</v>
      </c>
      <c r="G25" s="67">
        <f>'SEC Benches Data'!B69</f>
        <v>0</v>
      </c>
      <c r="H25" s="43">
        <f>'SEC Benches Data'!N69</f>
        <v>0</v>
      </c>
      <c r="I25" s="43">
        <f>'SEC Benches Data'!Z69</f>
        <v>0</v>
      </c>
      <c r="J25" s="116">
        <f t="shared" si="4"/>
        <v>0</v>
      </c>
      <c r="K25" s="116">
        <f t="shared" si="5"/>
        <v>0</v>
      </c>
      <c r="L25" s="43">
        <f>'SEC Benches Data'!C69</f>
        <v>0</v>
      </c>
      <c r="M25" s="43">
        <f>'SEC Benches Data'!O69</f>
        <v>0</v>
      </c>
      <c r="N25" s="43">
        <f>'SEC Benches Data'!AA69</f>
        <v>0</v>
      </c>
      <c r="O25" s="1341">
        <f t="shared" si="6"/>
        <v>0</v>
      </c>
      <c r="P25" s="116">
        <f t="shared" si="7"/>
        <v>0</v>
      </c>
      <c r="Q25" s="43">
        <f>'SEC Benches Data'!D69</f>
        <v>0</v>
      </c>
      <c r="R25" s="43">
        <f>'SEC Benches Data'!P69</f>
        <v>0</v>
      </c>
      <c r="S25" s="43">
        <f>'SEC Benches Data'!AB69</f>
        <v>0</v>
      </c>
      <c r="T25" s="1341">
        <f t="shared" si="8"/>
        <v>0</v>
      </c>
      <c r="U25" s="116">
        <f t="shared" si="9"/>
        <v>0</v>
      </c>
      <c r="V25" s="43">
        <f>'SEC Benches Data'!E69</f>
        <v>0</v>
      </c>
      <c r="W25" s="43">
        <f>'SEC Benches Data'!Q69</f>
        <v>0</v>
      </c>
      <c r="X25" s="43">
        <f>'SEC Benches Data'!AC69</f>
        <v>0</v>
      </c>
      <c r="Y25" s="1341">
        <f t="shared" si="10"/>
        <v>0</v>
      </c>
      <c r="Z25" s="116">
        <f t="shared" si="11"/>
        <v>0</v>
      </c>
      <c r="AA25" s="43">
        <f>'SEC Benches Data'!J69</f>
        <v>0</v>
      </c>
      <c r="AB25" s="43">
        <f>'SEC Benches Data'!V69</f>
        <v>0</v>
      </c>
      <c r="AC25" s="43">
        <f>'SEC Benches Data'!AH69</f>
        <v>0</v>
      </c>
      <c r="AD25" s="1341">
        <f t="shared" si="12"/>
        <v>0</v>
      </c>
      <c r="AE25" s="116">
        <f t="shared" si="13"/>
        <v>0</v>
      </c>
      <c r="AF25" s="43">
        <f>'SEC Benches Data'!G69</f>
        <v>0</v>
      </c>
      <c r="AG25" s="43">
        <f>'SEC Benches Data'!S69</f>
        <v>0</v>
      </c>
      <c r="AH25" s="43">
        <f>'SEC Benches Data'!AE69</f>
        <v>0</v>
      </c>
      <c r="AI25" s="1341">
        <f t="shared" si="14"/>
        <v>0</v>
      </c>
      <c r="AJ25" s="116">
        <f t="shared" si="15"/>
        <v>0</v>
      </c>
      <c r="AK25" s="43">
        <f>'SEC Benches Data'!H69</f>
        <v>0</v>
      </c>
      <c r="AL25" s="43">
        <f>'SEC Benches Data'!T69</f>
        <v>0</v>
      </c>
      <c r="AM25" s="43">
        <f>'SEC Benches Data'!AF69</f>
        <v>0</v>
      </c>
      <c r="AN25" s="1341">
        <f t="shared" si="16"/>
        <v>0</v>
      </c>
      <c r="AO25" s="116">
        <f t="shared" si="17"/>
        <v>0</v>
      </c>
      <c r="AP25" s="43">
        <f>'SEC Benches Data'!J69</f>
        <v>0</v>
      </c>
      <c r="AQ25" s="43">
        <f>'SEC Benches Data'!V69</f>
        <v>0</v>
      </c>
      <c r="AR25" s="43">
        <f>'SEC Benches Data'!AH69</f>
        <v>0</v>
      </c>
      <c r="AS25" s="1341">
        <f t="shared" si="18"/>
        <v>0</v>
      </c>
      <c r="AT25" s="116">
        <f t="shared" si="19"/>
        <v>0</v>
      </c>
      <c r="AU25" s="43">
        <f>'SEC Benches Data'!M69</f>
        <v>0</v>
      </c>
      <c r="AV25" s="43">
        <f>'SEC Benches Data'!Y69</f>
        <v>0</v>
      </c>
      <c r="AW25" s="43">
        <f>'SEC Benches Data'!AK69</f>
        <v>0</v>
      </c>
      <c r="AX25" s="1341">
        <f t="shared" si="20"/>
        <v>0</v>
      </c>
      <c r="AY25" s="116">
        <f t="shared" si="21"/>
        <v>0</v>
      </c>
    </row>
    <row r="26" spans="1:51" x14ac:dyDescent="0.25">
      <c r="B26" s="7">
        <f>'SEC Benches Data'!AO70*('SEC Benches Data'!AL70/100)</f>
        <v>0</v>
      </c>
      <c r="C26" s="7">
        <f>'SEC Benches Data'!AP70*('SEC Benches Data'!AM70/100)</f>
        <v>0</v>
      </c>
      <c r="D26" s="7">
        <f>'SEC Benches Data'!AQ70*('SEC Benches Data'!AN70/100)</f>
        <v>0</v>
      </c>
      <c r="E26" s="116" t="e">
        <f t="shared" si="25"/>
        <v>#DIV/0!</v>
      </c>
      <c r="F26" s="116">
        <f t="shared" si="26"/>
        <v>0</v>
      </c>
      <c r="G26" s="67">
        <f>'SEC Benches Data'!B70</f>
        <v>0</v>
      </c>
      <c r="H26" s="43">
        <f>'SEC Benches Data'!N70</f>
        <v>0</v>
      </c>
      <c r="I26" s="43">
        <f>'SEC Benches Data'!Z70</f>
        <v>0</v>
      </c>
      <c r="J26" s="116" t="e">
        <f t="shared" si="4"/>
        <v>#DIV/0!</v>
      </c>
      <c r="K26" s="116">
        <f t="shared" si="5"/>
        <v>0</v>
      </c>
      <c r="L26" s="43">
        <f>'SEC Benches Data'!C70</f>
        <v>0</v>
      </c>
      <c r="M26" s="43">
        <f>'SEC Benches Data'!O70</f>
        <v>0</v>
      </c>
      <c r="N26" s="43">
        <f>'SEC Benches Data'!AA70</f>
        <v>0</v>
      </c>
      <c r="O26" s="1341" t="e">
        <f t="shared" si="6"/>
        <v>#DIV/0!</v>
      </c>
      <c r="P26" s="116">
        <f t="shared" si="7"/>
        <v>0</v>
      </c>
      <c r="Q26" s="43">
        <f>'SEC Benches Data'!D70</f>
        <v>0</v>
      </c>
      <c r="R26" s="43">
        <f>'SEC Benches Data'!P70</f>
        <v>0</v>
      </c>
      <c r="S26" s="43">
        <f>'SEC Benches Data'!AB70</f>
        <v>0</v>
      </c>
      <c r="T26" s="1341" t="e">
        <f t="shared" si="8"/>
        <v>#DIV/0!</v>
      </c>
      <c r="U26" s="116">
        <f t="shared" si="9"/>
        <v>0</v>
      </c>
      <c r="V26" s="43">
        <f>'SEC Benches Data'!E70</f>
        <v>0</v>
      </c>
      <c r="W26" s="43">
        <f>'SEC Benches Data'!Q70</f>
        <v>0</v>
      </c>
      <c r="X26" s="43">
        <f>'SEC Benches Data'!AC70</f>
        <v>0</v>
      </c>
      <c r="Y26" s="1341" t="e">
        <f t="shared" si="10"/>
        <v>#DIV/0!</v>
      </c>
      <c r="Z26" s="116">
        <f t="shared" si="11"/>
        <v>0</v>
      </c>
      <c r="AA26" s="43">
        <f>'SEC Benches Data'!J70</f>
        <v>0</v>
      </c>
      <c r="AB26" s="43">
        <f>'SEC Benches Data'!V70</f>
        <v>0</v>
      </c>
      <c r="AC26" s="43">
        <f>'SEC Benches Data'!AH70</f>
        <v>0</v>
      </c>
      <c r="AD26" s="1341" t="e">
        <f t="shared" si="12"/>
        <v>#DIV/0!</v>
      </c>
      <c r="AE26" s="116">
        <f t="shared" si="13"/>
        <v>0</v>
      </c>
      <c r="AF26" s="43">
        <f>'SEC Benches Data'!G70</f>
        <v>0</v>
      </c>
      <c r="AG26" s="43">
        <f>'SEC Benches Data'!S70</f>
        <v>0</v>
      </c>
      <c r="AH26" s="43">
        <f>'SEC Benches Data'!AE70</f>
        <v>0</v>
      </c>
      <c r="AI26" s="1341" t="e">
        <f t="shared" si="14"/>
        <v>#DIV/0!</v>
      </c>
      <c r="AJ26" s="116">
        <f t="shared" si="15"/>
        <v>0</v>
      </c>
      <c r="AK26" s="43">
        <f>'SEC Benches Data'!H70</f>
        <v>0</v>
      </c>
      <c r="AL26" s="43">
        <f>'SEC Benches Data'!T70</f>
        <v>0</v>
      </c>
      <c r="AM26" s="43">
        <f>'SEC Benches Data'!AF70</f>
        <v>0</v>
      </c>
      <c r="AN26" s="1341" t="e">
        <f t="shared" si="16"/>
        <v>#DIV/0!</v>
      </c>
      <c r="AO26" s="116">
        <f t="shared" si="17"/>
        <v>0</v>
      </c>
      <c r="AP26" s="43">
        <f>'SEC Benches Data'!J70</f>
        <v>0</v>
      </c>
      <c r="AQ26" s="43">
        <f>'SEC Benches Data'!V70</f>
        <v>0</v>
      </c>
      <c r="AR26" s="43">
        <f>'SEC Benches Data'!AH70</f>
        <v>0</v>
      </c>
      <c r="AS26" s="1341" t="e">
        <f t="shared" si="18"/>
        <v>#DIV/0!</v>
      </c>
      <c r="AT26" s="116">
        <f t="shared" si="19"/>
        <v>0</v>
      </c>
      <c r="AU26" s="43">
        <f>'SEC Benches Data'!M70</f>
        <v>0</v>
      </c>
      <c r="AV26" s="43">
        <f>'SEC Benches Data'!Y70</f>
        <v>0</v>
      </c>
      <c r="AW26" s="43">
        <f>'SEC Benches Data'!AK70</f>
        <v>0</v>
      </c>
      <c r="AX26" s="1341" t="e">
        <f t="shared" si="20"/>
        <v>#DIV/0!</v>
      </c>
      <c r="AY26" s="116">
        <f t="shared" si="21"/>
        <v>0</v>
      </c>
    </row>
    <row r="27" spans="1:51" hidden="1" outlineLevel="1" x14ac:dyDescent="0.25">
      <c r="B27" s="7">
        <f>'SEC Benches Data'!AO71*('SEC Benches Data'!AL71/100)</f>
        <v>0</v>
      </c>
      <c r="C27" s="7">
        <f>'SEC Benches Data'!AP71*('SEC Benches Data'!AM71/100)</f>
        <v>0</v>
      </c>
      <c r="D27" s="7">
        <f>'SEC Benches Data'!AQ71*('SEC Benches Data'!AN71/100)</f>
        <v>0</v>
      </c>
      <c r="E27" s="116" t="e">
        <f t="shared" si="25"/>
        <v>#DIV/0!</v>
      </c>
      <c r="F27" s="116">
        <f t="shared" si="26"/>
        <v>0</v>
      </c>
      <c r="G27" s="67">
        <f>'SEC Benches Data'!B71</f>
        <v>0</v>
      </c>
      <c r="H27" s="43">
        <f>'SEC Benches Data'!N71</f>
        <v>0</v>
      </c>
      <c r="I27" s="43">
        <f>'SEC Benches Data'!Z71</f>
        <v>0</v>
      </c>
      <c r="J27" s="116" t="e">
        <f t="shared" si="4"/>
        <v>#DIV/0!</v>
      </c>
      <c r="K27" s="116">
        <f t="shared" si="5"/>
        <v>0</v>
      </c>
      <c r="L27" s="43">
        <f>'SEC Benches Data'!C71</f>
        <v>0</v>
      </c>
      <c r="M27" s="43">
        <f>'SEC Benches Data'!O71</f>
        <v>0</v>
      </c>
      <c r="N27" s="43">
        <f>'SEC Benches Data'!AA71</f>
        <v>0</v>
      </c>
      <c r="O27" s="1341" t="e">
        <f t="shared" si="6"/>
        <v>#DIV/0!</v>
      </c>
      <c r="P27" s="116">
        <f t="shared" si="7"/>
        <v>0</v>
      </c>
      <c r="Q27" s="43">
        <f>'SEC Benches Data'!D71</f>
        <v>0</v>
      </c>
      <c r="R27" s="43">
        <f>'SEC Benches Data'!P71</f>
        <v>0</v>
      </c>
      <c r="S27" s="43">
        <f>'SEC Benches Data'!AB71</f>
        <v>0</v>
      </c>
      <c r="T27" s="1341" t="e">
        <f t="shared" si="8"/>
        <v>#DIV/0!</v>
      </c>
      <c r="U27" s="116">
        <f t="shared" si="9"/>
        <v>0</v>
      </c>
      <c r="V27" s="43">
        <f>'SEC Benches Data'!E71</f>
        <v>0</v>
      </c>
      <c r="W27" s="43">
        <f>'SEC Benches Data'!Q71</f>
        <v>0</v>
      </c>
      <c r="X27" s="43">
        <f>'SEC Benches Data'!AC71</f>
        <v>0</v>
      </c>
      <c r="Y27" s="1341" t="e">
        <f t="shared" si="10"/>
        <v>#DIV/0!</v>
      </c>
      <c r="Z27" s="116">
        <f t="shared" si="11"/>
        <v>0</v>
      </c>
      <c r="AA27" s="43">
        <f>'SEC Benches Data'!J71</f>
        <v>0</v>
      </c>
      <c r="AB27" s="43">
        <f>'SEC Benches Data'!V71</f>
        <v>0</v>
      </c>
      <c r="AC27" s="43">
        <f>'SEC Benches Data'!AH71</f>
        <v>0</v>
      </c>
      <c r="AD27" s="1341" t="e">
        <f t="shared" si="12"/>
        <v>#DIV/0!</v>
      </c>
      <c r="AE27" s="116">
        <f t="shared" si="13"/>
        <v>0</v>
      </c>
      <c r="AF27" s="43">
        <f>'SEC Benches Data'!G71</f>
        <v>0</v>
      </c>
      <c r="AG27" s="43">
        <f>'SEC Benches Data'!S71</f>
        <v>0</v>
      </c>
      <c r="AH27" s="43">
        <f>'SEC Benches Data'!AE71</f>
        <v>0</v>
      </c>
      <c r="AI27" s="1341" t="e">
        <f t="shared" si="14"/>
        <v>#DIV/0!</v>
      </c>
      <c r="AJ27" s="116">
        <f t="shared" si="15"/>
        <v>0</v>
      </c>
      <c r="AK27" s="43">
        <f>'SEC Benches Data'!H71</f>
        <v>0</v>
      </c>
      <c r="AL27" s="43">
        <f>'SEC Benches Data'!T71</f>
        <v>0</v>
      </c>
      <c r="AM27" s="43">
        <f>'SEC Benches Data'!AF71</f>
        <v>0</v>
      </c>
      <c r="AN27" s="1341" t="e">
        <f t="shared" si="16"/>
        <v>#DIV/0!</v>
      </c>
      <c r="AO27" s="116">
        <f t="shared" si="17"/>
        <v>0</v>
      </c>
      <c r="AP27" s="43">
        <f>'SEC Benches Data'!J71</f>
        <v>0</v>
      </c>
      <c r="AQ27" s="43">
        <f>'SEC Benches Data'!V71</f>
        <v>0</v>
      </c>
      <c r="AR27" s="43">
        <f>'SEC Benches Data'!AH71</f>
        <v>0</v>
      </c>
      <c r="AS27" s="1341" t="e">
        <f t="shared" si="18"/>
        <v>#DIV/0!</v>
      </c>
      <c r="AT27" s="116">
        <f t="shared" si="19"/>
        <v>0</v>
      </c>
      <c r="AU27" s="43">
        <f>'SEC Benches Data'!M71</f>
        <v>0</v>
      </c>
      <c r="AV27" s="43">
        <f>'SEC Benches Data'!Y71</f>
        <v>0</v>
      </c>
      <c r="AW27" s="43">
        <f>'SEC Benches Data'!AK71</f>
        <v>0</v>
      </c>
      <c r="AX27" s="1341" t="e">
        <f t="shared" si="20"/>
        <v>#DIV/0!</v>
      </c>
      <c r="AY27" s="116">
        <f t="shared" si="21"/>
        <v>0</v>
      </c>
    </row>
    <row r="28" spans="1:51" hidden="1" outlineLevel="1" x14ac:dyDescent="0.25">
      <c r="B28" s="7">
        <f>'SEC Benches Data'!AO72*('SEC Benches Data'!AL72/100)</f>
        <v>0</v>
      </c>
      <c r="C28" s="7">
        <f>'SEC Benches Data'!AP72*('SEC Benches Data'!AM72/100)</f>
        <v>0</v>
      </c>
      <c r="D28" s="7">
        <f>'SEC Benches Data'!AQ72*('SEC Benches Data'!AN72/100)</f>
        <v>0</v>
      </c>
      <c r="E28" s="116" t="e">
        <f t="shared" si="25"/>
        <v>#DIV/0!</v>
      </c>
      <c r="F28" s="116">
        <f t="shared" si="26"/>
        <v>0</v>
      </c>
      <c r="G28" s="67">
        <f>'SEC Benches Data'!B72</f>
        <v>0</v>
      </c>
      <c r="H28" s="43">
        <f>'SEC Benches Data'!N72</f>
        <v>0</v>
      </c>
      <c r="I28" s="43">
        <f>'SEC Benches Data'!Z72</f>
        <v>0</v>
      </c>
      <c r="J28" s="116" t="e">
        <f t="shared" si="4"/>
        <v>#DIV/0!</v>
      </c>
      <c r="K28" s="116">
        <f t="shared" si="5"/>
        <v>0</v>
      </c>
      <c r="L28" s="43">
        <f>'SEC Benches Data'!C72</f>
        <v>0</v>
      </c>
      <c r="M28" s="43">
        <f>'SEC Benches Data'!O72</f>
        <v>0</v>
      </c>
      <c r="N28" s="43">
        <f>'SEC Benches Data'!AA72</f>
        <v>0</v>
      </c>
      <c r="O28" s="1341" t="e">
        <f t="shared" si="6"/>
        <v>#DIV/0!</v>
      </c>
      <c r="P28" s="116">
        <f t="shared" si="7"/>
        <v>0</v>
      </c>
      <c r="Q28" s="43">
        <f>'SEC Benches Data'!D72</f>
        <v>0</v>
      </c>
      <c r="R28" s="43">
        <f>'SEC Benches Data'!P72</f>
        <v>0</v>
      </c>
      <c r="S28" s="43">
        <f>'SEC Benches Data'!AB72</f>
        <v>0</v>
      </c>
      <c r="T28" s="1341" t="e">
        <f t="shared" si="8"/>
        <v>#DIV/0!</v>
      </c>
      <c r="U28" s="116">
        <f t="shared" si="9"/>
        <v>0</v>
      </c>
      <c r="V28" s="43">
        <f>'SEC Benches Data'!E72</f>
        <v>0</v>
      </c>
      <c r="W28" s="43">
        <f>'SEC Benches Data'!Q72</f>
        <v>0</v>
      </c>
      <c r="X28" s="43">
        <f>'SEC Benches Data'!AC72</f>
        <v>0</v>
      </c>
      <c r="Y28" s="1341" t="e">
        <f t="shared" si="10"/>
        <v>#DIV/0!</v>
      </c>
      <c r="Z28" s="116">
        <f t="shared" si="11"/>
        <v>0</v>
      </c>
      <c r="AA28" s="43">
        <f>'SEC Benches Data'!J72</f>
        <v>0</v>
      </c>
      <c r="AB28" s="43">
        <f>'SEC Benches Data'!V72</f>
        <v>0</v>
      </c>
      <c r="AC28" s="43">
        <f>'SEC Benches Data'!AH72</f>
        <v>0</v>
      </c>
      <c r="AD28" s="1341" t="e">
        <f t="shared" si="12"/>
        <v>#DIV/0!</v>
      </c>
      <c r="AE28" s="116">
        <f t="shared" si="13"/>
        <v>0</v>
      </c>
      <c r="AF28" s="43">
        <f>'SEC Benches Data'!G72</f>
        <v>0</v>
      </c>
      <c r="AG28" s="43">
        <f>'SEC Benches Data'!S72</f>
        <v>0</v>
      </c>
      <c r="AH28" s="43">
        <f>'SEC Benches Data'!AE72</f>
        <v>0</v>
      </c>
      <c r="AI28" s="1341" t="e">
        <f t="shared" si="14"/>
        <v>#DIV/0!</v>
      </c>
      <c r="AJ28" s="116">
        <f t="shared" si="15"/>
        <v>0</v>
      </c>
      <c r="AK28" s="43">
        <f>'SEC Benches Data'!H72</f>
        <v>0</v>
      </c>
      <c r="AL28" s="43">
        <f>'SEC Benches Data'!T72</f>
        <v>0</v>
      </c>
      <c r="AM28" s="43">
        <f>'SEC Benches Data'!AF72</f>
        <v>0</v>
      </c>
      <c r="AN28" s="1341" t="e">
        <f t="shared" si="16"/>
        <v>#DIV/0!</v>
      </c>
      <c r="AO28" s="116">
        <f t="shared" si="17"/>
        <v>0</v>
      </c>
      <c r="AP28" s="43">
        <f>'SEC Benches Data'!J72</f>
        <v>0</v>
      </c>
      <c r="AQ28" s="43">
        <f>'SEC Benches Data'!V72</f>
        <v>0</v>
      </c>
      <c r="AR28" s="43">
        <f>'SEC Benches Data'!AH72</f>
        <v>0</v>
      </c>
      <c r="AS28" s="1341" t="e">
        <f t="shared" si="18"/>
        <v>#DIV/0!</v>
      </c>
      <c r="AT28" s="116">
        <f t="shared" si="19"/>
        <v>0</v>
      </c>
      <c r="AU28" s="43">
        <f>'SEC Benches Data'!M72</f>
        <v>0</v>
      </c>
      <c r="AV28" s="43">
        <f>'SEC Benches Data'!Y72</f>
        <v>0</v>
      </c>
      <c r="AW28" s="43">
        <f>'SEC Benches Data'!AK72</f>
        <v>0</v>
      </c>
      <c r="AX28" s="1341" t="e">
        <f t="shared" si="20"/>
        <v>#DIV/0!</v>
      </c>
      <c r="AY28" s="116">
        <f t="shared" si="21"/>
        <v>0</v>
      </c>
    </row>
    <row r="29" spans="1:51" hidden="1" outlineLevel="1" x14ac:dyDescent="0.25">
      <c r="B29" s="7">
        <f>'SEC Benches Data'!AO73*('SEC Benches Data'!AL73/100)</f>
        <v>0</v>
      </c>
      <c r="C29" s="7">
        <f>'SEC Benches Data'!AP73*('SEC Benches Data'!AM73/100)</f>
        <v>0</v>
      </c>
      <c r="D29" s="7">
        <f>'SEC Benches Data'!AQ73*('SEC Benches Data'!AN73/100)</f>
        <v>0</v>
      </c>
      <c r="E29" s="116" t="e">
        <f t="shared" si="25"/>
        <v>#DIV/0!</v>
      </c>
      <c r="F29" s="116" t="e">
        <f t="shared" si="26"/>
        <v>#DIV/0!</v>
      </c>
      <c r="G29" s="67">
        <f>'SEC Benches Data'!B73</f>
        <v>0</v>
      </c>
      <c r="H29" s="43">
        <f>'SEC Benches Data'!N73</f>
        <v>0</v>
      </c>
      <c r="I29" s="43">
        <f>'SEC Benches Data'!Z73</f>
        <v>0</v>
      </c>
      <c r="J29" s="116" t="e">
        <f t="shared" si="4"/>
        <v>#DIV/0!</v>
      </c>
      <c r="K29" s="116" t="e">
        <f t="shared" si="5"/>
        <v>#DIV/0!</v>
      </c>
      <c r="L29" s="43">
        <f>'SEC Benches Data'!C73</f>
        <v>0</v>
      </c>
      <c r="M29" s="43">
        <f>'SEC Benches Data'!O73</f>
        <v>0</v>
      </c>
      <c r="N29" s="43">
        <f>'SEC Benches Data'!AA73</f>
        <v>0</v>
      </c>
      <c r="O29" s="1341" t="e">
        <f t="shared" si="6"/>
        <v>#DIV/0!</v>
      </c>
      <c r="P29" s="116" t="e">
        <f t="shared" si="7"/>
        <v>#DIV/0!</v>
      </c>
      <c r="Q29" s="43">
        <f>'SEC Benches Data'!D73</f>
        <v>0</v>
      </c>
      <c r="R29" s="43">
        <f>'SEC Benches Data'!P73</f>
        <v>0</v>
      </c>
      <c r="S29" s="43">
        <f>'SEC Benches Data'!AB73</f>
        <v>0</v>
      </c>
      <c r="T29" s="1341" t="e">
        <f t="shared" si="8"/>
        <v>#DIV/0!</v>
      </c>
      <c r="U29" s="116" t="e">
        <f t="shared" si="9"/>
        <v>#DIV/0!</v>
      </c>
      <c r="V29" s="43">
        <f>'SEC Benches Data'!E73</f>
        <v>0</v>
      </c>
      <c r="W29" s="43">
        <f>'SEC Benches Data'!Q73</f>
        <v>0</v>
      </c>
      <c r="X29" s="43">
        <f>'SEC Benches Data'!AC73</f>
        <v>0</v>
      </c>
      <c r="Y29" s="1341" t="e">
        <f t="shared" si="10"/>
        <v>#DIV/0!</v>
      </c>
      <c r="Z29" s="116" t="e">
        <f t="shared" si="11"/>
        <v>#DIV/0!</v>
      </c>
      <c r="AA29" s="43">
        <f>'SEC Benches Data'!J73</f>
        <v>0</v>
      </c>
      <c r="AB29" s="43">
        <f>'SEC Benches Data'!V73</f>
        <v>0</v>
      </c>
      <c r="AC29" s="43">
        <f>'SEC Benches Data'!AH73</f>
        <v>0</v>
      </c>
      <c r="AD29" s="1341" t="e">
        <f t="shared" si="12"/>
        <v>#DIV/0!</v>
      </c>
      <c r="AE29" s="116" t="e">
        <f t="shared" si="13"/>
        <v>#DIV/0!</v>
      </c>
      <c r="AF29" s="43">
        <f>'SEC Benches Data'!G73</f>
        <v>0</v>
      </c>
      <c r="AG29" s="43">
        <f>'SEC Benches Data'!S73</f>
        <v>0</v>
      </c>
      <c r="AH29" s="43">
        <f>'SEC Benches Data'!AE73</f>
        <v>0</v>
      </c>
      <c r="AI29" s="1341" t="e">
        <f t="shared" si="14"/>
        <v>#DIV/0!</v>
      </c>
      <c r="AJ29" s="116" t="e">
        <f t="shared" si="15"/>
        <v>#DIV/0!</v>
      </c>
      <c r="AK29" s="43">
        <f>'SEC Benches Data'!H73</f>
        <v>0</v>
      </c>
      <c r="AL29" s="43">
        <f>'SEC Benches Data'!T73</f>
        <v>0</v>
      </c>
      <c r="AM29" s="43">
        <f>'SEC Benches Data'!AF73</f>
        <v>0</v>
      </c>
      <c r="AN29" s="1341" t="e">
        <f t="shared" si="16"/>
        <v>#DIV/0!</v>
      </c>
      <c r="AO29" s="116" t="e">
        <f t="shared" si="17"/>
        <v>#DIV/0!</v>
      </c>
      <c r="AP29" s="43">
        <f>'SEC Benches Data'!J73</f>
        <v>0</v>
      </c>
      <c r="AQ29" s="43">
        <f>'SEC Benches Data'!V73</f>
        <v>0</v>
      </c>
      <c r="AR29" s="43">
        <f>'SEC Benches Data'!AH73</f>
        <v>0</v>
      </c>
      <c r="AS29" s="1341" t="e">
        <f t="shared" si="18"/>
        <v>#DIV/0!</v>
      </c>
      <c r="AT29" s="116" t="e">
        <f t="shared" si="19"/>
        <v>#DIV/0!</v>
      </c>
      <c r="AU29" s="43">
        <f>'SEC Benches Data'!M73</f>
        <v>0</v>
      </c>
      <c r="AV29" s="43">
        <f>'SEC Benches Data'!Y73</f>
        <v>0</v>
      </c>
      <c r="AW29" s="43">
        <f>'SEC Benches Data'!AK73</f>
        <v>0</v>
      </c>
      <c r="AX29" s="1341" t="e">
        <f t="shared" si="20"/>
        <v>#DIV/0!</v>
      </c>
      <c r="AY29" s="116" t="e">
        <f t="shared" si="21"/>
        <v>#DIV/0!</v>
      </c>
    </row>
    <row r="30" spans="1:51" hidden="1" outlineLevel="1" x14ac:dyDescent="0.25">
      <c r="B30" s="7">
        <f>'SEC Benches Data'!AO74*('SEC Benches Data'!AL74/100)</f>
        <v>0</v>
      </c>
      <c r="C30" s="7">
        <f>'SEC Benches Data'!AP74*('SEC Benches Data'!AM74/100)</f>
        <v>0</v>
      </c>
      <c r="D30" s="7">
        <f>'SEC Benches Data'!AQ74*('SEC Benches Data'!AN74/100)</f>
        <v>0</v>
      </c>
      <c r="E30" s="116" t="e">
        <f t="shared" si="25"/>
        <v>#DIV/0!</v>
      </c>
      <c r="F30" s="116" t="e">
        <f t="shared" si="26"/>
        <v>#DIV/0!</v>
      </c>
      <c r="G30" s="67">
        <f>'SEC Benches Data'!B74</f>
        <v>0</v>
      </c>
      <c r="H30" s="43">
        <f>'SEC Benches Data'!N74</f>
        <v>0</v>
      </c>
      <c r="I30" s="43">
        <f>'SEC Benches Data'!Z74</f>
        <v>0</v>
      </c>
      <c r="J30" s="116" t="e">
        <f t="shared" si="4"/>
        <v>#DIV/0!</v>
      </c>
      <c r="K30" s="116" t="e">
        <f t="shared" si="5"/>
        <v>#DIV/0!</v>
      </c>
      <c r="L30" s="43">
        <f>'SEC Benches Data'!C74</f>
        <v>0</v>
      </c>
      <c r="M30" s="43">
        <f>'SEC Benches Data'!O74</f>
        <v>0</v>
      </c>
      <c r="N30" s="43">
        <f>'SEC Benches Data'!AA74</f>
        <v>0</v>
      </c>
      <c r="O30" s="1341" t="e">
        <f t="shared" si="6"/>
        <v>#DIV/0!</v>
      </c>
      <c r="P30" s="116" t="e">
        <f t="shared" si="7"/>
        <v>#DIV/0!</v>
      </c>
      <c r="Q30" s="43">
        <f>'SEC Benches Data'!D74</f>
        <v>0</v>
      </c>
      <c r="R30" s="43">
        <f>'SEC Benches Data'!P74</f>
        <v>0</v>
      </c>
      <c r="S30" s="43">
        <f>'SEC Benches Data'!AB74</f>
        <v>0</v>
      </c>
      <c r="T30" s="1341" t="e">
        <f t="shared" si="8"/>
        <v>#DIV/0!</v>
      </c>
      <c r="U30" s="116" t="e">
        <f t="shared" si="9"/>
        <v>#DIV/0!</v>
      </c>
      <c r="V30" s="43">
        <f>'SEC Benches Data'!E74</f>
        <v>0</v>
      </c>
      <c r="W30" s="43">
        <f>'SEC Benches Data'!Q74</f>
        <v>0</v>
      </c>
      <c r="X30" s="43">
        <f>'SEC Benches Data'!AC74</f>
        <v>0</v>
      </c>
      <c r="Y30" s="1341" t="e">
        <f t="shared" si="10"/>
        <v>#DIV/0!</v>
      </c>
      <c r="Z30" s="116" t="e">
        <f t="shared" si="11"/>
        <v>#DIV/0!</v>
      </c>
      <c r="AA30" s="43">
        <f>'SEC Benches Data'!J74</f>
        <v>0</v>
      </c>
      <c r="AB30" s="43">
        <f>'SEC Benches Data'!V74</f>
        <v>0</v>
      </c>
      <c r="AC30" s="43">
        <f>'SEC Benches Data'!AH74</f>
        <v>0</v>
      </c>
      <c r="AD30" s="1341" t="e">
        <f t="shared" si="12"/>
        <v>#DIV/0!</v>
      </c>
      <c r="AE30" s="116" t="e">
        <f t="shared" si="13"/>
        <v>#DIV/0!</v>
      </c>
      <c r="AF30" s="43">
        <f>'SEC Benches Data'!G74</f>
        <v>0</v>
      </c>
      <c r="AG30" s="43">
        <f>'SEC Benches Data'!S74</f>
        <v>0</v>
      </c>
      <c r="AH30" s="43">
        <f>'SEC Benches Data'!AE74</f>
        <v>0</v>
      </c>
      <c r="AI30" s="1341" t="e">
        <f t="shared" si="14"/>
        <v>#DIV/0!</v>
      </c>
      <c r="AJ30" s="116" t="e">
        <f t="shared" si="15"/>
        <v>#DIV/0!</v>
      </c>
      <c r="AK30" s="43">
        <f>'SEC Benches Data'!H74</f>
        <v>0</v>
      </c>
      <c r="AL30" s="43">
        <f>'SEC Benches Data'!T74</f>
        <v>0</v>
      </c>
      <c r="AM30" s="43">
        <f>'SEC Benches Data'!AF74</f>
        <v>0</v>
      </c>
      <c r="AN30" s="1341" t="e">
        <f t="shared" si="16"/>
        <v>#DIV/0!</v>
      </c>
      <c r="AO30" s="116" t="e">
        <f t="shared" si="17"/>
        <v>#DIV/0!</v>
      </c>
      <c r="AP30" s="43">
        <f>'SEC Benches Data'!J74</f>
        <v>0</v>
      </c>
      <c r="AQ30" s="43">
        <f>'SEC Benches Data'!V74</f>
        <v>0</v>
      </c>
      <c r="AR30" s="43">
        <f>'SEC Benches Data'!AH74</f>
        <v>0</v>
      </c>
      <c r="AS30" s="1341" t="e">
        <f t="shared" si="18"/>
        <v>#DIV/0!</v>
      </c>
      <c r="AT30" s="116" t="e">
        <f t="shared" si="19"/>
        <v>#DIV/0!</v>
      </c>
      <c r="AU30" s="43">
        <f>'SEC Benches Data'!M74</f>
        <v>0</v>
      </c>
      <c r="AV30" s="43">
        <f>'SEC Benches Data'!Y74</f>
        <v>0</v>
      </c>
      <c r="AW30" s="43">
        <f>'SEC Benches Data'!AK74</f>
        <v>0</v>
      </c>
      <c r="AX30" s="1341" t="e">
        <f t="shared" si="20"/>
        <v>#DIV/0!</v>
      </c>
      <c r="AY30" s="116" t="e">
        <f t="shared" si="21"/>
        <v>#DIV/0!</v>
      </c>
    </row>
    <row r="31" spans="1:51" hidden="1" outlineLevel="1" x14ac:dyDescent="0.25">
      <c r="B31" s="7">
        <f>'SEC Benches Data'!AO75*('SEC Benches Data'!AL75/100)</f>
        <v>0</v>
      </c>
      <c r="C31" s="7">
        <f>'SEC Benches Data'!AP75*('SEC Benches Data'!AM75/100)</f>
        <v>0</v>
      </c>
      <c r="D31" s="7">
        <f>'SEC Benches Data'!AQ75*('SEC Benches Data'!AN75/100)</f>
        <v>0</v>
      </c>
      <c r="E31" s="116" t="e">
        <f t="shared" si="25"/>
        <v>#DIV/0!</v>
      </c>
      <c r="F31" s="116" t="e">
        <f t="shared" si="26"/>
        <v>#DIV/0!</v>
      </c>
      <c r="G31" s="67">
        <f>'SEC Benches Data'!B75</f>
        <v>0</v>
      </c>
      <c r="H31" s="43">
        <f>'SEC Benches Data'!N75</f>
        <v>0</v>
      </c>
      <c r="I31" s="43">
        <f>'SEC Benches Data'!Z75</f>
        <v>0</v>
      </c>
      <c r="J31" s="116" t="e">
        <f t="shared" si="4"/>
        <v>#DIV/0!</v>
      </c>
      <c r="K31" s="116" t="e">
        <f t="shared" si="5"/>
        <v>#DIV/0!</v>
      </c>
      <c r="L31" s="43">
        <f>'SEC Benches Data'!C75</f>
        <v>0</v>
      </c>
      <c r="M31" s="43">
        <f>'SEC Benches Data'!O75</f>
        <v>0</v>
      </c>
      <c r="N31" s="43">
        <f>'SEC Benches Data'!AA75</f>
        <v>0</v>
      </c>
      <c r="O31" s="1341" t="e">
        <f t="shared" si="6"/>
        <v>#DIV/0!</v>
      </c>
      <c r="P31" s="116" t="e">
        <f t="shared" si="7"/>
        <v>#DIV/0!</v>
      </c>
      <c r="Q31" s="43">
        <f>'SEC Benches Data'!D75</f>
        <v>0</v>
      </c>
      <c r="R31" s="43">
        <f>'SEC Benches Data'!P75</f>
        <v>0</v>
      </c>
      <c r="S31" s="43">
        <f>'SEC Benches Data'!AB75</f>
        <v>0</v>
      </c>
      <c r="T31" s="1341" t="e">
        <f t="shared" si="8"/>
        <v>#DIV/0!</v>
      </c>
      <c r="U31" s="116" t="e">
        <f t="shared" si="9"/>
        <v>#DIV/0!</v>
      </c>
      <c r="V31" s="43">
        <f>'SEC Benches Data'!E75</f>
        <v>0</v>
      </c>
      <c r="W31" s="43">
        <f>'SEC Benches Data'!Q75</f>
        <v>0</v>
      </c>
      <c r="X31" s="43">
        <f>'SEC Benches Data'!AC75</f>
        <v>0</v>
      </c>
      <c r="Y31" s="1341" t="e">
        <f t="shared" si="10"/>
        <v>#DIV/0!</v>
      </c>
      <c r="Z31" s="116" t="e">
        <f t="shared" si="11"/>
        <v>#DIV/0!</v>
      </c>
      <c r="AA31" s="43">
        <f>'SEC Benches Data'!J75</f>
        <v>0</v>
      </c>
      <c r="AB31" s="43">
        <f>'SEC Benches Data'!V75</f>
        <v>0</v>
      </c>
      <c r="AC31" s="43">
        <f>'SEC Benches Data'!AH75</f>
        <v>0</v>
      </c>
      <c r="AD31" s="1341" t="e">
        <f t="shared" si="12"/>
        <v>#DIV/0!</v>
      </c>
      <c r="AE31" s="116" t="e">
        <f t="shared" si="13"/>
        <v>#DIV/0!</v>
      </c>
      <c r="AF31" s="43">
        <f>'SEC Benches Data'!G75</f>
        <v>0</v>
      </c>
      <c r="AG31" s="43">
        <f>'SEC Benches Data'!S75</f>
        <v>0</v>
      </c>
      <c r="AH31" s="43">
        <f>'SEC Benches Data'!AE75</f>
        <v>0</v>
      </c>
      <c r="AI31" s="1341" t="e">
        <f t="shared" si="14"/>
        <v>#DIV/0!</v>
      </c>
      <c r="AJ31" s="116" t="e">
        <f t="shared" si="15"/>
        <v>#DIV/0!</v>
      </c>
      <c r="AK31" s="43">
        <f>'SEC Benches Data'!H75</f>
        <v>0</v>
      </c>
      <c r="AL31" s="43">
        <f>'SEC Benches Data'!T75</f>
        <v>0</v>
      </c>
      <c r="AM31" s="43">
        <f>'SEC Benches Data'!AF75</f>
        <v>0</v>
      </c>
      <c r="AN31" s="1341" t="e">
        <f t="shared" si="16"/>
        <v>#DIV/0!</v>
      </c>
      <c r="AO31" s="116" t="e">
        <f t="shared" si="17"/>
        <v>#DIV/0!</v>
      </c>
      <c r="AP31" s="43">
        <f>'SEC Benches Data'!J75</f>
        <v>0</v>
      </c>
      <c r="AQ31" s="43">
        <f>'SEC Benches Data'!V75</f>
        <v>0</v>
      </c>
      <c r="AR31" s="43">
        <f>'SEC Benches Data'!AH75</f>
        <v>0</v>
      </c>
      <c r="AS31" s="1341" t="e">
        <f t="shared" si="18"/>
        <v>#DIV/0!</v>
      </c>
      <c r="AT31" s="116" t="e">
        <f t="shared" si="19"/>
        <v>#DIV/0!</v>
      </c>
      <c r="AU31" s="43">
        <f>'SEC Benches Data'!M75</f>
        <v>0</v>
      </c>
      <c r="AV31" s="43">
        <f>'SEC Benches Data'!Y75</f>
        <v>0</v>
      </c>
      <c r="AW31" s="43">
        <f>'SEC Benches Data'!AK75</f>
        <v>0</v>
      </c>
      <c r="AX31" s="1341" t="e">
        <f t="shared" si="20"/>
        <v>#DIV/0!</v>
      </c>
      <c r="AY31" s="116" t="e">
        <f t="shared" si="21"/>
        <v>#DIV/0!</v>
      </c>
    </row>
    <row r="32" spans="1:51" hidden="1" outlineLevel="1" x14ac:dyDescent="0.25">
      <c r="B32" s="7">
        <f>'SEC Benches Data'!AO76*('SEC Benches Data'!AL76/100)</f>
        <v>0</v>
      </c>
      <c r="C32" s="7">
        <f>'SEC Benches Data'!AP76*('SEC Benches Data'!AM76/100)</f>
        <v>0</v>
      </c>
      <c r="D32" s="7">
        <f>'SEC Benches Data'!AQ76*('SEC Benches Data'!AN76/100)</f>
        <v>0</v>
      </c>
      <c r="E32" s="116" t="e">
        <f t="shared" si="25"/>
        <v>#DIV/0!</v>
      </c>
      <c r="F32" s="116" t="e">
        <f t="shared" si="26"/>
        <v>#DIV/0!</v>
      </c>
      <c r="G32" s="67">
        <f>'SEC Benches Data'!B76</f>
        <v>0</v>
      </c>
      <c r="H32" s="43">
        <f>'SEC Benches Data'!N76</f>
        <v>0</v>
      </c>
      <c r="I32" s="43">
        <f>'SEC Benches Data'!Z76</f>
        <v>0</v>
      </c>
      <c r="J32" s="116" t="e">
        <f t="shared" si="4"/>
        <v>#DIV/0!</v>
      </c>
      <c r="K32" s="116" t="e">
        <f t="shared" si="5"/>
        <v>#DIV/0!</v>
      </c>
      <c r="L32" s="43">
        <f>'SEC Benches Data'!C76</f>
        <v>0</v>
      </c>
      <c r="M32" s="43">
        <f>'SEC Benches Data'!O76</f>
        <v>0</v>
      </c>
      <c r="N32" s="43">
        <f>'SEC Benches Data'!AA76</f>
        <v>0</v>
      </c>
      <c r="O32" s="1341" t="e">
        <f t="shared" si="6"/>
        <v>#DIV/0!</v>
      </c>
      <c r="P32" s="116" t="e">
        <f t="shared" si="7"/>
        <v>#DIV/0!</v>
      </c>
      <c r="Q32" s="43">
        <f>'SEC Benches Data'!D76</f>
        <v>0</v>
      </c>
      <c r="R32" s="43">
        <f>'SEC Benches Data'!P76</f>
        <v>0</v>
      </c>
      <c r="S32" s="43">
        <f>'SEC Benches Data'!AB76</f>
        <v>0</v>
      </c>
      <c r="T32" s="1341" t="e">
        <f t="shared" si="8"/>
        <v>#DIV/0!</v>
      </c>
      <c r="U32" s="116" t="e">
        <f t="shared" si="9"/>
        <v>#DIV/0!</v>
      </c>
      <c r="V32" s="43">
        <f>'SEC Benches Data'!E76</f>
        <v>0</v>
      </c>
      <c r="W32" s="43">
        <f>'SEC Benches Data'!Q76</f>
        <v>0</v>
      </c>
      <c r="X32" s="43">
        <f>'SEC Benches Data'!AC76</f>
        <v>0</v>
      </c>
      <c r="Y32" s="1341" t="e">
        <f t="shared" si="10"/>
        <v>#DIV/0!</v>
      </c>
      <c r="Z32" s="116" t="e">
        <f t="shared" si="11"/>
        <v>#DIV/0!</v>
      </c>
      <c r="AA32" s="43">
        <f>'SEC Benches Data'!J76</f>
        <v>0</v>
      </c>
      <c r="AB32" s="43">
        <f>'SEC Benches Data'!V76</f>
        <v>0</v>
      </c>
      <c r="AC32" s="43">
        <f>'SEC Benches Data'!AH76</f>
        <v>0</v>
      </c>
      <c r="AD32" s="1341" t="e">
        <f t="shared" si="12"/>
        <v>#DIV/0!</v>
      </c>
      <c r="AE32" s="116" t="e">
        <f t="shared" si="13"/>
        <v>#DIV/0!</v>
      </c>
      <c r="AF32" s="43">
        <f>'SEC Benches Data'!G76</f>
        <v>0</v>
      </c>
      <c r="AG32" s="43">
        <f>'SEC Benches Data'!S76</f>
        <v>0</v>
      </c>
      <c r="AH32" s="43">
        <f>'SEC Benches Data'!AE76</f>
        <v>0</v>
      </c>
      <c r="AI32" s="1341" t="e">
        <f t="shared" si="14"/>
        <v>#DIV/0!</v>
      </c>
      <c r="AJ32" s="116" t="e">
        <f t="shared" si="15"/>
        <v>#DIV/0!</v>
      </c>
      <c r="AK32" s="43">
        <f>'SEC Benches Data'!H76</f>
        <v>0</v>
      </c>
      <c r="AL32" s="43">
        <f>'SEC Benches Data'!T76</f>
        <v>0</v>
      </c>
      <c r="AM32" s="43">
        <f>'SEC Benches Data'!AF76</f>
        <v>0</v>
      </c>
      <c r="AN32" s="1341" t="e">
        <f t="shared" si="16"/>
        <v>#DIV/0!</v>
      </c>
      <c r="AO32" s="116" t="e">
        <f t="shared" si="17"/>
        <v>#DIV/0!</v>
      </c>
      <c r="AP32" s="43">
        <f>'SEC Benches Data'!J76</f>
        <v>0</v>
      </c>
      <c r="AQ32" s="43">
        <f>'SEC Benches Data'!V76</f>
        <v>0</v>
      </c>
      <c r="AR32" s="43">
        <f>'SEC Benches Data'!AH76</f>
        <v>0</v>
      </c>
      <c r="AS32" s="1341" t="e">
        <f t="shared" si="18"/>
        <v>#DIV/0!</v>
      </c>
      <c r="AT32" s="116" t="e">
        <f t="shared" si="19"/>
        <v>#DIV/0!</v>
      </c>
      <c r="AU32" s="43">
        <f>'SEC Benches Data'!M76</f>
        <v>0</v>
      </c>
      <c r="AV32" s="43">
        <f>'SEC Benches Data'!Y76</f>
        <v>0</v>
      </c>
      <c r="AW32" s="43">
        <f>'SEC Benches Data'!AK76</f>
        <v>0</v>
      </c>
      <c r="AX32" s="1341" t="e">
        <f t="shared" si="20"/>
        <v>#DIV/0!</v>
      </c>
      <c r="AY32" s="116" t="e">
        <f t="shared" si="21"/>
        <v>#DIV/0!</v>
      </c>
    </row>
    <row r="33" spans="2:51" hidden="1" outlineLevel="1" x14ac:dyDescent="0.25">
      <c r="B33" s="7">
        <f>'SEC Benches Data'!AO77*('SEC Benches Data'!AL77/100)</f>
        <v>0</v>
      </c>
      <c r="C33" s="7">
        <f>'SEC Benches Data'!AP77*('SEC Benches Data'!AM77/100)</f>
        <v>0</v>
      </c>
      <c r="D33" s="7">
        <f>'SEC Benches Data'!AQ77*('SEC Benches Data'!AN77/100)</f>
        <v>0</v>
      </c>
      <c r="E33" s="116" t="e">
        <f t="shared" si="25"/>
        <v>#DIV/0!</v>
      </c>
      <c r="F33" s="116" t="e">
        <f t="shared" si="26"/>
        <v>#DIV/0!</v>
      </c>
      <c r="G33" s="67">
        <f>'SEC Benches Data'!B77</f>
        <v>0</v>
      </c>
      <c r="H33" s="43">
        <f>'SEC Benches Data'!N77</f>
        <v>0</v>
      </c>
      <c r="I33" s="43">
        <f>'SEC Benches Data'!Z77</f>
        <v>0</v>
      </c>
      <c r="J33" s="116" t="e">
        <f t="shared" si="4"/>
        <v>#DIV/0!</v>
      </c>
      <c r="K33" s="116" t="e">
        <f t="shared" si="5"/>
        <v>#DIV/0!</v>
      </c>
      <c r="L33" s="43">
        <f>'SEC Benches Data'!C77</f>
        <v>0</v>
      </c>
      <c r="M33" s="43">
        <f>'SEC Benches Data'!O77</f>
        <v>0</v>
      </c>
      <c r="N33" s="43">
        <f>'SEC Benches Data'!AA77</f>
        <v>0</v>
      </c>
      <c r="O33" s="1341" t="e">
        <f t="shared" si="6"/>
        <v>#DIV/0!</v>
      </c>
      <c r="P33" s="116" t="e">
        <f t="shared" si="7"/>
        <v>#DIV/0!</v>
      </c>
      <c r="Q33" s="43">
        <f>'SEC Benches Data'!D77</f>
        <v>0</v>
      </c>
      <c r="R33" s="43">
        <f>'SEC Benches Data'!P77</f>
        <v>0</v>
      </c>
      <c r="S33" s="43">
        <f>'SEC Benches Data'!AB77</f>
        <v>0</v>
      </c>
      <c r="T33" s="1341" t="e">
        <f t="shared" si="8"/>
        <v>#DIV/0!</v>
      </c>
      <c r="U33" s="116" t="e">
        <f t="shared" si="9"/>
        <v>#DIV/0!</v>
      </c>
      <c r="V33" s="43">
        <f>'SEC Benches Data'!E77</f>
        <v>0</v>
      </c>
      <c r="W33" s="43">
        <f>'SEC Benches Data'!Q77</f>
        <v>0</v>
      </c>
      <c r="X33" s="43">
        <f>'SEC Benches Data'!AC77</f>
        <v>0</v>
      </c>
      <c r="Y33" s="1341" t="e">
        <f t="shared" si="10"/>
        <v>#DIV/0!</v>
      </c>
      <c r="Z33" s="116" t="e">
        <f t="shared" si="11"/>
        <v>#DIV/0!</v>
      </c>
      <c r="AA33" s="43">
        <f>'SEC Benches Data'!J77</f>
        <v>0</v>
      </c>
      <c r="AB33" s="43">
        <f>'SEC Benches Data'!V77</f>
        <v>0</v>
      </c>
      <c r="AC33" s="43">
        <f>'SEC Benches Data'!AH77</f>
        <v>0</v>
      </c>
      <c r="AD33" s="1341" t="e">
        <f t="shared" si="12"/>
        <v>#DIV/0!</v>
      </c>
      <c r="AE33" s="116" t="e">
        <f t="shared" si="13"/>
        <v>#DIV/0!</v>
      </c>
      <c r="AF33" s="43">
        <f>'SEC Benches Data'!G77</f>
        <v>0</v>
      </c>
      <c r="AG33" s="43">
        <f>'SEC Benches Data'!S77</f>
        <v>0</v>
      </c>
      <c r="AH33" s="43">
        <f>'SEC Benches Data'!AE77</f>
        <v>0</v>
      </c>
      <c r="AI33" s="1341" t="e">
        <f t="shared" si="14"/>
        <v>#DIV/0!</v>
      </c>
      <c r="AJ33" s="116" t="e">
        <f t="shared" si="15"/>
        <v>#DIV/0!</v>
      </c>
      <c r="AK33" s="43">
        <f>'SEC Benches Data'!H77</f>
        <v>0</v>
      </c>
      <c r="AL33" s="43">
        <f>'SEC Benches Data'!T77</f>
        <v>0</v>
      </c>
      <c r="AM33" s="43">
        <f>'SEC Benches Data'!AF77</f>
        <v>0</v>
      </c>
      <c r="AN33" s="1341" t="e">
        <f t="shared" si="16"/>
        <v>#DIV/0!</v>
      </c>
      <c r="AO33" s="116" t="e">
        <f t="shared" si="17"/>
        <v>#DIV/0!</v>
      </c>
      <c r="AP33" s="43">
        <f>'SEC Benches Data'!J77</f>
        <v>0</v>
      </c>
      <c r="AQ33" s="43">
        <f>'SEC Benches Data'!V77</f>
        <v>0</v>
      </c>
      <c r="AR33" s="43">
        <f>'SEC Benches Data'!AH77</f>
        <v>0</v>
      </c>
      <c r="AS33" s="1341" t="e">
        <f t="shared" si="18"/>
        <v>#DIV/0!</v>
      </c>
      <c r="AT33" s="116" t="e">
        <f t="shared" si="19"/>
        <v>#DIV/0!</v>
      </c>
      <c r="AU33" s="43">
        <f>'SEC Benches Data'!M77</f>
        <v>0</v>
      </c>
      <c r="AV33" s="43">
        <f>'SEC Benches Data'!Y77</f>
        <v>0</v>
      </c>
      <c r="AW33" s="43">
        <f>'SEC Benches Data'!AK77</f>
        <v>0</v>
      </c>
      <c r="AX33" s="1341" t="e">
        <f t="shared" si="20"/>
        <v>#DIV/0!</v>
      </c>
      <c r="AY33" s="116" t="e">
        <f t="shared" si="21"/>
        <v>#DIV/0!</v>
      </c>
    </row>
    <row r="34" spans="2:51" hidden="1" outlineLevel="1" x14ac:dyDescent="0.25">
      <c r="B34" s="7">
        <f>'SEC Benches Data'!AO78*('SEC Benches Data'!AL78/100)</f>
        <v>0</v>
      </c>
      <c r="C34" s="7">
        <f>'SEC Benches Data'!AP78*('SEC Benches Data'!AM78/100)</f>
        <v>0</v>
      </c>
      <c r="D34" s="7">
        <f>'SEC Benches Data'!AQ78*('SEC Benches Data'!AN78/100)</f>
        <v>0</v>
      </c>
      <c r="E34" s="116" t="e">
        <f t="shared" si="25"/>
        <v>#DIV/0!</v>
      </c>
      <c r="F34" s="116" t="e">
        <f t="shared" si="26"/>
        <v>#DIV/0!</v>
      </c>
      <c r="G34" s="67">
        <f>'SEC Benches Data'!B78</f>
        <v>0</v>
      </c>
      <c r="H34" s="43">
        <f>'SEC Benches Data'!N78</f>
        <v>0</v>
      </c>
      <c r="I34" s="43">
        <f>'SEC Benches Data'!Z78</f>
        <v>0</v>
      </c>
      <c r="J34" s="116" t="e">
        <f t="shared" si="4"/>
        <v>#DIV/0!</v>
      </c>
      <c r="K34" s="116" t="e">
        <f t="shared" si="5"/>
        <v>#DIV/0!</v>
      </c>
      <c r="L34" s="43">
        <f>'SEC Benches Data'!C78</f>
        <v>0</v>
      </c>
      <c r="M34" s="43">
        <f>'SEC Benches Data'!O78</f>
        <v>0</v>
      </c>
      <c r="N34" s="43">
        <f>'SEC Benches Data'!AA78</f>
        <v>0</v>
      </c>
      <c r="O34" s="1341" t="e">
        <f t="shared" si="6"/>
        <v>#DIV/0!</v>
      </c>
      <c r="P34" s="116" t="e">
        <f t="shared" si="7"/>
        <v>#DIV/0!</v>
      </c>
      <c r="Q34" s="43">
        <f>'SEC Benches Data'!D78</f>
        <v>0</v>
      </c>
      <c r="R34" s="43">
        <f>'SEC Benches Data'!P78</f>
        <v>0</v>
      </c>
      <c r="S34" s="43">
        <f>'SEC Benches Data'!AB78</f>
        <v>0</v>
      </c>
      <c r="T34" s="1341" t="e">
        <f t="shared" si="8"/>
        <v>#DIV/0!</v>
      </c>
      <c r="U34" s="116" t="e">
        <f t="shared" si="9"/>
        <v>#DIV/0!</v>
      </c>
      <c r="V34" s="43">
        <f>'SEC Benches Data'!E78</f>
        <v>0</v>
      </c>
      <c r="W34" s="43">
        <f>'SEC Benches Data'!Q78</f>
        <v>0</v>
      </c>
      <c r="X34" s="43">
        <f>'SEC Benches Data'!AC78</f>
        <v>0</v>
      </c>
      <c r="Y34" s="1341" t="e">
        <f t="shared" si="10"/>
        <v>#DIV/0!</v>
      </c>
      <c r="Z34" s="116" t="e">
        <f t="shared" si="11"/>
        <v>#DIV/0!</v>
      </c>
      <c r="AA34" s="43">
        <f>'SEC Benches Data'!J78</f>
        <v>0</v>
      </c>
      <c r="AB34" s="43">
        <f>'SEC Benches Data'!V78</f>
        <v>0</v>
      </c>
      <c r="AC34" s="43">
        <f>'SEC Benches Data'!AH78</f>
        <v>0</v>
      </c>
      <c r="AD34" s="1341" t="e">
        <f t="shared" si="12"/>
        <v>#DIV/0!</v>
      </c>
      <c r="AE34" s="116" t="e">
        <f t="shared" si="13"/>
        <v>#DIV/0!</v>
      </c>
      <c r="AF34" s="43">
        <f>'SEC Benches Data'!G78</f>
        <v>0</v>
      </c>
      <c r="AG34" s="43">
        <f>'SEC Benches Data'!S78</f>
        <v>0</v>
      </c>
      <c r="AH34" s="43">
        <f>'SEC Benches Data'!AE78</f>
        <v>0</v>
      </c>
      <c r="AI34" s="1341" t="e">
        <f t="shared" si="14"/>
        <v>#DIV/0!</v>
      </c>
      <c r="AJ34" s="116" t="e">
        <f t="shared" si="15"/>
        <v>#DIV/0!</v>
      </c>
      <c r="AK34" s="43">
        <f>'SEC Benches Data'!H78</f>
        <v>0</v>
      </c>
      <c r="AL34" s="43">
        <f>'SEC Benches Data'!T78</f>
        <v>0</v>
      </c>
      <c r="AM34" s="43">
        <f>'SEC Benches Data'!AF78</f>
        <v>0</v>
      </c>
      <c r="AN34" s="1341" t="e">
        <f t="shared" si="16"/>
        <v>#DIV/0!</v>
      </c>
      <c r="AO34" s="116" t="e">
        <f t="shared" si="17"/>
        <v>#DIV/0!</v>
      </c>
      <c r="AP34" s="43">
        <f>'SEC Benches Data'!J78</f>
        <v>0</v>
      </c>
      <c r="AQ34" s="43">
        <f>'SEC Benches Data'!V78</f>
        <v>0</v>
      </c>
      <c r="AR34" s="43">
        <f>'SEC Benches Data'!AH78</f>
        <v>0</v>
      </c>
      <c r="AS34" s="1341" t="e">
        <f t="shared" si="18"/>
        <v>#DIV/0!</v>
      </c>
      <c r="AT34" s="116" t="e">
        <f t="shared" si="19"/>
        <v>#DIV/0!</v>
      </c>
      <c r="AU34" s="43">
        <f>'SEC Benches Data'!M78</f>
        <v>0</v>
      </c>
      <c r="AV34" s="43">
        <f>'SEC Benches Data'!Y78</f>
        <v>0</v>
      </c>
      <c r="AW34" s="43">
        <f>'SEC Benches Data'!AK78</f>
        <v>0</v>
      </c>
      <c r="AX34" s="1341" t="e">
        <f t="shared" si="20"/>
        <v>#DIV/0!</v>
      </c>
      <c r="AY34" s="116" t="e">
        <f t="shared" si="21"/>
        <v>#DIV/0!</v>
      </c>
    </row>
    <row r="35" spans="2:51" hidden="1" outlineLevel="1" x14ac:dyDescent="0.25">
      <c r="B35" s="7">
        <f>'SEC Benches Data'!AO79*('SEC Benches Data'!AL79/100)</f>
        <v>0</v>
      </c>
      <c r="C35" s="7">
        <f>'SEC Benches Data'!AP79*('SEC Benches Data'!AM79/100)</f>
        <v>0</v>
      </c>
      <c r="D35" s="7">
        <f>'SEC Benches Data'!AQ79*('SEC Benches Data'!AN79/100)</f>
        <v>0</v>
      </c>
      <c r="E35" s="116" t="e">
        <f t="shared" si="25"/>
        <v>#DIV/0!</v>
      </c>
      <c r="F35" s="116" t="e">
        <f t="shared" si="26"/>
        <v>#DIV/0!</v>
      </c>
      <c r="G35" s="67">
        <f>'SEC Benches Data'!B79</f>
        <v>0</v>
      </c>
      <c r="H35" s="43">
        <f>'SEC Benches Data'!N79</f>
        <v>0</v>
      </c>
      <c r="I35" s="43">
        <f>'SEC Benches Data'!Z79</f>
        <v>0</v>
      </c>
      <c r="J35" s="116" t="e">
        <f t="shared" si="4"/>
        <v>#DIV/0!</v>
      </c>
      <c r="K35" s="116" t="e">
        <f t="shared" si="5"/>
        <v>#DIV/0!</v>
      </c>
      <c r="L35" s="43">
        <f>'SEC Benches Data'!C79</f>
        <v>0</v>
      </c>
      <c r="M35" s="43">
        <f>'SEC Benches Data'!O79</f>
        <v>0</v>
      </c>
      <c r="N35" s="43">
        <f>'SEC Benches Data'!AA79</f>
        <v>0</v>
      </c>
      <c r="O35" s="1341" t="e">
        <f t="shared" si="6"/>
        <v>#DIV/0!</v>
      </c>
      <c r="P35" s="116" t="e">
        <f t="shared" si="7"/>
        <v>#DIV/0!</v>
      </c>
      <c r="Q35" s="43">
        <f>'SEC Benches Data'!D79</f>
        <v>0</v>
      </c>
      <c r="R35" s="43">
        <f>'SEC Benches Data'!P79</f>
        <v>0</v>
      </c>
      <c r="S35" s="43">
        <f>'SEC Benches Data'!AB79</f>
        <v>0</v>
      </c>
      <c r="T35" s="1341" t="e">
        <f t="shared" si="8"/>
        <v>#DIV/0!</v>
      </c>
      <c r="U35" s="116" t="e">
        <f t="shared" si="9"/>
        <v>#DIV/0!</v>
      </c>
      <c r="V35" s="43">
        <f>'SEC Benches Data'!E79</f>
        <v>0</v>
      </c>
      <c r="W35" s="43">
        <f>'SEC Benches Data'!Q79</f>
        <v>0</v>
      </c>
      <c r="X35" s="43">
        <f>'SEC Benches Data'!AC79</f>
        <v>0</v>
      </c>
      <c r="Y35" s="1341" t="e">
        <f t="shared" si="10"/>
        <v>#DIV/0!</v>
      </c>
      <c r="Z35" s="116" t="e">
        <f t="shared" si="11"/>
        <v>#DIV/0!</v>
      </c>
      <c r="AA35" s="43">
        <f>'SEC Benches Data'!J79</f>
        <v>0</v>
      </c>
      <c r="AB35" s="43">
        <f>'SEC Benches Data'!V79</f>
        <v>0</v>
      </c>
      <c r="AC35" s="43">
        <f>'SEC Benches Data'!AH79</f>
        <v>0</v>
      </c>
      <c r="AD35" s="1341" t="e">
        <f t="shared" si="12"/>
        <v>#DIV/0!</v>
      </c>
      <c r="AE35" s="116" t="e">
        <f t="shared" si="13"/>
        <v>#DIV/0!</v>
      </c>
      <c r="AF35" s="43">
        <f>'SEC Benches Data'!G79</f>
        <v>0</v>
      </c>
      <c r="AG35" s="43">
        <f>'SEC Benches Data'!S79</f>
        <v>0</v>
      </c>
      <c r="AH35" s="43">
        <f>'SEC Benches Data'!AE79</f>
        <v>0</v>
      </c>
      <c r="AI35" s="1341" t="e">
        <f t="shared" si="14"/>
        <v>#DIV/0!</v>
      </c>
      <c r="AJ35" s="116" t="e">
        <f t="shared" si="15"/>
        <v>#DIV/0!</v>
      </c>
      <c r="AK35" s="43">
        <f>'SEC Benches Data'!H79</f>
        <v>0</v>
      </c>
      <c r="AL35" s="43">
        <f>'SEC Benches Data'!T79</f>
        <v>0</v>
      </c>
      <c r="AM35" s="43">
        <f>'SEC Benches Data'!AF79</f>
        <v>0</v>
      </c>
      <c r="AN35" s="1341" t="e">
        <f t="shared" si="16"/>
        <v>#DIV/0!</v>
      </c>
      <c r="AO35" s="116" t="e">
        <f t="shared" si="17"/>
        <v>#DIV/0!</v>
      </c>
      <c r="AP35" s="43">
        <f>'SEC Benches Data'!J79</f>
        <v>0</v>
      </c>
      <c r="AQ35" s="43">
        <f>'SEC Benches Data'!V79</f>
        <v>0</v>
      </c>
      <c r="AR35" s="43">
        <f>'SEC Benches Data'!AH79</f>
        <v>0</v>
      </c>
      <c r="AS35" s="1341" t="e">
        <f t="shared" si="18"/>
        <v>#DIV/0!</v>
      </c>
      <c r="AT35" s="116" t="e">
        <f t="shared" si="19"/>
        <v>#DIV/0!</v>
      </c>
      <c r="AU35" s="43">
        <f>'SEC Benches Data'!M79</f>
        <v>0</v>
      </c>
      <c r="AV35" s="43">
        <f>'SEC Benches Data'!Y79</f>
        <v>0</v>
      </c>
      <c r="AW35" s="43">
        <f>'SEC Benches Data'!AK79</f>
        <v>0</v>
      </c>
      <c r="AX35" s="1341" t="e">
        <f t="shared" si="20"/>
        <v>#DIV/0!</v>
      </c>
      <c r="AY35" s="116" t="e">
        <f t="shared" si="21"/>
        <v>#DIV/0!</v>
      </c>
    </row>
    <row r="36" spans="2:51" hidden="1" outlineLevel="1" x14ac:dyDescent="0.25">
      <c r="B36" s="7">
        <f>'SEC Benches Data'!AO80*('SEC Benches Data'!AL80/100)</f>
        <v>0</v>
      </c>
      <c r="C36" s="7">
        <f>'SEC Benches Data'!AP80*('SEC Benches Data'!AM80/100)</f>
        <v>0</v>
      </c>
      <c r="D36" s="7">
        <f>'SEC Benches Data'!AQ80*('SEC Benches Data'!AN80/100)</f>
        <v>0</v>
      </c>
      <c r="E36" s="116" t="e">
        <f t="shared" si="25"/>
        <v>#DIV/0!</v>
      </c>
      <c r="F36" s="116" t="e">
        <f t="shared" si="26"/>
        <v>#DIV/0!</v>
      </c>
      <c r="G36" s="67">
        <f>'SEC Benches Data'!B80</f>
        <v>0</v>
      </c>
      <c r="H36" s="43">
        <f>'SEC Benches Data'!N80</f>
        <v>0</v>
      </c>
      <c r="I36" s="43">
        <f>'SEC Benches Data'!Z80</f>
        <v>0</v>
      </c>
      <c r="J36" s="116" t="e">
        <f t="shared" si="4"/>
        <v>#DIV/0!</v>
      </c>
      <c r="K36" s="116" t="e">
        <f t="shared" si="5"/>
        <v>#DIV/0!</v>
      </c>
      <c r="L36" s="43">
        <f>'SEC Benches Data'!C80</f>
        <v>0</v>
      </c>
      <c r="M36" s="43">
        <f>'SEC Benches Data'!O80</f>
        <v>0</v>
      </c>
      <c r="N36" s="43">
        <f>'SEC Benches Data'!AA80</f>
        <v>0</v>
      </c>
      <c r="O36" s="1341" t="e">
        <f t="shared" si="6"/>
        <v>#DIV/0!</v>
      </c>
      <c r="P36" s="116" t="e">
        <f t="shared" si="7"/>
        <v>#DIV/0!</v>
      </c>
      <c r="Q36" s="43">
        <f>'SEC Benches Data'!D80</f>
        <v>0</v>
      </c>
      <c r="R36" s="43">
        <f>'SEC Benches Data'!P80</f>
        <v>0</v>
      </c>
      <c r="S36" s="43">
        <f>'SEC Benches Data'!AB80</f>
        <v>0</v>
      </c>
      <c r="T36" s="1341" t="e">
        <f t="shared" si="8"/>
        <v>#DIV/0!</v>
      </c>
      <c r="U36" s="116" t="e">
        <f t="shared" si="9"/>
        <v>#DIV/0!</v>
      </c>
      <c r="V36" s="43">
        <f>'SEC Benches Data'!E80</f>
        <v>0</v>
      </c>
      <c r="W36" s="43">
        <f>'SEC Benches Data'!Q80</f>
        <v>0</v>
      </c>
      <c r="X36" s="43">
        <f>'SEC Benches Data'!AC80</f>
        <v>0</v>
      </c>
      <c r="Y36" s="1341" t="e">
        <f t="shared" si="10"/>
        <v>#DIV/0!</v>
      </c>
      <c r="Z36" s="116" t="e">
        <f t="shared" si="11"/>
        <v>#DIV/0!</v>
      </c>
      <c r="AA36" s="43">
        <f>'SEC Benches Data'!J80</f>
        <v>0</v>
      </c>
      <c r="AB36" s="43">
        <f>'SEC Benches Data'!V80</f>
        <v>0</v>
      </c>
      <c r="AC36" s="43">
        <f>'SEC Benches Data'!AH80</f>
        <v>0</v>
      </c>
      <c r="AD36" s="1341" t="e">
        <f t="shared" si="12"/>
        <v>#DIV/0!</v>
      </c>
      <c r="AE36" s="116" t="e">
        <f t="shared" si="13"/>
        <v>#DIV/0!</v>
      </c>
      <c r="AF36" s="43">
        <f>'SEC Benches Data'!G80</f>
        <v>0</v>
      </c>
      <c r="AG36" s="43">
        <f>'SEC Benches Data'!S80</f>
        <v>0</v>
      </c>
      <c r="AH36" s="43">
        <f>'SEC Benches Data'!AE80</f>
        <v>0</v>
      </c>
      <c r="AI36" s="1341" t="e">
        <f t="shared" si="14"/>
        <v>#DIV/0!</v>
      </c>
      <c r="AJ36" s="116" t="e">
        <f t="shared" si="15"/>
        <v>#DIV/0!</v>
      </c>
      <c r="AK36" s="43">
        <f>'SEC Benches Data'!H80</f>
        <v>0</v>
      </c>
      <c r="AL36" s="43">
        <f>'SEC Benches Data'!T80</f>
        <v>0</v>
      </c>
      <c r="AM36" s="43">
        <f>'SEC Benches Data'!AF80</f>
        <v>0</v>
      </c>
      <c r="AN36" s="1341" t="e">
        <f t="shared" si="16"/>
        <v>#DIV/0!</v>
      </c>
      <c r="AO36" s="116" t="e">
        <f t="shared" si="17"/>
        <v>#DIV/0!</v>
      </c>
      <c r="AP36" s="43">
        <f>'SEC Benches Data'!J80</f>
        <v>0</v>
      </c>
      <c r="AQ36" s="43">
        <f>'SEC Benches Data'!V80</f>
        <v>0</v>
      </c>
      <c r="AR36" s="43">
        <f>'SEC Benches Data'!AH80</f>
        <v>0</v>
      </c>
      <c r="AS36" s="1341" t="e">
        <f t="shared" si="18"/>
        <v>#DIV/0!</v>
      </c>
      <c r="AT36" s="116" t="e">
        <f t="shared" si="19"/>
        <v>#DIV/0!</v>
      </c>
      <c r="AU36" s="43">
        <f>'SEC Benches Data'!M80</f>
        <v>0</v>
      </c>
      <c r="AV36" s="43">
        <f>'SEC Benches Data'!Y80</f>
        <v>0</v>
      </c>
      <c r="AW36" s="43">
        <f>'SEC Benches Data'!AK80</f>
        <v>0</v>
      </c>
      <c r="AX36" s="1341" t="e">
        <f t="shared" si="20"/>
        <v>#DIV/0!</v>
      </c>
      <c r="AY36" s="116" t="e">
        <f t="shared" si="21"/>
        <v>#DIV/0!</v>
      </c>
    </row>
    <row r="37" spans="2:51" hidden="1" outlineLevel="1" x14ac:dyDescent="0.25">
      <c r="B37" s="7">
        <f>'SEC Benches Data'!AO81*('SEC Benches Data'!AL81/100)</f>
        <v>0</v>
      </c>
      <c r="C37" s="7">
        <f>'SEC Benches Data'!AP81*('SEC Benches Data'!AM81/100)</f>
        <v>0</v>
      </c>
      <c r="D37" s="7">
        <f>'SEC Benches Data'!AQ81*('SEC Benches Data'!AN81/100)</f>
        <v>0</v>
      </c>
      <c r="E37" s="116" t="e">
        <f t="shared" si="25"/>
        <v>#DIV/0!</v>
      </c>
      <c r="F37" s="116" t="e">
        <f t="shared" si="26"/>
        <v>#DIV/0!</v>
      </c>
      <c r="G37" s="67">
        <f>'SEC Benches Data'!B81</f>
        <v>0</v>
      </c>
      <c r="H37" s="43">
        <f>'SEC Benches Data'!N81</f>
        <v>0</v>
      </c>
      <c r="I37" s="43">
        <f>'SEC Benches Data'!Z81</f>
        <v>0</v>
      </c>
      <c r="J37" s="116" t="e">
        <f t="shared" si="4"/>
        <v>#DIV/0!</v>
      </c>
      <c r="K37" s="116" t="e">
        <f t="shared" si="5"/>
        <v>#DIV/0!</v>
      </c>
      <c r="L37" s="43">
        <f>'SEC Benches Data'!C81</f>
        <v>0</v>
      </c>
      <c r="M37" s="43">
        <f>'SEC Benches Data'!O81</f>
        <v>0</v>
      </c>
      <c r="N37" s="43">
        <f>'SEC Benches Data'!AA81</f>
        <v>0</v>
      </c>
      <c r="O37" s="1341" t="e">
        <f t="shared" si="6"/>
        <v>#DIV/0!</v>
      </c>
      <c r="P37" s="116" t="e">
        <f t="shared" si="7"/>
        <v>#DIV/0!</v>
      </c>
      <c r="Q37" s="43">
        <f>'SEC Benches Data'!D81</f>
        <v>0</v>
      </c>
      <c r="R37" s="43">
        <f>'SEC Benches Data'!P81</f>
        <v>0</v>
      </c>
      <c r="S37" s="43">
        <f>'SEC Benches Data'!AB81</f>
        <v>0</v>
      </c>
      <c r="T37" s="1341" t="e">
        <f t="shared" si="8"/>
        <v>#DIV/0!</v>
      </c>
      <c r="U37" s="116" t="e">
        <f t="shared" si="9"/>
        <v>#DIV/0!</v>
      </c>
      <c r="V37" s="43">
        <f>'SEC Benches Data'!E81</f>
        <v>0</v>
      </c>
      <c r="W37" s="43">
        <f>'SEC Benches Data'!Q81</f>
        <v>0</v>
      </c>
      <c r="X37" s="43">
        <f>'SEC Benches Data'!AC81</f>
        <v>0</v>
      </c>
      <c r="Y37" s="1341" t="e">
        <f t="shared" si="10"/>
        <v>#DIV/0!</v>
      </c>
      <c r="Z37" s="116" t="e">
        <f t="shared" si="11"/>
        <v>#DIV/0!</v>
      </c>
      <c r="AA37" s="43">
        <f>'SEC Benches Data'!J81</f>
        <v>0</v>
      </c>
      <c r="AB37" s="43">
        <f>'SEC Benches Data'!V81</f>
        <v>0</v>
      </c>
      <c r="AC37" s="43">
        <f>'SEC Benches Data'!AH81</f>
        <v>0</v>
      </c>
      <c r="AD37" s="1341" t="e">
        <f t="shared" si="12"/>
        <v>#DIV/0!</v>
      </c>
      <c r="AE37" s="116" t="e">
        <f t="shared" si="13"/>
        <v>#DIV/0!</v>
      </c>
      <c r="AF37" s="43">
        <f>'SEC Benches Data'!G81</f>
        <v>0</v>
      </c>
      <c r="AG37" s="43">
        <f>'SEC Benches Data'!S81</f>
        <v>0</v>
      </c>
      <c r="AH37" s="43">
        <f>'SEC Benches Data'!AE81</f>
        <v>0</v>
      </c>
      <c r="AI37" s="1341" t="e">
        <f t="shared" si="14"/>
        <v>#DIV/0!</v>
      </c>
      <c r="AJ37" s="116" t="e">
        <f t="shared" si="15"/>
        <v>#DIV/0!</v>
      </c>
      <c r="AK37" s="43">
        <f>'SEC Benches Data'!H81</f>
        <v>0</v>
      </c>
      <c r="AL37" s="43">
        <f>'SEC Benches Data'!T81</f>
        <v>0</v>
      </c>
      <c r="AM37" s="43">
        <f>'SEC Benches Data'!AF81</f>
        <v>0</v>
      </c>
      <c r="AN37" s="1341" t="e">
        <f t="shared" si="16"/>
        <v>#DIV/0!</v>
      </c>
      <c r="AO37" s="116" t="e">
        <f t="shared" si="17"/>
        <v>#DIV/0!</v>
      </c>
      <c r="AP37" s="43">
        <f>'SEC Benches Data'!J81</f>
        <v>0</v>
      </c>
      <c r="AQ37" s="43">
        <f>'SEC Benches Data'!V81</f>
        <v>0</v>
      </c>
      <c r="AR37" s="43">
        <f>'SEC Benches Data'!AH81</f>
        <v>0</v>
      </c>
      <c r="AS37" s="1341" t="e">
        <f t="shared" si="18"/>
        <v>#DIV/0!</v>
      </c>
      <c r="AT37" s="116" t="e">
        <f t="shared" si="19"/>
        <v>#DIV/0!</v>
      </c>
      <c r="AU37" s="43">
        <f>'SEC Benches Data'!M81</f>
        <v>0</v>
      </c>
      <c r="AV37" s="43">
        <f>'SEC Benches Data'!Y81</f>
        <v>0</v>
      </c>
      <c r="AW37" s="43">
        <f>'SEC Benches Data'!AK81</f>
        <v>0</v>
      </c>
      <c r="AX37" s="1341" t="e">
        <f t="shared" si="20"/>
        <v>#DIV/0!</v>
      </c>
      <c r="AY37" s="116" t="e">
        <f t="shared" si="21"/>
        <v>#DIV/0!</v>
      </c>
    </row>
    <row r="38" spans="2:51" hidden="1" outlineLevel="1" x14ac:dyDescent="0.25">
      <c r="B38" s="7">
        <f>'SEC Benches Data'!AO82*('SEC Benches Data'!AL82/100)</f>
        <v>0</v>
      </c>
      <c r="C38" s="7">
        <f>'SEC Benches Data'!AP82*('SEC Benches Data'!AM82/100)</f>
        <v>0</v>
      </c>
      <c r="D38" s="7">
        <f>'SEC Benches Data'!AQ82*('SEC Benches Data'!AN82/100)</f>
        <v>0</v>
      </c>
      <c r="E38" s="116" t="e">
        <f t="shared" si="25"/>
        <v>#DIV/0!</v>
      </c>
      <c r="F38" s="116" t="e">
        <f t="shared" si="26"/>
        <v>#DIV/0!</v>
      </c>
      <c r="G38" s="67">
        <f>'SEC Benches Data'!B82</f>
        <v>0</v>
      </c>
      <c r="H38" s="43">
        <f>'SEC Benches Data'!N82</f>
        <v>0</v>
      </c>
      <c r="I38" s="43">
        <f>'SEC Benches Data'!Z82</f>
        <v>0</v>
      </c>
      <c r="J38" s="116" t="e">
        <f t="shared" si="4"/>
        <v>#DIV/0!</v>
      </c>
      <c r="K38" s="116" t="e">
        <f t="shared" si="5"/>
        <v>#DIV/0!</v>
      </c>
      <c r="L38" s="43">
        <f>'SEC Benches Data'!C82</f>
        <v>0</v>
      </c>
      <c r="M38" s="43">
        <f>'SEC Benches Data'!O82</f>
        <v>0</v>
      </c>
      <c r="N38" s="43">
        <f>'SEC Benches Data'!AA82</f>
        <v>0</v>
      </c>
      <c r="O38" s="1341" t="e">
        <f t="shared" si="6"/>
        <v>#DIV/0!</v>
      </c>
      <c r="P38" s="116" t="e">
        <f t="shared" si="7"/>
        <v>#DIV/0!</v>
      </c>
      <c r="Q38" s="43">
        <f>'SEC Benches Data'!D82</f>
        <v>0</v>
      </c>
      <c r="R38" s="43">
        <f>'SEC Benches Data'!P82</f>
        <v>0</v>
      </c>
      <c r="S38" s="43">
        <f>'SEC Benches Data'!AB82</f>
        <v>0</v>
      </c>
      <c r="T38" s="1341" t="e">
        <f t="shared" si="8"/>
        <v>#DIV/0!</v>
      </c>
      <c r="U38" s="116" t="e">
        <f t="shared" si="9"/>
        <v>#DIV/0!</v>
      </c>
      <c r="V38" s="43">
        <f>'SEC Benches Data'!E82</f>
        <v>0</v>
      </c>
      <c r="W38" s="43">
        <f>'SEC Benches Data'!Q82</f>
        <v>0</v>
      </c>
      <c r="X38" s="43">
        <f>'SEC Benches Data'!AC82</f>
        <v>0</v>
      </c>
      <c r="Y38" s="1341" t="e">
        <f t="shared" si="10"/>
        <v>#DIV/0!</v>
      </c>
      <c r="Z38" s="116" t="e">
        <f t="shared" si="11"/>
        <v>#DIV/0!</v>
      </c>
      <c r="AA38" s="43">
        <f>'SEC Benches Data'!J82</f>
        <v>0</v>
      </c>
      <c r="AB38" s="43">
        <f>'SEC Benches Data'!V82</f>
        <v>0</v>
      </c>
      <c r="AC38" s="43">
        <f>'SEC Benches Data'!AH82</f>
        <v>0</v>
      </c>
      <c r="AD38" s="1341" t="e">
        <f t="shared" si="12"/>
        <v>#DIV/0!</v>
      </c>
      <c r="AE38" s="116" t="e">
        <f t="shared" si="13"/>
        <v>#DIV/0!</v>
      </c>
      <c r="AF38" s="43">
        <f>'SEC Benches Data'!G82</f>
        <v>0</v>
      </c>
      <c r="AG38" s="43">
        <f>'SEC Benches Data'!S82</f>
        <v>0</v>
      </c>
      <c r="AH38" s="43">
        <f>'SEC Benches Data'!AE82</f>
        <v>0</v>
      </c>
      <c r="AI38" s="1341" t="e">
        <f t="shared" si="14"/>
        <v>#DIV/0!</v>
      </c>
      <c r="AJ38" s="116" t="e">
        <f t="shared" si="15"/>
        <v>#DIV/0!</v>
      </c>
      <c r="AK38" s="43">
        <f>'SEC Benches Data'!H82</f>
        <v>0</v>
      </c>
      <c r="AL38" s="43">
        <f>'SEC Benches Data'!T82</f>
        <v>0</v>
      </c>
      <c r="AM38" s="43">
        <f>'SEC Benches Data'!AF82</f>
        <v>0</v>
      </c>
      <c r="AN38" s="1341" t="e">
        <f t="shared" si="16"/>
        <v>#DIV/0!</v>
      </c>
      <c r="AO38" s="116" t="e">
        <f t="shared" si="17"/>
        <v>#DIV/0!</v>
      </c>
      <c r="AP38" s="43">
        <f>'SEC Benches Data'!J82</f>
        <v>0</v>
      </c>
      <c r="AQ38" s="43">
        <f>'SEC Benches Data'!V82</f>
        <v>0</v>
      </c>
      <c r="AR38" s="43">
        <f>'SEC Benches Data'!AH82</f>
        <v>0</v>
      </c>
      <c r="AS38" s="1341" t="e">
        <f t="shared" si="18"/>
        <v>#DIV/0!</v>
      </c>
      <c r="AT38" s="116" t="e">
        <f t="shared" si="19"/>
        <v>#DIV/0!</v>
      </c>
      <c r="AU38" s="43">
        <f>'SEC Benches Data'!M82</f>
        <v>0</v>
      </c>
      <c r="AV38" s="43">
        <f>'SEC Benches Data'!Y82</f>
        <v>0</v>
      </c>
      <c r="AW38" s="43">
        <f>'SEC Benches Data'!AK82</f>
        <v>0</v>
      </c>
      <c r="AX38" s="1341" t="e">
        <f t="shared" si="20"/>
        <v>#DIV/0!</v>
      </c>
      <c r="AY38" s="116" t="e">
        <f t="shared" si="21"/>
        <v>#DIV/0!</v>
      </c>
    </row>
    <row r="39" spans="2:51" hidden="1" outlineLevel="1" x14ac:dyDescent="0.25">
      <c r="B39" s="7">
        <f>'SEC Benches Data'!AO83*('SEC Benches Data'!AL83/100)</f>
        <v>0</v>
      </c>
      <c r="C39" s="7">
        <f>'SEC Benches Data'!AP83*('SEC Benches Data'!AM83/100)</f>
        <v>0</v>
      </c>
      <c r="D39" s="7">
        <f>'SEC Benches Data'!AQ83*('SEC Benches Data'!AN83/100)</f>
        <v>0</v>
      </c>
      <c r="E39" s="116" t="e">
        <f t="shared" si="25"/>
        <v>#DIV/0!</v>
      </c>
      <c r="F39" s="116" t="e">
        <f t="shared" si="26"/>
        <v>#DIV/0!</v>
      </c>
      <c r="G39" s="67">
        <f>'SEC Benches Data'!B83</f>
        <v>0</v>
      </c>
      <c r="H39" s="43">
        <f>'SEC Benches Data'!N83</f>
        <v>0</v>
      </c>
      <c r="I39" s="43">
        <f>'SEC Benches Data'!Z83</f>
        <v>0</v>
      </c>
      <c r="J39" s="116" t="e">
        <f t="shared" si="4"/>
        <v>#DIV/0!</v>
      </c>
      <c r="K39" s="116" t="e">
        <f t="shared" si="5"/>
        <v>#DIV/0!</v>
      </c>
      <c r="L39" s="43">
        <f>'SEC Benches Data'!C83</f>
        <v>0</v>
      </c>
      <c r="M39" s="43">
        <f>'SEC Benches Data'!O83</f>
        <v>0</v>
      </c>
      <c r="N39" s="43">
        <f>'SEC Benches Data'!AA83</f>
        <v>0</v>
      </c>
      <c r="O39" s="1341" t="e">
        <f t="shared" si="6"/>
        <v>#DIV/0!</v>
      </c>
      <c r="P39" s="116" t="e">
        <f t="shared" si="7"/>
        <v>#DIV/0!</v>
      </c>
      <c r="Q39" s="43">
        <f>'SEC Benches Data'!D83</f>
        <v>0</v>
      </c>
      <c r="R39" s="43">
        <f>'SEC Benches Data'!P83</f>
        <v>0</v>
      </c>
      <c r="S39" s="43">
        <f>'SEC Benches Data'!AB83</f>
        <v>0</v>
      </c>
      <c r="T39" s="1341" t="e">
        <f t="shared" si="8"/>
        <v>#DIV/0!</v>
      </c>
      <c r="U39" s="116" t="e">
        <f t="shared" si="9"/>
        <v>#DIV/0!</v>
      </c>
      <c r="V39" s="43">
        <f>'SEC Benches Data'!E83</f>
        <v>0</v>
      </c>
      <c r="W39" s="43">
        <f>'SEC Benches Data'!Q83</f>
        <v>0</v>
      </c>
      <c r="X39" s="43">
        <f>'SEC Benches Data'!AC83</f>
        <v>0</v>
      </c>
      <c r="Y39" s="1341" t="e">
        <f t="shared" si="10"/>
        <v>#DIV/0!</v>
      </c>
      <c r="Z39" s="116" t="e">
        <f t="shared" si="11"/>
        <v>#DIV/0!</v>
      </c>
      <c r="AA39" s="43">
        <f>'SEC Benches Data'!J83</f>
        <v>0</v>
      </c>
      <c r="AB39" s="43">
        <f>'SEC Benches Data'!V83</f>
        <v>0</v>
      </c>
      <c r="AC39" s="43">
        <f>'SEC Benches Data'!AH83</f>
        <v>0</v>
      </c>
      <c r="AD39" s="1341" t="e">
        <f t="shared" si="12"/>
        <v>#DIV/0!</v>
      </c>
      <c r="AE39" s="116" t="e">
        <f t="shared" si="13"/>
        <v>#DIV/0!</v>
      </c>
      <c r="AF39" s="43">
        <f>'SEC Benches Data'!G83</f>
        <v>0</v>
      </c>
      <c r="AG39" s="43">
        <f>'SEC Benches Data'!S83</f>
        <v>0</v>
      </c>
      <c r="AH39" s="43">
        <f>'SEC Benches Data'!AE83</f>
        <v>0</v>
      </c>
      <c r="AI39" s="1341" t="e">
        <f t="shared" si="14"/>
        <v>#DIV/0!</v>
      </c>
      <c r="AJ39" s="116" t="e">
        <f t="shared" si="15"/>
        <v>#DIV/0!</v>
      </c>
      <c r="AK39" s="43">
        <f>'SEC Benches Data'!H83</f>
        <v>0</v>
      </c>
      <c r="AL39" s="43">
        <f>'SEC Benches Data'!T83</f>
        <v>0</v>
      </c>
      <c r="AM39" s="43">
        <f>'SEC Benches Data'!AF83</f>
        <v>0</v>
      </c>
      <c r="AN39" s="1341" t="e">
        <f t="shared" si="16"/>
        <v>#DIV/0!</v>
      </c>
      <c r="AO39" s="116" t="e">
        <f t="shared" si="17"/>
        <v>#DIV/0!</v>
      </c>
      <c r="AP39" s="43">
        <f>'SEC Benches Data'!J83</f>
        <v>0</v>
      </c>
      <c r="AQ39" s="43">
        <f>'SEC Benches Data'!V83</f>
        <v>0</v>
      </c>
      <c r="AR39" s="43">
        <f>'SEC Benches Data'!AH83</f>
        <v>0</v>
      </c>
      <c r="AS39" s="1341" t="e">
        <f t="shared" si="18"/>
        <v>#DIV/0!</v>
      </c>
      <c r="AT39" s="116" t="e">
        <f t="shared" si="19"/>
        <v>#DIV/0!</v>
      </c>
      <c r="AU39" s="43">
        <f>'SEC Benches Data'!M83</f>
        <v>0</v>
      </c>
      <c r="AV39" s="43">
        <f>'SEC Benches Data'!Y83</f>
        <v>0</v>
      </c>
      <c r="AW39" s="43">
        <f>'SEC Benches Data'!AK83</f>
        <v>0</v>
      </c>
      <c r="AX39" s="1341" t="e">
        <f t="shared" si="20"/>
        <v>#DIV/0!</v>
      </c>
      <c r="AY39" s="116" t="e">
        <f t="shared" si="21"/>
        <v>#DIV/0!</v>
      </c>
    </row>
    <row r="40" spans="2:51" hidden="1" outlineLevel="1" x14ac:dyDescent="0.25">
      <c r="B40" s="7">
        <f>'SEC Benches Data'!AO84*('SEC Benches Data'!AL84/100)</f>
        <v>0</v>
      </c>
      <c r="C40" s="7">
        <f>'SEC Benches Data'!AP84*('SEC Benches Data'!AM84/100)</f>
        <v>0</v>
      </c>
      <c r="D40" s="7">
        <f>'SEC Benches Data'!AQ84*('SEC Benches Data'!AN84/100)</f>
        <v>0</v>
      </c>
      <c r="E40" s="116" t="e">
        <f t="shared" si="25"/>
        <v>#DIV/0!</v>
      </c>
      <c r="F40" s="116" t="e">
        <f t="shared" si="26"/>
        <v>#DIV/0!</v>
      </c>
      <c r="G40" s="67">
        <f>'SEC Benches Data'!B84</f>
        <v>0</v>
      </c>
      <c r="H40" s="43">
        <f>'SEC Benches Data'!N84</f>
        <v>0</v>
      </c>
      <c r="I40" s="43">
        <f>'SEC Benches Data'!Z84</f>
        <v>0</v>
      </c>
      <c r="J40" s="116" t="e">
        <f t="shared" si="4"/>
        <v>#DIV/0!</v>
      </c>
      <c r="K40" s="116" t="e">
        <f t="shared" si="5"/>
        <v>#DIV/0!</v>
      </c>
      <c r="L40" s="43">
        <f>'SEC Benches Data'!C84</f>
        <v>0</v>
      </c>
      <c r="M40" s="43">
        <f>'SEC Benches Data'!O84</f>
        <v>0</v>
      </c>
      <c r="N40" s="43">
        <f>'SEC Benches Data'!AA84</f>
        <v>0</v>
      </c>
      <c r="O40" s="1341" t="e">
        <f t="shared" si="6"/>
        <v>#DIV/0!</v>
      </c>
      <c r="P40" s="116" t="e">
        <f t="shared" si="7"/>
        <v>#DIV/0!</v>
      </c>
      <c r="Q40" s="43">
        <f>'SEC Benches Data'!D84</f>
        <v>0</v>
      </c>
      <c r="R40" s="43">
        <f>'SEC Benches Data'!P84</f>
        <v>0</v>
      </c>
      <c r="S40" s="43">
        <f>'SEC Benches Data'!AB84</f>
        <v>0</v>
      </c>
      <c r="T40" s="1341" t="e">
        <f t="shared" si="8"/>
        <v>#DIV/0!</v>
      </c>
      <c r="U40" s="116" t="e">
        <f t="shared" si="9"/>
        <v>#DIV/0!</v>
      </c>
      <c r="V40" s="43">
        <f>'SEC Benches Data'!E84</f>
        <v>0</v>
      </c>
      <c r="W40" s="43">
        <f>'SEC Benches Data'!Q84</f>
        <v>0</v>
      </c>
      <c r="X40" s="43">
        <f>'SEC Benches Data'!AC84</f>
        <v>0</v>
      </c>
      <c r="Y40" s="1341" t="e">
        <f t="shared" si="10"/>
        <v>#DIV/0!</v>
      </c>
      <c r="Z40" s="116" t="e">
        <f t="shared" si="11"/>
        <v>#DIV/0!</v>
      </c>
      <c r="AA40" s="43">
        <f>'SEC Benches Data'!J84</f>
        <v>0</v>
      </c>
      <c r="AB40" s="43">
        <f>'SEC Benches Data'!V84</f>
        <v>0</v>
      </c>
      <c r="AC40" s="43">
        <f>'SEC Benches Data'!AH84</f>
        <v>0</v>
      </c>
      <c r="AD40" s="1341" t="e">
        <f t="shared" si="12"/>
        <v>#DIV/0!</v>
      </c>
      <c r="AE40" s="116" t="e">
        <f t="shared" si="13"/>
        <v>#DIV/0!</v>
      </c>
      <c r="AF40" s="43">
        <f>'SEC Benches Data'!G84</f>
        <v>0</v>
      </c>
      <c r="AG40" s="43">
        <f>'SEC Benches Data'!S84</f>
        <v>0</v>
      </c>
      <c r="AH40" s="43">
        <f>'SEC Benches Data'!AE84</f>
        <v>0</v>
      </c>
      <c r="AI40" s="1341" t="e">
        <f t="shared" si="14"/>
        <v>#DIV/0!</v>
      </c>
      <c r="AJ40" s="116" t="e">
        <f t="shared" si="15"/>
        <v>#DIV/0!</v>
      </c>
      <c r="AK40" s="43">
        <f>'SEC Benches Data'!H84</f>
        <v>0</v>
      </c>
      <c r="AL40" s="43">
        <f>'SEC Benches Data'!T84</f>
        <v>0</v>
      </c>
      <c r="AM40" s="43">
        <f>'SEC Benches Data'!AF84</f>
        <v>0</v>
      </c>
      <c r="AN40" s="1341" t="e">
        <f t="shared" si="16"/>
        <v>#DIV/0!</v>
      </c>
      <c r="AO40" s="116" t="e">
        <f t="shared" si="17"/>
        <v>#DIV/0!</v>
      </c>
      <c r="AP40" s="43">
        <f>'SEC Benches Data'!J84</f>
        <v>0</v>
      </c>
      <c r="AQ40" s="43">
        <f>'SEC Benches Data'!V84</f>
        <v>0</v>
      </c>
      <c r="AR40" s="43">
        <f>'SEC Benches Data'!AH84</f>
        <v>0</v>
      </c>
      <c r="AS40" s="1341" t="e">
        <f t="shared" si="18"/>
        <v>#DIV/0!</v>
      </c>
      <c r="AT40" s="116" t="e">
        <f t="shared" si="19"/>
        <v>#DIV/0!</v>
      </c>
      <c r="AU40" s="43">
        <f>'SEC Benches Data'!M84</f>
        <v>0</v>
      </c>
      <c r="AV40" s="43">
        <f>'SEC Benches Data'!Y84</f>
        <v>0</v>
      </c>
      <c r="AW40" s="43">
        <f>'SEC Benches Data'!AK84</f>
        <v>0</v>
      </c>
      <c r="AX40" s="1341" t="e">
        <f t="shared" si="20"/>
        <v>#DIV/0!</v>
      </c>
      <c r="AY40" s="116" t="e">
        <f t="shared" si="21"/>
        <v>#DIV/0!</v>
      </c>
    </row>
    <row r="41" spans="2:51" hidden="1" outlineLevel="1" x14ac:dyDescent="0.25">
      <c r="B41" s="7">
        <f>'SEC Benches Data'!AO85*('SEC Benches Data'!AL85/100)</f>
        <v>0</v>
      </c>
      <c r="C41" s="7">
        <f>'SEC Benches Data'!AP85*('SEC Benches Data'!AM85/100)</f>
        <v>0</v>
      </c>
      <c r="D41" s="7">
        <f>'SEC Benches Data'!AQ85*('SEC Benches Data'!AN85/100)</f>
        <v>0</v>
      </c>
      <c r="E41" s="116" t="e">
        <f t="shared" si="25"/>
        <v>#DIV/0!</v>
      </c>
      <c r="F41" s="116" t="e">
        <f t="shared" si="26"/>
        <v>#DIV/0!</v>
      </c>
      <c r="G41" s="67">
        <f>'SEC Benches Data'!B85</f>
        <v>0</v>
      </c>
      <c r="H41" s="43">
        <f>'SEC Benches Data'!N85</f>
        <v>0</v>
      </c>
      <c r="I41" s="43">
        <f>'SEC Benches Data'!Z85</f>
        <v>0</v>
      </c>
      <c r="J41" s="116" t="e">
        <f t="shared" si="4"/>
        <v>#DIV/0!</v>
      </c>
      <c r="K41" s="116" t="e">
        <f t="shared" si="5"/>
        <v>#DIV/0!</v>
      </c>
      <c r="L41" s="43">
        <f>'SEC Benches Data'!C85</f>
        <v>0</v>
      </c>
      <c r="M41" s="43">
        <f>'SEC Benches Data'!O85</f>
        <v>0</v>
      </c>
      <c r="N41" s="43">
        <f>'SEC Benches Data'!AA85</f>
        <v>0</v>
      </c>
      <c r="O41" s="1341" t="e">
        <f t="shared" si="6"/>
        <v>#DIV/0!</v>
      </c>
      <c r="P41" s="116" t="e">
        <f t="shared" si="7"/>
        <v>#DIV/0!</v>
      </c>
      <c r="Q41" s="43">
        <f>'SEC Benches Data'!D85</f>
        <v>0</v>
      </c>
      <c r="R41" s="43">
        <f>'SEC Benches Data'!P85</f>
        <v>0</v>
      </c>
      <c r="S41" s="43">
        <f>'SEC Benches Data'!AB85</f>
        <v>0</v>
      </c>
      <c r="T41" s="1341" t="e">
        <f t="shared" si="8"/>
        <v>#DIV/0!</v>
      </c>
      <c r="U41" s="116" t="e">
        <f t="shared" si="9"/>
        <v>#DIV/0!</v>
      </c>
      <c r="V41" s="43">
        <f>'SEC Benches Data'!E85</f>
        <v>0</v>
      </c>
      <c r="W41" s="43">
        <f>'SEC Benches Data'!Q85</f>
        <v>0</v>
      </c>
      <c r="X41" s="43">
        <f>'SEC Benches Data'!AC85</f>
        <v>0</v>
      </c>
      <c r="Y41" s="1341" t="e">
        <f t="shared" si="10"/>
        <v>#DIV/0!</v>
      </c>
      <c r="Z41" s="116" t="e">
        <f t="shared" si="11"/>
        <v>#DIV/0!</v>
      </c>
      <c r="AA41" s="43">
        <f>'SEC Benches Data'!J85</f>
        <v>0</v>
      </c>
      <c r="AB41" s="43">
        <f>'SEC Benches Data'!V85</f>
        <v>0</v>
      </c>
      <c r="AC41" s="43">
        <f>'SEC Benches Data'!AH85</f>
        <v>0</v>
      </c>
      <c r="AD41" s="1341" t="e">
        <f t="shared" si="12"/>
        <v>#DIV/0!</v>
      </c>
      <c r="AE41" s="116" t="e">
        <f t="shared" si="13"/>
        <v>#DIV/0!</v>
      </c>
      <c r="AF41" s="43">
        <f>'SEC Benches Data'!G85</f>
        <v>0</v>
      </c>
      <c r="AG41" s="43">
        <f>'SEC Benches Data'!S85</f>
        <v>0</v>
      </c>
      <c r="AH41" s="43">
        <f>'SEC Benches Data'!AE85</f>
        <v>0</v>
      </c>
      <c r="AI41" s="1341" t="e">
        <f t="shared" si="14"/>
        <v>#DIV/0!</v>
      </c>
      <c r="AJ41" s="116" t="e">
        <f t="shared" si="15"/>
        <v>#DIV/0!</v>
      </c>
      <c r="AK41" s="43">
        <f>'SEC Benches Data'!H85</f>
        <v>0</v>
      </c>
      <c r="AL41" s="43">
        <f>'SEC Benches Data'!T85</f>
        <v>0</v>
      </c>
      <c r="AM41" s="43">
        <f>'SEC Benches Data'!AF85</f>
        <v>0</v>
      </c>
      <c r="AN41" s="1341" t="e">
        <f t="shared" si="16"/>
        <v>#DIV/0!</v>
      </c>
      <c r="AO41" s="116" t="e">
        <f t="shared" si="17"/>
        <v>#DIV/0!</v>
      </c>
      <c r="AP41" s="43">
        <f>'SEC Benches Data'!J85</f>
        <v>0</v>
      </c>
      <c r="AQ41" s="43">
        <f>'SEC Benches Data'!V85</f>
        <v>0</v>
      </c>
      <c r="AR41" s="43">
        <f>'SEC Benches Data'!AH85</f>
        <v>0</v>
      </c>
      <c r="AS41" s="1341" t="e">
        <f t="shared" si="18"/>
        <v>#DIV/0!</v>
      </c>
      <c r="AT41" s="116" t="e">
        <f t="shared" si="19"/>
        <v>#DIV/0!</v>
      </c>
      <c r="AU41" s="43">
        <f>'SEC Benches Data'!M85</f>
        <v>0</v>
      </c>
      <c r="AV41" s="43">
        <f>'SEC Benches Data'!Y85</f>
        <v>0</v>
      </c>
      <c r="AW41" s="43">
        <f>'SEC Benches Data'!AK85</f>
        <v>0</v>
      </c>
      <c r="AX41" s="1341" t="e">
        <f t="shared" si="20"/>
        <v>#DIV/0!</v>
      </c>
      <c r="AY41" s="116" t="e">
        <f t="shared" si="21"/>
        <v>#DIV/0!</v>
      </c>
    </row>
    <row r="42" spans="2:51" hidden="1" outlineLevel="1" x14ac:dyDescent="0.25">
      <c r="B42" s="7">
        <f>'SEC Benches Data'!AO86*('SEC Benches Data'!AL86/100)</f>
        <v>0</v>
      </c>
      <c r="C42" s="7">
        <f>'SEC Benches Data'!AP86*('SEC Benches Data'!AM86/100)</f>
        <v>0</v>
      </c>
      <c r="D42" s="7">
        <f>'SEC Benches Data'!AQ86*('SEC Benches Data'!AN86/100)</f>
        <v>0</v>
      </c>
      <c r="E42" s="116" t="e">
        <f t="shared" si="25"/>
        <v>#DIV/0!</v>
      </c>
      <c r="F42" s="116" t="e">
        <f t="shared" si="26"/>
        <v>#DIV/0!</v>
      </c>
      <c r="G42" s="67">
        <f>'SEC Benches Data'!B86</f>
        <v>0</v>
      </c>
      <c r="H42" s="43">
        <f>'SEC Benches Data'!N86</f>
        <v>0</v>
      </c>
      <c r="I42" s="43">
        <f>'SEC Benches Data'!Z86</f>
        <v>0</v>
      </c>
      <c r="J42" s="116" t="e">
        <f t="shared" si="4"/>
        <v>#DIV/0!</v>
      </c>
      <c r="K42" s="116" t="e">
        <f t="shared" si="5"/>
        <v>#DIV/0!</v>
      </c>
      <c r="L42" s="43">
        <f>'SEC Benches Data'!C86</f>
        <v>0</v>
      </c>
      <c r="M42" s="43">
        <f>'SEC Benches Data'!O86</f>
        <v>0</v>
      </c>
      <c r="N42" s="43">
        <f>'SEC Benches Data'!AA86</f>
        <v>0</v>
      </c>
      <c r="O42" s="1341" t="e">
        <f t="shared" si="6"/>
        <v>#DIV/0!</v>
      </c>
      <c r="P42" s="116" t="e">
        <f t="shared" si="7"/>
        <v>#DIV/0!</v>
      </c>
      <c r="Q42" s="43">
        <f>'SEC Benches Data'!D86</f>
        <v>0</v>
      </c>
      <c r="R42" s="43">
        <f>'SEC Benches Data'!P86</f>
        <v>0</v>
      </c>
      <c r="S42" s="43">
        <f>'SEC Benches Data'!AB86</f>
        <v>0</v>
      </c>
      <c r="T42" s="1341" t="e">
        <f t="shared" si="8"/>
        <v>#DIV/0!</v>
      </c>
      <c r="U42" s="116" t="e">
        <f t="shared" si="9"/>
        <v>#DIV/0!</v>
      </c>
      <c r="V42" s="43">
        <f>'SEC Benches Data'!E86</f>
        <v>0</v>
      </c>
      <c r="W42" s="43">
        <f>'SEC Benches Data'!Q86</f>
        <v>0</v>
      </c>
      <c r="X42" s="43">
        <f>'SEC Benches Data'!AC86</f>
        <v>0</v>
      </c>
      <c r="Y42" s="1341" t="e">
        <f t="shared" si="10"/>
        <v>#DIV/0!</v>
      </c>
      <c r="Z42" s="116" t="e">
        <f t="shared" si="11"/>
        <v>#DIV/0!</v>
      </c>
      <c r="AA42" s="43">
        <f>'SEC Benches Data'!J86</f>
        <v>0</v>
      </c>
      <c r="AB42" s="43">
        <f>'SEC Benches Data'!V86</f>
        <v>0</v>
      </c>
      <c r="AC42" s="43">
        <f>'SEC Benches Data'!AH86</f>
        <v>0</v>
      </c>
      <c r="AD42" s="1341" t="e">
        <f t="shared" si="12"/>
        <v>#DIV/0!</v>
      </c>
      <c r="AE42" s="116" t="e">
        <f t="shared" si="13"/>
        <v>#DIV/0!</v>
      </c>
      <c r="AF42" s="43">
        <f>'SEC Benches Data'!G86</f>
        <v>0</v>
      </c>
      <c r="AG42" s="43">
        <f>'SEC Benches Data'!S86</f>
        <v>0</v>
      </c>
      <c r="AH42" s="43">
        <f>'SEC Benches Data'!AE86</f>
        <v>0</v>
      </c>
      <c r="AI42" s="1341" t="e">
        <f t="shared" si="14"/>
        <v>#DIV/0!</v>
      </c>
      <c r="AJ42" s="116" t="e">
        <f t="shared" si="15"/>
        <v>#DIV/0!</v>
      </c>
      <c r="AK42" s="43">
        <f>'SEC Benches Data'!H86</f>
        <v>0</v>
      </c>
      <c r="AL42" s="43">
        <f>'SEC Benches Data'!T86</f>
        <v>0</v>
      </c>
      <c r="AM42" s="43">
        <f>'SEC Benches Data'!AF86</f>
        <v>0</v>
      </c>
      <c r="AN42" s="1341" t="e">
        <f t="shared" si="16"/>
        <v>#DIV/0!</v>
      </c>
      <c r="AO42" s="116" t="e">
        <f t="shared" si="17"/>
        <v>#DIV/0!</v>
      </c>
      <c r="AP42" s="43">
        <f>'SEC Benches Data'!J86</f>
        <v>0</v>
      </c>
      <c r="AQ42" s="43">
        <f>'SEC Benches Data'!V86</f>
        <v>0</v>
      </c>
      <c r="AR42" s="43">
        <f>'SEC Benches Data'!AH86</f>
        <v>0</v>
      </c>
      <c r="AS42" s="1341" t="e">
        <f t="shared" si="18"/>
        <v>#DIV/0!</v>
      </c>
      <c r="AT42" s="116" t="e">
        <f t="shared" si="19"/>
        <v>#DIV/0!</v>
      </c>
      <c r="AU42" s="43">
        <f>'SEC Benches Data'!M86</f>
        <v>0</v>
      </c>
      <c r="AV42" s="43">
        <f>'SEC Benches Data'!Y86</f>
        <v>0</v>
      </c>
      <c r="AW42" s="43">
        <f>'SEC Benches Data'!AK86</f>
        <v>0</v>
      </c>
      <c r="AX42" s="1341" t="e">
        <f t="shared" si="20"/>
        <v>#DIV/0!</v>
      </c>
      <c r="AY42" s="116" t="e">
        <f t="shared" si="21"/>
        <v>#DIV/0!</v>
      </c>
    </row>
    <row r="43" spans="2:51" hidden="1" outlineLevel="1" x14ac:dyDescent="0.25">
      <c r="B43" s="7">
        <f>'SEC Benches Data'!AO87*('SEC Benches Data'!AL87/100)</f>
        <v>0</v>
      </c>
      <c r="C43" s="7">
        <f>'SEC Benches Data'!AP87*('SEC Benches Data'!AM87/100)</f>
        <v>0</v>
      </c>
      <c r="D43" s="7">
        <f>'SEC Benches Data'!AQ87*('SEC Benches Data'!AN87/100)</f>
        <v>0</v>
      </c>
      <c r="E43" s="116" t="e">
        <f t="shared" si="25"/>
        <v>#DIV/0!</v>
      </c>
      <c r="F43" s="116" t="e">
        <f t="shared" si="26"/>
        <v>#DIV/0!</v>
      </c>
      <c r="G43" s="67">
        <f>'SEC Benches Data'!B87</f>
        <v>0</v>
      </c>
      <c r="H43" s="43">
        <f>'SEC Benches Data'!N87</f>
        <v>0</v>
      </c>
      <c r="I43" s="43">
        <f>'SEC Benches Data'!Z87</f>
        <v>0</v>
      </c>
      <c r="J43" s="116" t="e">
        <f t="shared" si="4"/>
        <v>#DIV/0!</v>
      </c>
      <c r="K43" s="116" t="e">
        <f t="shared" si="5"/>
        <v>#DIV/0!</v>
      </c>
      <c r="L43" s="43">
        <f>'SEC Benches Data'!C87</f>
        <v>0</v>
      </c>
      <c r="M43" s="43">
        <f>'SEC Benches Data'!O87</f>
        <v>0</v>
      </c>
      <c r="N43" s="43">
        <f>'SEC Benches Data'!AA87</f>
        <v>0</v>
      </c>
      <c r="O43" s="1341" t="e">
        <f t="shared" si="6"/>
        <v>#DIV/0!</v>
      </c>
      <c r="P43" s="116" t="e">
        <f t="shared" si="7"/>
        <v>#DIV/0!</v>
      </c>
      <c r="Q43" s="43">
        <f>'SEC Benches Data'!D87</f>
        <v>0</v>
      </c>
      <c r="R43" s="43">
        <f>'SEC Benches Data'!P87</f>
        <v>0</v>
      </c>
      <c r="S43" s="43">
        <f>'SEC Benches Data'!AB87</f>
        <v>0</v>
      </c>
      <c r="T43" s="1341" t="e">
        <f t="shared" si="8"/>
        <v>#DIV/0!</v>
      </c>
      <c r="U43" s="116" t="e">
        <f t="shared" si="9"/>
        <v>#DIV/0!</v>
      </c>
      <c r="V43" s="43">
        <f>'SEC Benches Data'!E87</f>
        <v>0</v>
      </c>
      <c r="W43" s="43">
        <f>'SEC Benches Data'!Q87</f>
        <v>0</v>
      </c>
      <c r="X43" s="43">
        <f>'SEC Benches Data'!AC87</f>
        <v>0</v>
      </c>
      <c r="Y43" s="1341" t="e">
        <f t="shared" si="10"/>
        <v>#DIV/0!</v>
      </c>
      <c r="Z43" s="116" t="e">
        <f t="shared" si="11"/>
        <v>#DIV/0!</v>
      </c>
      <c r="AA43" s="43">
        <f>'SEC Benches Data'!J87</f>
        <v>0</v>
      </c>
      <c r="AB43" s="43">
        <f>'SEC Benches Data'!V87</f>
        <v>0</v>
      </c>
      <c r="AC43" s="43">
        <f>'SEC Benches Data'!AH87</f>
        <v>0</v>
      </c>
      <c r="AD43" s="1341" t="e">
        <f t="shared" si="12"/>
        <v>#DIV/0!</v>
      </c>
      <c r="AE43" s="116" t="e">
        <f t="shared" si="13"/>
        <v>#DIV/0!</v>
      </c>
      <c r="AF43" s="43">
        <f>'SEC Benches Data'!G87</f>
        <v>0</v>
      </c>
      <c r="AG43" s="43">
        <f>'SEC Benches Data'!S87</f>
        <v>0</v>
      </c>
      <c r="AH43" s="43">
        <f>'SEC Benches Data'!AE87</f>
        <v>0</v>
      </c>
      <c r="AI43" s="1341" t="e">
        <f t="shared" si="14"/>
        <v>#DIV/0!</v>
      </c>
      <c r="AJ43" s="116" t="e">
        <f t="shared" si="15"/>
        <v>#DIV/0!</v>
      </c>
      <c r="AK43" s="43">
        <f>'SEC Benches Data'!H87</f>
        <v>0</v>
      </c>
      <c r="AL43" s="43">
        <f>'SEC Benches Data'!T87</f>
        <v>0</v>
      </c>
      <c r="AM43" s="43">
        <f>'SEC Benches Data'!AF87</f>
        <v>0</v>
      </c>
      <c r="AN43" s="1341" t="e">
        <f t="shared" si="16"/>
        <v>#DIV/0!</v>
      </c>
      <c r="AO43" s="116" t="e">
        <f t="shared" si="17"/>
        <v>#DIV/0!</v>
      </c>
      <c r="AP43" s="43">
        <f>'SEC Benches Data'!J87</f>
        <v>0</v>
      </c>
      <c r="AQ43" s="43">
        <f>'SEC Benches Data'!V87</f>
        <v>0</v>
      </c>
      <c r="AR43" s="43">
        <f>'SEC Benches Data'!AH87</f>
        <v>0</v>
      </c>
      <c r="AS43" s="1341" t="e">
        <f t="shared" si="18"/>
        <v>#DIV/0!</v>
      </c>
      <c r="AT43" s="116" t="e">
        <f t="shared" si="19"/>
        <v>#DIV/0!</v>
      </c>
      <c r="AU43" s="43">
        <f>'SEC Benches Data'!M87</f>
        <v>0</v>
      </c>
      <c r="AV43" s="43">
        <f>'SEC Benches Data'!Y87</f>
        <v>0</v>
      </c>
      <c r="AW43" s="43">
        <f>'SEC Benches Data'!AK87</f>
        <v>0</v>
      </c>
      <c r="AX43" s="1341" t="e">
        <f t="shared" si="20"/>
        <v>#DIV/0!</v>
      </c>
      <c r="AY43" s="116" t="e">
        <f t="shared" si="21"/>
        <v>#DIV/0!</v>
      </c>
    </row>
    <row r="44" spans="2:51" hidden="1" outlineLevel="1" x14ac:dyDescent="0.25">
      <c r="B44" s="7">
        <f>'SEC Benches Data'!AO88*('SEC Benches Data'!AL88/100)</f>
        <v>0</v>
      </c>
      <c r="C44" s="7">
        <f>'SEC Benches Data'!AP88*('SEC Benches Data'!AM88/100)</f>
        <v>0</v>
      </c>
      <c r="D44" s="7">
        <f>'SEC Benches Data'!AQ88*('SEC Benches Data'!AN88/100)</f>
        <v>0</v>
      </c>
      <c r="E44" s="116" t="e">
        <f t="shared" si="25"/>
        <v>#DIV/0!</v>
      </c>
      <c r="F44" s="116" t="e">
        <f t="shared" si="26"/>
        <v>#DIV/0!</v>
      </c>
      <c r="G44" s="67">
        <f>'SEC Benches Data'!B88</f>
        <v>0</v>
      </c>
      <c r="H44" s="43">
        <f>'SEC Benches Data'!N88</f>
        <v>0</v>
      </c>
      <c r="I44" s="43">
        <f>'SEC Benches Data'!Z88</f>
        <v>0</v>
      </c>
      <c r="J44" s="116" t="e">
        <f t="shared" si="4"/>
        <v>#DIV/0!</v>
      </c>
      <c r="K44" s="116" t="e">
        <f t="shared" si="5"/>
        <v>#DIV/0!</v>
      </c>
      <c r="L44" s="43">
        <f>'SEC Benches Data'!C88</f>
        <v>0</v>
      </c>
      <c r="M44" s="43">
        <f>'SEC Benches Data'!O88</f>
        <v>0</v>
      </c>
      <c r="N44" s="43">
        <f>'SEC Benches Data'!AA88</f>
        <v>0</v>
      </c>
      <c r="O44" s="1341" t="e">
        <f t="shared" si="6"/>
        <v>#DIV/0!</v>
      </c>
      <c r="P44" s="116" t="e">
        <f t="shared" si="7"/>
        <v>#DIV/0!</v>
      </c>
      <c r="Q44" s="43">
        <f>'SEC Benches Data'!D88</f>
        <v>0</v>
      </c>
      <c r="R44" s="43">
        <f>'SEC Benches Data'!P88</f>
        <v>0</v>
      </c>
      <c r="S44" s="43">
        <f>'SEC Benches Data'!AB88</f>
        <v>0</v>
      </c>
      <c r="T44" s="1341" t="e">
        <f t="shared" si="8"/>
        <v>#DIV/0!</v>
      </c>
      <c r="U44" s="116" t="e">
        <f t="shared" si="9"/>
        <v>#DIV/0!</v>
      </c>
      <c r="V44" s="43">
        <f>'SEC Benches Data'!E88</f>
        <v>0</v>
      </c>
      <c r="W44" s="43">
        <f>'SEC Benches Data'!Q88</f>
        <v>0</v>
      </c>
      <c r="X44" s="43">
        <f>'SEC Benches Data'!AC88</f>
        <v>0</v>
      </c>
      <c r="Y44" s="1341" t="e">
        <f t="shared" si="10"/>
        <v>#DIV/0!</v>
      </c>
      <c r="Z44" s="116" t="e">
        <f t="shared" si="11"/>
        <v>#DIV/0!</v>
      </c>
      <c r="AA44" s="43">
        <f>'SEC Benches Data'!J88</f>
        <v>0</v>
      </c>
      <c r="AB44" s="43">
        <f>'SEC Benches Data'!V88</f>
        <v>0</v>
      </c>
      <c r="AC44" s="43">
        <f>'SEC Benches Data'!AH88</f>
        <v>0</v>
      </c>
      <c r="AD44" s="1341" t="e">
        <f t="shared" si="12"/>
        <v>#DIV/0!</v>
      </c>
      <c r="AE44" s="116" t="e">
        <f t="shared" si="13"/>
        <v>#DIV/0!</v>
      </c>
      <c r="AF44" s="43">
        <f>'SEC Benches Data'!G88</f>
        <v>0</v>
      </c>
      <c r="AG44" s="43">
        <f>'SEC Benches Data'!S88</f>
        <v>0</v>
      </c>
      <c r="AH44" s="43">
        <f>'SEC Benches Data'!AE88</f>
        <v>0</v>
      </c>
      <c r="AI44" s="1341" t="e">
        <f t="shared" si="14"/>
        <v>#DIV/0!</v>
      </c>
      <c r="AJ44" s="116" t="e">
        <f t="shared" si="15"/>
        <v>#DIV/0!</v>
      </c>
      <c r="AK44" s="43">
        <f>'SEC Benches Data'!H88</f>
        <v>0</v>
      </c>
      <c r="AL44" s="43">
        <f>'SEC Benches Data'!T88</f>
        <v>0</v>
      </c>
      <c r="AM44" s="43">
        <f>'SEC Benches Data'!AF88</f>
        <v>0</v>
      </c>
      <c r="AN44" s="1341" t="e">
        <f t="shared" si="16"/>
        <v>#DIV/0!</v>
      </c>
      <c r="AO44" s="116" t="e">
        <f t="shared" si="17"/>
        <v>#DIV/0!</v>
      </c>
      <c r="AP44" s="43">
        <f>'SEC Benches Data'!J88</f>
        <v>0</v>
      </c>
      <c r="AQ44" s="43">
        <f>'SEC Benches Data'!V88</f>
        <v>0</v>
      </c>
      <c r="AR44" s="43">
        <f>'SEC Benches Data'!AH88</f>
        <v>0</v>
      </c>
      <c r="AS44" s="1341" t="e">
        <f t="shared" si="18"/>
        <v>#DIV/0!</v>
      </c>
      <c r="AT44" s="116" t="e">
        <f t="shared" si="19"/>
        <v>#DIV/0!</v>
      </c>
      <c r="AU44" s="43">
        <f>'SEC Benches Data'!M88</f>
        <v>0</v>
      </c>
      <c r="AV44" s="43">
        <f>'SEC Benches Data'!Y88</f>
        <v>0</v>
      </c>
      <c r="AW44" s="43">
        <f>'SEC Benches Data'!AK88</f>
        <v>0</v>
      </c>
      <c r="AX44" s="1341" t="e">
        <f t="shared" si="20"/>
        <v>#DIV/0!</v>
      </c>
      <c r="AY44" s="116" t="e">
        <f t="shared" si="21"/>
        <v>#DIV/0!</v>
      </c>
    </row>
    <row r="45" spans="2:51" hidden="1" outlineLevel="1" x14ac:dyDescent="0.25">
      <c r="B45" s="7">
        <f>'SEC Benches Data'!AO89*('SEC Benches Data'!AL89/100)</f>
        <v>0</v>
      </c>
      <c r="C45" s="7">
        <f>'SEC Benches Data'!AP89*('SEC Benches Data'!AM89/100)</f>
        <v>0</v>
      </c>
      <c r="D45" s="7">
        <f>'SEC Benches Data'!AQ89*('SEC Benches Data'!AN89/100)</f>
        <v>0</v>
      </c>
      <c r="E45" s="116" t="e">
        <f t="shared" si="25"/>
        <v>#DIV/0!</v>
      </c>
      <c r="F45" s="116" t="e">
        <f t="shared" si="26"/>
        <v>#DIV/0!</v>
      </c>
      <c r="G45" s="67">
        <f>'SEC Benches Data'!B89</f>
        <v>0</v>
      </c>
      <c r="H45" s="43">
        <f>'SEC Benches Data'!N89</f>
        <v>0</v>
      </c>
      <c r="I45" s="43">
        <f>'SEC Benches Data'!Z89</f>
        <v>0</v>
      </c>
      <c r="J45" s="116" t="e">
        <f t="shared" si="4"/>
        <v>#DIV/0!</v>
      </c>
      <c r="K45" s="116" t="e">
        <f t="shared" si="5"/>
        <v>#DIV/0!</v>
      </c>
      <c r="L45" s="43">
        <f>'SEC Benches Data'!C89</f>
        <v>0</v>
      </c>
      <c r="M45" s="43">
        <f>'SEC Benches Data'!O89</f>
        <v>0</v>
      </c>
      <c r="N45" s="43">
        <f>'SEC Benches Data'!AA89</f>
        <v>0</v>
      </c>
      <c r="O45" s="1341" t="e">
        <f t="shared" si="6"/>
        <v>#DIV/0!</v>
      </c>
      <c r="P45" s="116" t="e">
        <f t="shared" si="7"/>
        <v>#DIV/0!</v>
      </c>
      <c r="Q45" s="43">
        <f>'SEC Benches Data'!D89</f>
        <v>0</v>
      </c>
      <c r="R45" s="43">
        <f>'SEC Benches Data'!P89</f>
        <v>0</v>
      </c>
      <c r="S45" s="43">
        <f>'SEC Benches Data'!AB89</f>
        <v>0</v>
      </c>
      <c r="T45" s="1341" t="e">
        <f t="shared" si="8"/>
        <v>#DIV/0!</v>
      </c>
      <c r="U45" s="116" t="e">
        <f t="shared" si="9"/>
        <v>#DIV/0!</v>
      </c>
      <c r="V45" s="43">
        <f>'SEC Benches Data'!E89</f>
        <v>0</v>
      </c>
      <c r="W45" s="43">
        <f>'SEC Benches Data'!Q89</f>
        <v>0</v>
      </c>
      <c r="X45" s="43">
        <f>'SEC Benches Data'!AC89</f>
        <v>0</v>
      </c>
      <c r="Y45" s="1341" t="e">
        <f t="shared" si="10"/>
        <v>#DIV/0!</v>
      </c>
      <c r="Z45" s="116" t="e">
        <f t="shared" si="11"/>
        <v>#DIV/0!</v>
      </c>
      <c r="AA45" s="43">
        <f>'SEC Benches Data'!J89</f>
        <v>0</v>
      </c>
      <c r="AB45" s="43">
        <f>'SEC Benches Data'!V89</f>
        <v>0</v>
      </c>
      <c r="AC45" s="43">
        <f>'SEC Benches Data'!AH89</f>
        <v>0</v>
      </c>
      <c r="AD45" s="1341" t="e">
        <f t="shared" si="12"/>
        <v>#DIV/0!</v>
      </c>
      <c r="AE45" s="116" t="e">
        <f t="shared" si="13"/>
        <v>#DIV/0!</v>
      </c>
      <c r="AF45" s="43">
        <f>'SEC Benches Data'!G89</f>
        <v>0</v>
      </c>
      <c r="AG45" s="43">
        <f>'SEC Benches Data'!S89</f>
        <v>0</v>
      </c>
      <c r="AH45" s="43">
        <f>'SEC Benches Data'!AE89</f>
        <v>0</v>
      </c>
      <c r="AI45" s="1341" t="e">
        <f t="shared" si="14"/>
        <v>#DIV/0!</v>
      </c>
      <c r="AJ45" s="116" t="e">
        <f t="shared" si="15"/>
        <v>#DIV/0!</v>
      </c>
      <c r="AK45" s="43">
        <f>'SEC Benches Data'!H89</f>
        <v>0</v>
      </c>
      <c r="AL45" s="43">
        <f>'SEC Benches Data'!T89</f>
        <v>0</v>
      </c>
      <c r="AM45" s="43">
        <f>'SEC Benches Data'!AF89</f>
        <v>0</v>
      </c>
      <c r="AN45" s="1341" t="e">
        <f t="shared" si="16"/>
        <v>#DIV/0!</v>
      </c>
      <c r="AO45" s="116" t="e">
        <f t="shared" si="17"/>
        <v>#DIV/0!</v>
      </c>
      <c r="AP45" s="43">
        <f>'SEC Benches Data'!J89</f>
        <v>0</v>
      </c>
      <c r="AQ45" s="43">
        <f>'SEC Benches Data'!V89</f>
        <v>0</v>
      </c>
      <c r="AR45" s="43">
        <f>'SEC Benches Data'!AH89</f>
        <v>0</v>
      </c>
      <c r="AS45" s="1341" t="e">
        <f t="shared" si="18"/>
        <v>#DIV/0!</v>
      </c>
      <c r="AT45" s="116" t="e">
        <f t="shared" si="19"/>
        <v>#DIV/0!</v>
      </c>
      <c r="AU45" s="43">
        <f>'SEC Benches Data'!M89</f>
        <v>0</v>
      </c>
      <c r="AV45" s="43">
        <f>'SEC Benches Data'!Y89</f>
        <v>0</v>
      </c>
      <c r="AW45" s="43">
        <f>'SEC Benches Data'!AK89</f>
        <v>0</v>
      </c>
      <c r="AX45" s="1341" t="e">
        <f t="shared" si="20"/>
        <v>#DIV/0!</v>
      </c>
      <c r="AY45" s="116" t="e">
        <f t="shared" si="21"/>
        <v>#DIV/0!</v>
      </c>
    </row>
    <row r="46" spans="2:51" hidden="1" outlineLevel="1" x14ac:dyDescent="0.25">
      <c r="B46" s="7">
        <f>'SEC Benches Data'!AO90*('SEC Benches Data'!AL90/100)</f>
        <v>0</v>
      </c>
      <c r="C46" s="7">
        <f>'SEC Benches Data'!AP90*('SEC Benches Data'!AM90/100)</f>
        <v>0</v>
      </c>
      <c r="D46" s="7">
        <f>'SEC Benches Data'!AQ90*('SEC Benches Data'!AN90/100)</f>
        <v>0</v>
      </c>
      <c r="E46" s="116" t="e">
        <f t="shared" si="25"/>
        <v>#DIV/0!</v>
      </c>
      <c r="F46" s="116" t="e">
        <f t="shared" si="26"/>
        <v>#DIV/0!</v>
      </c>
      <c r="G46" s="67">
        <f>'SEC Benches Data'!B90</f>
        <v>0</v>
      </c>
      <c r="H46" s="43">
        <f>'SEC Benches Data'!N90</f>
        <v>0</v>
      </c>
      <c r="I46" s="43">
        <f>'SEC Benches Data'!Z90</f>
        <v>0</v>
      </c>
      <c r="J46" s="116" t="e">
        <f t="shared" si="4"/>
        <v>#DIV/0!</v>
      </c>
      <c r="K46" s="116" t="e">
        <f t="shared" si="5"/>
        <v>#DIV/0!</v>
      </c>
      <c r="L46" s="43">
        <f>'SEC Benches Data'!C90</f>
        <v>0</v>
      </c>
      <c r="M46" s="43">
        <f>'SEC Benches Data'!O90</f>
        <v>0</v>
      </c>
      <c r="N46" s="43">
        <f>'SEC Benches Data'!AA90</f>
        <v>0</v>
      </c>
      <c r="O46" s="1341" t="e">
        <f t="shared" si="6"/>
        <v>#DIV/0!</v>
      </c>
      <c r="P46" s="116" t="e">
        <f t="shared" si="7"/>
        <v>#DIV/0!</v>
      </c>
      <c r="Q46" s="43">
        <f>'SEC Benches Data'!D90</f>
        <v>0</v>
      </c>
      <c r="R46" s="43">
        <f>'SEC Benches Data'!P90</f>
        <v>0</v>
      </c>
      <c r="S46" s="43">
        <f>'SEC Benches Data'!AB90</f>
        <v>0</v>
      </c>
      <c r="T46" s="1341" t="e">
        <f t="shared" si="8"/>
        <v>#DIV/0!</v>
      </c>
      <c r="U46" s="116" t="e">
        <f t="shared" si="9"/>
        <v>#DIV/0!</v>
      </c>
      <c r="V46" s="43">
        <f>'SEC Benches Data'!E90</f>
        <v>0</v>
      </c>
      <c r="W46" s="43">
        <f>'SEC Benches Data'!Q90</f>
        <v>0</v>
      </c>
      <c r="X46" s="43">
        <f>'SEC Benches Data'!AC90</f>
        <v>0</v>
      </c>
      <c r="Y46" s="1341" t="e">
        <f t="shared" si="10"/>
        <v>#DIV/0!</v>
      </c>
      <c r="Z46" s="116" t="e">
        <f t="shared" si="11"/>
        <v>#DIV/0!</v>
      </c>
      <c r="AA46" s="43">
        <f>'SEC Benches Data'!J90</f>
        <v>0</v>
      </c>
      <c r="AB46" s="43">
        <f>'SEC Benches Data'!V90</f>
        <v>0</v>
      </c>
      <c r="AC46" s="43">
        <f>'SEC Benches Data'!AH90</f>
        <v>0</v>
      </c>
      <c r="AD46" s="1341" t="e">
        <f t="shared" si="12"/>
        <v>#DIV/0!</v>
      </c>
      <c r="AE46" s="116" t="e">
        <f t="shared" si="13"/>
        <v>#DIV/0!</v>
      </c>
      <c r="AF46" s="43">
        <f>'SEC Benches Data'!G90</f>
        <v>0</v>
      </c>
      <c r="AG46" s="43">
        <f>'SEC Benches Data'!S90</f>
        <v>0</v>
      </c>
      <c r="AH46" s="43">
        <f>'SEC Benches Data'!AE90</f>
        <v>0</v>
      </c>
      <c r="AI46" s="1341" t="e">
        <f t="shared" si="14"/>
        <v>#DIV/0!</v>
      </c>
      <c r="AJ46" s="116" t="e">
        <f t="shared" si="15"/>
        <v>#DIV/0!</v>
      </c>
      <c r="AK46" s="43">
        <f>'SEC Benches Data'!H90</f>
        <v>0</v>
      </c>
      <c r="AL46" s="43">
        <f>'SEC Benches Data'!T90</f>
        <v>0</v>
      </c>
      <c r="AM46" s="43">
        <f>'SEC Benches Data'!AF90</f>
        <v>0</v>
      </c>
      <c r="AN46" s="1341" t="e">
        <f t="shared" si="16"/>
        <v>#DIV/0!</v>
      </c>
      <c r="AO46" s="116" t="e">
        <f t="shared" si="17"/>
        <v>#DIV/0!</v>
      </c>
      <c r="AP46" s="43">
        <f>'SEC Benches Data'!J90</f>
        <v>0</v>
      </c>
      <c r="AQ46" s="43">
        <f>'SEC Benches Data'!V90</f>
        <v>0</v>
      </c>
      <c r="AR46" s="43">
        <f>'SEC Benches Data'!AH90</f>
        <v>0</v>
      </c>
      <c r="AS46" s="1341" t="e">
        <f t="shared" si="18"/>
        <v>#DIV/0!</v>
      </c>
      <c r="AT46" s="116" t="e">
        <f t="shared" si="19"/>
        <v>#DIV/0!</v>
      </c>
      <c r="AU46" s="43">
        <f>'SEC Benches Data'!M90</f>
        <v>0</v>
      </c>
      <c r="AV46" s="43">
        <f>'SEC Benches Data'!Y90</f>
        <v>0</v>
      </c>
      <c r="AW46" s="43">
        <f>'SEC Benches Data'!AK90</f>
        <v>0</v>
      </c>
      <c r="AX46" s="1341" t="e">
        <f t="shared" si="20"/>
        <v>#DIV/0!</v>
      </c>
      <c r="AY46" s="116" t="e">
        <f t="shared" si="21"/>
        <v>#DIV/0!</v>
      </c>
    </row>
    <row r="47" spans="2:51" hidden="1" outlineLevel="1" x14ac:dyDescent="0.25">
      <c r="B47" s="7">
        <f>'SEC Benches Data'!AO91*('SEC Benches Data'!AL91/100)</f>
        <v>0</v>
      </c>
      <c r="C47" s="7">
        <f>'SEC Benches Data'!AP91*('SEC Benches Data'!AM91/100)</f>
        <v>0</v>
      </c>
      <c r="D47" s="7">
        <f>'SEC Benches Data'!AQ91*('SEC Benches Data'!AN91/100)</f>
        <v>0</v>
      </c>
      <c r="E47" s="116" t="e">
        <f t="shared" si="25"/>
        <v>#DIV/0!</v>
      </c>
      <c r="F47" s="116" t="e">
        <f t="shared" si="26"/>
        <v>#DIV/0!</v>
      </c>
      <c r="G47" s="67">
        <f>'SEC Benches Data'!B91</f>
        <v>0</v>
      </c>
      <c r="H47" s="43">
        <f>'SEC Benches Data'!N91</f>
        <v>0</v>
      </c>
      <c r="I47" s="43">
        <f>'SEC Benches Data'!Z91</f>
        <v>0</v>
      </c>
      <c r="J47" s="116" t="e">
        <f t="shared" si="4"/>
        <v>#DIV/0!</v>
      </c>
      <c r="K47" s="116" t="e">
        <f t="shared" si="5"/>
        <v>#DIV/0!</v>
      </c>
      <c r="L47" s="43">
        <f>'SEC Benches Data'!C91</f>
        <v>0</v>
      </c>
      <c r="M47" s="43">
        <f>'SEC Benches Data'!O91</f>
        <v>0</v>
      </c>
      <c r="N47" s="43">
        <f>'SEC Benches Data'!AA91</f>
        <v>0</v>
      </c>
      <c r="O47" s="1341" t="e">
        <f t="shared" si="6"/>
        <v>#DIV/0!</v>
      </c>
      <c r="P47" s="116" t="e">
        <f t="shared" si="7"/>
        <v>#DIV/0!</v>
      </c>
      <c r="Q47" s="43">
        <f>'SEC Benches Data'!D91</f>
        <v>0</v>
      </c>
      <c r="R47" s="43">
        <f>'SEC Benches Data'!P91</f>
        <v>0</v>
      </c>
      <c r="S47" s="43">
        <f>'SEC Benches Data'!AB91</f>
        <v>0</v>
      </c>
      <c r="T47" s="1341" t="e">
        <f t="shared" si="8"/>
        <v>#DIV/0!</v>
      </c>
      <c r="U47" s="116" t="e">
        <f t="shared" si="9"/>
        <v>#DIV/0!</v>
      </c>
      <c r="V47" s="43">
        <f>'SEC Benches Data'!E91</f>
        <v>0</v>
      </c>
      <c r="W47" s="43">
        <f>'SEC Benches Data'!Q91</f>
        <v>0</v>
      </c>
      <c r="X47" s="43">
        <f>'SEC Benches Data'!AC91</f>
        <v>0</v>
      </c>
      <c r="Y47" s="1341" t="e">
        <f t="shared" si="10"/>
        <v>#DIV/0!</v>
      </c>
      <c r="Z47" s="116" t="e">
        <f t="shared" si="11"/>
        <v>#DIV/0!</v>
      </c>
      <c r="AA47" s="43">
        <f>'SEC Benches Data'!J91</f>
        <v>0</v>
      </c>
      <c r="AB47" s="43">
        <f>'SEC Benches Data'!V91</f>
        <v>0</v>
      </c>
      <c r="AC47" s="43">
        <f>'SEC Benches Data'!AH91</f>
        <v>0</v>
      </c>
      <c r="AD47" s="1341" t="e">
        <f t="shared" si="12"/>
        <v>#DIV/0!</v>
      </c>
      <c r="AE47" s="116" t="e">
        <f t="shared" si="13"/>
        <v>#DIV/0!</v>
      </c>
      <c r="AF47" s="43">
        <f>'SEC Benches Data'!G91</f>
        <v>0</v>
      </c>
      <c r="AG47" s="43">
        <f>'SEC Benches Data'!S91</f>
        <v>0</v>
      </c>
      <c r="AH47" s="43">
        <f>'SEC Benches Data'!AE91</f>
        <v>0</v>
      </c>
      <c r="AI47" s="1341" t="e">
        <f t="shared" si="14"/>
        <v>#DIV/0!</v>
      </c>
      <c r="AJ47" s="116" t="e">
        <f t="shared" si="15"/>
        <v>#DIV/0!</v>
      </c>
      <c r="AK47" s="43">
        <f>'SEC Benches Data'!H91</f>
        <v>0</v>
      </c>
      <c r="AL47" s="43">
        <f>'SEC Benches Data'!T91</f>
        <v>0</v>
      </c>
      <c r="AM47" s="43">
        <f>'SEC Benches Data'!AF91</f>
        <v>0</v>
      </c>
      <c r="AN47" s="1341" t="e">
        <f t="shared" si="16"/>
        <v>#DIV/0!</v>
      </c>
      <c r="AO47" s="116" t="e">
        <f t="shared" si="17"/>
        <v>#DIV/0!</v>
      </c>
      <c r="AP47" s="43">
        <f>'SEC Benches Data'!J91</f>
        <v>0</v>
      </c>
      <c r="AQ47" s="43">
        <f>'SEC Benches Data'!V91</f>
        <v>0</v>
      </c>
      <c r="AR47" s="43">
        <f>'SEC Benches Data'!AH91</f>
        <v>0</v>
      </c>
      <c r="AS47" s="1341" t="e">
        <f t="shared" si="18"/>
        <v>#DIV/0!</v>
      </c>
      <c r="AT47" s="116" t="e">
        <f t="shared" si="19"/>
        <v>#DIV/0!</v>
      </c>
      <c r="AU47" s="43">
        <f>'SEC Benches Data'!M91</f>
        <v>0</v>
      </c>
      <c r="AV47" s="43">
        <f>'SEC Benches Data'!Y91</f>
        <v>0</v>
      </c>
      <c r="AW47" s="43">
        <f>'SEC Benches Data'!AK91</f>
        <v>0</v>
      </c>
      <c r="AX47" s="1341" t="e">
        <f t="shared" si="20"/>
        <v>#DIV/0!</v>
      </c>
      <c r="AY47" s="116" t="e">
        <f t="shared" si="21"/>
        <v>#DIV/0!</v>
      </c>
    </row>
    <row r="48" spans="2:51" hidden="1" outlineLevel="1" x14ac:dyDescent="0.25">
      <c r="B48" s="7">
        <f>'SEC Benches Data'!AO92*('SEC Benches Data'!AL92/100)</f>
        <v>0</v>
      </c>
      <c r="C48" s="7">
        <f>'SEC Benches Data'!AP92*('SEC Benches Data'!AM92/100)</f>
        <v>0</v>
      </c>
      <c r="D48" s="7">
        <f>'SEC Benches Data'!AQ92*('SEC Benches Data'!AN92/100)</f>
        <v>0</v>
      </c>
      <c r="E48" s="116" t="e">
        <f t="shared" si="25"/>
        <v>#DIV/0!</v>
      </c>
      <c r="F48" s="116" t="e">
        <f t="shared" si="26"/>
        <v>#DIV/0!</v>
      </c>
      <c r="G48" s="67">
        <f>'SEC Benches Data'!B92</f>
        <v>0</v>
      </c>
      <c r="H48" s="43">
        <f>'SEC Benches Data'!N92</f>
        <v>0</v>
      </c>
      <c r="I48" s="43">
        <f>'SEC Benches Data'!Z92</f>
        <v>0</v>
      </c>
      <c r="J48" s="116" t="e">
        <f t="shared" si="4"/>
        <v>#DIV/0!</v>
      </c>
      <c r="K48" s="116" t="e">
        <f t="shared" si="5"/>
        <v>#DIV/0!</v>
      </c>
      <c r="L48" s="43">
        <f>'SEC Benches Data'!C92</f>
        <v>0</v>
      </c>
      <c r="M48" s="43">
        <f>'SEC Benches Data'!O92</f>
        <v>0</v>
      </c>
      <c r="N48" s="43">
        <f>'SEC Benches Data'!AA92</f>
        <v>0</v>
      </c>
      <c r="O48" s="1341" t="e">
        <f t="shared" si="6"/>
        <v>#DIV/0!</v>
      </c>
      <c r="P48" s="116" t="e">
        <f t="shared" si="7"/>
        <v>#DIV/0!</v>
      </c>
      <c r="Q48" s="43">
        <f>'SEC Benches Data'!D92</f>
        <v>0</v>
      </c>
      <c r="R48" s="43">
        <f>'SEC Benches Data'!P92</f>
        <v>0</v>
      </c>
      <c r="S48" s="43">
        <f>'SEC Benches Data'!AB92</f>
        <v>0</v>
      </c>
      <c r="T48" s="1341" t="e">
        <f t="shared" si="8"/>
        <v>#DIV/0!</v>
      </c>
      <c r="U48" s="116" t="e">
        <f t="shared" si="9"/>
        <v>#DIV/0!</v>
      </c>
      <c r="V48" s="43">
        <f>'SEC Benches Data'!E92</f>
        <v>0</v>
      </c>
      <c r="W48" s="43">
        <f>'SEC Benches Data'!Q92</f>
        <v>0</v>
      </c>
      <c r="X48" s="43">
        <f>'SEC Benches Data'!AC92</f>
        <v>0</v>
      </c>
      <c r="Y48" s="1341" t="e">
        <f t="shared" si="10"/>
        <v>#DIV/0!</v>
      </c>
      <c r="Z48" s="116" t="e">
        <f t="shared" si="11"/>
        <v>#DIV/0!</v>
      </c>
      <c r="AA48" s="43">
        <f>'SEC Benches Data'!J92</f>
        <v>0</v>
      </c>
      <c r="AB48" s="43">
        <f>'SEC Benches Data'!V92</f>
        <v>0</v>
      </c>
      <c r="AC48" s="43">
        <f>'SEC Benches Data'!AH92</f>
        <v>0</v>
      </c>
      <c r="AD48" s="1341" t="e">
        <f t="shared" si="12"/>
        <v>#DIV/0!</v>
      </c>
      <c r="AE48" s="116" t="e">
        <f t="shared" si="13"/>
        <v>#DIV/0!</v>
      </c>
      <c r="AF48" s="43">
        <f>'SEC Benches Data'!G92</f>
        <v>0</v>
      </c>
      <c r="AG48" s="43">
        <f>'SEC Benches Data'!S92</f>
        <v>0</v>
      </c>
      <c r="AH48" s="43">
        <f>'SEC Benches Data'!AE92</f>
        <v>0</v>
      </c>
      <c r="AI48" s="1341" t="e">
        <f t="shared" si="14"/>
        <v>#DIV/0!</v>
      </c>
      <c r="AJ48" s="116" t="e">
        <f t="shared" si="15"/>
        <v>#DIV/0!</v>
      </c>
      <c r="AK48" s="43">
        <f>'SEC Benches Data'!H92</f>
        <v>0</v>
      </c>
      <c r="AL48" s="43">
        <f>'SEC Benches Data'!T92</f>
        <v>0</v>
      </c>
      <c r="AM48" s="43">
        <f>'SEC Benches Data'!AF92</f>
        <v>0</v>
      </c>
      <c r="AN48" s="1341" t="e">
        <f t="shared" si="16"/>
        <v>#DIV/0!</v>
      </c>
      <c r="AO48" s="116" t="e">
        <f t="shared" si="17"/>
        <v>#DIV/0!</v>
      </c>
      <c r="AP48" s="43">
        <f>'SEC Benches Data'!J92</f>
        <v>0</v>
      </c>
      <c r="AQ48" s="43">
        <f>'SEC Benches Data'!V92</f>
        <v>0</v>
      </c>
      <c r="AR48" s="43">
        <f>'SEC Benches Data'!AH92</f>
        <v>0</v>
      </c>
      <c r="AS48" s="1341" t="e">
        <f t="shared" si="18"/>
        <v>#DIV/0!</v>
      </c>
      <c r="AT48" s="116" t="e">
        <f t="shared" si="19"/>
        <v>#DIV/0!</v>
      </c>
      <c r="AU48" s="43">
        <f>'SEC Benches Data'!M92</f>
        <v>0</v>
      </c>
      <c r="AV48" s="43">
        <f>'SEC Benches Data'!Y92</f>
        <v>0</v>
      </c>
      <c r="AW48" s="43">
        <f>'SEC Benches Data'!AK92</f>
        <v>0</v>
      </c>
      <c r="AX48" s="1341" t="e">
        <f t="shared" si="20"/>
        <v>#DIV/0!</v>
      </c>
      <c r="AY48" s="116" t="e">
        <f t="shared" si="21"/>
        <v>#DIV/0!</v>
      </c>
    </row>
    <row r="49" spans="1:51" hidden="1" outlineLevel="1" x14ac:dyDescent="0.25">
      <c r="B49" s="7">
        <f>'SEC Benches Data'!AO93*('SEC Benches Data'!AL93/100)</f>
        <v>0</v>
      </c>
      <c r="C49" s="7">
        <f>'SEC Benches Data'!AP93*('SEC Benches Data'!AM93/100)</f>
        <v>0</v>
      </c>
      <c r="D49" s="7">
        <f>'SEC Benches Data'!AQ93*('SEC Benches Data'!AN93/100)</f>
        <v>0</v>
      </c>
      <c r="E49" s="116" t="e">
        <f t="shared" si="25"/>
        <v>#DIV/0!</v>
      </c>
      <c r="F49" s="116" t="e">
        <f t="shared" si="26"/>
        <v>#DIV/0!</v>
      </c>
      <c r="G49" s="67">
        <f>'SEC Benches Data'!B93</f>
        <v>0</v>
      </c>
      <c r="H49" s="43">
        <f>'SEC Benches Data'!N93</f>
        <v>0</v>
      </c>
      <c r="I49" s="43">
        <f>'SEC Benches Data'!Z93</f>
        <v>0</v>
      </c>
      <c r="J49" s="116" t="e">
        <f t="shared" si="4"/>
        <v>#DIV/0!</v>
      </c>
      <c r="K49" s="116" t="e">
        <f t="shared" si="5"/>
        <v>#DIV/0!</v>
      </c>
      <c r="L49" s="43">
        <f>'SEC Benches Data'!C93</f>
        <v>0</v>
      </c>
      <c r="M49" s="43">
        <f>'SEC Benches Data'!O93</f>
        <v>0</v>
      </c>
      <c r="N49" s="43">
        <f>'SEC Benches Data'!AA93</f>
        <v>0</v>
      </c>
      <c r="O49" s="1341" t="e">
        <f t="shared" si="6"/>
        <v>#DIV/0!</v>
      </c>
      <c r="P49" s="116" t="e">
        <f t="shared" si="7"/>
        <v>#DIV/0!</v>
      </c>
      <c r="Q49" s="43">
        <f>'SEC Benches Data'!D93</f>
        <v>0</v>
      </c>
      <c r="R49" s="43">
        <f>'SEC Benches Data'!P93</f>
        <v>0</v>
      </c>
      <c r="S49" s="43">
        <f>'SEC Benches Data'!AB93</f>
        <v>0</v>
      </c>
      <c r="T49" s="1341" t="e">
        <f t="shared" si="8"/>
        <v>#DIV/0!</v>
      </c>
      <c r="U49" s="116" t="e">
        <f t="shared" si="9"/>
        <v>#DIV/0!</v>
      </c>
      <c r="V49" s="43">
        <f>'SEC Benches Data'!E93</f>
        <v>0</v>
      </c>
      <c r="W49" s="43">
        <f>'SEC Benches Data'!Q93</f>
        <v>0</v>
      </c>
      <c r="X49" s="43">
        <f>'SEC Benches Data'!AC93</f>
        <v>0</v>
      </c>
      <c r="Y49" s="1341" t="e">
        <f t="shared" si="10"/>
        <v>#DIV/0!</v>
      </c>
      <c r="Z49" s="116" t="e">
        <f t="shared" si="11"/>
        <v>#DIV/0!</v>
      </c>
      <c r="AA49" s="43">
        <f>'SEC Benches Data'!J93</f>
        <v>0</v>
      </c>
      <c r="AB49" s="43">
        <f>'SEC Benches Data'!V93</f>
        <v>0</v>
      </c>
      <c r="AC49" s="43">
        <f>'SEC Benches Data'!AH93</f>
        <v>0</v>
      </c>
      <c r="AD49" s="1341" t="e">
        <f t="shared" si="12"/>
        <v>#DIV/0!</v>
      </c>
      <c r="AE49" s="116" t="e">
        <f t="shared" si="13"/>
        <v>#DIV/0!</v>
      </c>
      <c r="AF49" s="43">
        <f>'SEC Benches Data'!G93</f>
        <v>0</v>
      </c>
      <c r="AG49" s="43">
        <f>'SEC Benches Data'!S93</f>
        <v>0</v>
      </c>
      <c r="AH49" s="43">
        <f>'SEC Benches Data'!AE93</f>
        <v>0</v>
      </c>
      <c r="AI49" s="1341" t="e">
        <f t="shared" si="14"/>
        <v>#DIV/0!</v>
      </c>
      <c r="AJ49" s="116" t="e">
        <f t="shared" si="15"/>
        <v>#DIV/0!</v>
      </c>
      <c r="AK49" s="43">
        <f>'SEC Benches Data'!H93</f>
        <v>0</v>
      </c>
      <c r="AL49" s="43">
        <f>'SEC Benches Data'!T93</f>
        <v>0</v>
      </c>
      <c r="AM49" s="43">
        <f>'SEC Benches Data'!AF93</f>
        <v>0</v>
      </c>
      <c r="AN49" s="1341" t="e">
        <f t="shared" si="16"/>
        <v>#DIV/0!</v>
      </c>
      <c r="AO49" s="116" t="e">
        <f t="shared" si="17"/>
        <v>#DIV/0!</v>
      </c>
      <c r="AP49" s="43">
        <f>'SEC Benches Data'!J93</f>
        <v>0</v>
      </c>
      <c r="AQ49" s="43">
        <f>'SEC Benches Data'!V93</f>
        <v>0</v>
      </c>
      <c r="AR49" s="43">
        <f>'SEC Benches Data'!AH93</f>
        <v>0</v>
      </c>
      <c r="AS49" s="1341" t="e">
        <f t="shared" si="18"/>
        <v>#DIV/0!</v>
      </c>
      <c r="AT49" s="116" t="e">
        <f t="shared" si="19"/>
        <v>#DIV/0!</v>
      </c>
      <c r="AU49" s="43">
        <f>'SEC Benches Data'!M93</f>
        <v>0</v>
      </c>
      <c r="AV49" s="43">
        <f>'SEC Benches Data'!Y93</f>
        <v>0</v>
      </c>
      <c r="AW49" s="43">
        <f>'SEC Benches Data'!AK93</f>
        <v>0</v>
      </c>
      <c r="AX49" s="1341" t="e">
        <f t="shared" si="20"/>
        <v>#DIV/0!</v>
      </c>
      <c r="AY49" s="116" t="e">
        <f t="shared" si="21"/>
        <v>#DIV/0!</v>
      </c>
    </row>
    <row r="50" spans="1:51" hidden="1" outlineLevel="1" x14ac:dyDescent="0.25">
      <c r="B50" s="7">
        <f>'SEC Benches Data'!AO94*('SEC Benches Data'!AL94/100)</f>
        <v>0</v>
      </c>
      <c r="C50" s="7">
        <f>'SEC Benches Data'!AP94*('SEC Benches Data'!AM94/100)</f>
        <v>0</v>
      </c>
      <c r="D50" s="7">
        <f>'SEC Benches Data'!AQ94*('SEC Benches Data'!AN94/100)</f>
        <v>0</v>
      </c>
      <c r="E50" s="116" t="e">
        <f t="shared" si="25"/>
        <v>#DIV/0!</v>
      </c>
      <c r="F50" s="116" t="e">
        <f t="shared" si="26"/>
        <v>#DIV/0!</v>
      </c>
      <c r="G50" s="67">
        <f>'SEC Benches Data'!B94</f>
        <v>0</v>
      </c>
      <c r="H50" s="43">
        <f>'SEC Benches Data'!N94</f>
        <v>0</v>
      </c>
      <c r="I50" s="43">
        <f>'SEC Benches Data'!Z94</f>
        <v>0</v>
      </c>
      <c r="J50" s="116" t="e">
        <f t="shared" si="4"/>
        <v>#DIV/0!</v>
      </c>
      <c r="K50" s="116" t="e">
        <f t="shared" si="5"/>
        <v>#DIV/0!</v>
      </c>
      <c r="L50" s="43">
        <f>'SEC Benches Data'!C94</f>
        <v>0</v>
      </c>
      <c r="M50" s="43">
        <f>'SEC Benches Data'!O94</f>
        <v>0</v>
      </c>
      <c r="N50" s="43">
        <f>'SEC Benches Data'!AA94</f>
        <v>0</v>
      </c>
      <c r="O50" s="1341" t="e">
        <f t="shared" si="6"/>
        <v>#DIV/0!</v>
      </c>
      <c r="P50" s="116" t="e">
        <f t="shared" si="7"/>
        <v>#DIV/0!</v>
      </c>
      <c r="Q50" s="43">
        <f>'SEC Benches Data'!D94</f>
        <v>0</v>
      </c>
      <c r="R50" s="43">
        <f>'SEC Benches Data'!P94</f>
        <v>0</v>
      </c>
      <c r="S50" s="43">
        <f>'SEC Benches Data'!AB94</f>
        <v>0</v>
      </c>
      <c r="T50" s="1341" t="e">
        <f t="shared" si="8"/>
        <v>#DIV/0!</v>
      </c>
      <c r="U50" s="116" t="e">
        <f t="shared" si="9"/>
        <v>#DIV/0!</v>
      </c>
      <c r="V50" s="43">
        <f>'SEC Benches Data'!E94</f>
        <v>0</v>
      </c>
      <c r="W50" s="43">
        <f>'SEC Benches Data'!Q94</f>
        <v>0</v>
      </c>
      <c r="X50" s="43">
        <f>'SEC Benches Data'!AC94</f>
        <v>0</v>
      </c>
      <c r="Y50" s="1341" t="e">
        <f t="shared" si="10"/>
        <v>#DIV/0!</v>
      </c>
      <c r="Z50" s="116" t="e">
        <f t="shared" si="11"/>
        <v>#DIV/0!</v>
      </c>
      <c r="AA50" s="43">
        <f>'SEC Benches Data'!J94</f>
        <v>0</v>
      </c>
      <c r="AB50" s="43">
        <f>'SEC Benches Data'!V94</f>
        <v>0</v>
      </c>
      <c r="AC50" s="43">
        <f>'SEC Benches Data'!AH94</f>
        <v>0</v>
      </c>
      <c r="AD50" s="1341" t="e">
        <f t="shared" si="12"/>
        <v>#DIV/0!</v>
      </c>
      <c r="AE50" s="116" t="e">
        <f t="shared" si="13"/>
        <v>#DIV/0!</v>
      </c>
      <c r="AF50" s="43">
        <f>'SEC Benches Data'!G94</f>
        <v>0</v>
      </c>
      <c r="AG50" s="43">
        <f>'SEC Benches Data'!S94</f>
        <v>0</v>
      </c>
      <c r="AH50" s="43">
        <f>'SEC Benches Data'!AE94</f>
        <v>0</v>
      </c>
      <c r="AI50" s="1341" t="e">
        <f t="shared" si="14"/>
        <v>#DIV/0!</v>
      </c>
      <c r="AJ50" s="116" t="e">
        <f t="shared" si="15"/>
        <v>#DIV/0!</v>
      </c>
      <c r="AK50" s="43">
        <f>'SEC Benches Data'!H94</f>
        <v>0</v>
      </c>
      <c r="AL50" s="43">
        <f>'SEC Benches Data'!T94</f>
        <v>0</v>
      </c>
      <c r="AM50" s="43">
        <f>'SEC Benches Data'!AF94</f>
        <v>0</v>
      </c>
      <c r="AN50" s="1341" t="e">
        <f t="shared" si="16"/>
        <v>#DIV/0!</v>
      </c>
      <c r="AO50" s="116" t="e">
        <f t="shared" si="17"/>
        <v>#DIV/0!</v>
      </c>
      <c r="AP50" s="43">
        <f>'SEC Benches Data'!J94</f>
        <v>0</v>
      </c>
      <c r="AQ50" s="43">
        <f>'SEC Benches Data'!V94</f>
        <v>0</v>
      </c>
      <c r="AR50" s="43">
        <f>'SEC Benches Data'!AH94</f>
        <v>0</v>
      </c>
      <c r="AS50" s="1341" t="e">
        <f t="shared" si="18"/>
        <v>#DIV/0!</v>
      </c>
      <c r="AT50" s="116" t="e">
        <f t="shared" si="19"/>
        <v>#DIV/0!</v>
      </c>
      <c r="AU50" s="43">
        <f>'SEC Benches Data'!M94</f>
        <v>0</v>
      </c>
      <c r="AV50" s="43">
        <f>'SEC Benches Data'!Y94</f>
        <v>0</v>
      </c>
      <c r="AW50" s="43">
        <f>'SEC Benches Data'!AK94</f>
        <v>0</v>
      </c>
      <c r="AX50" s="1341" t="e">
        <f t="shared" si="20"/>
        <v>#DIV/0!</v>
      </c>
      <c r="AY50" s="116" t="e">
        <f t="shared" si="21"/>
        <v>#DIV/0!</v>
      </c>
    </row>
    <row r="51" spans="1:51" hidden="1" outlineLevel="1" x14ac:dyDescent="0.25">
      <c r="B51" s="7">
        <f>'SEC Benches Data'!AO95*('SEC Benches Data'!AL95/100)</f>
        <v>0</v>
      </c>
      <c r="C51" s="7">
        <f>'SEC Benches Data'!AP95*('SEC Benches Data'!AM95/100)</f>
        <v>0</v>
      </c>
      <c r="D51" s="7">
        <f>'SEC Benches Data'!AQ95*('SEC Benches Data'!AN95/100)</f>
        <v>0</v>
      </c>
      <c r="E51" s="116" t="e">
        <f t="shared" si="25"/>
        <v>#DIV/0!</v>
      </c>
      <c r="F51" s="116" t="e">
        <f t="shared" si="26"/>
        <v>#DIV/0!</v>
      </c>
      <c r="G51" s="67">
        <f>'SEC Benches Data'!B95</f>
        <v>0</v>
      </c>
      <c r="H51" s="43">
        <f>'SEC Benches Data'!N95</f>
        <v>0</v>
      </c>
      <c r="I51" s="43">
        <f>'SEC Benches Data'!Z95</f>
        <v>0</v>
      </c>
      <c r="J51" s="116" t="e">
        <f t="shared" si="4"/>
        <v>#DIV/0!</v>
      </c>
      <c r="K51" s="116" t="e">
        <f t="shared" si="5"/>
        <v>#DIV/0!</v>
      </c>
      <c r="L51" s="43">
        <f>'SEC Benches Data'!C95</f>
        <v>0</v>
      </c>
      <c r="M51" s="43">
        <f>'SEC Benches Data'!O95</f>
        <v>0</v>
      </c>
      <c r="N51" s="43">
        <f>'SEC Benches Data'!AA95</f>
        <v>0</v>
      </c>
      <c r="O51" s="1341" t="e">
        <f t="shared" si="6"/>
        <v>#DIV/0!</v>
      </c>
      <c r="P51" s="116" t="e">
        <f t="shared" si="7"/>
        <v>#DIV/0!</v>
      </c>
      <c r="Q51" s="43">
        <f>'SEC Benches Data'!D95</f>
        <v>0</v>
      </c>
      <c r="R51" s="43">
        <f>'SEC Benches Data'!P95</f>
        <v>0</v>
      </c>
      <c r="S51" s="43">
        <f>'SEC Benches Data'!AB95</f>
        <v>0</v>
      </c>
      <c r="T51" s="1341" t="e">
        <f t="shared" si="8"/>
        <v>#DIV/0!</v>
      </c>
      <c r="U51" s="116" t="e">
        <f t="shared" si="9"/>
        <v>#DIV/0!</v>
      </c>
      <c r="V51" s="43">
        <f>'SEC Benches Data'!E95</f>
        <v>0</v>
      </c>
      <c r="W51" s="43">
        <f>'SEC Benches Data'!Q95</f>
        <v>0</v>
      </c>
      <c r="X51" s="43">
        <f>'SEC Benches Data'!AC95</f>
        <v>0</v>
      </c>
      <c r="Y51" s="1341" t="e">
        <f t="shared" si="10"/>
        <v>#DIV/0!</v>
      </c>
      <c r="Z51" s="116" t="e">
        <f t="shared" si="11"/>
        <v>#DIV/0!</v>
      </c>
      <c r="AA51" s="43">
        <f>'SEC Benches Data'!J95</f>
        <v>0</v>
      </c>
      <c r="AB51" s="43">
        <f>'SEC Benches Data'!V95</f>
        <v>0</v>
      </c>
      <c r="AC51" s="43">
        <f>'SEC Benches Data'!AH95</f>
        <v>0</v>
      </c>
      <c r="AD51" s="1341" t="e">
        <f t="shared" si="12"/>
        <v>#DIV/0!</v>
      </c>
      <c r="AE51" s="116" t="e">
        <f t="shared" si="13"/>
        <v>#DIV/0!</v>
      </c>
      <c r="AF51" s="43">
        <f>'SEC Benches Data'!G95</f>
        <v>0</v>
      </c>
      <c r="AG51" s="43">
        <f>'SEC Benches Data'!S95</f>
        <v>0</v>
      </c>
      <c r="AH51" s="43">
        <f>'SEC Benches Data'!AE95</f>
        <v>0</v>
      </c>
      <c r="AI51" s="1341" t="e">
        <f t="shared" si="14"/>
        <v>#DIV/0!</v>
      </c>
      <c r="AJ51" s="116" t="e">
        <f t="shared" si="15"/>
        <v>#DIV/0!</v>
      </c>
      <c r="AK51" s="43">
        <f>'SEC Benches Data'!H95</f>
        <v>0</v>
      </c>
      <c r="AL51" s="43">
        <f>'SEC Benches Data'!T95</f>
        <v>0</v>
      </c>
      <c r="AM51" s="43">
        <f>'SEC Benches Data'!AF95</f>
        <v>0</v>
      </c>
      <c r="AN51" s="1341" t="e">
        <f t="shared" si="16"/>
        <v>#DIV/0!</v>
      </c>
      <c r="AO51" s="116" t="e">
        <f t="shared" si="17"/>
        <v>#DIV/0!</v>
      </c>
      <c r="AP51" s="43">
        <f>'SEC Benches Data'!J95</f>
        <v>0</v>
      </c>
      <c r="AQ51" s="43">
        <f>'SEC Benches Data'!V95</f>
        <v>0</v>
      </c>
      <c r="AR51" s="43">
        <f>'SEC Benches Data'!AH95</f>
        <v>0</v>
      </c>
      <c r="AS51" s="1341" t="e">
        <f t="shared" si="18"/>
        <v>#DIV/0!</v>
      </c>
      <c r="AT51" s="116" t="e">
        <f t="shared" si="19"/>
        <v>#DIV/0!</v>
      </c>
      <c r="AU51" s="43">
        <f>'SEC Benches Data'!M95</f>
        <v>0</v>
      </c>
      <c r="AV51" s="43">
        <f>'SEC Benches Data'!Y95</f>
        <v>0</v>
      </c>
      <c r="AW51" s="43">
        <f>'SEC Benches Data'!AK95</f>
        <v>0</v>
      </c>
      <c r="AX51" s="1341" t="e">
        <f t="shared" si="20"/>
        <v>#DIV/0!</v>
      </c>
      <c r="AY51" s="116" t="e">
        <f t="shared" si="21"/>
        <v>#DIV/0!</v>
      </c>
    </row>
    <row r="52" spans="1:51" hidden="1" outlineLevel="1" x14ac:dyDescent="0.25">
      <c r="B52" s="7">
        <f>'SEC Benches Data'!AO96*('SEC Benches Data'!AL96/100)</f>
        <v>0</v>
      </c>
      <c r="C52" s="7">
        <f>'SEC Benches Data'!AP96*('SEC Benches Data'!AM96/100)</f>
        <v>0</v>
      </c>
      <c r="D52" s="7">
        <f>'SEC Benches Data'!AQ96*('SEC Benches Data'!AN96/100)</f>
        <v>0</v>
      </c>
      <c r="E52" s="116" t="e">
        <f t="shared" si="25"/>
        <v>#DIV/0!</v>
      </c>
      <c r="F52" s="116" t="e">
        <f t="shared" si="26"/>
        <v>#DIV/0!</v>
      </c>
      <c r="G52" s="67">
        <f>'SEC Benches Data'!B96</f>
        <v>0</v>
      </c>
      <c r="H52" s="43">
        <f>'SEC Benches Data'!N96</f>
        <v>0</v>
      </c>
      <c r="I52" s="43">
        <f>'SEC Benches Data'!Z96</f>
        <v>0</v>
      </c>
      <c r="J52" s="116" t="e">
        <f t="shared" si="4"/>
        <v>#DIV/0!</v>
      </c>
      <c r="K52" s="116" t="e">
        <f t="shared" si="5"/>
        <v>#DIV/0!</v>
      </c>
      <c r="L52" s="43">
        <f>'SEC Benches Data'!C96</f>
        <v>0</v>
      </c>
      <c r="M52" s="43">
        <f>'SEC Benches Data'!O96</f>
        <v>0</v>
      </c>
      <c r="N52" s="43">
        <f>'SEC Benches Data'!AA96</f>
        <v>0</v>
      </c>
      <c r="O52" s="1341" t="e">
        <f t="shared" si="6"/>
        <v>#DIV/0!</v>
      </c>
      <c r="P52" s="116" t="e">
        <f t="shared" si="7"/>
        <v>#DIV/0!</v>
      </c>
      <c r="Q52" s="43">
        <f>'SEC Benches Data'!D96</f>
        <v>0</v>
      </c>
      <c r="R52" s="43">
        <f>'SEC Benches Data'!P96</f>
        <v>0</v>
      </c>
      <c r="S52" s="43">
        <f>'SEC Benches Data'!AB96</f>
        <v>0</v>
      </c>
      <c r="T52" s="1341" t="e">
        <f t="shared" si="8"/>
        <v>#DIV/0!</v>
      </c>
      <c r="U52" s="116" t="e">
        <f t="shared" si="9"/>
        <v>#DIV/0!</v>
      </c>
      <c r="V52" s="43">
        <f>'SEC Benches Data'!E96</f>
        <v>0</v>
      </c>
      <c r="W52" s="43">
        <f>'SEC Benches Data'!Q96</f>
        <v>0</v>
      </c>
      <c r="X52" s="43">
        <f>'SEC Benches Data'!AC96</f>
        <v>0</v>
      </c>
      <c r="Y52" s="1341" t="e">
        <f t="shared" si="10"/>
        <v>#DIV/0!</v>
      </c>
      <c r="Z52" s="116" t="e">
        <f t="shared" si="11"/>
        <v>#DIV/0!</v>
      </c>
      <c r="AA52" s="43">
        <f>'SEC Benches Data'!J96</f>
        <v>0</v>
      </c>
      <c r="AB52" s="43">
        <f>'SEC Benches Data'!V96</f>
        <v>0</v>
      </c>
      <c r="AC52" s="43">
        <f>'SEC Benches Data'!AH96</f>
        <v>0</v>
      </c>
      <c r="AD52" s="1341" t="e">
        <f t="shared" si="12"/>
        <v>#DIV/0!</v>
      </c>
      <c r="AE52" s="116" t="e">
        <f t="shared" si="13"/>
        <v>#DIV/0!</v>
      </c>
      <c r="AF52" s="43">
        <f>'SEC Benches Data'!G96</f>
        <v>0</v>
      </c>
      <c r="AG52" s="43">
        <f>'SEC Benches Data'!S96</f>
        <v>0</v>
      </c>
      <c r="AH52" s="43">
        <f>'SEC Benches Data'!AE96</f>
        <v>0</v>
      </c>
      <c r="AI52" s="1341" t="e">
        <f t="shared" si="14"/>
        <v>#DIV/0!</v>
      </c>
      <c r="AJ52" s="116" t="e">
        <f t="shared" si="15"/>
        <v>#DIV/0!</v>
      </c>
      <c r="AK52" s="43">
        <f>'SEC Benches Data'!H96</f>
        <v>0</v>
      </c>
      <c r="AL52" s="43">
        <f>'SEC Benches Data'!T96</f>
        <v>0</v>
      </c>
      <c r="AM52" s="43">
        <f>'SEC Benches Data'!AF96</f>
        <v>0</v>
      </c>
      <c r="AN52" s="1341" t="e">
        <f t="shared" si="16"/>
        <v>#DIV/0!</v>
      </c>
      <c r="AO52" s="116" t="e">
        <f t="shared" si="17"/>
        <v>#DIV/0!</v>
      </c>
      <c r="AP52" s="43">
        <f>'SEC Benches Data'!J96</f>
        <v>0</v>
      </c>
      <c r="AQ52" s="43">
        <f>'SEC Benches Data'!V96</f>
        <v>0</v>
      </c>
      <c r="AR52" s="43">
        <f>'SEC Benches Data'!AH96</f>
        <v>0</v>
      </c>
      <c r="AS52" s="1341" t="e">
        <f t="shared" si="18"/>
        <v>#DIV/0!</v>
      </c>
      <c r="AT52" s="116" t="e">
        <f t="shared" si="19"/>
        <v>#DIV/0!</v>
      </c>
      <c r="AU52" s="43">
        <f>'SEC Benches Data'!M96</f>
        <v>0</v>
      </c>
      <c r="AV52" s="43">
        <f>'SEC Benches Data'!Y96</f>
        <v>0</v>
      </c>
      <c r="AW52" s="43">
        <f>'SEC Benches Data'!AK96</f>
        <v>0</v>
      </c>
      <c r="AX52" s="1341" t="e">
        <f t="shared" si="20"/>
        <v>#DIV/0!</v>
      </c>
      <c r="AY52" s="116" t="e">
        <f t="shared" si="21"/>
        <v>#DIV/0!</v>
      </c>
    </row>
    <row r="53" spans="1:51" s="1337" customFormat="1" collapsed="1" x14ac:dyDescent="0.25">
      <c r="B53" s="1552" t="s">
        <v>13</v>
      </c>
      <c r="C53" s="1552"/>
      <c r="D53" s="1552"/>
      <c r="E53" s="1552" t="s">
        <v>12</v>
      </c>
      <c r="F53" s="1553"/>
      <c r="G53" s="1552" t="s">
        <v>13</v>
      </c>
      <c r="H53" s="1552"/>
      <c r="I53" s="1552"/>
      <c r="J53" s="1552" t="s">
        <v>12</v>
      </c>
      <c r="K53" s="1553"/>
      <c r="L53" s="1552" t="s">
        <v>13</v>
      </c>
      <c r="M53" s="1552"/>
      <c r="N53" s="1552"/>
      <c r="O53" s="1552" t="s">
        <v>12</v>
      </c>
      <c r="P53" s="1553"/>
      <c r="Q53" s="1552" t="s">
        <v>13</v>
      </c>
      <c r="R53" s="1552"/>
      <c r="S53" s="1552"/>
      <c r="T53" s="1552" t="s">
        <v>12</v>
      </c>
      <c r="U53" s="1553"/>
      <c r="V53" s="1552" t="s">
        <v>13</v>
      </c>
      <c r="W53" s="1552"/>
      <c r="X53" s="1552"/>
      <c r="Y53" s="1552" t="s">
        <v>12</v>
      </c>
      <c r="Z53" s="1553"/>
      <c r="AA53" s="1552" t="s">
        <v>13</v>
      </c>
      <c r="AB53" s="1552"/>
      <c r="AC53" s="1552"/>
      <c r="AD53" s="1552" t="s">
        <v>12</v>
      </c>
      <c r="AE53" s="1553"/>
      <c r="AF53" s="1552" t="s">
        <v>13</v>
      </c>
      <c r="AG53" s="1552"/>
      <c r="AH53" s="1552"/>
      <c r="AI53" s="1552" t="s">
        <v>12</v>
      </c>
      <c r="AJ53" s="1553"/>
      <c r="AN53" s="1342"/>
      <c r="AO53" s="1338"/>
      <c r="AS53" s="1342"/>
      <c r="AT53" s="1338"/>
      <c r="AX53" s="1342"/>
      <c r="AY53" s="1338"/>
    </row>
    <row r="54" spans="1:51" s="87" customFormat="1" x14ac:dyDescent="0.25">
      <c r="A54" s="87" t="s">
        <v>14</v>
      </c>
      <c r="E54" s="1554" t="s">
        <v>29</v>
      </c>
      <c r="F54" s="1555"/>
      <c r="G54" s="1335" t="str">
        <f>'AM Benches Data'!B2</f>
        <v>732A</v>
      </c>
      <c r="H54" s="87" t="str">
        <f>G54</f>
        <v>732A</v>
      </c>
      <c r="I54" s="87" t="str">
        <f>H54</f>
        <v>732A</v>
      </c>
      <c r="J54" s="87" t="str">
        <f>I54</f>
        <v>732A</v>
      </c>
      <c r="K54" s="1336" t="str">
        <f>J54</f>
        <v>732A</v>
      </c>
      <c r="L54" s="87" t="str">
        <f>'AM Benches Data'!C2</f>
        <v>736A</v>
      </c>
      <c r="M54" s="87" t="str">
        <f>L54</f>
        <v>736A</v>
      </c>
      <c r="N54" s="87" t="str">
        <f>M54</f>
        <v>736A</v>
      </c>
      <c r="O54" s="1335" t="str">
        <f>N54</f>
        <v>736A</v>
      </c>
      <c r="P54" s="1336" t="str">
        <f>O54</f>
        <v>736A</v>
      </c>
      <c r="Q54" s="87" t="str">
        <f>'AM Benches Data'!D2</f>
        <v>736B</v>
      </c>
      <c r="R54" s="87" t="str">
        <f>Q54</f>
        <v>736B</v>
      </c>
      <c r="S54" s="87" t="str">
        <f>R54</f>
        <v>736B</v>
      </c>
      <c r="T54" s="1335" t="str">
        <f>S54</f>
        <v>736B</v>
      </c>
      <c r="U54" s="1336" t="str">
        <f>T54</f>
        <v>736B</v>
      </c>
      <c r="V54" s="87" t="str">
        <f>'AM Benches Data'!H2</f>
        <v>738A</v>
      </c>
      <c r="W54" s="87" t="str">
        <f>V54</f>
        <v>738A</v>
      </c>
      <c r="X54" s="87" t="str">
        <f>W54</f>
        <v>738A</v>
      </c>
      <c r="Y54" s="1335" t="str">
        <f>X54</f>
        <v>738A</v>
      </c>
      <c r="Z54" s="1336" t="str">
        <f>Y54</f>
        <v>738A</v>
      </c>
      <c r="AA54" s="87" t="str">
        <f>'AM Benches Data'!I2</f>
        <v>738B</v>
      </c>
      <c r="AB54" s="87" t="str">
        <f>AA54</f>
        <v>738B</v>
      </c>
      <c r="AC54" s="87" t="str">
        <f>AB54</f>
        <v>738B</v>
      </c>
      <c r="AD54" s="1335" t="str">
        <f>AC54</f>
        <v>738B</v>
      </c>
      <c r="AE54" s="1336" t="str">
        <f>AD54</f>
        <v>738B</v>
      </c>
      <c r="AF54" s="87" t="str">
        <f>'AM Benches Data'!K2</f>
        <v>730A/B</v>
      </c>
      <c r="AG54" s="87" t="str">
        <f>AF54</f>
        <v>730A/B</v>
      </c>
      <c r="AH54" s="87" t="str">
        <f>AG54</f>
        <v>730A/B</v>
      </c>
      <c r="AI54" s="1335" t="str">
        <f>AH54</f>
        <v>730A/B</v>
      </c>
      <c r="AJ54" s="1336" t="str">
        <f>AI54</f>
        <v>730A/B</v>
      </c>
      <c r="AN54" s="1335"/>
      <c r="AO54" s="1336"/>
      <c r="AS54" s="1335"/>
      <c r="AT54" s="1336"/>
      <c r="AX54" s="1335"/>
      <c r="AY54" s="1336"/>
    </row>
    <row r="55" spans="1:51" s="87" customFormat="1" x14ac:dyDescent="0.25">
      <c r="A55" s="87" t="s">
        <v>16</v>
      </c>
      <c r="B55" s="1335" t="s">
        <v>17</v>
      </c>
      <c r="C55" s="87" t="s">
        <v>18</v>
      </c>
      <c r="D55" s="87" t="s">
        <v>19</v>
      </c>
      <c r="E55" s="87" t="s">
        <v>20</v>
      </c>
      <c r="F55" s="1336" t="s">
        <v>21</v>
      </c>
      <c r="G55" s="1335" t="s">
        <v>17</v>
      </c>
      <c r="H55" s="87" t="s">
        <v>18</v>
      </c>
      <c r="I55" s="87" t="s">
        <v>19</v>
      </c>
      <c r="J55" s="87" t="s">
        <v>20</v>
      </c>
      <c r="K55" s="1336" t="s">
        <v>21</v>
      </c>
      <c r="L55" s="87" t="s">
        <v>17</v>
      </c>
      <c r="M55" s="87" t="s">
        <v>18</v>
      </c>
      <c r="N55" s="87" t="s">
        <v>19</v>
      </c>
      <c r="O55" s="1335" t="s">
        <v>20</v>
      </c>
      <c r="P55" s="1336" t="s">
        <v>21</v>
      </c>
      <c r="Q55" s="87" t="s">
        <v>17</v>
      </c>
      <c r="R55" s="87" t="s">
        <v>18</v>
      </c>
      <c r="S55" s="87" t="s">
        <v>19</v>
      </c>
      <c r="T55" s="1335" t="s">
        <v>20</v>
      </c>
      <c r="U55" s="1336" t="s">
        <v>21</v>
      </c>
      <c r="V55" s="87" t="s">
        <v>17</v>
      </c>
      <c r="W55" s="87" t="s">
        <v>18</v>
      </c>
      <c r="X55" s="87" t="s">
        <v>19</v>
      </c>
      <c r="Y55" s="1335" t="s">
        <v>20</v>
      </c>
      <c r="Z55" s="1336" t="s">
        <v>21</v>
      </c>
      <c r="AA55" s="87" t="s">
        <v>17</v>
      </c>
      <c r="AB55" s="87" t="s">
        <v>18</v>
      </c>
      <c r="AC55" s="87" t="s">
        <v>19</v>
      </c>
      <c r="AD55" s="1335" t="s">
        <v>20</v>
      </c>
      <c r="AE55" s="1336" t="s">
        <v>21</v>
      </c>
      <c r="AF55" s="87" t="s">
        <v>17</v>
      </c>
      <c r="AG55" s="87" t="s">
        <v>18</v>
      </c>
      <c r="AH55" s="87" t="s">
        <v>19</v>
      </c>
      <c r="AI55" s="1335" t="s">
        <v>20</v>
      </c>
      <c r="AJ55" s="1336" t="s">
        <v>21</v>
      </c>
      <c r="AN55" s="1335"/>
      <c r="AO55" s="1336"/>
      <c r="AS55" s="1335"/>
      <c r="AT55" s="1336"/>
      <c r="AX55" s="1335"/>
      <c r="AY55" s="1336"/>
    </row>
    <row r="56" spans="1:51" s="87" customFormat="1" x14ac:dyDescent="0.25">
      <c r="A56" s="87" t="s">
        <v>22</v>
      </c>
      <c r="B56" s="1345" t="s">
        <v>23</v>
      </c>
      <c r="C56" s="1346" t="s">
        <v>24</v>
      </c>
      <c r="D56" s="1346" t="s">
        <v>25</v>
      </c>
      <c r="E56" s="1346" t="s">
        <v>26</v>
      </c>
      <c r="F56" s="1347" t="s">
        <v>27</v>
      </c>
      <c r="G56" s="1335" t="str">
        <f>'AM Benches Data'!B3</f>
        <v>13 Wks</v>
      </c>
      <c r="H56" s="87" t="str">
        <f>'AM Benches Data'!L3</f>
        <v>14 - 26 Wks</v>
      </c>
      <c r="I56" s="87" t="str">
        <f>'AM Benches Data'!V3</f>
        <v>27 - 52 Wks</v>
      </c>
      <c r="K56" s="1336"/>
      <c r="L56" s="87" t="str">
        <f>G56</f>
        <v>13 Wks</v>
      </c>
      <c r="M56" s="87" t="str">
        <f t="shared" ref="M56" si="27">H56</f>
        <v>14 - 26 Wks</v>
      </c>
      <c r="N56" s="87" t="str">
        <f t="shared" ref="N56" si="28">I56</f>
        <v>27 - 52 Wks</v>
      </c>
      <c r="O56" s="1335"/>
      <c r="P56" s="1336"/>
      <c r="Q56" s="87" t="str">
        <f>G56</f>
        <v>13 Wks</v>
      </c>
      <c r="R56" s="87" t="str">
        <f t="shared" ref="R56" si="29">H56</f>
        <v>14 - 26 Wks</v>
      </c>
      <c r="S56" s="87" t="str">
        <f t="shared" ref="S56" si="30">I56</f>
        <v>27 - 52 Wks</v>
      </c>
      <c r="T56" s="1335"/>
      <c r="U56" s="1336"/>
      <c r="V56" s="87" t="str">
        <f>Q56</f>
        <v>13 Wks</v>
      </c>
      <c r="W56" s="87" t="str">
        <f>R56</f>
        <v>14 - 26 Wks</v>
      </c>
      <c r="X56" s="87" t="str">
        <f>S56</f>
        <v>27 - 52 Wks</v>
      </c>
      <c r="Y56" s="1335"/>
      <c r="Z56" s="1336"/>
      <c r="AA56" s="87" t="str">
        <f>V56</f>
        <v>13 Wks</v>
      </c>
      <c r="AB56" s="87" t="str">
        <f>W56</f>
        <v>14 - 26 Wks</v>
      </c>
      <c r="AC56" s="87" t="str">
        <f>X56</f>
        <v>27 - 52 Wks</v>
      </c>
      <c r="AD56" s="1335"/>
      <c r="AE56" s="1336"/>
      <c r="AF56" s="87" t="str">
        <f>AA56</f>
        <v>13 Wks</v>
      </c>
      <c r="AG56" s="87" t="str">
        <f>AB56</f>
        <v>14 - 26 Wks</v>
      </c>
      <c r="AH56" s="87" t="str">
        <f>AC56</f>
        <v>27 - 52 Wks</v>
      </c>
      <c r="AI56" s="1335"/>
      <c r="AJ56" s="1336"/>
      <c r="AN56" s="1335"/>
      <c r="AO56" s="1336"/>
      <c r="AS56" s="1335"/>
      <c r="AT56" s="1336"/>
      <c r="AX56" s="1335"/>
      <c r="AY56" s="1336"/>
    </row>
    <row r="57" spans="1:51" s="191" customFormat="1" x14ac:dyDescent="0.25">
      <c r="A57" s="1333">
        <f>'AM Benches Data'!A52</f>
        <v>44593</v>
      </c>
      <c r="B57" s="7">
        <f>'AM Benches Data'!AG52*('AM Benches Data'!AD52/100)</f>
        <v>1278.2</v>
      </c>
      <c r="C57" s="7">
        <f>'AM Benches Data'!AH52*('AM Benches Data'!AE52/100)</f>
        <v>585.12</v>
      </c>
      <c r="D57" s="7">
        <f>'AM Benches Data'!AI52*('AM Benches Data'!AF52/100)</f>
        <v>996.19999999999993</v>
      </c>
      <c r="E57" s="191" t="s">
        <v>28</v>
      </c>
      <c r="F57" s="192" t="s">
        <v>28</v>
      </c>
      <c r="G57" s="190">
        <f>'AM Benches Data'!B52</f>
        <v>161</v>
      </c>
      <c r="H57" s="191">
        <f>'AM Benches Data'!L52</f>
        <v>78</v>
      </c>
      <c r="I57" s="191">
        <f>'AM Benches Data'!V52</f>
        <v>136</v>
      </c>
      <c r="J57" s="191" t="s">
        <v>28</v>
      </c>
      <c r="K57" s="192" t="s">
        <v>28</v>
      </c>
      <c r="L57" s="191">
        <f>'AM Benches Data'!C52</f>
        <v>116</v>
      </c>
      <c r="M57" s="191">
        <f>'AM Benches Data'!M52</f>
        <v>30</v>
      </c>
      <c r="N57" s="191">
        <f>'AM Benches Data'!W52</f>
        <v>55</v>
      </c>
      <c r="O57" s="190" t="s">
        <v>28</v>
      </c>
      <c r="P57" s="192" t="s">
        <v>28</v>
      </c>
      <c r="Q57" s="191">
        <f>'AM Benches Data'!D52</f>
        <v>78</v>
      </c>
      <c r="R57" s="191">
        <f>'AM Benches Data'!N52</f>
        <v>27</v>
      </c>
      <c r="S57" s="191">
        <f>'AM Benches Data'!X52</f>
        <v>45</v>
      </c>
      <c r="T57" s="190" t="s">
        <v>28</v>
      </c>
      <c r="U57" s="192" t="s">
        <v>28</v>
      </c>
      <c r="V57" s="191">
        <f>'AM Benches Data'!H52</f>
        <v>42</v>
      </c>
      <c r="W57" s="191">
        <f>'AM Benches Data'!R52</f>
        <v>35</v>
      </c>
      <c r="X57" s="191">
        <f>'AM Benches Data'!Z52</f>
        <v>34</v>
      </c>
      <c r="Y57" s="190" t="s">
        <v>28</v>
      </c>
      <c r="Z57" s="192" t="s">
        <v>28</v>
      </c>
      <c r="AA57" s="191">
        <f>'AM Benches Data'!I52</f>
        <v>55</v>
      </c>
      <c r="AB57" s="191">
        <f>'AM Benches Data'!S52</f>
        <v>47</v>
      </c>
      <c r="AC57" s="191">
        <f>'AM Benches Data'!AA52</f>
        <v>43</v>
      </c>
      <c r="AD57" s="190" t="s">
        <v>28</v>
      </c>
      <c r="AE57" s="192" t="s">
        <v>28</v>
      </c>
      <c r="AF57" s="191">
        <f>'AM Benches Data'!K52</f>
        <v>60</v>
      </c>
      <c r="AG57" s="191">
        <f>'AM Benches Data'!U52</f>
        <v>26</v>
      </c>
      <c r="AH57" s="191">
        <f>'AM Benches Data'!AC52</f>
        <v>57</v>
      </c>
      <c r="AI57" s="190" t="s">
        <v>28</v>
      </c>
      <c r="AJ57" s="192" t="s">
        <v>28</v>
      </c>
      <c r="AN57" s="190"/>
      <c r="AO57" s="192"/>
      <c r="AS57" s="190"/>
      <c r="AT57" s="192"/>
      <c r="AX57" s="190"/>
      <c r="AY57" s="192"/>
    </row>
    <row r="58" spans="1:51" x14ac:dyDescent="0.25">
      <c r="A58" s="1332">
        <f>'AM Benches Data'!A53</f>
        <v>44617</v>
      </c>
      <c r="B58" s="7">
        <f>'AM Benches Data'!AG53*('AM Benches Data'!AD53/100)</f>
        <v>1220.9399999999998</v>
      </c>
      <c r="C58" s="7">
        <f>'AM Benches Data'!AH53*('AM Benches Data'!AE53/100)</f>
        <v>840.23</v>
      </c>
      <c r="D58" s="7">
        <f>'AM Benches Data'!AI53*('AM Benches Data'!AF53/100)</f>
        <v>893.35</v>
      </c>
      <c r="E58" s="43" t="s">
        <v>28</v>
      </c>
      <c r="F58" s="81" t="s">
        <v>28</v>
      </c>
      <c r="G58" s="67">
        <f>'AM Benches Data'!B53</f>
        <v>153</v>
      </c>
      <c r="H58" s="43">
        <f>'AM Benches Data'!L53</f>
        <v>123</v>
      </c>
      <c r="I58" s="43">
        <f>'AM Benches Data'!V53</f>
        <v>105</v>
      </c>
      <c r="J58" s="43" t="s">
        <v>28</v>
      </c>
      <c r="K58" s="81" t="s">
        <v>28</v>
      </c>
      <c r="L58" s="43">
        <f>'AM Benches Data'!C53</f>
        <v>100</v>
      </c>
      <c r="M58" s="43">
        <f>'AM Benches Data'!M53</f>
        <v>42</v>
      </c>
      <c r="N58" s="43">
        <f>'AM Benches Data'!W53</f>
        <v>52</v>
      </c>
      <c r="O58" s="67" t="s">
        <v>28</v>
      </c>
      <c r="P58" s="81" t="s">
        <v>28</v>
      </c>
      <c r="Q58" s="43">
        <f>'AM Benches Data'!D53</f>
        <v>64</v>
      </c>
      <c r="R58" s="43">
        <f>'AM Benches Data'!N53</f>
        <v>38</v>
      </c>
      <c r="S58" s="43">
        <f>'AM Benches Data'!X53</f>
        <v>40</v>
      </c>
      <c r="T58" s="67" t="s">
        <v>28</v>
      </c>
      <c r="U58" s="81" t="s">
        <v>28</v>
      </c>
      <c r="V58" s="43">
        <f>'AM Benches Data'!H53</f>
        <v>63</v>
      </c>
      <c r="W58" s="43">
        <f>'AM Benches Data'!R53</f>
        <v>50</v>
      </c>
      <c r="X58" s="43">
        <f>'AM Benches Data'!Z53</f>
        <v>28</v>
      </c>
      <c r="Y58" s="67" t="s">
        <v>28</v>
      </c>
      <c r="Z58" s="81" t="s">
        <v>28</v>
      </c>
      <c r="AA58" s="43">
        <f>'AM Benches Data'!I53</f>
        <v>80</v>
      </c>
      <c r="AB58" s="43">
        <f>'AM Benches Data'!S53</f>
        <v>58</v>
      </c>
      <c r="AC58" s="43">
        <f>'AM Benches Data'!AA53</f>
        <v>36</v>
      </c>
      <c r="AD58" s="67" t="s">
        <v>28</v>
      </c>
      <c r="AE58" s="81" t="s">
        <v>28</v>
      </c>
      <c r="AF58" s="43">
        <f>'AM Benches Data'!K53</f>
        <v>56</v>
      </c>
      <c r="AG58" s="43">
        <f>'AM Benches Data'!U53</f>
        <v>33</v>
      </c>
      <c r="AH58" s="43">
        <f>'AM Benches Data'!AC53</f>
        <v>57</v>
      </c>
      <c r="AI58" s="67" t="s">
        <v>28</v>
      </c>
      <c r="AJ58" s="81" t="s">
        <v>28</v>
      </c>
    </row>
    <row r="59" spans="1:51" x14ac:dyDescent="0.25">
      <c r="A59" s="1332">
        <f>'AM Benches Data'!A54</f>
        <v>44655</v>
      </c>
      <c r="B59" s="7">
        <f>'AM Benches Data'!AG54*('AM Benches Data'!AD54/100)</f>
        <v>1166</v>
      </c>
      <c r="C59" s="7">
        <f>'AM Benches Data'!AH54*('AM Benches Data'!AE54/100)</f>
        <v>806.6099999999999</v>
      </c>
      <c r="D59" s="7">
        <f>'AM Benches Data'!AI54*('AM Benches Data'!AF54/100)</f>
        <v>967.84</v>
      </c>
      <c r="E59" s="116" t="s">
        <v>28</v>
      </c>
      <c r="F59" s="81" t="s">
        <v>28</v>
      </c>
      <c r="G59" s="67">
        <f>'AM Benches Data'!B54</f>
        <v>155</v>
      </c>
      <c r="H59" s="43">
        <f>'AM Benches Data'!L54</f>
        <v>116</v>
      </c>
      <c r="I59" s="43">
        <f>'AM Benches Data'!V54</f>
        <v>117</v>
      </c>
      <c r="J59" s="116" t="s">
        <v>28</v>
      </c>
      <c r="K59" s="81" t="s">
        <v>28</v>
      </c>
      <c r="L59" s="43">
        <f>'AM Benches Data'!C54</f>
        <v>77</v>
      </c>
      <c r="M59" s="43">
        <f>'AM Benches Data'!M54</f>
        <v>50</v>
      </c>
      <c r="N59" s="43">
        <f>'AM Benches Data'!W54</f>
        <v>41</v>
      </c>
      <c r="O59" s="1341" t="s">
        <v>28</v>
      </c>
      <c r="P59" s="81" t="s">
        <v>28</v>
      </c>
      <c r="Q59" s="43">
        <f>'AM Benches Data'!D54</f>
        <v>63</v>
      </c>
      <c r="R59" s="43">
        <f>'AM Benches Data'!N54</f>
        <v>47</v>
      </c>
      <c r="S59" s="43">
        <f>'AM Benches Data'!X54</f>
        <v>31</v>
      </c>
      <c r="T59" s="1341" t="s">
        <v>28</v>
      </c>
      <c r="U59" s="81" t="s">
        <v>28</v>
      </c>
      <c r="V59" s="43">
        <f>'AM Benches Data'!H54</f>
        <v>66</v>
      </c>
      <c r="W59" s="43">
        <f>'AM Benches Data'!R54</f>
        <v>26</v>
      </c>
      <c r="X59" s="43">
        <f>'AM Benches Data'!Z54</f>
        <v>31</v>
      </c>
      <c r="Y59" s="1341" t="s">
        <v>28</v>
      </c>
      <c r="Z59" s="81" t="s">
        <v>28</v>
      </c>
      <c r="AA59" s="43">
        <f>'AM Benches Data'!I54</f>
        <v>84</v>
      </c>
      <c r="AB59" s="43">
        <f>'AM Benches Data'!S54</f>
        <v>34</v>
      </c>
      <c r="AC59" s="43">
        <f>'AM Benches Data'!AA54</f>
        <v>41</v>
      </c>
      <c r="AD59" s="1341" t="s">
        <v>28</v>
      </c>
      <c r="AE59" s="81" t="s">
        <v>28</v>
      </c>
      <c r="AF59" s="43">
        <f>'AM Benches Data'!K54</f>
        <v>46</v>
      </c>
      <c r="AG59" s="43">
        <f>'AM Benches Data'!U54</f>
        <v>38</v>
      </c>
      <c r="AH59" s="43">
        <f>'AM Benches Data'!AC54</f>
        <v>56</v>
      </c>
      <c r="AI59" s="1341" t="s">
        <v>28</v>
      </c>
      <c r="AJ59" s="81" t="s">
        <v>28</v>
      </c>
    </row>
    <row r="60" spans="1:51" x14ac:dyDescent="0.25">
      <c r="A60" s="1332">
        <f>'AM Benches Data'!A55</f>
        <v>44691</v>
      </c>
      <c r="B60" s="7">
        <f>'AM Benches Data'!AG55*('AM Benches Data'!AD55/100)</f>
        <v>1025</v>
      </c>
      <c r="C60" s="7">
        <f>'AM Benches Data'!AH55*('AM Benches Data'!AE55/100)</f>
        <v>959.2</v>
      </c>
      <c r="D60" s="7">
        <f>'AM Benches Data'!AI55*('AM Benches Data'!AF55/100)</f>
        <v>744.04</v>
      </c>
      <c r="E60" s="116">
        <f t="shared" ref="E60:E65" si="31">B60/C57</f>
        <v>1.7517774131802024</v>
      </c>
      <c r="F60" s="81" t="s">
        <v>28</v>
      </c>
      <c r="G60" s="67">
        <f>'AM Benches Data'!B55</f>
        <v>140</v>
      </c>
      <c r="H60" s="43">
        <f>'AM Benches Data'!L55</f>
        <v>117</v>
      </c>
      <c r="I60" s="43">
        <f>'AM Benches Data'!V55</f>
        <v>85</v>
      </c>
      <c r="J60" s="116">
        <f t="shared" ref="J60:J65" si="32">G60/H57</f>
        <v>1.7948717948717949</v>
      </c>
      <c r="K60" s="81" t="s">
        <v>28</v>
      </c>
      <c r="L60" s="43">
        <f>'AM Benches Data'!C55</f>
        <v>61</v>
      </c>
      <c r="M60" s="43">
        <f>'AM Benches Data'!M55</f>
        <v>53</v>
      </c>
      <c r="N60" s="43">
        <f>'AM Benches Data'!W55</f>
        <v>40</v>
      </c>
      <c r="O60" s="1341">
        <f t="shared" ref="O60:O65" si="33">L60/M57</f>
        <v>2.0333333333333332</v>
      </c>
      <c r="P60" s="81" t="s">
        <v>28</v>
      </c>
      <c r="Q60" s="43">
        <f>'AM Benches Data'!D55</f>
        <v>50</v>
      </c>
      <c r="R60" s="43">
        <f>'AM Benches Data'!N55</f>
        <v>47</v>
      </c>
      <c r="S60" s="43">
        <f>'AM Benches Data'!X55</f>
        <v>31</v>
      </c>
      <c r="T60" s="1341">
        <f t="shared" ref="T60:T65" si="34">Q60/R57</f>
        <v>1.8518518518518519</v>
      </c>
      <c r="U60" s="81" t="s">
        <v>28</v>
      </c>
      <c r="V60" s="43">
        <f>'AM Benches Data'!H55</f>
        <v>53</v>
      </c>
      <c r="W60" s="43">
        <f>'AM Benches Data'!R55</f>
        <v>52</v>
      </c>
      <c r="X60" s="43">
        <f>'AM Benches Data'!Z55</f>
        <v>35</v>
      </c>
      <c r="Y60" s="1341">
        <f t="shared" ref="Y60:Y65" si="35">V60/W57</f>
        <v>1.5142857142857142</v>
      </c>
      <c r="Z60" s="81" t="s">
        <v>28</v>
      </c>
      <c r="AA60" s="43">
        <f>'AM Benches Data'!I55</f>
        <v>80</v>
      </c>
      <c r="AB60" s="43">
        <f>'AM Benches Data'!S55</f>
        <v>62</v>
      </c>
      <c r="AC60" s="43">
        <f>'AM Benches Data'!AA55</f>
        <v>46</v>
      </c>
      <c r="AD60" s="1341">
        <f t="shared" ref="AD60:AD65" si="36">AA60/AB57</f>
        <v>1.7021276595744681</v>
      </c>
      <c r="AE60" s="81" t="s">
        <v>28</v>
      </c>
      <c r="AF60" s="43">
        <f>'AM Benches Data'!K55</f>
        <v>41</v>
      </c>
      <c r="AG60" s="43">
        <f>'AM Benches Data'!U55</f>
        <v>47</v>
      </c>
      <c r="AH60" s="43">
        <f>'AM Benches Data'!AC55</f>
        <v>47</v>
      </c>
      <c r="AI60" s="1341">
        <f t="shared" ref="AI60:AI65" si="37">AF60/AG57</f>
        <v>1.5769230769230769</v>
      </c>
      <c r="AJ60" s="81" t="s">
        <v>28</v>
      </c>
    </row>
    <row r="61" spans="1:51" x14ac:dyDescent="0.25">
      <c r="A61" s="1332">
        <f>'AM Benches Data'!A56</f>
        <v>44714</v>
      </c>
      <c r="B61" s="7">
        <f>'AM Benches Data'!AG56*('AM Benches Data'!AD56/100)</f>
        <v>980.42</v>
      </c>
      <c r="C61" s="7">
        <f>'AM Benches Data'!AH56*('AM Benches Data'!AE56/100)</f>
        <v>926.5</v>
      </c>
      <c r="D61" s="7">
        <f>'AM Benches Data'!AI56*('AM Benches Data'!AF56/100)</f>
        <v>685.3</v>
      </c>
      <c r="E61" s="116">
        <f t="shared" si="31"/>
        <v>1.1668471727979244</v>
      </c>
      <c r="F61" s="81" t="s">
        <v>28</v>
      </c>
      <c r="G61" s="67">
        <f>'AM Benches Data'!B56</f>
        <v>145</v>
      </c>
      <c r="H61" s="43">
        <f>'AM Benches Data'!L56</f>
        <v>119</v>
      </c>
      <c r="I61" s="43">
        <f>'AM Benches Data'!V56</f>
        <v>83</v>
      </c>
      <c r="J61" s="116">
        <f t="shared" si="32"/>
        <v>1.1788617886178863</v>
      </c>
      <c r="K61" s="81" t="s">
        <v>28</v>
      </c>
      <c r="L61" s="43">
        <f>'AM Benches Data'!C56</f>
        <v>49</v>
      </c>
      <c r="M61" s="43">
        <f>'AM Benches Data'!M56</f>
        <v>50</v>
      </c>
      <c r="N61" s="43">
        <f>'AM Benches Data'!W56</f>
        <v>28</v>
      </c>
      <c r="O61" s="1341">
        <f t="shared" si="33"/>
        <v>1.1666666666666667</v>
      </c>
      <c r="P61" s="81" t="s">
        <v>28</v>
      </c>
      <c r="Q61" s="43">
        <f>'AM Benches Data'!D56</f>
        <v>46</v>
      </c>
      <c r="R61" s="43">
        <f>'AM Benches Data'!N56</f>
        <v>43</v>
      </c>
      <c r="S61" s="43">
        <f>'AM Benches Data'!X56</f>
        <v>21</v>
      </c>
      <c r="T61" s="1341">
        <f t="shared" si="34"/>
        <v>1.2105263157894737</v>
      </c>
      <c r="U61" s="81" t="s">
        <v>28</v>
      </c>
      <c r="V61" s="43">
        <f>'AM Benches Data'!H56</f>
        <v>66</v>
      </c>
      <c r="W61" s="43">
        <f>'AM Benches Data'!R56</f>
        <v>41</v>
      </c>
      <c r="X61" s="43">
        <f>'AM Benches Data'!Z56</f>
        <v>20</v>
      </c>
      <c r="Y61" s="1341">
        <f t="shared" si="35"/>
        <v>1.32</v>
      </c>
      <c r="Z61" s="81" t="s">
        <v>28</v>
      </c>
      <c r="AA61" s="43">
        <f>'AM Benches Data'!I56</f>
        <v>81</v>
      </c>
      <c r="AB61" s="43">
        <f>'AM Benches Data'!S56</f>
        <v>60</v>
      </c>
      <c r="AC61" s="43">
        <f>'AM Benches Data'!AA56</f>
        <v>28</v>
      </c>
      <c r="AD61" s="1341">
        <f t="shared" si="36"/>
        <v>1.396551724137931</v>
      </c>
      <c r="AE61" s="81" t="s">
        <v>28</v>
      </c>
      <c r="AF61" s="43">
        <f>'AM Benches Data'!K56</f>
        <v>37</v>
      </c>
      <c r="AG61" s="43">
        <f>'AM Benches Data'!U56</f>
        <v>43</v>
      </c>
      <c r="AH61" s="43">
        <f>'AM Benches Data'!AC56</f>
        <v>45</v>
      </c>
      <c r="AI61" s="1341">
        <f t="shared" si="37"/>
        <v>1.1212121212121211</v>
      </c>
      <c r="AJ61" s="81" t="s">
        <v>28</v>
      </c>
    </row>
    <row r="62" spans="1:51" x14ac:dyDescent="0.25">
      <c r="A62" s="1332">
        <f>'AM Benches Data'!A57</f>
        <v>44753</v>
      </c>
      <c r="B62" s="7">
        <f>'AM Benches Data'!AG57*('AM Benches Data'!AD57/100)</f>
        <v>1010.38</v>
      </c>
      <c r="C62" s="7">
        <f>'AM Benches Data'!AH57*('AM Benches Data'!AE57/100)</f>
        <v>651.75</v>
      </c>
      <c r="D62" s="7">
        <f>'AM Benches Data'!AI57*('AM Benches Data'!AF57/100)</f>
        <v>642.85</v>
      </c>
      <c r="E62" s="116">
        <f t="shared" si="31"/>
        <v>1.2526251844137812</v>
      </c>
      <c r="F62" s="81" t="s">
        <v>28</v>
      </c>
      <c r="G62" s="67">
        <f>'AM Benches Data'!B57</f>
        <v>116</v>
      </c>
      <c r="H62" s="43">
        <f>'AM Benches Data'!L57</f>
        <v>86</v>
      </c>
      <c r="I62" s="43">
        <f>'AM Benches Data'!V57</f>
        <v>86</v>
      </c>
      <c r="J62" s="116">
        <f t="shared" si="32"/>
        <v>1</v>
      </c>
      <c r="K62" s="81" t="s">
        <v>28</v>
      </c>
      <c r="L62" s="43">
        <f>'AM Benches Data'!C57</f>
        <v>50</v>
      </c>
      <c r="M62" s="43">
        <f>'AM Benches Data'!M57</f>
        <v>43</v>
      </c>
      <c r="N62" s="43">
        <f>'AM Benches Data'!W57</f>
        <v>17</v>
      </c>
      <c r="O62" s="1341">
        <f t="shared" si="33"/>
        <v>1</v>
      </c>
      <c r="P62" s="81" t="s">
        <v>28</v>
      </c>
      <c r="Q62" s="43">
        <f>'AM Benches Data'!D57</f>
        <v>47</v>
      </c>
      <c r="R62" s="43">
        <f>'AM Benches Data'!N57</f>
        <v>33</v>
      </c>
      <c r="S62" s="43">
        <f>'AM Benches Data'!X57</f>
        <v>16</v>
      </c>
      <c r="T62" s="1341">
        <f t="shared" si="34"/>
        <v>1</v>
      </c>
      <c r="U62" s="81" t="s">
        <v>28</v>
      </c>
      <c r="V62" s="43">
        <f>'AM Benches Data'!H57</f>
        <v>54</v>
      </c>
      <c r="W62" s="43">
        <f>'AM Benches Data'!R57</f>
        <v>30</v>
      </c>
      <c r="X62" s="43">
        <f>'AM Benches Data'!Z57</f>
        <v>23</v>
      </c>
      <c r="Y62" s="1341">
        <f t="shared" si="35"/>
        <v>2.0769230769230771</v>
      </c>
      <c r="Z62" s="81" t="s">
        <v>28</v>
      </c>
      <c r="AA62" s="43">
        <f>'AM Benches Data'!I57</f>
        <v>75</v>
      </c>
      <c r="AB62" s="43">
        <f>'AM Benches Data'!S57</f>
        <v>41</v>
      </c>
      <c r="AC62" s="43">
        <f>'AM Benches Data'!AA57</f>
        <v>31</v>
      </c>
      <c r="AD62" s="1341">
        <f t="shared" si="36"/>
        <v>2.2058823529411766</v>
      </c>
      <c r="AE62" s="81" t="s">
        <v>28</v>
      </c>
      <c r="AF62" s="43">
        <f>'AM Benches Data'!K57</f>
        <v>44</v>
      </c>
      <c r="AG62" s="43">
        <f>'AM Benches Data'!U57</f>
        <v>41</v>
      </c>
      <c r="AH62" s="43">
        <f>'AM Benches Data'!AC57</f>
        <v>33.5</v>
      </c>
      <c r="AI62" s="1341">
        <f t="shared" si="37"/>
        <v>1.1578947368421053</v>
      </c>
      <c r="AJ62" s="81" t="s">
        <v>28</v>
      </c>
    </row>
    <row r="63" spans="1:51" x14ac:dyDescent="0.25">
      <c r="A63" s="1332">
        <v>44774</v>
      </c>
      <c r="B63" s="7">
        <f>'AM Benches Data'!AG58*('AM Benches Data'!AD58/100)</f>
        <v>888.16000000000008</v>
      </c>
      <c r="C63" s="7">
        <f>'AM Benches Data'!AH58*('AM Benches Data'!AE58/100)</f>
        <v>662.4</v>
      </c>
      <c r="D63" s="7">
        <f>'AM Benches Data'!AI58*('AM Benches Data'!AF58/100)</f>
        <v>645.06000000000006</v>
      </c>
      <c r="E63" s="116">
        <f t="shared" si="31"/>
        <v>0.92593828190158467</v>
      </c>
      <c r="F63" s="116">
        <f t="shared" ref="F63:F68" si="38">B63/D57</f>
        <v>0.89154788195141554</v>
      </c>
      <c r="G63" s="67">
        <f>'AM Benches Data'!B58</f>
        <v>82</v>
      </c>
      <c r="H63" s="43">
        <f>'AM Benches Data'!L58</f>
        <v>92</v>
      </c>
      <c r="I63" s="43">
        <f>'AM Benches Data'!V58</f>
        <v>88</v>
      </c>
      <c r="J63" s="116">
        <f t="shared" si="32"/>
        <v>0.70085470085470081</v>
      </c>
      <c r="K63" s="116">
        <f t="shared" ref="K63:K68" si="39">G63/I57</f>
        <v>0.6029411764705882</v>
      </c>
      <c r="L63" s="43">
        <f>'AM Benches Data'!C58</f>
        <v>48</v>
      </c>
      <c r="M63" s="43">
        <f>'AM Benches Data'!M58</f>
        <v>46</v>
      </c>
      <c r="N63" s="43">
        <f>'AM Benches Data'!W58</f>
        <v>18</v>
      </c>
      <c r="O63" s="1341">
        <f t="shared" si="33"/>
        <v>0.90566037735849059</v>
      </c>
      <c r="P63" s="116">
        <f t="shared" ref="P63:P68" si="40">L63/N57</f>
        <v>0.87272727272727268</v>
      </c>
      <c r="Q63" s="43">
        <f>'AM Benches Data'!D58</f>
        <v>48</v>
      </c>
      <c r="R63" s="43">
        <f>'AM Benches Data'!N58</f>
        <v>33</v>
      </c>
      <c r="S63" s="43">
        <f>'AM Benches Data'!X58</f>
        <v>17</v>
      </c>
      <c r="T63" s="1341">
        <f t="shared" si="34"/>
        <v>1.0212765957446808</v>
      </c>
      <c r="U63" s="116">
        <f t="shared" ref="U63:U68" si="41">Q63/S57</f>
        <v>1.0666666666666667</v>
      </c>
      <c r="V63" s="43">
        <f>'AM Benches Data'!H58</f>
        <v>69</v>
      </c>
      <c r="W63" s="43">
        <f>'AM Benches Data'!R58</f>
        <v>17</v>
      </c>
      <c r="X63" s="43">
        <f>'AM Benches Data'!Z58</f>
        <v>21</v>
      </c>
      <c r="Y63" s="1341">
        <f t="shared" si="35"/>
        <v>1.3269230769230769</v>
      </c>
      <c r="Z63" s="116">
        <f t="shared" ref="Z63:Z68" si="42">V63/X57</f>
        <v>2.0294117647058822</v>
      </c>
      <c r="AA63" s="43">
        <f>'AM Benches Data'!I58</f>
        <v>92</v>
      </c>
      <c r="AB63" s="43">
        <f>'AM Benches Data'!S58</f>
        <v>25</v>
      </c>
      <c r="AC63" s="43">
        <f>'AM Benches Data'!AA58</f>
        <v>30</v>
      </c>
      <c r="AD63" s="1341">
        <f t="shared" si="36"/>
        <v>1.4838709677419355</v>
      </c>
      <c r="AE63" s="116">
        <f t="shared" ref="AE63:AE68" si="43">AA63/AC57</f>
        <v>2.13953488372093</v>
      </c>
      <c r="AF63" s="43">
        <f>'AM Benches Data'!K58</f>
        <v>38</v>
      </c>
      <c r="AG63" s="43">
        <f>'AM Benches Data'!U58</f>
        <v>45</v>
      </c>
      <c r="AH63" s="43">
        <f>'AM Benches Data'!AC58</f>
        <v>35</v>
      </c>
      <c r="AI63" s="1341">
        <f t="shared" si="37"/>
        <v>0.80851063829787229</v>
      </c>
      <c r="AJ63" s="116">
        <f t="shared" ref="AJ63:AJ68" si="44">AF63/AH57</f>
        <v>0.66666666666666663</v>
      </c>
    </row>
    <row r="64" spans="1:51" x14ac:dyDescent="0.25">
      <c r="A64" s="1332">
        <v>44805</v>
      </c>
      <c r="B64" s="7">
        <f>'AM Benches Data'!AG59*('AM Benches Data'!AD59/100)</f>
        <v>835.1400000000001</v>
      </c>
      <c r="C64" s="7">
        <f>'AM Benches Data'!AH59*('AM Benches Data'!AE59/100)</f>
        <v>713.28</v>
      </c>
      <c r="D64" s="7">
        <f>'AM Benches Data'!AI59*('AM Benches Data'!AF59/100)</f>
        <v>639.48</v>
      </c>
      <c r="E64" s="116">
        <f t="shared" si="31"/>
        <v>0.90139233675121433</v>
      </c>
      <c r="F64" s="116">
        <f t="shared" si="38"/>
        <v>0.93484076789612147</v>
      </c>
      <c r="G64" s="67">
        <f>'AM Benches Data'!B59</f>
        <v>87</v>
      </c>
      <c r="H64" s="43">
        <f>'AM Benches Data'!L59</f>
        <v>115</v>
      </c>
      <c r="I64" s="43">
        <f>'AM Benches Data'!V59</f>
        <v>80</v>
      </c>
      <c r="J64" s="116">
        <f t="shared" si="32"/>
        <v>0.73109243697478987</v>
      </c>
      <c r="K64" s="116">
        <f t="shared" si="39"/>
        <v>0.82857142857142863</v>
      </c>
      <c r="L64" s="43">
        <f>'AM Benches Data'!C59</f>
        <v>54</v>
      </c>
      <c r="M64" s="43">
        <f>'AM Benches Data'!M59</f>
        <v>33</v>
      </c>
      <c r="N64" s="43">
        <f>'AM Benches Data'!W59</f>
        <v>29</v>
      </c>
      <c r="O64" s="1341">
        <f t="shared" si="33"/>
        <v>1.08</v>
      </c>
      <c r="P64" s="116">
        <f t="shared" si="40"/>
        <v>1.0384615384615385</v>
      </c>
      <c r="Q64" s="43">
        <f>'AM Benches Data'!D59</f>
        <v>43</v>
      </c>
      <c r="R64" s="43">
        <f>'AM Benches Data'!N59</f>
        <v>24</v>
      </c>
      <c r="S64" s="43">
        <f>'AM Benches Data'!X59</f>
        <v>25</v>
      </c>
      <c r="T64" s="1341">
        <f t="shared" si="34"/>
        <v>1</v>
      </c>
      <c r="U64" s="116">
        <f t="shared" si="41"/>
        <v>1.075</v>
      </c>
      <c r="V64" s="43">
        <f>'AM Benches Data'!H59</f>
        <v>50</v>
      </c>
      <c r="W64" s="43">
        <f>'AM Benches Data'!R59</f>
        <v>13</v>
      </c>
      <c r="X64" s="43">
        <f>'AM Benches Data'!Z59</f>
        <v>26</v>
      </c>
      <c r="Y64" s="1341">
        <f t="shared" si="35"/>
        <v>1.2195121951219512</v>
      </c>
      <c r="Z64" s="116">
        <f t="shared" si="42"/>
        <v>1.7857142857142858</v>
      </c>
      <c r="AA64" s="43">
        <f>'AM Benches Data'!I59</f>
        <v>72</v>
      </c>
      <c r="AB64" s="43">
        <f>'AM Benches Data'!S59</f>
        <v>19</v>
      </c>
      <c r="AC64" s="43">
        <f>'AM Benches Data'!AA59</f>
        <v>34</v>
      </c>
      <c r="AD64" s="1341">
        <f t="shared" si="36"/>
        <v>1.2</v>
      </c>
      <c r="AE64" s="116">
        <f t="shared" si="43"/>
        <v>2</v>
      </c>
      <c r="AF64" s="43">
        <f>'AM Benches Data'!K59</f>
        <v>43</v>
      </c>
      <c r="AG64" s="43">
        <f>'AM Benches Data'!U59</f>
        <v>47</v>
      </c>
      <c r="AH64" s="43">
        <f>'AM Benches Data'!AC59</f>
        <v>35</v>
      </c>
      <c r="AI64" s="1341">
        <f t="shared" si="37"/>
        <v>1</v>
      </c>
      <c r="AJ64" s="116">
        <f t="shared" si="44"/>
        <v>0.75438596491228072</v>
      </c>
    </row>
    <row r="65" spans="1:36" x14ac:dyDescent="0.25">
      <c r="A65" s="1332">
        <v>44838</v>
      </c>
      <c r="B65" s="7">
        <f>'AM Benches Data'!AG60*('AM Benches Data'!AD60/100)</f>
        <v>689.04</v>
      </c>
      <c r="C65" s="7">
        <f>'AM Benches Data'!AH60*('AM Benches Data'!AE60/100)</f>
        <v>767.04</v>
      </c>
      <c r="D65" s="7">
        <f>'AM Benches Data'!AI60*('AM Benches Data'!AF60/100)</f>
        <v>641.48</v>
      </c>
      <c r="E65" s="116">
        <f t="shared" si="31"/>
        <v>1.0572151898734177</v>
      </c>
      <c r="F65" s="116">
        <f t="shared" si="38"/>
        <v>0.71193585716647378</v>
      </c>
      <c r="G65" s="67">
        <f>'AM Benches Data'!B60</f>
        <v>75</v>
      </c>
      <c r="H65" s="43">
        <f>'AM Benches Data'!L60</f>
        <v>114</v>
      </c>
      <c r="I65" s="43">
        <f>'AM Benches Data'!V60</f>
        <v>83</v>
      </c>
      <c r="J65" s="116">
        <f t="shared" si="32"/>
        <v>0.87209302325581395</v>
      </c>
      <c r="K65" s="116">
        <f t="shared" si="39"/>
        <v>0.64102564102564108</v>
      </c>
      <c r="L65" s="43">
        <f>'AM Benches Data'!C60</f>
        <v>66</v>
      </c>
      <c r="M65" s="43">
        <f>'AM Benches Data'!M60</f>
        <v>29</v>
      </c>
      <c r="N65" s="43">
        <f>'AM Benches Data'!W60</f>
        <v>32</v>
      </c>
      <c r="O65" s="1341">
        <f t="shared" si="33"/>
        <v>1.5348837209302326</v>
      </c>
      <c r="P65" s="116">
        <f t="shared" si="40"/>
        <v>1.6097560975609757</v>
      </c>
      <c r="Q65" s="43">
        <f>'AM Benches Data'!D60</f>
        <v>55</v>
      </c>
      <c r="R65" s="43">
        <f>'AM Benches Data'!N60</f>
        <v>19</v>
      </c>
      <c r="S65" s="43">
        <f>'AM Benches Data'!X60</f>
        <v>27</v>
      </c>
      <c r="T65" s="1341">
        <f t="shared" si="34"/>
        <v>1.6666666666666667</v>
      </c>
      <c r="U65" s="116">
        <f t="shared" si="41"/>
        <v>1.7741935483870968</v>
      </c>
      <c r="V65" s="43">
        <f>'AM Benches Data'!H60</f>
        <v>30</v>
      </c>
      <c r="W65" s="43">
        <f>'AM Benches Data'!R60</f>
        <v>18</v>
      </c>
      <c r="X65" s="43">
        <f>'AM Benches Data'!Z60</f>
        <v>23</v>
      </c>
      <c r="Y65" s="1341">
        <f t="shared" si="35"/>
        <v>1</v>
      </c>
      <c r="Z65" s="116">
        <f t="shared" si="42"/>
        <v>0.967741935483871</v>
      </c>
      <c r="AA65" s="43">
        <f>'AM Benches Data'!I60</f>
        <v>42</v>
      </c>
      <c r="AB65" s="43">
        <f>'AM Benches Data'!S60</f>
        <v>22</v>
      </c>
      <c r="AC65" s="43">
        <f>'AM Benches Data'!AA60</f>
        <v>30</v>
      </c>
      <c r="AD65" s="1341">
        <f t="shared" si="36"/>
        <v>1.024390243902439</v>
      </c>
      <c r="AE65" s="116">
        <f t="shared" si="43"/>
        <v>1.024390243902439</v>
      </c>
      <c r="AF65" s="43">
        <f>'AM Benches Data'!K60</f>
        <v>47</v>
      </c>
      <c r="AG65" s="43">
        <f>'AM Benches Data'!U60</f>
        <v>37</v>
      </c>
      <c r="AH65" s="43">
        <f>'AM Benches Data'!AC60</f>
        <v>33</v>
      </c>
      <c r="AI65" s="1341">
        <f t="shared" si="37"/>
        <v>1.1463414634146341</v>
      </c>
      <c r="AJ65" s="116">
        <f t="shared" si="44"/>
        <v>0.8392857142857143</v>
      </c>
    </row>
    <row r="66" spans="1:36" x14ac:dyDescent="0.25">
      <c r="A66" s="1332">
        <v>44868</v>
      </c>
      <c r="B66" s="7">
        <f>'AM Benches Data'!AG61*('AM Benches Data'!AD61/100)</f>
        <v>729.93</v>
      </c>
      <c r="C66" s="7">
        <f>'AM Benches Data'!AH61*('AM Benches Data'!AE61/100)</f>
        <v>652.19000000000005</v>
      </c>
      <c r="D66" s="7">
        <f>'AM Benches Data'!AI61*('AM Benches Data'!AF61/100)</f>
        <v>582.12</v>
      </c>
      <c r="E66" s="116">
        <f>B66/C63</f>
        <v>1.1019474637681159</v>
      </c>
      <c r="F66" s="116">
        <f t="shared" si="38"/>
        <v>0.98103596580828989</v>
      </c>
      <c r="G66" s="67">
        <f>'AM Benches Data'!B61</f>
        <v>82</v>
      </c>
      <c r="H66" s="43">
        <f>'AM Benches Data'!L61</f>
        <v>96</v>
      </c>
      <c r="I66" s="43">
        <f>'AM Benches Data'!V61</f>
        <v>75</v>
      </c>
      <c r="J66" s="116">
        <f t="shared" ref="J66" si="45">G66/H63</f>
        <v>0.89130434782608692</v>
      </c>
      <c r="K66" s="116">
        <f t="shared" si="39"/>
        <v>0.96470588235294119</v>
      </c>
      <c r="L66" s="43">
        <f>'AM Benches Data'!C61</f>
        <v>55</v>
      </c>
      <c r="M66" s="43">
        <f>'AM Benches Data'!M61</f>
        <v>33</v>
      </c>
      <c r="N66" s="43">
        <f>'AM Benches Data'!W61</f>
        <v>29</v>
      </c>
      <c r="O66" s="1341">
        <f t="shared" ref="O66" si="46">L66/M63</f>
        <v>1.1956521739130435</v>
      </c>
      <c r="P66" s="116">
        <f t="shared" si="40"/>
        <v>1.375</v>
      </c>
      <c r="Q66" s="43">
        <f>'AM Benches Data'!D61</f>
        <v>50</v>
      </c>
      <c r="R66" s="43">
        <f>'AM Benches Data'!N61</f>
        <v>27</v>
      </c>
      <c r="S66" s="43">
        <f>'AM Benches Data'!X61</f>
        <v>24</v>
      </c>
      <c r="T66" s="1341">
        <f t="shared" ref="T66" si="47">Q66/R63</f>
        <v>1.5151515151515151</v>
      </c>
      <c r="U66" s="116">
        <f t="shared" si="41"/>
        <v>1.6129032258064515</v>
      </c>
      <c r="V66" s="43">
        <f>'AM Benches Data'!H61</f>
        <v>20</v>
      </c>
      <c r="W66" s="43">
        <f>'AM Benches Data'!R61</f>
        <v>25</v>
      </c>
      <c r="X66" s="43">
        <f>'AM Benches Data'!Z61</f>
        <v>23</v>
      </c>
      <c r="Y66" s="1341">
        <f t="shared" ref="Y66" si="48">V66/W63</f>
        <v>1.1764705882352942</v>
      </c>
      <c r="Z66" s="116">
        <f t="shared" si="42"/>
        <v>0.5714285714285714</v>
      </c>
      <c r="AA66" s="43">
        <f>'AM Benches Data'!I61</f>
        <v>32</v>
      </c>
      <c r="AB66" s="43">
        <f>'AM Benches Data'!S61</f>
        <v>32</v>
      </c>
      <c r="AC66" s="43">
        <f>'AM Benches Data'!AA61</f>
        <v>28</v>
      </c>
      <c r="AD66" s="1341">
        <f t="shared" ref="AD66" si="49">AA66/AB63</f>
        <v>1.28</v>
      </c>
      <c r="AE66" s="116">
        <f t="shared" si="43"/>
        <v>0.69565217391304346</v>
      </c>
      <c r="AF66" s="43">
        <f>'AM Benches Data'!K61</f>
        <v>36</v>
      </c>
      <c r="AG66" s="43">
        <f>'AM Benches Data'!U61</f>
        <v>28</v>
      </c>
      <c r="AH66" s="43">
        <f>'AM Benches Data'!AC61</f>
        <v>28</v>
      </c>
      <c r="AI66" s="1341">
        <f t="shared" ref="AI66" si="50">AF66/AG63</f>
        <v>0.8</v>
      </c>
      <c r="AJ66" s="116">
        <f t="shared" si="44"/>
        <v>0.76595744680851063</v>
      </c>
    </row>
    <row r="67" spans="1:36" x14ac:dyDescent="0.25">
      <c r="A67" s="1332">
        <v>44908</v>
      </c>
      <c r="B67" s="7">
        <f>'AM Benches Data'!AG62*('AM Benches Data'!AD62/100)</f>
        <v>650</v>
      </c>
      <c r="C67" s="7">
        <f>'AM Benches Data'!AH62*('AM Benches Data'!AE62/100)</f>
        <v>508.08</v>
      </c>
      <c r="D67" s="7">
        <f>'AM Benches Data'!AI62*('AM Benches Data'!AF62/100)</f>
        <v>576.21999999999991</v>
      </c>
      <c r="E67" s="116">
        <f>B67/C64</f>
        <v>0.91128308658591295</v>
      </c>
      <c r="F67" s="116">
        <f t="shared" si="38"/>
        <v>0.94848971253465642</v>
      </c>
      <c r="G67" s="67">
        <f>'AM Benches Data'!B62</f>
        <v>75</v>
      </c>
      <c r="H67" s="43">
        <f>'AM Benches Data'!L62</f>
        <v>76</v>
      </c>
      <c r="I67" s="43">
        <f>'AM Benches Data'!V62</f>
        <v>68</v>
      </c>
      <c r="J67" s="116">
        <f t="shared" ref="J67" si="51">G67/H64</f>
        <v>0.65217391304347827</v>
      </c>
      <c r="K67" s="116">
        <f t="shared" si="39"/>
        <v>0.90361445783132532</v>
      </c>
      <c r="L67" s="43">
        <f>'AM Benches Data'!C62</f>
        <v>42</v>
      </c>
      <c r="M67" s="43">
        <f>'AM Benches Data'!M62</f>
        <v>21</v>
      </c>
      <c r="N67" s="43">
        <f>'AM Benches Data'!W62</f>
        <v>30</v>
      </c>
      <c r="O67" s="1341">
        <f t="shared" ref="O67" si="52">L67/M64</f>
        <v>1.2727272727272727</v>
      </c>
      <c r="P67" s="116">
        <f t="shared" si="40"/>
        <v>1.5</v>
      </c>
      <c r="Q67" s="43">
        <f>'AM Benches Data'!D62</f>
        <v>35</v>
      </c>
      <c r="R67" s="43">
        <f>'AM Benches Data'!N62</f>
        <v>20</v>
      </c>
      <c r="S67" s="43">
        <f>'AM Benches Data'!X62</f>
        <v>25</v>
      </c>
      <c r="T67" s="1341">
        <f t="shared" ref="T67" si="53">Q67/R64</f>
        <v>1.4583333333333333</v>
      </c>
      <c r="U67" s="116">
        <f t="shared" si="41"/>
        <v>1.6666666666666667</v>
      </c>
      <c r="V67" s="43">
        <f>'AM Benches Data'!H62</f>
        <v>19</v>
      </c>
      <c r="W67" s="43">
        <f>'AM Benches Data'!R62</f>
        <v>22</v>
      </c>
      <c r="X67" s="43">
        <f>'AM Benches Data'!Z62</f>
        <v>24</v>
      </c>
      <c r="Y67" s="1341">
        <f t="shared" ref="Y67" si="54">V67/W64</f>
        <v>1.4615384615384615</v>
      </c>
      <c r="Z67" s="116">
        <f t="shared" si="42"/>
        <v>0.95</v>
      </c>
      <c r="AA67" s="43">
        <f>'AM Benches Data'!I62</f>
        <v>28</v>
      </c>
      <c r="AB67" s="43">
        <f>'AM Benches Data'!S62</f>
        <v>25</v>
      </c>
      <c r="AC67" s="43">
        <f>'AM Benches Data'!AA62</f>
        <v>30</v>
      </c>
      <c r="AD67" s="1341">
        <f t="shared" ref="AD67" si="55">AA67/AB64</f>
        <v>1.4736842105263157</v>
      </c>
      <c r="AE67" s="116">
        <f t="shared" si="43"/>
        <v>1</v>
      </c>
      <c r="AF67" s="43">
        <f>'AM Benches Data'!K62</f>
        <v>35</v>
      </c>
      <c r="AG67" s="43">
        <f>'AM Benches Data'!U62</f>
        <v>26</v>
      </c>
      <c r="AH67" s="43">
        <f>'AM Benches Data'!AC62</f>
        <v>31</v>
      </c>
      <c r="AI67" s="1341">
        <f t="shared" ref="AI67" si="56">AF67/AG64</f>
        <v>0.74468085106382975</v>
      </c>
      <c r="AJ67" s="116">
        <f t="shared" si="44"/>
        <v>0.77777777777777779</v>
      </c>
    </row>
    <row r="68" spans="1:36" x14ac:dyDescent="0.25">
      <c r="A68" s="1332">
        <v>44965</v>
      </c>
      <c r="B68" s="7">
        <f>'AM Benches Data'!AG63*('AM Benches Data'!AD63/100)</f>
        <v>698.92</v>
      </c>
      <c r="C68" s="7">
        <f>'AM Benches Data'!AH63*('AM Benches Data'!AE63/100)</f>
        <v>475.86</v>
      </c>
      <c r="D68" s="7">
        <f>'AM Benches Data'!AI63*('AM Benches Data'!AF63/100)</f>
        <v>777.5</v>
      </c>
      <c r="E68" s="116">
        <f>B68/C65</f>
        <v>0.91119107217355022</v>
      </c>
      <c r="F68" s="116">
        <f t="shared" si="38"/>
        <v>1.087220969121879</v>
      </c>
      <c r="G68" s="67">
        <f>'AM Benches Data'!B63</f>
        <v>100</v>
      </c>
      <c r="H68" s="43">
        <f>'AM Benches Data'!L63</f>
        <v>53</v>
      </c>
      <c r="I68" s="43">
        <f>'AM Benches Data'!V63</f>
        <v>90</v>
      </c>
      <c r="J68" s="116">
        <f t="shared" ref="J68" si="57">G68/H65</f>
        <v>0.8771929824561403</v>
      </c>
      <c r="K68" s="116">
        <f t="shared" si="39"/>
        <v>1.1627906976744187</v>
      </c>
      <c r="L68" s="43">
        <f>'AM Benches Data'!C63</f>
        <v>32</v>
      </c>
      <c r="M68" s="43">
        <f>'AM Benches Data'!M63</f>
        <v>17</v>
      </c>
      <c r="N68" s="43">
        <f>'AM Benches Data'!W63</f>
        <v>44</v>
      </c>
      <c r="O68" s="1341">
        <f t="shared" ref="O68" si="58">L68/M65</f>
        <v>1.103448275862069</v>
      </c>
      <c r="P68" s="116">
        <f t="shared" si="40"/>
        <v>1.8823529411764706</v>
      </c>
      <c r="Q68" s="43">
        <f>'AM Benches Data'!D63</f>
        <v>26</v>
      </c>
      <c r="R68" s="43">
        <f>'AM Benches Data'!N63</f>
        <v>17</v>
      </c>
      <c r="S68" s="43">
        <f>'AM Benches Data'!X63</f>
        <v>36</v>
      </c>
      <c r="T68" s="1341">
        <f t="shared" ref="T68" si="59">Q68/R65</f>
        <v>1.368421052631579</v>
      </c>
      <c r="U68" s="116">
        <f t="shared" si="41"/>
        <v>1.625</v>
      </c>
      <c r="V68" s="43">
        <f>'AM Benches Data'!H63</f>
        <v>23</v>
      </c>
      <c r="W68" s="43">
        <f>'AM Benches Data'!R63</f>
        <v>15</v>
      </c>
      <c r="X68" s="43">
        <f>'AM Benches Data'!Z63</f>
        <v>24</v>
      </c>
      <c r="Y68" s="1341">
        <f t="shared" ref="Y68" si="60">V68/W65</f>
        <v>1.2777777777777777</v>
      </c>
      <c r="Z68" s="116">
        <f t="shared" si="42"/>
        <v>1</v>
      </c>
      <c r="AA68" s="43">
        <f>'AM Benches Data'!I63</f>
        <v>30</v>
      </c>
      <c r="AB68" s="43">
        <f>'AM Benches Data'!S63</f>
        <v>18</v>
      </c>
      <c r="AC68" s="43">
        <f>'AM Benches Data'!AA63</f>
        <v>31</v>
      </c>
      <c r="AD68" s="1341">
        <f t="shared" ref="AD68" si="61">AA68/AB65</f>
        <v>1.3636363636363635</v>
      </c>
      <c r="AE68" s="116">
        <f t="shared" si="43"/>
        <v>0.967741935483871</v>
      </c>
      <c r="AF68" s="43">
        <f>'AM Benches Data'!K63</f>
        <v>33</v>
      </c>
      <c r="AG68" s="43">
        <f>'AM Benches Data'!U63</f>
        <v>25</v>
      </c>
      <c r="AH68" s="43">
        <f>'AM Benches Data'!AC63</f>
        <v>40</v>
      </c>
      <c r="AI68" s="1341">
        <f t="shared" ref="AI68" si="62">AF68/AG65</f>
        <v>0.89189189189189189</v>
      </c>
      <c r="AJ68" s="116">
        <f t="shared" si="44"/>
        <v>0.9850746268656716</v>
      </c>
    </row>
    <row r="69" spans="1:36" x14ac:dyDescent="0.25">
      <c r="A69" s="1332">
        <v>44992</v>
      </c>
      <c r="B69" s="7">
        <f>'AM Benches Data'!AG64*('AM Benches Data'!AD64/100)</f>
        <v>730.81000000000006</v>
      </c>
      <c r="C69" s="7">
        <f>'AM Benches Data'!AH64*('AM Benches Data'!AE64/100)</f>
        <v>563.56999999999994</v>
      </c>
      <c r="D69" s="7">
        <f>'AM Benches Data'!AI64*('AM Benches Data'!AF64/100)</f>
        <v>872.81999999999994</v>
      </c>
      <c r="E69" s="116">
        <f t="shared" ref="E69:E101" si="63">B69/C66</f>
        <v>1.1205476931569021</v>
      </c>
      <c r="F69" s="116">
        <f t="shared" ref="F69:F101" si="64">B69/D63</f>
        <v>1.1329333705391746</v>
      </c>
      <c r="G69" s="67">
        <f>'AM Benches Data'!B64</f>
        <v>102</v>
      </c>
      <c r="H69" s="43">
        <f>'AM Benches Data'!L64</f>
        <v>67</v>
      </c>
      <c r="I69" s="43">
        <f>'AM Benches Data'!V64</f>
        <v>112</v>
      </c>
      <c r="J69" s="116">
        <f t="shared" ref="J69:J101" si="65">G69/H66</f>
        <v>1.0625</v>
      </c>
      <c r="K69" s="116">
        <f t="shared" ref="K69:K101" si="66">G69/I63</f>
        <v>1.1590909090909092</v>
      </c>
      <c r="L69" s="43">
        <f>'AM Benches Data'!C64</f>
        <v>32</v>
      </c>
      <c r="M69" s="43">
        <f>'AM Benches Data'!M64</f>
        <v>25</v>
      </c>
      <c r="N69" s="43">
        <f>'AM Benches Data'!W64</f>
        <v>44</v>
      </c>
      <c r="O69" s="1341">
        <f t="shared" ref="O69:O101" si="67">L69/M66</f>
        <v>0.96969696969696972</v>
      </c>
      <c r="P69" s="116">
        <f t="shared" ref="P69:P101" si="68">L69/N63</f>
        <v>1.7777777777777777</v>
      </c>
      <c r="Q69" s="43">
        <f>'AM Benches Data'!D64</f>
        <v>27</v>
      </c>
      <c r="R69" s="43">
        <f>'AM Benches Data'!N64</f>
        <v>22</v>
      </c>
      <c r="S69" s="43">
        <f>'AM Benches Data'!X64</f>
        <v>35</v>
      </c>
      <c r="T69" s="1341">
        <f t="shared" ref="T69:T101" si="69">Q69/R66</f>
        <v>1</v>
      </c>
      <c r="U69" s="116">
        <f t="shared" ref="U69:U101" si="70">Q69/S63</f>
        <v>1.588235294117647</v>
      </c>
      <c r="V69" s="43">
        <f>'AM Benches Data'!H64</f>
        <v>26</v>
      </c>
      <c r="W69" s="43">
        <f>'AM Benches Data'!R64</f>
        <v>23</v>
      </c>
      <c r="X69" s="43">
        <f>'AM Benches Data'!Z64</f>
        <v>29</v>
      </c>
      <c r="Y69" s="1341">
        <f t="shared" ref="Y69:Y101" si="71">V69/W66</f>
        <v>1.04</v>
      </c>
      <c r="Z69" s="116">
        <f t="shared" ref="Z69:Z101" si="72">V69/X63</f>
        <v>1.2380952380952381</v>
      </c>
      <c r="AA69" s="43">
        <f>'AM Benches Data'!I64</f>
        <v>36</v>
      </c>
      <c r="AB69" s="43">
        <f>'AM Benches Data'!S64</f>
        <v>26</v>
      </c>
      <c r="AC69" s="43">
        <f>'AM Benches Data'!AA64</f>
        <v>36</v>
      </c>
      <c r="AD69" s="1341">
        <f t="shared" ref="AD69:AD101" si="73">AA69/AB66</f>
        <v>1.125</v>
      </c>
      <c r="AE69" s="116">
        <f t="shared" ref="AE69:AE101" si="74">AA69/AC63</f>
        <v>1.2</v>
      </c>
      <c r="AF69" s="43">
        <f>'AM Benches Data'!K64</f>
        <v>39</v>
      </c>
      <c r="AG69" s="43">
        <f>'AM Benches Data'!U64</f>
        <v>31</v>
      </c>
      <c r="AH69" s="43">
        <f>'AM Benches Data'!AC64</f>
        <v>46</v>
      </c>
      <c r="AI69" s="1341">
        <f t="shared" ref="AI69:AI101" si="75">AF69/AG66</f>
        <v>1.3928571428571428</v>
      </c>
      <c r="AJ69" s="116">
        <f t="shared" ref="AJ69:AJ101" si="76">AF69/AH63</f>
        <v>1.1142857142857143</v>
      </c>
    </row>
    <row r="70" spans="1:36" x14ac:dyDescent="0.25">
      <c r="A70" s="1332">
        <v>45020</v>
      </c>
      <c r="B70" s="7">
        <f>'AM Benches Data'!AG65*('AM Benches Data'!AD65/100)</f>
        <v>741</v>
      </c>
      <c r="C70" s="7">
        <f>'AM Benches Data'!AH65*('AM Benches Data'!AE65/100)</f>
        <v>737.9</v>
      </c>
      <c r="D70" s="7">
        <f>'AM Benches Data'!AI65*('AM Benches Data'!AF65/100)</f>
        <v>817.48</v>
      </c>
      <c r="E70" s="116">
        <f t="shared" si="63"/>
        <v>1.4584317430325933</v>
      </c>
      <c r="F70" s="116">
        <f t="shared" si="64"/>
        <v>1.1587539876149371</v>
      </c>
      <c r="G70" s="67">
        <f>'AM Benches Data'!B65</f>
        <v>87</v>
      </c>
      <c r="H70" s="43">
        <f>'AM Benches Data'!L65</f>
        <v>88</v>
      </c>
      <c r="I70" s="43">
        <f>'AM Benches Data'!V65</f>
        <v>82</v>
      </c>
      <c r="J70" s="116">
        <f t="shared" si="65"/>
        <v>1.1447368421052631</v>
      </c>
      <c r="K70" s="116">
        <f t="shared" si="66"/>
        <v>1.0874999999999999</v>
      </c>
      <c r="L70" s="43">
        <f>'AM Benches Data'!C65</f>
        <v>37</v>
      </c>
      <c r="M70" s="43">
        <f>'AM Benches Data'!M65</f>
        <v>34</v>
      </c>
      <c r="N70" s="43">
        <f>'AM Benches Data'!W65</f>
        <v>42</v>
      </c>
      <c r="O70" s="1341">
        <f t="shared" si="67"/>
        <v>1.7619047619047619</v>
      </c>
      <c r="P70" s="116">
        <f t="shared" si="68"/>
        <v>1.2758620689655173</v>
      </c>
      <c r="Q70" s="43">
        <f>'AM Benches Data'!D65</f>
        <v>34</v>
      </c>
      <c r="R70" s="43">
        <f>'AM Benches Data'!N65</f>
        <v>28</v>
      </c>
      <c r="S70" s="43">
        <f>'AM Benches Data'!X65</f>
        <v>33</v>
      </c>
      <c r="T70" s="1341">
        <f t="shared" si="69"/>
        <v>1.7</v>
      </c>
      <c r="U70" s="116">
        <f t="shared" si="70"/>
        <v>1.36</v>
      </c>
      <c r="V70" s="43">
        <f>'AM Benches Data'!H65</f>
        <v>40</v>
      </c>
      <c r="W70" s="43">
        <f>'AM Benches Data'!R65</f>
        <v>26</v>
      </c>
      <c r="X70" s="43">
        <f>'AM Benches Data'!Z65</f>
        <v>19</v>
      </c>
      <c r="Y70" s="1341">
        <f t="shared" si="71"/>
        <v>1.8181818181818181</v>
      </c>
      <c r="Z70" s="116">
        <f t="shared" si="72"/>
        <v>1.5384615384615385</v>
      </c>
      <c r="AA70" s="43">
        <f>'AM Benches Data'!I65</f>
        <v>46</v>
      </c>
      <c r="AB70" s="43">
        <f>'AM Benches Data'!S65</f>
        <v>33</v>
      </c>
      <c r="AC70" s="43">
        <f>'AM Benches Data'!AA65</f>
        <v>27</v>
      </c>
      <c r="AD70" s="1341">
        <f t="shared" si="73"/>
        <v>1.84</v>
      </c>
      <c r="AE70" s="116">
        <f t="shared" si="74"/>
        <v>1.3529411764705883</v>
      </c>
      <c r="AF70" s="43">
        <f>'AM Benches Data'!K65</f>
        <v>40</v>
      </c>
      <c r="AG70" s="43">
        <f>'AM Benches Data'!U65</f>
        <v>38</v>
      </c>
      <c r="AH70" s="43">
        <f>'AM Benches Data'!AC65</f>
        <v>42</v>
      </c>
      <c r="AI70" s="1341">
        <f t="shared" si="75"/>
        <v>1.5384615384615385</v>
      </c>
      <c r="AJ70" s="116">
        <f t="shared" si="76"/>
        <v>1.1428571428571428</v>
      </c>
    </row>
    <row r="71" spans="1:36" x14ac:dyDescent="0.25">
      <c r="A71" s="1332">
        <v>45047</v>
      </c>
      <c r="B71" s="7">
        <f>'AM Benches Data'!AG66*('AM Benches Data'!AD66/100)</f>
        <v>776.82</v>
      </c>
      <c r="C71" s="7">
        <f>'AM Benches Data'!AH66*('AM Benches Data'!AE66/100)</f>
        <v>800.7</v>
      </c>
      <c r="D71" s="7">
        <f>'AM Benches Data'!AI66*('AM Benches Data'!AF66/100)</f>
        <v>848.04000000000008</v>
      </c>
      <c r="E71" s="116">
        <f t="shared" si="63"/>
        <v>1.6324549237170598</v>
      </c>
      <c r="F71" s="116">
        <f t="shared" si="64"/>
        <v>1.2109808567687224</v>
      </c>
      <c r="G71" s="67">
        <f>'AM Benches Data'!B66</f>
        <v>90</v>
      </c>
      <c r="H71" s="43">
        <f>'AM Benches Data'!L66</f>
        <v>83</v>
      </c>
      <c r="I71" s="43">
        <f>'AM Benches Data'!V66</f>
        <v>92</v>
      </c>
      <c r="J71" s="116">
        <f t="shared" si="65"/>
        <v>1.6981132075471699</v>
      </c>
      <c r="K71" s="116">
        <f t="shared" si="66"/>
        <v>1.0843373493975903</v>
      </c>
      <c r="L71" s="43">
        <f>'AM Benches Data'!C66</f>
        <v>37</v>
      </c>
      <c r="M71" s="43">
        <f>'AM Benches Data'!M66</f>
        <v>42</v>
      </c>
      <c r="N71" s="43">
        <f>'AM Benches Data'!W66</f>
        <v>37</v>
      </c>
      <c r="O71" s="1341">
        <f t="shared" si="67"/>
        <v>2.1764705882352939</v>
      </c>
      <c r="P71" s="116">
        <f t="shared" si="68"/>
        <v>1.15625</v>
      </c>
      <c r="Q71" s="43">
        <f>'AM Benches Data'!D66</f>
        <v>31</v>
      </c>
      <c r="R71" s="43">
        <f>'AM Benches Data'!N66</f>
        <v>35</v>
      </c>
      <c r="S71" s="43">
        <f>'AM Benches Data'!X66</f>
        <v>30</v>
      </c>
      <c r="T71" s="1341">
        <f t="shared" si="69"/>
        <v>1.8235294117647058</v>
      </c>
      <c r="U71" s="116">
        <f t="shared" si="70"/>
        <v>1.1481481481481481</v>
      </c>
      <c r="V71" s="43">
        <f>'AM Benches Data'!H66</f>
        <v>39</v>
      </c>
      <c r="W71" s="43">
        <f>'AM Benches Data'!R66</f>
        <v>32</v>
      </c>
      <c r="X71" s="43">
        <f>'AM Benches Data'!Z66</f>
        <v>27</v>
      </c>
      <c r="Y71" s="1341">
        <f t="shared" si="71"/>
        <v>2.6</v>
      </c>
      <c r="Z71" s="116">
        <f t="shared" si="72"/>
        <v>1.6956521739130435</v>
      </c>
      <c r="AA71" s="43">
        <f>'AM Benches Data'!I66</f>
        <v>46</v>
      </c>
      <c r="AB71" s="43">
        <f>'AM Benches Data'!S66</f>
        <v>40</v>
      </c>
      <c r="AC71" s="43">
        <f>'AM Benches Data'!AA66</f>
        <v>34</v>
      </c>
      <c r="AD71" s="1341">
        <f t="shared" si="73"/>
        <v>2.5555555555555554</v>
      </c>
      <c r="AE71" s="116">
        <f t="shared" si="74"/>
        <v>1.5333333333333334</v>
      </c>
      <c r="AF71" s="43">
        <f>'AM Benches Data'!K66</f>
        <v>43</v>
      </c>
      <c r="AG71" s="43">
        <f>'AM Benches Data'!U66</f>
        <v>38</v>
      </c>
      <c r="AH71" s="43">
        <f>'AM Benches Data'!AC66</f>
        <v>40</v>
      </c>
      <c r="AI71" s="1341">
        <f t="shared" si="75"/>
        <v>1.72</v>
      </c>
      <c r="AJ71" s="116">
        <f t="shared" si="76"/>
        <v>1.303030303030303</v>
      </c>
    </row>
    <row r="72" spans="1:36" x14ac:dyDescent="0.25">
      <c r="B72" s="7">
        <f>'AM Benches Data'!AG67*('AM Benches Data'!AD67/100)</f>
        <v>0</v>
      </c>
      <c r="C72" s="7">
        <f>'AM Benches Data'!AH67*('AM Benches Data'!AE67/100)</f>
        <v>0</v>
      </c>
      <c r="D72" s="7">
        <f>'AM Benches Data'!AI67*('AM Benches Data'!AF67/100)</f>
        <v>0</v>
      </c>
      <c r="E72" s="116">
        <f t="shared" si="63"/>
        <v>0</v>
      </c>
      <c r="F72" s="116">
        <f t="shared" si="64"/>
        <v>0</v>
      </c>
      <c r="G72" s="67">
        <f>'AM Benches Data'!B67</f>
        <v>0</v>
      </c>
      <c r="H72" s="43">
        <f>'AM Benches Data'!L67</f>
        <v>0</v>
      </c>
      <c r="I72" s="43">
        <f>'AM Benches Data'!V67</f>
        <v>0</v>
      </c>
      <c r="J72" s="116">
        <f t="shared" si="65"/>
        <v>0</v>
      </c>
      <c r="K72" s="116">
        <f t="shared" si="66"/>
        <v>0</v>
      </c>
      <c r="L72" s="43">
        <f>'AM Benches Data'!C67</f>
        <v>0</v>
      </c>
      <c r="M72" s="43">
        <f>'AM Benches Data'!M67</f>
        <v>0</v>
      </c>
      <c r="N72" s="43">
        <f>'AM Benches Data'!W67</f>
        <v>0</v>
      </c>
      <c r="O72" s="1341">
        <f t="shared" si="67"/>
        <v>0</v>
      </c>
      <c r="P72" s="116">
        <f t="shared" si="68"/>
        <v>0</v>
      </c>
      <c r="Q72" s="43">
        <f>'AM Benches Data'!D67</f>
        <v>0</v>
      </c>
      <c r="R72" s="43">
        <f>'AM Benches Data'!N67</f>
        <v>0</v>
      </c>
      <c r="S72" s="43">
        <f>'AM Benches Data'!X67</f>
        <v>0</v>
      </c>
      <c r="T72" s="1341">
        <f t="shared" si="69"/>
        <v>0</v>
      </c>
      <c r="U72" s="116">
        <f t="shared" si="70"/>
        <v>0</v>
      </c>
      <c r="V72" s="43">
        <f>'AM Benches Data'!H67</f>
        <v>0</v>
      </c>
      <c r="W72" s="43">
        <f>'AM Benches Data'!R67</f>
        <v>0</v>
      </c>
      <c r="X72" s="43">
        <f>'AM Benches Data'!Z67</f>
        <v>0</v>
      </c>
      <c r="Y72" s="1341">
        <f t="shared" si="71"/>
        <v>0</v>
      </c>
      <c r="Z72" s="116">
        <f t="shared" si="72"/>
        <v>0</v>
      </c>
      <c r="AA72" s="43">
        <f>'AM Benches Data'!I67</f>
        <v>0</v>
      </c>
      <c r="AB72" s="43">
        <f>'AM Benches Data'!S67</f>
        <v>0</v>
      </c>
      <c r="AC72" s="43">
        <f>'AM Benches Data'!AA67</f>
        <v>0</v>
      </c>
      <c r="AD72" s="1341">
        <f t="shared" si="73"/>
        <v>0</v>
      </c>
      <c r="AE72" s="116">
        <f t="shared" si="74"/>
        <v>0</v>
      </c>
      <c r="AF72" s="43">
        <f>'AM Benches Data'!K67</f>
        <v>0</v>
      </c>
      <c r="AG72" s="43">
        <f>'AM Benches Data'!U67</f>
        <v>0</v>
      </c>
      <c r="AH72" s="43">
        <f>'AM Benches Data'!AC67</f>
        <v>0</v>
      </c>
      <c r="AI72" s="1341">
        <f t="shared" si="75"/>
        <v>0</v>
      </c>
      <c r="AJ72" s="116">
        <f t="shared" si="76"/>
        <v>0</v>
      </c>
    </row>
    <row r="73" spans="1:36" x14ac:dyDescent="0.25">
      <c r="B73" s="7">
        <f>'AM Benches Data'!AG68*('AM Benches Data'!AD68/100)</f>
        <v>0</v>
      </c>
      <c r="C73" s="7">
        <f>'AM Benches Data'!AH68*('AM Benches Data'!AE68/100)</f>
        <v>0</v>
      </c>
      <c r="D73" s="7">
        <f>'AM Benches Data'!AI68*('AM Benches Data'!AF68/100)</f>
        <v>0</v>
      </c>
      <c r="E73" s="116">
        <f t="shared" si="63"/>
        <v>0</v>
      </c>
      <c r="F73" s="116">
        <f t="shared" si="64"/>
        <v>0</v>
      </c>
      <c r="G73" s="67">
        <f>'AM Benches Data'!B68</f>
        <v>0</v>
      </c>
      <c r="H73" s="43">
        <f>'AM Benches Data'!L68</f>
        <v>0</v>
      </c>
      <c r="I73" s="43">
        <f>'AM Benches Data'!V68</f>
        <v>0</v>
      </c>
      <c r="J73" s="116">
        <f t="shared" si="65"/>
        <v>0</v>
      </c>
      <c r="K73" s="116">
        <f t="shared" si="66"/>
        <v>0</v>
      </c>
      <c r="L73" s="43">
        <f>'AM Benches Data'!C68</f>
        <v>0</v>
      </c>
      <c r="M73" s="43">
        <f>'AM Benches Data'!M68</f>
        <v>0</v>
      </c>
      <c r="N73" s="43">
        <f>'AM Benches Data'!W68</f>
        <v>0</v>
      </c>
      <c r="O73" s="1341">
        <f t="shared" si="67"/>
        <v>0</v>
      </c>
      <c r="P73" s="116">
        <f t="shared" si="68"/>
        <v>0</v>
      </c>
      <c r="Q73" s="43">
        <f>'AM Benches Data'!D68</f>
        <v>0</v>
      </c>
      <c r="R73" s="43">
        <f>'AM Benches Data'!N68</f>
        <v>0</v>
      </c>
      <c r="S73" s="43">
        <f>'AM Benches Data'!X68</f>
        <v>0</v>
      </c>
      <c r="T73" s="1341">
        <f t="shared" si="69"/>
        <v>0</v>
      </c>
      <c r="U73" s="116">
        <f t="shared" si="70"/>
        <v>0</v>
      </c>
      <c r="V73" s="43">
        <f>'AM Benches Data'!H68</f>
        <v>0</v>
      </c>
      <c r="W73" s="43">
        <f>'AM Benches Data'!R68</f>
        <v>0</v>
      </c>
      <c r="X73" s="43">
        <f>'AM Benches Data'!Z68</f>
        <v>0</v>
      </c>
      <c r="Y73" s="1341">
        <f t="shared" si="71"/>
        <v>0</v>
      </c>
      <c r="Z73" s="116">
        <f t="shared" si="72"/>
        <v>0</v>
      </c>
      <c r="AA73" s="43">
        <f>'AM Benches Data'!I68</f>
        <v>0</v>
      </c>
      <c r="AB73" s="43">
        <f>'AM Benches Data'!S68</f>
        <v>0</v>
      </c>
      <c r="AC73" s="43">
        <f>'AM Benches Data'!AA68</f>
        <v>0</v>
      </c>
      <c r="AD73" s="1341">
        <f t="shared" si="73"/>
        <v>0</v>
      </c>
      <c r="AE73" s="116">
        <f t="shared" si="74"/>
        <v>0</v>
      </c>
      <c r="AF73" s="43">
        <f>'AM Benches Data'!K68</f>
        <v>0</v>
      </c>
      <c r="AG73" s="43">
        <f>'AM Benches Data'!U68</f>
        <v>0</v>
      </c>
      <c r="AH73" s="43">
        <f>'AM Benches Data'!AC68</f>
        <v>0</v>
      </c>
      <c r="AI73" s="1341">
        <f t="shared" si="75"/>
        <v>0</v>
      </c>
      <c r="AJ73" s="116">
        <f t="shared" si="76"/>
        <v>0</v>
      </c>
    </row>
    <row r="74" spans="1:36" x14ac:dyDescent="0.25">
      <c r="B74" s="7">
        <f>'AM Benches Data'!AG69*('AM Benches Data'!AD69/100)</f>
        <v>0</v>
      </c>
      <c r="C74" s="7">
        <f>'AM Benches Data'!AH69*('AM Benches Data'!AE69/100)</f>
        <v>0</v>
      </c>
      <c r="D74" s="7">
        <f>'AM Benches Data'!AI69*('AM Benches Data'!AF69/100)</f>
        <v>0</v>
      </c>
      <c r="E74" s="116">
        <f t="shared" si="63"/>
        <v>0</v>
      </c>
      <c r="F74" s="116">
        <f t="shared" si="64"/>
        <v>0</v>
      </c>
      <c r="G74" s="67">
        <f>'AM Benches Data'!B69</f>
        <v>0</v>
      </c>
      <c r="H74" s="43">
        <f>'AM Benches Data'!L69</f>
        <v>0</v>
      </c>
      <c r="I74" s="43">
        <f>'AM Benches Data'!V69</f>
        <v>0</v>
      </c>
      <c r="J74" s="116">
        <f t="shared" si="65"/>
        <v>0</v>
      </c>
      <c r="K74" s="116">
        <f t="shared" si="66"/>
        <v>0</v>
      </c>
      <c r="L74" s="43">
        <f>'AM Benches Data'!C69</f>
        <v>0</v>
      </c>
      <c r="M74" s="43">
        <f>'AM Benches Data'!M69</f>
        <v>0</v>
      </c>
      <c r="N74" s="43">
        <f>'AM Benches Data'!W69</f>
        <v>0</v>
      </c>
      <c r="O74" s="1341">
        <f t="shared" si="67"/>
        <v>0</v>
      </c>
      <c r="P74" s="116">
        <f t="shared" si="68"/>
        <v>0</v>
      </c>
      <c r="Q74" s="43">
        <f>'AM Benches Data'!D69</f>
        <v>0</v>
      </c>
      <c r="R74" s="43">
        <f>'AM Benches Data'!N69</f>
        <v>0</v>
      </c>
      <c r="S74" s="43">
        <f>'AM Benches Data'!X69</f>
        <v>0</v>
      </c>
      <c r="T74" s="1341">
        <f t="shared" si="69"/>
        <v>0</v>
      </c>
      <c r="U74" s="116">
        <f t="shared" si="70"/>
        <v>0</v>
      </c>
      <c r="V74" s="43">
        <f>'AM Benches Data'!H69</f>
        <v>0</v>
      </c>
      <c r="W74" s="43">
        <f>'AM Benches Data'!R69</f>
        <v>0</v>
      </c>
      <c r="X74" s="43">
        <f>'AM Benches Data'!Z69</f>
        <v>0</v>
      </c>
      <c r="Y74" s="1341">
        <f t="shared" si="71"/>
        <v>0</v>
      </c>
      <c r="Z74" s="116">
        <f t="shared" si="72"/>
        <v>0</v>
      </c>
      <c r="AA74" s="43">
        <f>'AM Benches Data'!I69</f>
        <v>0</v>
      </c>
      <c r="AB74" s="43">
        <f>'AM Benches Data'!S69</f>
        <v>0</v>
      </c>
      <c r="AC74" s="43">
        <f>'AM Benches Data'!AA69</f>
        <v>0</v>
      </c>
      <c r="AD74" s="1341">
        <f t="shared" si="73"/>
        <v>0</v>
      </c>
      <c r="AE74" s="116">
        <f t="shared" si="74"/>
        <v>0</v>
      </c>
      <c r="AF74" s="43">
        <f>'AM Benches Data'!K69</f>
        <v>0</v>
      </c>
      <c r="AG74" s="43">
        <f>'AM Benches Data'!U69</f>
        <v>0</v>
      </c>
      <c r="AH74" s="43">
        <f>'AM Benches Data'!AC69</f>
        <v>0</v>
      </c>
      <c r="AI74" s="1341">
        <f t="shared" si="75"/>
        <v>0</v>
      </c>
      <c r="AJ74" s="116">
        <f t="shared" si="76"/>
        <v>0</v>
      </c>
    </row>
    <row r="75" spans="1:36" x14ac:dyDescent="0.25">
      <c r="B75" s="7">
        <f>'AM Benches Data'!AG70*('AM Benches Data'!AD70/100)</f>
        <v>0</v>
      </c>
      <c r="C75" s="7">
        <f>'AM Benches Data'!AH70*('AM Benches Data'!AE70/100)</f>
        <v>0</v>
      </c>
      <c r="D75" s="7">
        <f>'AM Benches Data'!AI70*('AM Benches Data'!AF70/100)</f>
        <v>0</v>
      </c>
      <c r="E75" s="116" t="e">
        <f t="shared" si="63"/>
        <v>#DIV/0!</v>
      </c>
      <c r="F75" s="116">
        <f t="shared" si="64"/>
        <v>0</v>
      </c>
      <c r="G75" s="67">
        <f>'AM Benches Data'!B70</f>
        <v>0</v>
      </c>
      <c r="H75" s="43">
        <f>'AM Benches Data'!L70</f>
        <v>0</v>
      </c>
      <c r="I75" s="43">
        <f>'AM Benches Data'!V70</f>
        <v>0</v>
      </c>
      <c r="J75" s="116" t="e">
        <f t="shared" si="65"/>
        <v>#DIV/0!</v>
      </c>
      <c r="K75" s="116">
        <f t="shared" si="66"/>
        <v>0</v>
      </c>
      <c r="L75" s="43">
        <f>'AM Benches Data'!C70</f>
        <v>0</v>
      </c>
      <c r="M75" s="43">
        <f>'AM Benches Data'!M70</f>
        <v>0</v>
      </c>
      <c r="N75" s="43">
        <f>'AM Benches Data'!W70</f>
        <v>0</v>
      </c>
      <c r="O75" s="1341" t="e">
        <f t="shared" si="67"/>
        <v>#DIV/0!</v>
      </c>
      <c r="P75" s="116">
        <f t="shared" si="68"/>
        <v>0</v>
      </c>
      <c r="Q75" s="43">
        <f>'AM Benches Data'!D70</f>
        <v>0</v>
      </c>
      <c r="R75" s="43">
        <f>'AM Benches Data'!N70</f>
        <v>0</v>
      </c>
      <c r="S75" s="43">
        <f>'AM Benches Data'!X70</f>
        <v>0</v>
      </c>
      <c r="T75" s="1341" t="e">
        <f t="shared" si="69"/>
        <v>#DIV/0!</v>
      </c>
      <c r="U75" s="116">
        <f t="shared" si="70"/>
        <v>0</v>
      </c>
      <c r="V75" s="43">
        <f>'AM Benches Data'!H70</f>
        <v>0</v>
      </c>
      <c r="W75" s="43">
        <f>'AM Benches Data'!R70</f>
        <v>0</v>
      </c>
      <c r="X75" s="43">
        <f>'AM Benches Data'!Z70</f>
        <v>0</v>
      </c>
      <c r="Y75" s="1341" t="e">
        <f t="shared" si="71"/>
        <v>#DIV/0!</v>
      </c>
      <c r="Z75" s="116">
        <f t="shared" si="72"/>
        <v>0</v>
      </c>
      <c r="AA75" s="43">
        <f>'AM Benches Data'!I70</f>
        <v>0</v>
      </c>
      <c r="AB75" s="43">
        <f>'AM Benches Data'!S70</f>
        <v>0</v>
      </c>
      <c r="AC75" s="43">
        <f>'AM Benches Data'!AA70</f>
        <v>0</v>
      </c>
      <c r="AD75" s="1341" t="e">
        <f t="shared" si="73"/>
        <v>#DIV/0!</v>
      </c>
      <c r="AE75" s="116">
        <f t="shared" si="74"/>
        <v>0</v>
      </c>
      <c r="AF75" s="43">
        <f>'AM Benches Data'!K70</f>
        <v>0</v>
      </c>
      <c r="AG75" s="43">
        <f>'AM Benches Data'!U70</f>
        <v>0</v>
      </c>
      <c r="AH75" s="43">
        <f>'AM Benches Data'!AC70</f>
        <v>0</v>
      </c>
      <c r="AI75" s="1341" t="e">
        <f t="shared" si="75"/>
        <v>#DIV/0!</v>
      </c>
      <c r="AJ75" s="116">
        <f t="shared" si="76"/>
        <v>0</v>
      </c>
    </row>
    <row r="76" spans="1:36" hidden="1" outlineLevel="1" x14ac:dyDescent="0.25">
      <c r="B76" s="7">
        <f>'AM Benches Data'!AG71*('AM Benches Data'!AD71/100)</f>
        <v>0</v>
      </c>
      <c r="C76" s="7">
        <f>'AM Benches Data'!AH71*('AM Benches Data'!AE71/100)</f>
        <v>0</v>
      </c>
      <c r="D76" s="7">
        <f>'AM Benches Data'!AI71*('AM Benches Data'!AF71/100)</f>
        <v>0</v>
      </c>
      <c r="E76" s="116" t="e">
        <f t="shared" si="63"/>
        <v>#DIV/0!</v>
      </c>
      <c r="F76" s="116">
        <f t="shared" si="64"/>
        <v>0</v>
      </c>
      <c r="G76" s="67">
        <f>'AM Benches Data'!B71</f>
        <v>0</v>
      </c>
      <c r="H76" s="43">
        <f>'AM Benches Data'!L71</f>
        <v>0</v>
      </c>
      <c r="I76" s="43">
        <f>'AM Benches Data'!V71</f>
        <v>0</v>
      </c>
      <c r="J76" s="116" t="e">
        <f t="shared" si="65"/>
        <v>#DIV/0!</v>
      </c>
      <c r="K76" s="116">
        <f t="shared" si="66"/>
        <v>0</v>
      </c>
      <c r="L76" s="43">
        <f>'AM Benches Data'!C71</f>
        <v>0</v>
      </c>
      <c r="M76" s="43">
        <f>'AM Benches Data'!M71</f>
        <v>0</v>
      </c>
      <c r="N76" s="43">
        <f>'AM Benches Data'!W71</f>
        <v>0</v>
      </c>
      <c r="O76" s="1341" t="e">
        <f t="shared" si="67"/>
        <v>#DIV/0!</v>
      </c>
      <c r="P76" s="116">
        <f t="shared" si="68"/>
        <v>0</v>
      </c>
      <c r="Q76" s="43">
        <f>'AM Benches Data'!D71</f>
        <v>0</v>
      </c>
      <c r="R76" s="43">
        <f>'AM Benches Data'!N71</f>
        <v>0</v>
      </c>
      <c r="S76" s="43">
        <f>'AM Benches Data'!X71</f>
        <v>0</v>
      </c>
      <c r="T76" s="1341" t="e">
        <f t="shared" si="69"/>
        <v>#DIV/0!</v>
      </c>
      <c r="U76" s="116">
        <f t="shared" si="70"/>
        <v>0</v>
      </c>
      <c r="V76" s="43">
        <f>'AM Benches Data'!H71</f>
        <v>0</v>
      </c>
      <c r="W76" s="43">
        <f>'AM Benches Data'!R71</f>
        <v>0</v>
      </c>
      <c r="X76" s="43">
        <f>'AM Benches Data'!Z71</f>
        <v>0</v>
      </c>
      <c r="Y76" s="1341" t="e">
        <f t="shared" si="71"/>
        <v>#DIV/0!</v>
      </c>
      <c r="Z76" s="116">
        <f t="shared" si="72"/>
        <v>0</v>
      </c>
      <c r="AA76" s="43">
        <f>'AM Benches Data'!I71</f>
        <v>0</v>
      </c>
      <c r="AB76" s="43">
        <f>'AM Benches Data'!S71</f>
        <v>0</v>
      </c>
      <c r="AC76" s="43">
        <f>'AM Benches Data'!AA71</f>
        <v>0</v>
      </c>
      <c r="AD76" s="1341" t="e">
        <f t="shared" si="73"/>
        <v>#DIV/0!</v>
      </c>
      <c r="AE76" s="116">
        <f t="shared" si="74"/>
        <v>0</v>
      </c>
      <c r="AF76" s="43">
        <f>'AM Benches Data'!K71</f>
        <v>0</v>
      </c>
      <c r="AG76" s="43">
        <f>'AM Benches Data'!U71</f>
        <v>0</v>
      </c>
      <c r="AH76" s="43">
        <f>'AM Benches Data'!AC71</f>
        <v>0</v>
      </c>
      <c r="AI76" s="1341" t="e">
        <f t="shared" si="75"/>
        <v>#DIV/0!</v>
      </c>
      <c r="AJ76" s="116">
        <f t="shared" si="76"/>
        <v>0</v>
      </c>
    </row>
    <row r="77" spans="1:36" hidden="1" outlineLevel="1" x14ac:dyDescent="0.25">
      <c r="B77" s="7">
        <f>'AM Benches Data'!AG72*('AM Benches Data'!AD72/100)</f>
        <v>0</v>
      </c>
      <c r="C77" s="7">
        <f>'AM Benches Data'!AH72*('AM Benches Data'!AE72/100)</f>
        <v>0</v>
      </c>
      <c r="D77" s="7">
        <f>'AM Benches Data'!AI72*('AM Benches Data'!AF72/100)</f>
        <v>0</v>
      </c>
      <c r="E77" s="116" t="e">
        <f t="shared" si="63"/>
        <v>#DIV/0!</v>
      </c>
      <c r="F77" s="116">
        <f t="shared" si="64"/>
        <v>0</v>
      </c>
      <c r="G77" s="67">
        <f>'AM Benches Data'!B72</f>
        <v>0</v>
      </c>
      <c r="H77" s="43">
        <f>'AM Benches Data'!L72</f>
        <v>0</v>
      </c>
      <c r="I77" s="43">
        <f>'AM Benches Data'!V72</f>
        <v>0</v>
      </c>
      <c r="J77" s="116" t="e">
        <f t="shared" si="65"/>
        <v>#DIV/0!</v>
      </c>
      <c r="K77" s="116">
        <f t="shared" si="66"/>
        <v>0</v>
      </c>
      <c r="L77" s="43">
        <f>'AM Benches Data'!C72</f>
        <v>0</v>
      </c>
      <c r="M77" s="43">
        <f>'AM Benches Data'!M72</f>
        <v>0</v>
      </c>
      <c r="N77" s="43">
        <f>'AM Benches Data'!W72</f>
        <v>0</v>
      </c>
      <c r="O77" s="1341" t="e">
        <f t="shared" si="67"/>
        <v>#DIV/0!</v>
      </c>
      <c r="P77" s="116">
        <f t="shared" si="68"/>
        <v>0</v>
      </c>
      <c r="Q77" s="43">
        <f>'AM Benches Data'!D72</f>
        <v>0</v>
      </c>
      <c r="R77" s="43">
        <f>'AM Benches Data'!N72</f>
        <v>0</v>
      </c>
      <c r="S77" s="43">
        <f>'AM Benches Data'!X72</f>
        <v>0</v>
      </c>
      <c r="T77" s="1341" t="e">
        <f t="shared" si="69"/>
        <v>#DIV/0!</v>
      </c>
      <c r="U77" s="116">
        <f t="shared" si="70"/>
        <v>0</v>
      </c>
      <c r="V77" s="43">
        <f>'AM Benches Data'!H72</f>
        <v>0</v>
      </c>
      <c r="W77" s="43">
        <f>'AM Benches Data'!R72</f>
        <v>0</v>
      </c>
      <c r="X77" s="43">
        <f>'AM Benches Data'!Z72</f>
        <v>0</v>
      </c>
      <c r="Y77" s="1341" t="e">
        <f t="shared" si="71"/>
        <v>#DIV/0!</v>
      </c>
      <c r="Z77" s="116">
        <f t="shared" si="72"/>
        <v>0</v>
      </c>
      <c r="AA77" s="43">
        <f>'AM Benches Data'!I72</f>
        <v>0</v>
      </c>
      <c r="AB77" s="43">
        <f>'AM Benches Data'!S72</f>
        <v>0</v>
      </c>
      <c r="AC77" s="43">
        <f>'AM Benches Data'!AA72</f>
        <v>0</v>
      </c>
      <c r="AD77" s="1341" t="e">
        <f t="shared" si="73"/>
        <v>#DIV/0!</v>
      </c>
      <c r="AE77" s="116">
        <f t="shared" si="74"/>
        <v>0</v>
      </c>
      <c r="AF77" s="43">
        <f>'AM Benches Data'!K72</f>
        <v>0</v>
      </c>
      <c r="AG77" s="43">
        <f>'AM Benches Data'!U72</f>
        <v>0</v>
      </c>
      <c r="AH77" s="43">
        <f>'AM Benches Data'!AC72</f>
        <v>0</v>
      </c>
      <c r="AI77" s="1341" t="e">
        <f t="shared" si="75"/>
        <v>#DIV/0!</v>
      </c>
      <c r="AJ77" s="116">
        <f t="shared" si="76"/>
        <v>0</v>
      </c>
    </row>
    <row r="78" spans="1:36" hidden="1" outlineLevel="1" x14ac:dyDescent="0.25">
      <c r="B78" s="7">
        <f>'AM Benches Data'!AG73*('AM Benches Data'!AD73/100)</f>
        <v>0</v>
      </c>
      <c r="C78" s="7">
        <f>'AM Benches Data'!AH73*('AM Benches Data'!AE73/100)</f>
        <v>0</v>
      </c>
      <c r="D78" s="7">
        <f>'AM Benches Data'!AI73*('AM Benches Data'!AF73/100)</f>
        <v>0</v>
      </c>
      <c r="E78" s="116" t="e">
        <f t="shared" si="63"/>
        <v>#DIV/0!</v>
      </c>
      <c r="F78" s="116" t="e">
        <f t="shared" si="64"/>
        <v>#DIV/0!</v>
      </c>
      <c r="G78" s="67">
        <f>'AM Benches Data'!B73</f>
        <v>0</v>
      </c>
      <c r="H78" s="43">
        <f>'AM Benches Data'!L73</f>
        <v>0</v>
      </c>
      <c r="I78" s="43">
        <f>'AM Benches Data'!V73</f>
        <v>0</v>
      </c>
      <c r="J78" s="116" t="e">
        <f t="shared" si="65"/>
        <v>#DIV/0!</v>
      </c>
      <c r="K78" s="116" t="e">
        <f t="shared" si="66"/>
        <v>#DIV/0!</v>
      </c>
      <c r="L78" s="43">
        <f>'AM Benches Data'!C73</f>
        <v>0</v>
      </c>
      <c r="M78" s="43">
        <f>'AM Benches Data'!M73</f>
        <v>0</v>
      </c>
      <c r="N78" s="43">
        <f>'AM Benches Data'!W73</f>
        <v>0</v>
      </c>
      <c r="O78" s="1341" t="e">
        <f t="shared" si="67"/>
        <v>#DIV/0!</v>
      </c>
      <c r="P78" s="116" t="e">
        <f t="shared" si="68"/>
        <v>#DIV/0!</v>
      </c>
      <c r="Q78" s="43">
        <f>'AM Benches Data'!D73</f>
        <v>0</v>
      </c>
      <c r="R78" s="43">
        <f>'AM Benches Data'!N73</f>
        <v>0</v>
      </c>
      <c r="S78" s="43">
        <f>'AM Benches Data'!X73</f>
        <v>0</v>
      </c>
      <c r="T78" s="1341" t="e">
        <f t="shared" si="69"/>
        <v>#DIV/0!</v>
      </c>
      <c r="U78" s="116" t="e">
        <f t="shared" si="70"/>
        <v>#DIV/0!</v>
      </c>
      <c r="V78" s="43">
        <f>'AM Benches Data'!H73</f>
        <v>0</v>
      </c>
      <c r="W78" s="43">
        <f>'AM Benches Data'!R73</f>
        <v>0</v>
      </c>
      <c r="X78" s="43">
        <f>'AM Benches Data'!Z73</f>
        <v>0</v>
      </c>
      <c r="Y78" s="1341" t="e">
        <f t="shared" si="71"/>
        <v>#DIV/0!</v>
      </c>
      <c r="Z78" s="116" t="e">
        <f t="shared" si="72"/>
        <v>#DIV/0!</v>
      </c>
      <c r="AA78" s="43">
        <f>'AM Benches Data'!I73</f>
        <v>0</v>
      </c>
      <c r="AB78" s="43">
        <f>'AM Benches Data'!S73</f>
        <v>0</v>
      </c>
      <c r="AC78" s="43">
        <f>'AM Benches Data'!AA73</f>
        <v>0</v>
      </c>
      <c r="AD78" s="1341" t="e">
        <f t="shared" si="73"/>
        <v>#DIV/0!</v>
      </c>
      <c r="AE78" s="116" t="e">
        <f t="shared" si="74"/>
        <v>#DIV/0!</v>
      </c>
      <c r="AF78" s="43">
        <f>'AM Benches Data'!K73</f>
        <v>0</v>
      </c>
      <c r="AG78" s="43">
        <f>'AM Benches Data'!U73</f>
        <v>0</v>
      </c>
      <c r="AH78" s="43">
        <f>'AM Benches Data'!AC73</f>
        <v>0</v>
      </c>
      <c r="AI78" s="1341" t="e">
        <f t="shared" si="75"/>
        <v>#DIV/0!</v>
      </c>
      <c r="AJ78" s="116" t="e">
        <f t="shared" si="76"/>
        <v>#DIV/0!</v>
      </c>
    </row>
    <row r="79" spans="1:36" hidden="1" outlineLevel="1" x14ac:dyDescent="0.25">
      <c r="B79" s="7">
        <f>'AM Benches Data'!AG74*('AM Benches Data'!AD74/100)</f>
        <v>0</v>
      </c>
      <c r="C79" s="7">
        <f>'AM Benches Data'!AH74*('AM Benches Data'!AE74/100)</f>
        <v>0</v>
      </c>
      <c r="D79" s="7">
        <f>'AM Benches Data'!AI74*('AM Benches Data'!AF74/100)</f>
        <v>0</v>
      </c>
      <c r="E79" s="116" t="e">
        <f t="shared" si="63"/>
        <v>#DIV/0!</v>
      </c>
      <c r="F79" s="116" t="e">
        <f t="shared" si="64"/>
        <v>#DIV/0!</v>
      </c>
      <c r="G79" s="67">
        <f>'AM Benches Data'!B74</f>
        <v>0</v>
      </c>
      <c r="H79" s="43">
        <f>'AM Benches Data'!L74</f>
        <v>0</v>
      </c>
      <c r="I79" s="43">
        <f>'AM Benches Data'!V74</f>
        <v>0</v>
      </c>
      <c r="J79" s="116" t="e">
        <f t="shared" si="65"/>
        <v>#DIV/0!</v>
      </c>
      <c r="K79" s="116" t="e">
        <f t="shared" si="66"/>
        <v>#DIV/0!</v>
      </c>
      <c r="L79" s="43">
        <f>'AM Benches Data'!C74</f>
        <v>0</v>
      </c>
      <c r="M79" s="43">
        <f>'AM Benches Data'!M74</f>
        <v>0</v>
      </c>
      <c r="N79" s="43">
        <f>'AM Benches Data'!W74</f>
        <v>0</v>
      </c>
      <c r="O79" s="1341" t="e">
        <f t="shared" si="67"/>
        <v>#DIV/0!</v>
      </c>
      <c r="P79" s="116" t="e">
        <f t="shared" si="68"/>
        <v>#DIV/0!</v>
      </c>
      <c r="Q79" s="43">
        <f>'AM Benches Data'!D74</f>
        <v>0</v>
      </c>
      <c r="R79" s="43">
        <f>'AM Benches Data'!N74</f>
        <v>0</v>
      </c>
      <c r="S79" s="43">
        <f>'AM Benches Data'!X74</f>
        <v>0</v>
      </c>
      <c r="T79" s="1341" t="e">
        <f t="shared" si="69"/>
        <v>#DIV/0!</v>
      </c>
      <c r="U79" s="116" t="e">
        <f t="shared" si="70"/>
        <v>#DIV/0!</v>
      </c>
      <c r="V79" s="43">
        <f>'AM Benches Data'!H74</f>
        <v>0</v>
      </c>
      <c r="W79" s="43">
        <f>'AM Benches Data'!R74</f>
        <v>0</v>
      </c>
      <c r="X79" s="43">
        <f>'AM Benches Data'!Z74</f>
        <v>0</v>
      </c>
      <c r="Y79" s="1341" t="e">
        <f t="shared" si="71"/>
        <v>#DIV/0!</v>
      </c>
      <c r="Z79" s="116" t="e">
        <f t="shared" si="72"/>
        <v>#DIV/0!</v>
      </c>
      <c r="AA79" s="43">
        <f>'AM Benches Data'!I74</f>
        <v>0</v>
      </c>
      <c r="AB79" s="43">
        <f>'AM Benches Data'!S74</f>
        <v>0</v>
      </c>
      <c r="AC79" s="43">
        <f>'AM Benches Data'!AA74</f>
        <v>0</v>
      </c>
      <c r="AD79" s="1341" t="e">
        <f t="shared" si="73"/>
        <v>#DIV/0!</v>
      </c>
      <c r="AE79" s="116" t="e">
        <f t="shared" si="74"/>
        <v>#DIV/0!</v>
      </c>
      <c r="AF79" s="43">
        <f>'AM Benches Data'!K74</f>
        <v>0</v>
      </c>
      <c r="AG79" s="43">
        <f>'AM Benches Data'!U74</f>
        <v>0</v>
      </c>
      <c r="AH79" s="43">
        <f>'AM Benches Data'!AC74</f>
        <v>0</v>
      </c>
      <c r="AI79" s="1341" t="e">
        <f t="shared" si="75"/>
        <v>#DIV/0!</v>
      </c>
      <c r="AJ79" s="116" t="e">
        <f t="shared" si="76"/>
        <v>#DIV/0!</v>
      </c>
    </row>
    <row r="80" spans="1:36" hidden="1" outlineLevel="1" x14ac:dyDescent="0.25">
      <c r="B80" s="7">
        <f>'AM Benches Data'!AG75*('AM Benches Data'!AD75/100)</f>
        <v>0</v>
      </c>
      <c r="C80" s="7">
        <f>'AM Benches Data'!AH75*('AM Benches Data'!AE75/100)</f>
        <v>0</v>
      </c>
      <c r="D80" s="7">
        <f>'AM Benches Data'!AI75*('AM Benches Data'!AF75/100)</f>
        <v>0</v>
      </c>
      <c r="E80" s="116" t="e">
        <f t="shared" si="63"/>
        <v>#DIV/0!</v>
      </c>
      <c r="F80" s="116" t="e">
        <f t="shared" si="64"/>
        <v>#DIV/0!</v>
      </c>
      <c r="G80" s="67">
        <f>'AM Benches Data'!B75</f>
        <v>0</v>
      </c>
      <c r="H80" s="43">
        <f>'AM Benches Data'!L75</f>
        <v>0</v>
      </c>
      <c r="I80" s="43">
        <f>'AM Benches Data'!V75</f>
        <v>0</v>
      </c>
      <c r="J80" s="116" t="e">
        <f t="shared" si="65"/>
        <v>#DIV/0!</v>
      </c>
      <c r="K80" s="116" t="e">
        <f t="shared" si="66"/>
        <v>#DIV/0!</v>
      </c>
      <c r="L80" s="43">
        <f>'AM Benches Data'!C75</f>
        <v>0</v>
      </c>
      <c r="M80" s="43">
        <f>'AM Benches Data'!M75</f>
        <v>0</v>
      </c>
      <c r="N80" s="43">
        <f>'AM Benches Data'!W75</f>
        <v>0</v>
      </c>
      <c r="O80" s="1341" t="e">
        <f t="shared" si="67"/>
        <v>#DIV/0!</v>
      </c>
      <c r="P80" s="116" t="e">
        <f t="shared" si="68"/>
        <v>#DIV/0!</v>
      </c>
      <c r="Q80" s="43">
        <f>'AM Benches Data'!D75</f>
        <v>0</v>
      </c>
      <c r="R80" s="43">
        <f>'AM Benches Data'!N75</f>
        <v>0</v>
      </c>
      <c r="S80" s="43">
        <f>'AM Benches Data'!X75</f>
        <v>0</v>
      </c>
      <c r="T80" s="1341" t="e">
        <f t="shared" si="69"/>
        <v>#DIV/0!</v>
      </c>
      <c r="U80" s="116" t="e">
        <f t="shared" si="70"/>
        <v>#DIV/0!</v>
      </c>
      <c r="V80" s="43">
        <f>'AM Benches Data'!H75</f>
        <v>0</v>
      </c>
      <c r="W80" s="43">
        <f>'AM Benches Data'!R75</f>
        <v>0</v>
      </c>
      <c r="X80" s="43">
        <f>'AM Benches Data'!Z75</f>
        <v>0</v>
      </c>
      <c r="Y80" s="1341" t="e">
        <f t="shared" si="71"/>
        <v>#DIV/0!</v>
      </c>
      <c r="Z80" s="116" t="e">
        <f t="shared" si="72"/>
        <v>#DIV/0!</v>
      </c>
      <c r="AA80" s="43">
        <f>'AM Benches Data'!I75</f>
        <v>0</v>
      </c>
      <c r="AB80" s="43">
        <f>'AM Benches Data'!S75</f>
        <v>0</v>
      </c>
      <c r="AC80" s="43">
        <f>'AM Benches Data'!AA75</f>
        <v>0</v>
      </c>
      <c r="AD80" s="1341" t="e">
        <f t="shared" si="73"/>
        <v>#DIV/0!</v>
      </c>
      <c r="AE80" s="116" t="e">
        <f t="shared" si="74"/>
        <v>#DIV/0!</v>
      </c>
      <c r="AF80" s="43">
        <f>'AM Benches Data'!K75</f>
        <v>0</v>
      </c>
      <c r="AG80" s="43">
        <f>'AM Benches Data'!U75</f>
        <v>0</v>
      </c>
      <c r="AH80" s="43">
        <f>'AM Benches Data'!AC75</f>
        <v>0</v>
      </c>
      <c r="AI80" s="1341" t="e">
        <f t="shared" si="75"/>
        <v>#DIV/0!</v>
      </c>
      <c r="AJ80" s="116" t="e">
        <f t="shared" si="76"/>
        <v>#DIV/0!</v>
      </c>
    </row>
    <row r="81" spans="2:36" hidden="1" outlineLevel="1" x14ac:dyDescent="0.25">
      <c r="B81" s="7">
        <f>'AM Benches Data'!AG76*('AM Benches Data'!AD76/100)</f>
        <v>0</v>
      </c>
      <c r="C81" s="7">
        <f>'AM Benches Data'!AH76*('AM Benches Data'!AE76/100)</f>
        <v>0</v>
      </c>
      <c r="D81" s="7">
        <f>'AM Benches Data'!AI76*('AM Benches Data'!AF76/100)</f>
        <v>0</v>
      </c>
      <c r="E81" s="116" t="e">
        <f t="shared" si="63"/>
        <v>#DIV/0!</v>
      </c>
      <c r="F81" s="116" t="e">
        <f t="shared" si="64"/>
        <v>#DIV/0!</v>
      </c>
      <c r="G81" s="67">
        <f>'AM Benches Data'!B76</f>
        <v>0</v>
      </c>
      <c r="H81" s="43">
        <f>'AM Benches Data'!L76</f>
        <v>0</v>
      </c>
      <c r="I81" s="43">
        <f>'AM Benches Data'!V76</f>
        <v>0</v>
      </c>
      <c r="J81" s="116" t="e">
        <f t="shared" si="65"/>
        <v>#DIV/0!</v>
      </c>
      <c r="K81" s="116" t="e">
        <f t="shared" si="66"/>
        <v>#DIV/0!</v>
      </c>
      <c r="L81" s="43">
        <f>'AM Benches Data'!C76</f>
        <v>0</v>
      </c>
      <c r="M81" s="43">
        <f>'AM Benches Data'!M76</f>
        <v>0</v>
      </c>
      <c r="N81" s="43">
        <f>'AM Benches Data'!W76</f>
        <v>0</v>
      </c>
      <c r="O81" s="1341" t="e">
        <f t="shared" si="67"/>
        <v>#DIV/0!</v>
      </c>
      <c r="P81" s="116" t="e">
        <f t="shared" si="68"/>
        <v>#DIV/0!</v>
      </c>
      <c r="Q81" s="43">
        <f>'AM Benches Data'!D76</f>
        <v>0</v>
      </c>
      <c r="R81" s="43">
        <f>'AM Benches Data'!N76</f>
        <v>0</v>
      </c>
      <c r="S81" s="43">
        <f>'AM Benches Data'!X76</f>
        <v>0</v>
      </c>
      <c r="T81" s="1341" t="e">
        <f t="shared" si="69"/>
        <v>#DIV/0!</v>
      </c>
      <c r="U81" s="116" t="e">
        <f t="shared" si="70"/>
        <v>#DIV/0!</v>
      </c>
      <c r="V81" s="43">
        <f>'AM Benches Data'!H76</f>
        <v>0</v>
      </c>
      <c r="W81" s="43">
        <f>'AM Benches Data'!R76</f>
        <v>0</v>
      </c>
      <c r="X81" s="43">
        <f>'AM Benches Data'!Z76</f>
        <v>0</v>
      </c>
      <c r="Y81" s="1341" t="e">
        <f t="shared" si="71"/>
        <v>#DIV/0!</v>
      </c>
      <c r="Z81" s="116" t="e">
        <f t="shared" si="72"/>
        <v>#DIV/0!</v>
      </c>
      <c r="AA81" s="43">
        <f>'AM Benches Data'!I76</f>
        <v>0</v>
      </c>
      <c r="AB81" s="43">
        <f>'AM Benches Data'!S76</f>
        <v>0</v>
      </c>
      <c r="AC81" s="43">
        <f>'AM Benches Data'!AA76</f>
        <v>0</v>
      </c>
      <c r="AD81" s="1341" t="e">
        <f t="shared" si="73"/>
        <v>#DIV/0!</v>
      </c>
      <c r="AE81" s="116" t="e">
        <f t="shared" si="74"/>
        <v>#DIV/0!</v>
      </c>
      <c r="AF81" s="43">
        <f>'AM Benches Data'!K76</f>
        <v>0</v>
      </c>
      <c r="AG81" s="43">
        <f>'AM Benches Data'!U76</f>
        <v>0</v>
      </c>
      <c r="AH81" s="43">
        <f>'AM Benches Data'!AC76</f>
        <v>0</v>
      </c>
      <c r="AI81" s="1341" t="e">
        <f t="shared" si="75"/>
        <v>#DIV/0!</v>
      </c>
      <c r="AJ81" s="116" t="e">
        <f t="shared" si="76"/>
        <v>#DIV/0!</v>
      </c>
    </row>
    <row r="82" spans="2:36" hidden="1" outlineLevel="1" x14ac:dyDescent="0.25">
      <c r="B82" s="7">
        <f>'AM Benches Data'!AG77*('AM Benches Data'!AD77/100)</f>
        <v>0</v>
      </c>
      <c r="C82" s="7">
        <f>'AM Benches Data'!AH77*('AM Benches Data'!AE77/100)</f>
        <v>0</v>
      </c>
      <c r="D82" s="7">
        <f>'AM Benches Data'!AI77*('AM Benches Data'!AF77/100)</f>
        <v>0</v>
      </c>
      <c r="E82" s="116" t="e">
        <f t="shared" si="63"/>
        <v>#DIV/0!</v>
      </c>
      <c r="F82" s="116" t="e">
        <f t="shared" si="64"/>
        <v>#DIV/0!</v>
      </c>
      <c r="G82" s="67">
        <f>'AM Benches Data'!B77</f>
        <v>0</v>
      </c>
      <c r="H82" s="43">
        <f>'AM Benches Data'!L77</f>
        <v>0</v>
      </c>
      <c r="I82" s="43">
        <f>'AM Benches Data'!V77</f>
        <v>0</v>
      </c>
      <c r="J82" s="116" t="e">
        <f t="shared" si="65"/>
        <v>#DIV/0!</v>
      </c>
      <c r="K82" s="116" t="e">
        <f t="shared" si="66"/>
        <v>#DIV/0!</v>
      </c>
      <c r="L82" s="43">
        <f>'AM Benches Data'!C77</f>
        <v>0</v>
      </c>
      <c r="M82" s="43">
        <f>'AM Benches Data'!M77</f>
        <v>0</v>
      </c>
      <c r="N82" s="43">
        <f>'AM Benches Data'!W77</f>
        <v>0</v>
      </c>
      <c r="O82" s="1341" t="e">
        <f t="shared" si="67"/>
        <v>#DIV/0!</v>
      </c>
      <c r="P82" s="116" t="e">
        <f t="shared" si="68"/>
        <v>#DIV/0!</v>
      </c>
      <c r="Q82" s="43">
        <f>'AM Benches Data'!D77</f>
        <v>0</v>
      </c>
      <c r="R82" s="43">
        <f>'AM Benches Data'!N77</f>
        <v>0</v>
      </c>
      <c r="S82" s="43">
        <f>'AM Benches Data'!X77</f>
        <v>0</v>
      </c>
      <c r="T82" s="1341" t="e">
        <f t="shared" si="69"/>
        <v>#DIV/0!</v>
      </c>
      <c r="U82" s="116" t="e">
        <f t="shared" si="70"/>
        <v>#DIV/0!</v>
      </c>
      <c r="V82" s="43">
        <f>'AM Benches Data'!H77</f>
        <v>0</v>
      </c>
      <c r="W82" s="43">
        <f>'AM Benches Data'!R77</f>
        <v>0</v>
      </c>
      <c r="X82" s="43">
        <f>'AM Benches Data'!Z77</f>
        <v>0</v>
      </c>
      <c r="Y82" s="1341" t="e">
        <f t="shared" si="71"/>
        <v>#DIV/0!</v>
      </c>
      <c r="Z82" s="116" t="e">
        <f t="shared" si="72"/>
        <v>#DIV/0!</v>
      </c>
      <c r="AA82" s="43">
        <f>'AM Benches Data'!I77</f>
        <v>0</v>
      </c>
      <c r="AB82" s="43">
        <f>'AM Benches Data'!S77</f>
        <v>0</v>
      </c>
      <c r="AC82" s="43">
        <f>'AM Benches Data'!AA77</f>
        <v>0</v>
      </c>
      <c r="AD82" s="1341" t="e">
        <f t="shared" si="73"/>
        <v>#DIV/0!</v>
      </c>
      <c r="AE82" s="116" t="e">
        <f t="shared" si="74"/>
        <v>#DIV/0!</v>
      </c>
      <c r="AF82" s="43">
        <f>'AM Benches Data'!K77</f>
        <v>0</v>
      </c>
      <c r="AG82" s="43">
        <f>'AM Benches Data'!U77</f>
        <v>0</v>
      </c>
      <c r="AH82" s="43">
        <f>'AM Benches Data'!AC77</f>
        <v>0</v>
      </c>
      <c r="AI82" s="1341" t="e">
        <f t="shared" si="75"/>
        <v>#DIV/0!</v>
      </c>
      <c r="AJ82" s="116" t="e">
        <f t="shared" si="76"/>
        <v>#DIV/0!</v>
      </c>
    </row>
    <row r="83" spans="2:36" hidden="1" outlineLevel="1" x14ac:dyDescent="0.25">
      <c r="B83" s="7">
        <f>'AM Benches Data'!AG78*('AM Benches Data'!AD78/100)</f>
        <v>0</v>
      </c>
      <c r="C83" s="7">
        <f>'AM Benches Data'!AH78*('AM Benches Data'!AE78/100)</f>
        <v>0</v>
      </c>
      <c r="D83" s="7">
        <f>'AM Benches Data'!AI78*('AM Benches Data'!AF78/100)</f>
        <v>0</v>
      </c>
      <c r="E83" s="116" t="e">
        <f t="shared" si="63"/>
        <v>#DIV/0!</v>
      </c>
      <c r="F83" s="116" t="e">
        <f t="shared" si="64"/>
        <v>#DIV/0!</v>
      </c>
      <c r="G83" s="67">
        <f>'AM Benches Data'!B78</f>
        <v>0</v>
      </c>
      <c r="H83" s="43">
        <f>'AM Benches Data'!L78</f>
        <v>0</v>
      </c>
      <c r="I83" s="43">
        <f>'AM Benches Data'!V78</f>
        <v>0</v>
      </c>
      <c r="J83" s="116" t="e">
        <f t="shared" si="65"/>
        <v>#DIV/0!</v>
      </c>
      <c r="K83" s="116" t="e">
        <f t="shared" si="66"/>
        <v>#DIV/0!</v>
      </c>
      <c r="L83" s="43">
        <f>'AM Benches Data'!C78</f>
        <v>0</v>
      </c>
      <c r="M83" s="43">
        <f>'AM Benches Data'!M78</f>
        <v>0</v>
      </c>
      <c r="N83" s="43">
        <f>'AM Benches Data'!W78</f>
        <v>0</v>
      </c>
      <c r="O83" s="1341" t="e">
        <f t="shared" si="67"/>
        <v>#DIV/0!</v>
      </c>
      <c r="P83" s="116" t="e">
        <f t="shared" si="68"/>
        <v>#DIV/0!</v>
      </c>
      <c r="Q83" s="43">
        <f>'AM Benches Data'!D78</f>
        <v>0</v>
      </c>
      <c r="R83" s="43">
        <f>'AM Benches Data'!N78</f>
        <v>0</v>
      </c>
      <c r="S83" s="43">
        <f>'AM Benches Data'!X78</f>
        <v>0</v>
      </c>
      <c r="T83" s="1341" t="e">
        <f t="shared" si="69"/>
        <v>#DIV/0!</v>
      </c>
      <c r="U83" s="116" t="e">
        <f t="shared" si="70"/>
        <v>#DIV/0!</v>
      </c>
      <c r="V83" s="43">
        <f>'AM Benches Data'!H78</f>
        <v>0</v>
      </c>
      <c r="W83" s="43">
        <f>'AM Benches Data'!R78</f>
        <v>0</v>
      </c>
      <c r="X83" s="43">
        <f>'AM Benches Data'!Z78</f>
        <v>0</v>
      </c>
      <c r="Y83" s="1341" t="e">
        <f t="shared" si="71"/>
        <v>#DIV/0!</v>
      </c>
      <c r="Z83" s="116" t="e">
        <f t="shared" si="72"/>
        <v>#DIV/0!</v>
      </c>
      <c r="AA83" s="43">
        <f>'AM Benches Data'!I78</f>
        <v>0</v>
      </c>
      <c r="AB83" s="43">
        <f>'AM Benches Data'!S78</f>
        <v>0</v>
      </c>
      <c r="AC83" s="43">
        <f>'AM Benches Data'!AA78</f>
        <v>0</v>
      </c>
      <c r="AD83" s="1341" t="e">
        <f t="shared" si="73"/>
        <v>#DIV/0!</v>
      </c>
      <c r="AE83" s="116" t="e">
        <f t="shared" si="74"/>
        <v>#DIV/0!</v>
      </c>
      <c r="AF83" s="43">
        <f>'AM Benches Data'!K78</f>
        <v>0</v>
      </c>
      <c r="AG83" s="43">
        <f>'AM Benches Data'!U78</f>
        <v>0</v>
      </c>
      <c r="AH83" s="43">
        <f>'AM Benches Data'!AC78</f>
        <v>0</v>
      </c>
      <c r="AI83" s="1341" t="e">
        <f t="shared" si="75"/>
        <v>#DIV/0!</v>
      </c>
      <c r="AJ83" s="116" t="e">
        <f t="shared" si="76"/>
        <v>#DIV/0!</v>
      </c>
    </row>
    <row r="84" spans="2:36" hidden="1" outlineLevel="1" x14ac:dyDescent="0.25">
      <c r="B84" s="7">
        <f>'AM Benches Data'!AG79*('AM Benches Data'!AD79/100)</f>
        <v>0</v>
      </c>
      <c r="C84" s="7">
        <f>'AM Benches Data'!AH79*('AM Benches Data'!AE79/100)</f>
        <v>0</v>
      </c>
      <c r="D84" s="7">
        <f>'AM Benches Data'!AI79*('AM Benches Data'!AF79/100)</f>
        <v>0</v>
      </c>
      <c r="E84" s="116" t="e">
        <f t="shared" si="63"/>
        <v>#DIV/0!</v>
      </c>
      <c r="F84" s="116" t="e">
        <f t="shared" si="64"/>
        <v>#DIV/0!</v>
      </c>
      <c r="G84" s="67">
        <f>'AM Benches Data'!B79</f>
        <v>0</v>
      </c>
      <c r="H84" s="43">
        <f>'AM Benches Data'!L79</f>
        <v>0</v>
      </c>
      <c r="I84" s="43">
        <f>'AM Benches Data'!V79</f>
        <v>0</v>
      </c>
      <c r="J84" s="116" t="e">
        <f t="shared" si="65"/>
        <v>#DIV/0!</v>
      </c>
      <c r="K84" s="116" t="e">
        <f t="shared" si="66"/>
        <v>#DIV/0!</v>
      </c>
      <c r="L84" s="43">
        <f>'AM Benches Data'!C79</f>
        <v>0</v>
      </c>
      <c r="M84" s="43">
        <f>'AM Benches Data'!M79</f>
        <v>0</v>
      </c>
      <c r="N84" s="43">
        <f>'AM Benches Data'!W79</f>
        <v>0</v>
      </c>
      <c r="O84" s="1341" t="e">
        <f t="shared" si="67"/>
        <v>#DIV/0!</v>
      </c>
      <c r="P84" s="116" t="e">
        <f t="shared" si="68"/>
        <v>#DIV/0!</v>
      </c>
      <c r="Q84" s="43">
        <f>'AM Benches Data'!D79</f>
        <v>0</v>
      </c>
      <c r="R84" s="43">
        <f>'AM Benches Data'!N79</f>
        <v>0</v>
      </c>
      <c r="S84" s="43">
        <f>'AM Benches Data'!X79</f>
        <v>0</v>
      </c>
      <c r="T84" s="1341" t="e">
        <f t="shared" si="69"/>
        <v>#DIV/0!</v>
      </c>
      <c r="U84" s="116" t="e">
        <f t="shared" si="70"/>
        <v>#DIV/0!</v>
      </c>
      <c r="V84" s="43">
        <f>'AM Benches Data'!H79</f>
        <v>0</v>
      </c>
      <c r="W84" s="43">
        <f>'AM Benches Data'!R79</f>
        <v>0</v>
      </c>
      <c r="X84" s="43">
        <f>'AM Benches Data'!Z79</f>
        <v>0</v>
      </c>
      <c r="Y84" s="1341" t="e">
        <f t="shared" si="71"/>
        <v>#DIV/0!</v>
      </c>
      <c r="Z84" s="116" t="e">
        <f t="shared" si="72"/>
        <v>#DIV/0!</v>
      </c>
      <c r="AA84" s="43">
        <f>'AM Benches Data'!I79</f>
        <v>0</v>
      </c>
      <c r="AB84" s="43">
        <f>'AM Benches Data'!S79</f>
        <v>0</v>
      </c>
      <c r="AC84" s="43">
        <f>'AM Benches Data'!AA79</f>
        <v>0</v>
      </c>
      <c r="AD84" s="1341" t="e">
        <f t="shared" si="73"/>
        <v>#DIV/0!</v>
      </c>
      <c r="AE84" s="116" t="e">
        <f t="shared" si="74"/>
        <v>#DIV/0!</v>
      </c>
      <c r="AF84" s="43">
        <f>'AM Benches Data'!K79</f>
        <v>0</v>
      </c>
      <c r="AG84" s="43">
        <f>'AM Benches Data'!U79</f>
        <v>0</v>
      </c>
      <c r="AH84" s="43">
        <f>'AM Benches Data'!AC79</f>
        <v>0</v>
      </c>
      <c r="AI84" s="1341" t="e">
        <f t="shared" si="75"/>
        <v>#DIV/0!</v>
      </c>
      <c r="AJ84" s="116" t="e">
        <f t="shared" si="76"/>
        <v>#DIV/0!</v>
      </c>
    </row>
    <row r="85" spans="2:36" hidden="1" outlineLevel="1" x14ac:dyDescent="0.25">
      <c r="B85" s="7">
        <f>'AM Benches Data'!AG80*('AM Benches Data'!AD80/100)</f>
        <v>0</v>
      </c>
      <c r="C85" s="7">
        <f>'AM Benches Data'!AH80*('AM Benches Data'!AE80/100)</f>
        <v>0</v>
      </c>
      <c r="D85" s="7">
        <f>'AM Benches Data'!AI80*('AM Benches Data'!AF80/100)</f>
        <v>0</v>
      </c>
      <c r="E85" s="116" t="e">
        <f t="shared" si="63"/>
        <v>#DIV/0!</v>
      </c>
      <c r="F85" s="116" t="e">
        <f t="shared" si="64"/>
        <v>#DIV/0!</v>
      </c>
      <c r="G85" s="67">
        <f>'AM Benches Data'!B80</f>
        <v>0</v>
      </c>
      <c r="H85" s="43">
        <f>'AM Benches Data'!L80</f>
        <v>0</v>
      </c>
      <c r="I85" s="43">
        <f>'AM Benches Data'!V80</f>
        <v>0</v>
      </c>
      <c r="J85" s="116" t="e">
        <f t="shared" si="65"/>
        <v>#DIV/0!</v>
      </c>
      <c r="K85" s="116" t="e">
        <f t="shared" si="66"/>
        <v>#DIV/0!</v>
      </c>
      <c r="L85" s="43">
        <f>'AM Benches Data'!C80</f>
        <v>0</v>
      </c>
      <c r="M85" s="43">
        <f>'AM Benches Data'!M80</f>
        <v>0</v>
      </c>
      <c r="N85" s="43">
        <f>'AM Benches Data'!W80</f>
        <v>0</v>
      </c>
      <c r="O85" s="1341" t="e">
        <f t="shared" si="67"/>
        <v>#DIV/0!</v>
      </c>
      <c r="P85" s="116" t="e">
        <f t="shared" si="68"/>
        <v>#DIV/0!</v>
      </c>
      <c r="Q85" s="43">
        <f>'AM Benches Data'!D80</f>
        <v>0</v>
      </c>
      <c r="R85" s="43">
        <f>'AM Benches Data'!N80</f>
        <v>0</v>
      </c>
      <c r="S85" s="43">
        <f>'AM Benches Data'!X80</f>
        <v>0</v>
      </c>
      <c r="T85" s="1341" t="e">
        <f t="shared" si="69"/>
        <v>#DIV/0!</v>
      </c>
      <c r="U85" s="116" t="e">
        <f t="shared" si="70"/>
        <v>#DIV/0!</v>
      </c>
      <c r="V85" s="43">
        <f>'AM Benches Data'!H80</f>
        <v>0</v>
      </c>
      <c r="W85" s="43">
        <f>'AM Benches Data'!R80</f>
        <v>0</v>
      </c>
      <c r="X85" s="43">
        <f>'AM Benches Data'!Z80</f>
        <v>0</v>
      </c>
      <c r="Y85" s="1341" t="e">
        <f t="shared" si="71"/>
        <v>#DIV/0!</v>
      </c>
      <c r="Z85" s="116" t="e">
        <f t="shared" si="72"/>
        <v>#DIV/0!</v>
      </c>
      <c r="AA85" s="43">
        <f>'AM Benches Data'!I80</f>
        <v>0</v>
      </c>
      <c r="AB85" s="43">
        <f>'AM Benches Data'!S80</f>
        <v>0</v>
      </c>
      <c r="AC85" s="43">
        <f>'AM Benches Data'!AA80</f>
        <v>0</v>
      </c>
      <c r="AD85" s="1341" t="e">
        <f t="shared" si="73"/>
        <v>#DIV/0!</v>
      </c>
      <c r="AE85" s="116" t="e">
        <f t="shared" si="74"/>
        <v>#DIV/0!</v>
      </c>
      <c r="AF85" s="43">
        <f>'AM Benches Data'!K80</f>
        <v>0</v>
      </c>
      <c r="AG85" s="43">
        <f>'AM Benches Data'!U80</f>
        <v>0</v>
      </c>
      <c r="AH85" s="43">
        <f>'AM Benches Data'!AC80</f>
        <v>0</v>
      </c>
      <c r="AI85" s="1341" t="e">
        <f t="shared" si="75"/>
        <v>#DIV/0!</v>
      </c>
      <c r="AJ85" s="116" t="e">
        <f t="shared" si="76"/>
        <v>#DIV/0!</v>
      </c>
    </row>
    <row r="86" spans="2:36" hidden="1" outlineLevel="1" x14ac:dyDescent="0.25">
      <c r="B86" s="7">
        <f>'AM Benches Data'!AG81*('AM Benches Data'!AD81/100)</f>
        <v>0</v>
      </c>
      <c r="C86" s="7">
        <f>'AM Benches Data'!AH81*('AM Benches Data'!AE81/100)</f>
        <v>0</v>
      </c>
      <c r="D86" s="7">
        <f>'AM Benches Data'!AI81*('AM Benches Data'!AF81/100)</f>
        <v>0</v>
      </c>
      <c r="E86" s="116" t="e">
        <f t="shared" si="63"/>
        <v>#DIV/0!</v>
      </c>
      <c r="F86" s="116" t="e">
        <f t="shared" si="64"/>
        <v>#DIV/0!</v>
      </c>
      <c r="G86" s="67">
        <f>'AM Benches Data'!B81</f>
        <v>0</v>
      </c>
      <c r="H86" s="43">
        <f>'AM Benches Data'!L81</f>
        <v>0</v>
      </c>
      <c r="I86" s="43">
        <f>'AM Benches Data'!V81</f>
        <v>0</v>
      </c>
      <c r="J86" s="116" t="e">
        <f t="shared" si="65"/>
        <v>#DIV/0!</v>
      </c>
      <c r="K86" s="116" t="e">
        <f t="shared" si="66"/>
        <v>#DIV/0!</v>
      </c>
      <c r="L86" s="43">
        <f>'AM Benches Data'!C81</f>
        <v>0</v>
      </c>
      <c r="M86" s="43">
        <f>'AM Benches Data'!M81</f>
        <v>0</v>
      </c>
      <c r="N86" s="43">
        <f>'AM Benches Data'!W81</f>
        <v>0</v>
      </c>
      <c r="O86" s="1341" t="e">
        <f t="shared" si="67"/>
        <v>#DIV/0!</v>
      </c>
      <c r="P86" s="116" t="e">
        <f t="shared" si="68"/>
        <v>#DIV/0!</v>
      </c>
      <c r="Q86" s="43">
        <f>'AM Benches Data'!D81</f>
        <v>0</v>
      </c>
      <c r="R86" s="43">
        <f>'AM Benches Data'!N81</f>
        <v>0</v>
      </c>
      <c r="S86" s="43">
        <f>'AM Benches Data'!X81</f>
        <v>0</v>
      </c>
      <c r="T86" s="1341" t="e">
        <f t="shared" si="69"/>
        <v>#DIV/0!</v>
      </c>
      <c r="U86" s="116" t="e">
        <f t="shared" si="70"/>
        <v>#DIV/0!</v>
      </c>
      <c r="V86" s="43">
        <f>'AM Benches Data'!H81</f>
        <v>0</v>
      </c>
      <c r="W86" s="43">
        <f>'AM Benches Data'!R81</f>
        <v>0</v>
      </c>
      <c r="X86" s="43">
        <f>'AM Benches Data'!Z81</f>
        <v>0</v>
      </c>
      <c r="Y86" s="1341" t="e">
        <f t="shared" si="71"/>
        <v>#DIV/0!</v>
      </c>
      <c r="Z86" s="116" t="e">
        <f t="shared" si="72"/>
        <v>#DIV/0!</v>
      </c>
      <c r="AA86" s="43">
        <f>'AM Benches Data'!I81</f>
        <v>0</v>
      </c>
      <c r="AB86" s="43">
        <f>'AM Benches Data'!S81</f>
        <v>0</v>
      </c>
      <c r="AC86" s="43">
        <f>'AM Benches Data'!AA81</f>
        <v>0</v>
      </c>
      <c r="AD86" s="1341" t="e">
        <f t="shared" si="73"/>
        <v>#DIV/0!</v>
      </c>
      <c r="AE86" s="116" t="e">
        <f t="shared" si="74"/>
        <v>#DIV/0!</v>
      </c>
      <c r="AF86" s="43">
        <f>'AM Benches Data'!K81</f>
        <v>0</v>
      </c>
      <c r="AG86" s="43">
        <f>'AM Benches Data'!U81</f>
        <v>0</v>
      </c>
      <c r="AH86" s="43">
        <f>'AM Benches Data'!AC81</f>
        <v>0</v>
      </c>
      <c r="AI86" s="1341" t="e">
        <f t="shared" si="75"/>
        <v>#DIV/0!</v>
      </c>
      <c r="AJ86" s="116" t="e">
        <f t="shared" si="76"/>
        <v>#DIV/0!</v>
      </c>
    </row>
    <row r="87" spans="2:36" hidden="1" outlineLevel="1" x14ac:dyDescent="0.25">
      <c r="B87" s="7">
        <f>'AM Benches Data'!AG82*('AM Benches Data'!AD82/100)</f>
        <v>0</v>
      </c>
      <c r="C87" s="7">
        <f>'AM Benches Data'!AH82*('AM Benches Data'!AE82/100)</f>
        <v>0</v>
      </c>
      <c r="D87" s="7">
        <f>'AM Benches Data'!AI82*('AM Benches Data'!AF82/100)</f>
        <v>0</v>
      </c>
      <c r="E87" s="116" t="e">
        <f t="shared" si="63"/>
        <v>#DIV/0!</v>
      </c>
      <c r="F87" s="116" t="e">
        <f t="shared" si="64"/>
        <v>#DIV/0!</v>
      </c>
      <c r="G87" s="67">
        <f>'AM Benches Data'!B82</f>
        <v>0</v>
      </c>
      <c r="H87" s="43">
        <f>'AM Benches Data'!L82</f>
        <v>0</v>
      </c>
      <c r="I87" s="43">
        <f>'AM Benches Data'!V82</f>
        <v>0</v>
      </c>
      <c r="J87" s="116" t="e">
        <f t="shared" si="65"/>
        <v>#DIV/0!</v>
      </c>
      <c r="K87" s="116" t="e">
        <f t="shared" si="66"/>
        <v>#DIV/0!</v>
      </c>
      <c r="L87" s="43">
        <f>'AM Benches Data'!C82</f>
        <v>0</v>
      </c>
      <c r="M87" s="43">
        <f>'AM Benches Data'!M82</f>
        <v>0</v>
      </c>
      <c r="N87" s="43">
        <f>'AM Benches Data'!W82</f>
        <v>0</v>
      </c>
      <c r="O87" s="1341" t="e">
        <f t="shared" si="67"/>
        <v>#DIV/0!</v>
      </c>
      <c r="P87" s="116" t="e">
        <f t="shared" si="68"/>
        <v>#DIV/0!</v>
      </c>
      <c r="Q87" s="43">
        <f>'AM Benches Data'!D82</f>
        <v>0</v>
      </c>
      <c r="R87" s="43">
        <f>'AM Benches Data'!N82</f>
        <v>0</v>
      </c>
      <c r="S87" s="43">
        <f>'AM Benches Data'!X82</f>
        <v>0</v>
      </c>
      <c r="T87" s="1341" t="e">
        <f t="shared" si="69"/>
        <v>#DIV/0!</v>
      </c>
      <c r="U87" s="116" t="e">
        <f t="shared" si="70"/>
        <v>#DIV/0!</v>
      </c>
      <c r="V87" s="43">
        <f>'AM Benches Data'!H82</f>
        <v>0</v>
      </c>
      <c r="W87" s="43">
        <f>'AM Benches Data'!R82</f>
        <v>0</v>
      </c>
      <c r="X87" s="43">
        <f>'AM Benches Data'!Z82</f>
        <v>0</v>
      </c>
      <c r="Y87" s="1341" t="e">
        <f t="shared" si="71"/>
        <v>#DIV/0!</v>
      </c>
      <c r="Z87" s="116" t="e">
        <f t="shared" si="72"/>
        <v>#DIV/0!</v>
      </c>
      <c r="AA87" s="43">
        <f>'AM Benches Data'!I82</f>
        <v>0</v>
      </c>
      <c r="AB87" s="43">
        <f>'AM Benches Data'!S82</f>
        <v>0</v>
      </c>
      <c r="AC87" s="43">
        <f>'AM Benches Data'!AA82</f>
        <v>0</v>
      </c>
      <c r="AD87" s="1341" t="e">
        <f t="shared" si="73"/>
        <v>#DIV/0!</v>
      </c>
      <c r="AE87" s="116" t="e">
        <f t="shared" si="74"/>
        <v>#DIV/0!</v>
      </c>
      <c r="AF87" s="43">
        <f>'AM Benches Data'!K82</f>
        <v>0</v>
      </c>
      <c r="AG87" s="43">
        <f>'AM Benches Data'!U82</f>
        <v>0</v>
      </c>
      <c r="AH87" s="43">
        <f>'AM Benches Data'!AC82</f>
        <v>0</v>
      </c>
      <c r="AI87" s="1341" t="e">
        <f t="shared" si="75"/>
        <v>#DIV/0!</v>
      </c>
      <c r="AJ87" s="116" t="e">
        <f t="shared" si="76"/>
        <v>#DIV/0!</v>
      </c>
    </row>
    <row r="88" spans="2:36" hidden="1" outlineLevel="1" x14ac:dyDescent="0.25">
      <c r="B88" s="7">
        <f>'AM Benches Data'!AG83*('AM Benches Data'!AD83/100)</f>
        <v>0</v>
      </c>
      <c r="C88" s="7">
        <f>'AM Benches Data'!AH83*('AM Benches Data'!AE83/100)</f>
        <v>0</v>
      </c>
      <c r="D88" s="7">
        <f>'AM Benches Data'!AI83*('AM Benches Data'!AF83/100)</f>
        <v>0</v>
      </c>
      <c r="E88" s="116" t="e">
        <f t="shared" si="63"/>
        <v>#DIV/0!</v>
      </c>
      <c r="F88" s="116" t="e">
        <f t="shared" si="64"/>
        <v>#DIV/0!</v>
      </c>
      <c r="G88" s="67">
        <f>'AM Benches Data'!B83</f>
        <v>0</v>
      </c>
      <c r="H88" s="43">
        <f>'AM Benches Data'!L83</f>
        <v>0</v>
      </c>
      <c r="I88" s="43">
        <f>'AM Benches Data'!V83</f>
        <v>0</v>
      </c>
      <c r="J88" s="116" t="e">
        <f t="shared" si="65"/>
        <v>#DIV/0!</v>
      </c>
      <c r="K88" s="116" t="e">
        <f t="shared" si="66"/>
        <v>#DIV/0!</v>
      </c>
      <c r="L88" s="43">
        <f>'AM Benches Data'!C83</f>
        <v>0</v>
      </c>
      <c r="M88" s="43">
        <f>'AM Benches Data'!M83</f>
        <v>0</v>
      </c>
      <c r="N88" s="43">
        <f>'AM Benches Data'!W83</f>
        <v>0</v>
      </c>
      <c r="O88" s="1341" t="e">
        <f t="shared" si="67"/>
        <v>#DIV/0!</v>
      </c>
      <c r="P88" s="116" t="e">
        <f t="shared" si="68"/>
        <v>#DIV/0!</v>
      </c>
      <c r="Q88" s="43">
        <f>'AM Benches Data'!D83</f>
        <v>0</v>
      </c>
      <c r="R88" s="43">
        <f>'AM Benches Data'!N83</f>
        <v>0</v>
      </c>
      <c r="S88" s="43">
        <f>'AM Benches Data'!X83</f>
        <v>0</v>
      </c>
      <c r="T88" s="1341" t="e">
        <f t="shared" si="69"/>
        <v>#DIV/0!</v>
      </c>
      <c r="U88" s="116" t="e">
        <f t="shared" si="70"/>
        <v>#DIV/0!</v>
      </c>
      <c r="V88" s="43">
        <f>'AM Benches Data'!H83</f>
        <v>0</v>
      </c>
      <c r="W88" s="43">
        <f>'AM Benches Data'!R83</f>
        <v>0</v>
      </c>
      <c r="X88" s="43">
        <f>'AM Benches Data'!Z83</f>
        <v>0</v>
      </c>
      <c r="Y88" s="1341" t="e">
        <f t="shared" si="71"/>
        <v>#DIV/0!</v>
      </c>
      <c r="Z88" s="116" t="e">
        <f t="shared" si="72"/>
        <v>#DIV/0!</v>
      </c>
      <c r="AA88" s="43">
        <f>'AM Benches Data'!I83</f>
        <v>0</v>
      </c>
      <c r="AB88" s="43">
        <f>'AM Benches Data'!S83</f>
        <v>0</v>
      </c>
      <c r="AC88" s="43">
        <f>'AM Benches Data'!AA83</f>
        <v>0</v>
      </c>
      <c r="AD88" s="1341" t="e">
        <f t="shared" si="73"/>
        <v>#DIV/0!</v>
      </c>
      <c r="AE88" s="116" t="e">
        <f t="shared" si="74"/>
        <v>#DIV/0!</v>
      </c>
      <c r="AF88" s="43">
        <f>'AM Benches Data'!K83</f>
        <v>0</v>
      </c>
      <c r="AG88" s="43">
        <f>'AM Benches Data'!U83</f>
        <v>0</v>
      </c>
      <c r="AH88" s="43">
        <f>'AM Benches Data'!AC83</f>
        <v>0</v>
      </c>
      <c r="AI88" s="1341" t="e">
        <f t="shared" si="75"/>
        <v>#DIV/0!</v>
      </c>
      <c r="AJ88" s="116" t="e">
        <f t="shared" si="76"/>
        <v>#DIV/0!</v>
      </c>
    </row>
    <row r="89" spans="2:36" hidden="1" outlineLevel="1" x14ac:dyDescent="0.25">
      <c r="B89" s="7">
        <f>'AM Benches Data'!AG84*('AM Benches Data'!AD84/100)</f>
        <v>0</v>
      </c>
      <c r="C89" s="7">
        <f>'AM Benches Data'!AH84*('AM Benches Data'!AE84/100)</f>
        <v>0</v>
      </c>
      <c r="D89" s="7">
        <f>'AM Benches Data'!AI84*('AM Benches Data'!AF84/100)</f>
        <v>0</v>
      </c>
      <c r="E89" s="116" t="e">
        <f t="shared" si="63"/>
        <v>#DIV/0!</v>
      </c>
      <c r="F89" s="116" t="e">
        <f t="shared" si="64"/>
        <v>#DIV/0!</v>
      </c>
      <c r="G89" s="67">
        <f>'AM Benches Data'!B84</f>
        <v>0</v>
      </c>
      <c r="H89" s="43">
        <f>'AM Benches Data'!L84</f>
        <v>0</v>
      </c>
      <c r="I89" s="43">
        <f>'AM Benches Data'!V84</f>
        <v>0</v>
      </c>
      <c r="J89" s="116" t="e">
        <f t="shared" si="65"/>
        <v>#DIV/0!</v>
      </c>
      <c r="K89" s="116" t="e">
        <f t="shared" si="66"/>
        <v>#DIV/0!</v>
      </c>
      <c r="L89" s="43">
        <f>'AM Benches Data'!C84</f>
        <v>0</v>
      </c>
      <c r="M89" s="43">
        <f>'AM Benches Data'!M84</f>
        <v>0</v>
      </c>
      <c r="N89" s="43">
        <f>'AM Benches Data'!W84</f>
        <v>0</v>
      </c>
      <c r="O89" s="1341" t="e">
        <f t="shared" si="67"/>
        <v>#DIV/0!</v>
      </c>
      <c r="P89" s="116" t="e">
        <f t="shared" si="68"/>
        <v>#DIV/0!</v>
      </c>
      <c r="Q89" s="43">
        <f>'AM Benches Data'!D84</f>
        <v>0</v>
      </c>
      <c r="R89" s="43">
        <f>'AM Benches Data'!N84</f>
        <v>0</v>
      </c>
      <c r="S89" s="43">
        <f>'AM Benches Data'!X84</f>
        <v>0</v>
      </c>
      <c r="T89" s="1341" t="e">
        <f t="shared" si="69"/>
        <v>#DIV/0!</v>
      </c>
      <c r="U89" s="116" t="e">
        <f t="shared" si="70"/>
        <v>#DIV/0!</v>
      </c>
      <c r="V89" s="43">
        <f>'AM Benches Data'!H84</f>
        <v>0</v>
      </c>
      <c r="W89" s="43">
        <f>'AM Benches Data'!R84</f>
        <v>0</v>
      </c>
      <c r="X89" s="43">
        <f>'AM Benches Data'!Z84</f>
        <v>0</v>
      </c>
      <c r="Y89" s="1341" t="e">
        <f t="shared" si="71"/>
        <v>#DIV/0!</v>
      </c>
      <c r="Z89" s="116" t="e">
        <f t="shared" si="72"/>
        <v>#DIV/0!</v>
      </c>
      <c r="AA89" s="43">
        <f>'AM Benches Data'!I84</f>
        <v>0</v>
      </c>
      <c r="AB89" s="43">
        <f>'AM Benches Data'!S84</f>
        <v>0</v>
      </c>
      <c r="AC89" s="43">
        <f>'AM Benches Data'!AA84</f>
        <v>0</v>
      </c>
      <c r="AD89" s="1341" t="e">
        <f t="shared" si="73"/>
        <v>#DIV/0!</v>
      </c>
      <c r="AE89" s="116" t="e">
        <f t="shared" si="74"/>
        <v>#DIV/0!</v>
      </c>
      <c r="AF89" s="43">
        <f>'AM Benches Data'!K84</f>
        <v>0</v>
      </c>
      <c r="AG89" s="43">
        <f>'AM Benches Data'!U84</f>
        <v>0</v>
      </c>
      <c r="AH89" s="43">
        <f>'AM Benches Data'!AC84</f>
        <v>0</v>
      </c>
      <c r="AI89" s="1341" t="e">
        <f t="shared" si="75"/>
        <v>#DIV/0!</v>
      </c>
      <c r="AJ89" s="116" t="e">
        <f t="shared" si="76"/>
        <v>#DIV/0!</v>
      </c>
    </row>
    <row r="90" spans="2:36" hidden="1" outlineLevel="1" x14ac:dyDescent="0.25">
      <c r="B90" s="7">
        <f>'AM Benches Data'!AG85*('AM Benches Data'!AD85/100)</f>
        <v>0</v>
      </c>
      <c r="C90" s="7">
        <f>'AM Benches Data'!AH85*('AM Benches Data'!AE85/100)</f>
        <v>0</v>
      </c>
      <c r="D90" s="7">
        <f>'AM Benches Data'!AI85*('AM Benches Data'!AF85/100)</f>
        <v>0</v>
      </c>
      <c r="E90" s="116" t="e">
        <f t="shared" si="63"/>
        <v>#DIV/0!</v>
      </c>
      <c r="F90" s="116" t="e">
        <f t="shared" si="64"/>
        <v>#DIV/0!</v>
      </c>
      <c r="G90" s="67">
        <f>'AM Benches Data'!B85</f>
        <v>0</v>
      </c>
      <c r="H90" s="43">
        <f>'AM Benches Data'!L85</f>
        <v>0</v>
      </c>
      <c r="I90" s="43">
        <f>'AM Benches Data'!V85</f>
        <v>0</v>
      </c>
      <c r="J90" s="116" t="e">
        <f t="shared" si="65"/>
        <v>#DIV/0!</v>
      </c>
      <c r="K90" s="116" t="e">
        <f t="shared" si="66"/>
        <v>#DIV/0!</v>
      </c>
      <c r="L90" s="43">
        <f>'AM Benches Data'!C85</f>
        <v>0</v>
      </c>
      <c r="M90" s="43">
        <f>'AM Benches Data'!M85</f>
        <v>0</v>
      </c>
      <c r="N90" s="43">
        <f>'AM Benches Data'!W85</f>
        <v>0</v>
      </c>
      <c r="O90" s="1341" t="e">
        <f t="shared" si="67"/>
        <v>#DIV/0!</v>
      </c>
      <c r="P90" s="116" t="e">
        <f t="shared" si="68"/>
        <v>#DIV/0!</v>
      </c>
      <c r="Q90" s="43">
        <f>'AM Benches Data'!D85</f>
        <v>0</v>
      </c>
      <c r="R90" s="43">
        <f>'AM Benches Data'!N85</f>
        <v>0</v>
      </c>
      <c r="S90" s="43">
        <f>'AM Benches Data'!X85</f>
        <v>0</v>
      </c>
      <c r="T90" s="1341" t="e">
        <f t="shared" si="69"/>
        <v>#DIV/0!</v>
      </c>
      <c r="U90" s="116" t="e">
        <f t="shared" si="70"/>
        <v>#DIV/0!</v>
      </c>
      <c r="V90" s="43">
        <f>'AM Benches Data'!H85</f>
        <v>0</v>
      </c>
      <c r="W90" s="43">
        <f>'AM Benches Data'!R85</f>
        <v>0</v>
      </c>
      <c r="X90" s="43">
        <f>'AM Benches Data'!Z85</f>
        <v>0</v>
      </c>
      <c r="Y90" s="1341" t="e">
        <f t="shared" si="71"/>
        <v>#DIV/0!</v>
      </c>
      <c r="Z90" s="116" t="e">
        <f t="shared" si="72"/>
        <v>#DIV/0!</v>
      </c>
      <c r="AA90" s="43">
        <f>'AM Benches Data'!I85</f>
        <v>0</v>
      </c>
      <c r="AB90" s="43">
        <f>'AM Benches Data'!S85</f>
        <v>0</v>
      </c>
      <c r="AC90" s="43">
        <f>'AM Benches Data'!AA85</f>
        <v>0</v>
      </c>
      <c r="AD90" s="1341" t="e">
        <f t="shared" si="73"/>
        <v>#DIV/0!</v>
      </c>
      <c r="AE90" s="116" t="e">
        <f t="shared" si="74"/>
        <v>#DIV/0!</v>
      </c>
      <c r="AF90" s="43">
        <f>'AM Benches Data'!K85</f>
        <v>0</v>
      </c>
      <c r="AG90" s="43">
        <f>'AM Benches Data'!U85</f>
        <v>0</v>
      </c>
      <c r="AH90" s="43">
        <f>'AM Benches Data'!AC85</f>
        <v>0</v>
      </c>
      <c r="AI90" s="1341" t="e">
        <f t="shared" si="75"/>
        <v>#DIV/0!</v>
      </c>
      <c r="AJ90" s="116" t="e">
        <f t="shared" si="76"/>
        <v>#DIV/0!</v>
      </c>
    </row>
    <row r="91" spans="2:36" hidden="1" outlineLevel="1" x14ac:dyDescent="0.25">
      <c r="B91" s="7">
        <f>'AM Benches Data'!AG86*('AM Benches Data'!AD86/100)</f>
        <v>0</v>
      </c>
      <c r="C91" s="7">
        <f>'AM Benches Data'!AH86*('AM Benches Data'!AE86/100)</f>
        <v>0</v>
      </c>
      <c r="D91" s="7">
        <f>'AM Benches Data'!AI86*('AM Benches Data'!AF86/100)</f>
        <v>0</v>
      </c>
      <c r="E91" s="116" t="e">
        <f t="shared" si="63"/>
        <v>#DIV/0!</v>
      </c>
      <c r="F91" s="116" t="e">
        <f t="shared" si="64"/>
        <v>#DIV/0!</v>
      </c>
      <c r="G91" s="67">
        <f>'AM Benches Data'!B86</f>
        <v>0</v>
      </c>
      <c r="H91" s="43">
        <f>'AM Benches Data'!L86</f>
        <v>0</v>
      </c>
      <c r="I91" s="43">
        <f>'AM Benches Data'!V86</f>
        <v>0</v>
      </c>
      <c r="J91" s="116" t="e">
        <f t="shared" si="65"/>
        <v>#DIV/0!</v>
      </c>
      <c r="K91" s="116" t="e">
        <f t="shared" si="66"/>
        <v>#DIV/0!</v>
      </c>
      <c r="L91" s="43">
        <f>'AM Benches Data'!C86</f>
        <v>0</v>
      </c>
      <c r="M91" s="43">
        <f>'AM Benches Data'!M86</f>
        <v>0</v>
      </c>
      <c r="N91" s="43">
        <f>'AM Benches Data'!W86</f>
        <v>0</v>
      </c>
      <c r="O91" s="1341" t="e">
        <f t="shared" si="67"/>
        <v>#DIV/0!</v>
      </c>
      <c r="P91" s="116" t="e">
        <f t="shared" si="68"/>
        <v>#DIV/0!</v>
      </c>
      <c r="Q91" s="43">
        <f>'AM Benches Data'!D86</f>
        <v>0</v>
      </c>
      <c r="R91" s="43">
        <f>'AM Benches Data'!N86</f>
        <v>0</v>
      </c>
      <c r="S91" s="43">
        <f>'AM Benches Data'!X86</f>
        <v>0</v>
      </c>
      <c r="T91" s="1341" t="e">
        <f t="shared" si="69"/>
        <v>#DIV/0!</v>
      </c>
      <c r="U91" s="116" t="e">
        <f t="shared" si="70"/>
        <v>#DIV/0!</v>
      </c>
      <c r="V91" s="43">
        <f>'AM Benches Data'!H86</f>
        <v>0</v>
      </c>
      <c r="W91" s="43">
        <f>'AM Benches Data'!R86</f>
        <v>0</v>
      </c>
      <c r="X91" s="43">
        <f>'AM Benches Data'!Z86</f>
        <v>0</v>
      </c>
      <c r="Y91" s="1341" t="e">
        <f t="shared" si="71"/>
        <v>#DIV/0!</v>
      </c>
      <c r="Z91" s="116" t="e">
        <f t="shared" si="72"/>
        <v>#DIV/0!</v>
      </c>
      <c r="AA91" s="43">
        <f>'AM Benches Data'!I86</f>
        <v>0</v>
      </c>
      <c r="AB91" s="43">
        <f>'AM Benches Data'!S86</f>
        <v>0</v>
      </c>
      <c r="AC91" s="43">
        <f>'AM Benches Data'!AA86</f>
        <v>0</v>
      </c>
      <c r="AD91" s="1341" t="e">
        <f t="shared" si="73"/>
        <v>#DIV/0!</v>
      </c>
      <c r="AE91" s="116" t="e">
        <f t="shared" si="74"/>
        <v>#DIV/0!</v>
      </c>
      <c r="AF91" s="43">
        <f>'AM Benches Data'!K86</f>
        <v>0</v>
      </c>
      <c r="AG91" s="43">
        <f>'AM Benches Data'!U86</f>
        <v>0</v>
      </c>
      <c r="AH91" s="43">
        <f>'AM Benches Data'!AC86</f>
        <v>0</v>
      </c>
      <c r="AI91" s="1341" t="e">
        <f t="shared" si="75"/>
        <v>#DIV/0!</v>
      </c>
      <c r="AJ91" s="116" t="e">
        <f t="shared" si="76"/>
        <v>#DIV/0!</v>
      </c>
    </row>
    <row r="92" spans="2:36" hidden="1" outlineLevel="1" x14ac:dyDescent="0.25">
      <c r="B92" s="7">
        <f>'AM Benches Data'!AG87*('AM Benches Data'!AD87/100)</f>
        <v>0</v>
      </c>
      <c r="C92" s="7">
        <f>'AM Benches Data'!AH87*('AM Benches Data'!AE87/100)</f>
        <v>0</v>
      </c>
      <c r="D92" s="7">
        <f>'AM Benches Data'!AI87*('AM Benches Data'!AF87/100)</f>
        <v>0</v>
      </c>
      <c r="E92" s="116" t="e">
        <f t="shared" si="63"/>
        <v>#DIV/0!</v>
      </c>
      <c r="F92" s="116" t="e">
        <f t="shared" si="64"/>
        <v>#DIV/0!</v>
      </c>
      <c r="G92" s="67">
        <f>'AM Benches Data'!B87</f>
        <v>0</v>
      </c>
      <c r="H92" s="43">
        <f>'AM Benches Data'!L87</f>
        <v>0</v>
      </c>
      <c r="I92" s="43">
        <f>'AM Benches Data'!V87</f>
        <v>0</v>
      </c>
      <c r="J92" s="116" t="e">
        <f t="shared" si="65"/>
        <v>#DIV/0!</v>
      </c>
      <c r="K92" s="116" t="e">
        <f t="shared" si="66"/>
        <v>#DIV/0!</v>
      </c>
      <c r="L92" s="43">
        <f>'AM Benches Data'!C87</f>
        <v>0</v>
      </c>
      <c r="M92" s="43">
        <f>'AM Benches Data'!M87</f>
        <v>0</v>
      </c>
      <c r="N92" s="43">
        <f>'AM Benches Data'!W87</f>
        <v>0</v>
      </c>
      <c r="O92" s="1341" t="e">
        <f t="shared" si="67"/>
        <v>#DIV/0!</v>
      </c>
      <c r="P92" s="116" t="e">
        <f t="shared" si="68"/>
        <v>#DIV/0!</v>
      </c>
      <c r="Q92" s="43">
        <f>'AM Benches Data'!D87</f>
        <v>0</v>
      </c>
      <c r="R92" s="43">
        <f>'AM Benches Data'!N87</f>
        <v>0</v>
      </c>
      <c r="S92" s="43">
        <f>'AM Benches Data'!X87</f>
        <v>0</v>
      </c>
      <c r="T92" s="1341" t="e">
        <f t="shared" si="69"/>
        <v>#DIV/0!</v>
      </c>
      <c r="U92" s="116" t="e">
        <f t="shared" si="70"/>
        <v>#DIV/0!</v>
      </c>
      <c r="V92" s="43">
        <f>'AM Benches Data'!H87</f>
        <v>0</v>
      </c>
      <c r="W92" s="43">
        <f>'AM Benches Data'!R87</f>
        <v>0</v>
      </c>
      <c r="X92" s="43">
        <f>'AM Benches Data'!Z87</f>
        <v>0</v>
      </c>
      <c r="Y92" s="1341" t="e">
        <f t="shared" si="71"/>
        <v>#DIV/0!</v>
      </c>
      <c r="Z92" s="116" t="e">
        <f t="shared" si="72"/>
        <v>#DIV/0!</v>
      </c>
      <c r="AA92" s="43">
        <f>'AM Benches Data'!I87</f>
        <v>0</v>
      </c>
      <c r="AB92" s="43">
        <f>'AM Benches Data'!S87</f>
        <v>0</v>
      </c>
      <c r="AC92" s="43">
        <f>'AM Benches Data'!AA87</f>
        <v>0</v>
      </c>
      <c r="AD92" s="1341" t="e">
        <f t="shared" si="73"/>
        <v>#DIV/0!</v>
      </c>
      <c r="AE92" s="116" t="e">
        <f t="shared" si="74"/>
        <v>#DIV/0!</v>
      </c>
      <c r="AF92" s="43">
        <f>'AM Benches Data'!K87</f>
        <v>0</v>
      </c>
      <c r="AG92" s="43">
        <f>'AM Benches Data'!U87</f>
        <v>0</v>
      </c>
      <c r="AH92" s="43">
        <f>'AM Benches Data'!AC87</f>
        <v>0</v>
      </c>
      <c r="AI92" s="1341" t="e">
        <f t="shared" si="75"/>
        <v>#DIV/0!</v>
      </c>
      <c r="AJ92" s="116" t="e">
        <f t="shared" si="76"/>
        <v>#DIV/0!</v>
      </c>
    </row>
    <row r="93" spans="2:36" hidden="1" outlineLevel="1" x14ac:dyDescent="0.25">
      <c r="B93" s="7">
        <f>'AM Benches Data'!AG88*('AM Benches Data'!AD88/100)</f>
        <v>0</v>
      </c>
      <c r="C93" s="7">
        <f>'AM Benches Data'!AH88*('AM Benches Data'!AE88/100)</f>
        <v>0</v>
      </c>
      <c r="D93" s="7">
        <f>'AM Benches Data'!AI88*('AM Benches Data'!AF88/100)</f>
        <v>0</v>
      </c>
      <c r="E93" s="116" t="e">
        <f t="shared" si="63"/>
        <v>#DIV/0!</v>
      </c>
      <c r="F93" s="116" t="e">
        <f t="shared" si="64"/>
        <v>#DIV/0!</v>
      </c>
      <c r="G93" s="67">
        <f>'AM Benches Data'!B88</f>
        <v>0</v>
      </c>
      <c r="H93" s="43">
        <f>'AM Benches Data'!L88</f>
        <v>0</v>
      </c>
      <c r="I93" s="43">
        <f>'AM Benches Data'!V88</f>
        <v>0</v>
      </c>
      <c r="J93" s="116" t="e">
        <f t="shared" si="65"/>
        <v>#DIV/0!</v>
      </c>
      <c r="K93" s="116" t="e">
        <f t="shared" si="66"/>
        <v>#DIV/0!</v>
      </c>
      <c r="L93" s="43">
        <f>'AM Benches Data'!C88</f>
        <v>0</v>
      </c>
      <c r="M93" s="43">
        <f>'AM Benches Data'!M88</f>
        <v>0</v>
      </c>
      <c r="N93" s="43">
        <f>'AM Benches Data'!W88</f>
        <v>0</v>
      </c>
      <c r="O93" s="1341" t="e">
        <f t="shared" si="67"/>
        <v>#DIV/0!</v>
      </c>
      <c r="P93" s="116" t="e">
        <f t="shared" si="68"/>
        <v>#DIV/0!</v>
      </c>
      <c r="Q93" s="43">
        <f>'AM Benches Data'!D88</f>
        <v>0</v>
      </c>
      <c r="R93" s="43">
        <f>'AM Benches Data'!N88</f>
        <v>0</v>
      </c>
      <c r="S93" s="43">
        <f>'AM Benches Data'!X88</f>
        <v>0</v>
      </c>
      <c r="T93" s="1341" t="e">
        <f t="shared" si="69"/>
        <v>#DIV/0!</v>
      </c>
      <c r="U93" s="116" t="e">
        <f t="shared" si="70"/>
        <v>#DIV/0!</v>
      </c>
      <c r="V93" s="43">
        <f>'AM Benches Data'!H88</f>
        <v>0</v>
      </c>
      <c r="W93" s="43">
        <f>'AM Benches Data'!R88</f>
        <v>0</v>
      </c>
      <c r="X93" s="43">
        <f>'AM Benches Data'!Z88</f>
        <v>0</v>
      </c>
      <c r="Y93" s="1341" t="e">
        <f t="shared" si="71"/>
        <v>#DIV/0!</v>
      </c>
      <c r="Z93" s="116" t="e">
        <f t="shared" si="72"/>
        <v>#DIV/0!</v>
      </c>
      <c r="AA93" s="43">
        <f>'AM Benches Data'!I88</f>
        <v>0</v>
      </c>
      <c r="AB93" s="43">
        <f>'AM Benches Data'!S88</f>
        <v>0</v>
      </c>
      <c r="AC93" s="43">
        <f>'AM Benches Data'!AA88</f>
        <v>0</v>
      </c>
      <c r="AD93" s="1341" t="e">
        <f t="shared" si="73"/>
        <v>#DIV/0!</v>
      </c>
      <c r="AE93" s="116" t="e">
        <f t="shared" si="74"/>
        <v>#DIV/0!</v>
      </c>
      <c r="AF93" s="43">
        <f>'AM Benches Data'!K88</f>
        <v>0</v>
      </c>
      <c r="AG93" s="43">
        <f>'AM Benches Data'!U88</f>
        <v>0</v>
      </c>
      <c r="AH93" s="43">
        <f>'AM Benches Data'!AC88</f>
        <v>0</v>
      </c>
      <c r="AI93" s="1341" t="e">
        <f t="shared" si="75"/>
        <v>#DIV/0!</v>
      </c>
      <c r="AJ93" s="116" t="e">
        <f t="shared" si="76"/>
        <v>#DIV/0!</v>
      </c>
    </row>
    <row r="94" spans="2:36" hidden="1" outlineLevel="1" x14ac:dyDescent="0.25">
      <c r="B94" s="7">
        <f>'AM Benches Data'!AG89*('AM Benches Data'!AD89/100)</f>
        <v>0</v>
      </c>
      <c r="C94" s="7">
        <f>'AM Benches Data'!AH89*('AM Benches Data'!AE89/100)</f>
        <v>0</v>
      </c>
      <c r="D94" s="7">
        <f>'AM Benches Data'!AI89*('AM Benches Data'!AF89/100)</f>
        <v>0</v>
      </c>
      <c r="E94" s="116" t="e">
        <f t="shared" si="63"/>
        <v>#DIV/0!</v>
      </c>
      <c r="F94" s="116" t="e">
        <f t="shared" si="64"/>
        <v>#DIV/0!</v>
      </c>
      <c r="G94" s="67">
        <f>'AM Benches Data'!B89</f>
        <v>0</v>
      </c>
      <c r="H94" s="43">
        <f>'AM Benches Data'!L89</f>
        <v>0</v>
      </c>
      <c r="I94" s="43">
        <f>'AM Benches Data'!V89</f>
        <v>0</v>
      </c>
      <c r="J94" s="116" t="e">
        <f t="shared" si="65"/>
        <v>#DIV/0!</v>
      </c>
      <c r="K94" s="116" t="e">
        <f t="shared" si="66"/>
        <v>#DIV/0!</v>
      </c>
      <c r="L94" s="43">
        <f>'AM Benches Data'!C89</f>
        <v>0</v>
      </c>
      <c r="M94" s="43">
        <f>'AM Benches Data'!M89</f>
        <v>0</v>
      </c>
      <c r="N94" s="43">
        <f>'AM Benches Data'!W89</f>
        <v>0</v>
      </c>
      <c r="O94" s="1341" t="e">
        <f t="shared" si="67"/>
        <v>#DIV/0!</v>
      </c>
      <c r="P94" s="116" t="e">
        <f t="shared" si="68"/>
        <v>#DIV/0!</v>
      </c>
      <c r="Q94" s="43">
        <f>'AM Benches Data'!D89</f>
        <v>0</v>
      </c>
      <c r="R94" s="43">
        <f>'AM Benches Data'!N89</f>
        <v>0</v>
      </c>
      <c r="S94" s="43">
        <f>'AM Benches Data'!X89</f>
        <v>0</v>
      </c>
      <c r="T94" s="1341" t="e">
        <f t="shared" si="69"/>
        <v>#DIV/0!</v>
      </c>
      <c r="U94" s="116" t="e">
        <f t="shared" si="70"/>
        <v>#DIV/0!</v>
      </c>
      <c r="V94" s="43">
        <f>'AM Benches Data'!H89</f>
        <v>0</v>
      </c>
      <c r="W94" s="43">
        <f>'AM Benches Data'!R89</f>
        <v>0</v>
      </c>
      <c r="X94" s="43">
        <f>'AM Benches Data'!Z89</f>
        <v>0</v>
      </c>
      <c r="Y94" s="1341" t="e">
        <f t="shared" si="71"/>
        <v>#DIV/0!</v>
      </c>
      <c r="Z94" s="116" t="e">
        <f t="shared" si="72"/>
        <v>#DIV/0!</v>
      </c>
      <c r="AA94" s="43">
        <f>'AM Benches Data'!I89</f>
        <v>0</v>
      </c>
      <c r="AB94" s="43">
        <f>'AM Benches Data'!S89</f>
        <v>0</v>
      </c>
      <c r="AC94" s="43">
        <f>'AM Benches Data'!AA89</f>
        <v>0</v>
      </c>
      <c r="AD94" s="1341" t="e">
        <f t="shared" si="73"/>
        <v>#DIV/0!</v>
      </c>
      <c r="AE94" s="116" t="e">
        <f t="shared" si="74"/>
        <v>#DIV/0!</v>
      </c>
      <c r="AF94" s="43">
        <f>'AM Benches Data'!K89</f>
        <v>0</v>
      </c>
      <c r="AG94" s="43">
        <f>'AM Benches Data'!U89</f>
        <v>0</v>
      </c>
      <c r="AH94" s="43">
        <f>'AM Benches Data'!AC89</f>
        <v>0</v>
      </c>
      <c r="AI94" s="1341" t="e">
        <f t="shared" si="75"/>
        <v>#DIV/0!</v>
      </c>
      <c r="AJ94" s="116" t="e">
        <f t="shared" si="76"/>
        <v>#DIV/0!</v>
      </c>
    </row>
    <row r="95" spans="2:36" hidden="1" outlineLevel="1" x14ac:dyDescent="0.25">
      <c r="B95" s="7">
        <f>'AM Benches Data'!AG90*('AM Benches Data'!AD90/100)</f>
        <v>0</v>
      </c>
      <c r="C95" s="7">
        <f>'AM Benches Data'!AH90*('AM Benches Data'!AE90/100)</f>
        <v>0</v>
      </c>
      <c r="D95" s="7">
        <f>'AM Benches Data'!AI90*('AM Benches Data'!AF90/100)</f>
        <v>0</v>
      </c>
      <c r="E95" s="116" t="e">
        <f t="shared" si="63"/>
        <v>#DIV/0!</v>
      </c>
      <c r="F95" s="116" t="e">
        <f t="shared" si="64"/>
        <v>#DIV/0!</v>
      </c>
      <c r="G95" s="67">
        <f>'AM Benches Data'!B90</f>
        <v>0</v>
      </c>
      <c r="H95" s="43">
        <f>'AM Benches Data'!L90</f>
        <v>0</v>
      </c>
      <c r="I95" s="43">
        <f>'AM Benches Data'!V90</f>
        <v>0</v>
      </c>
      <c r="J95" s="116" t="e">
        <f t="shared" si="65"/>
        <v>#DIV/0!</v>
      </c>
      <c r="K95" s="116" t="e">
        <f t="shared" si="66"/>
        <v>#DIV/0!</v>
      </c>
      <c r="L95" s="43">
        <f>'AM Benches Data'!C90</f>
        <v>0</v>
      </c>
      <c r="M95" s="43">
        <f>'AM Benches Data'!M90</f>
        <v>0</v>
      </c>
      <c r="N95" s="43">
        <f>'AM Benches Data'!W90</f>
        <v>0</v>
      </c>
      <c r="O95" s="1341" t="e">
        <f t="shared" si="67"/>
        <v>#DIV/0!</v>
      </c>
      <c r="P95" s="116" t="e">
        <f t="shared" si="68"/>
        <v>#DIV/0!</v>
      </c>
      <c r="Q95" s="43">
        <f>'AM Benches Data'!D90</f>
        <v>0</v>
      </c>
      <c r="R95" s="43">
        <f>'AM Benches Data'!N90</f>
        <v>0</v>
      </c>
      <c r="S95" s="43">
        <f>'AM Benches Data'!X90</f>
        <v>0</v>
      </c>
      <c r="T95" s="1341" t="e">
        <f t="shared" si="69"/>
        <v>#DIV/0!</v>
      </c>
      <c r="U95" s="116" t="e">
        <f t="shared" si="70"/>
        <v>#DIV/0!</v>
      </c>
      <c r="V95" s="43">
        <f>'AM Benches Data'!H90</f>
        <v>0</v>
      </c>
      <c r="W95" s="43">
        <f>'AM Benches Data'!R90</f>
        <v>0</v>
      </c>
      <c r="X95" s="43">
        <f>'AM Benches Data'!Z90</f>
        <v>0</v>
      </c>
      <c r="Y95" s="1341" t="e">
        <f t="shared" si="71"/>
        <v>#DIV/0!</v>
      </c>
      <c r="Z95" s="116" t="e">
        <f t="shared" si="72"/>
        <v>#DIV/0!</v>
      </c>
      <c r="AA95" s="43">
        <f>'AM Benches Data'!I90</f>
        <v>0</v>
      </c>
      <c r="AB95" s="43">
        <f>'AM Benches Data'!S90</f>
        <v>0</v>
      </c>
      <c r="AC95" s="43">
        <f>'AM Benches Data'!AA90</f>
        <v>0</v>
      </c>
      <c r="AD95" s="1341" t="e">
        <f t="shared" si="73"/>
        <v>#DIV/0!</v>
      </c>
      <c r="AE95" s="116" t="e">
        <f t="shared" si="74"/>
        <v>#DIV/0!</v>
      </c>
      <c r="AF95" s="43">
        <f>'AM Benches Data'!K90</f>
        <v>0</v>
      </c>
      <c r="AG95" s="43">
        <f>'AM Benches Data'!U90</f>
        <v>0</v>
      </c>
      <c r="AH95" s="43">
        <f>'AM Benches Data'!AC90</f>
        <v>0</v>
      </c>
      <c r="AI95" s="1341" t="e">
        <f t="shared" si="75"/>
        <v>#DIV/0!</v>
      </c>
      <c r="AJ95" s="116" t="e">
        <f t="shared" si="76"/>
        <v>#DIV/0!</v>
      </c>
    </row>
    <row r="96" spans="2:36" hidden="1" outlineLevel="1" x14ac:dyDescent="0.25">
      <c r="B96" s="7">
        <f>'AM Benches Data'!AG91*('AM Benches Data'!AD91/100)</f>
        <v>0</v>
      </c>
      <c r="C96" s="7">
        <f>'AM Benches Data'!AH91*('AM Benches Data'!AE91/100)</f>
        <v>0</v>
      </c>
      <c r="D96" s="7">
        <f>'AM Benches Data'!AI91*('AM Benches Data'!AF91/100)</f>
        <v>0</v>
      </c>
      <c r="E96" s="116" t="e">
        <f t="shared" si="63"/>
        <v>#DIV/0!</v>
      </c>
      <c r="F96" s="116" t="e">
        <f t="shared" si="64"/>
        <v>#DIV/0!</v>
      </c>
      <c r="G96" s="67">
        <f>'AM Benches Data'!B91</f>
        <v>0</v>
      </c>
      <c r="H96" s="43">
        <f>'AM Benches Data'!L91</f>
        <v>0</v>
      </c>
      <c r="I96" s="43">
        <f>'AM Benches Data'!V91</f>
        <v>0</v>
      </c>
      <c r="J96" s="116" t="e">
        <f t="shared" si="65"/>
        <v>#DIV/0!</v>
      </c>
      <c r="K96" s="116" t="e">
        <f t="shared" si="66"/>
        <v>#DIV/0!</v>
      </c>
      <c r="L96" s="43">
        <f>'AM Benches Data'!C91</f>
        <v>0</v>
      </c>
      <c r="M96" s="43">
        <f>'AM Benches Data'!M91</f>
        <v>0</v>
      </c>
      <c r="N96" s="43">
        <f>'AM Benches Data'!W91</f>
        <v>0</v>
      </c>
      <c r="O96" s="1341" t="e">
        <f t="shared" si="67"/>
        <v>#DIV/0!</v>
      </c>
      <c r="P96" s="116" t="e">
        <f t="shared" si="68"/>
        <v>#DIV/0!</v>
      </c>
      <c r="Q96" s="43">
        <f>'AM Benches Data'!D91</f>
        <v>0</v>
      </c>
      <c r="R96" s="43">
        <f>'AM Benches Data'!N91</f>
        <v>0</v>
      </c>
      <c r="S96" s="43">
        <f>'AM Benches Data'!X91</f>
        <v>0</v>
      </c>
      <c r="T96" s="1341" t="e">
        <f t="shared" si="69"/>
        <v>#DIV/0!</v>
      </c>
      <c r="U96" s="116" t="e">
        <f t="shared" si="70"/>
        <v>#DIV/0!</v>
      </c>
      <c r="V96" s="43">
        <f>'AM Benches Data'!H91</f>
        <v>0</v>
      </c>
      <c r="W96" s="43">
        <f>'AM Benches Data'!R91</f>
        <v>0</v>
      </c>
      <c r="X96" s="43">
        <f>'AM Benches Data'!Z91</f>
        <v>0</v>
      </c>
      <c r="Y96" s="1341" t="e">
        <f t="shared" si="71"/>
        <v>#DIV/0!</v>
      </c>
      <c r="Z96" s="116" t="e">
        <f t="shared" si="72"/>
        <v>#DIV/0!</v>
      </c>
      <c r="AA96" s="43">
        <f>'AM Benches Data'!I91</f>
        <v>0</v>
      </c>
      <c r="AB96" s="43">
        <f>'AM Benches Data'!S91</f>
        <v>0</v>
      </c>
      <c r="AC96" s="43">
        <f>'AM Benches Data'!AA91</f>
        <v>0</v>
      </c>
      <c r="AD96" s="1341" t="e">
        <f t="shared" si="73"/>
        <v>#DIV/0!</v>
      </c>
      <c r="AE96" s="116" t="e">
        <f t="shared" si="74"/>
        <v>#DIV/0!</v>
      </c>
      <c r="AF96" s="43">
        <f>'AM Benches Data'!K91</f>
        <v>0</v>
      </c>
      <c r="AG96" s="43">
        <f>'AM Benches Data'!U91</f>
        <v>0</v>
      </c>
      <c r="AH96" s="43">
        <f>'AM Benches Data'!AC91</f>
        <v>0</v>
      </c>
      <c r="AI96" s="1341" t="e">
        <f t="shared" si="75"/>
        <v>#DIV/0!</v>
      </c>
      <c r="AJ96" s="116" t="e">
        <f t="shared" si="76"/>
        <v>#DIV/0!</v>
      </c>
    </row>
    <row r="97" spans="1:51" hidden="1" outlineLevel="1" x14ac:dyDescent="0.25">
      <c r="B97" s="7">
        <f>'AM Benches Data'!AG92*('AM Benches Data'!AD92/100)</f>
        <v>0</v>
      </c>
      <c r="C97" s="7">
        <f>'AM Benches Data'!AH92*('AM Benches Data'!AE92/100)</f>
        <v>0</v>
      </c>
      <c r="D97" s="7">
        <f>'AM Benches Data'!AI92*('AM Benches Data'!AF92/100)</f>
        <v>0</v>
      </c>
      <c r="E97" s="116" t="e">
        <f t="shared" si="63"/>
        <v>#DIV/0!</v>
      </c>
      <c r="F97" s="116" t="e">
        <f t="shared" si="64"/>
        <v>#DIV/0!</v>
      </c>
      <c r="G97" s="67">
        <f>'AM Benches Data'!B92</f>
        <v>0</v>
      </c>
      <c r="H97" s="43">
        <f>'AM Benches Data'!L92</f>
        <v>0</v>
      </c>
      <c r="I97" s="43">
        <f>'AM Benches Data'!V92</f>
        <v>0</v>
      </c>
      <c r="J97" s="116" t="e">
        <f t="shared" si="65"/>
        <v>#DIV/0!</v>
      </c>
      <c r="K97" s="116" t="e">
        <f t="shared" si="66"/>
        <v>#DIV/0!</v>
      </c>
      <c r="L97" s="43">
        <f>'AM Benches Data'!C92</f>
        <v>0</v>
      </c>
      <c r="M97" s="43">
        <f>'AM Benches Data'!M92</f>
        <v>0</v>
      </c>
      <c r="N97" s="43">
        <f>'AM Benches Data'!W92</f>
        <v>0</v>
      </c>
      <c r="O97" s="1341" t="e">
        <f t="shared" si="67"/>
        <v>#DIV/0!</v>
      </c>
      <c r="P97" s="116" t="e">
        <f t="shared" si="68"/>
        <v>#DIV/0!</v>
      </c>
      <c r="Q97" s="43">
        <f>'AM Benches Data'!D92</f>
        <v>0</v>
      </c>
      <c r="R97" s="43">
        <f>'AM Benches Data'!N92</f>
        <v>0</v>
      </c>
      <c r="S97" s="43">
        <f>'AM Benches Data'!X92</f>
        <v>0</v>
      </c>
      <c r="T97" s="1341" t="e">
        <f t="shared" si="69"/>
        <v>#DIV/0!</v>
      </c>
      <c r="U97" s="116" t="e">
        <f t="shared" si="70"/>
        <v>#DIV/0!</v>
      </c>
      <c r="V97" s="43">
        <f>'AM Benches Data'!H92</f>
        <v>0</v>
      </c>
      <c r="W97" s="43">
        <f>'AM Benches Data'!R92</f>
        <v>0</v>
      </c>
      <c r="X97" s="43">
        <f>'AM Benches Data'!Z92</f>
        <v>0</v>
      </c>
      <c r="Y97" s="1341" t="e">
        <f t="shared" si="71"/>
        <v>#DIV/0!</v>
      </c>
      <c r="Z97" s="116" t="e">
        <f t="shared" si="72"/>
        <v>#DIV/0!</v>
      </c>
      <c r="AA97" s="43">
        <f>'AM Benches Data'!I92</f>
        <v>0</v>
      </c>
      <c r="AB97" s="43">
        <f>'AM Benches Data'!S92</f>
        <v>0</v>
      </c>
      <c r="AC97" s="43">
        <f>'AM Benches Data'!AA92</f>
        <v>0</v>
      </c>
      <c r="AD97" s="1341" t="e">
        <f t="shared" si="73"/>
        <v>#DIV/0!</v>
      </c>
      <c r="AE97" s="116" t="e">
        <f t="shared" si="74"/>
        <v>#DIV/0!</v>
      </c>
      <c r="AF97" s="43">
        <f>'AM Benches Data'!K92</f>
        <v>0</v>
      </c>
      <c r="AG97" s="43">
        <f>'AM Benches Data'!U92</f>
        <v>0</v>
      </c>
      <c r="AH97" s="43">
        <f>'AM Benches Data'!AC92</f>
        <v>0</v>
      </c>
      <c r="AI97" s="1341" t="e">
        <f t="shared" si="75"/>
        <v>#DIV/0!</v>
      </c>
      <c r="AJ97" s="116" t="e">
        <f t="shared" si="76"/>
        <v>#DIV/0!</v>
      </c>
    </row>
    <row r="98" spans="1:51" hidden="1" outlineLevel="1" x14ac:dyDescent="0.25">
      <c r="B98" s="7">
        <f>'AM Benches Data'!AG93*('AM Benches Data'!AD93/100)</f>
        <v>0</v>
      </c>
      <c r="C98" s="7">
        <f>'AM Benches Data'!AH93*('AM Benches Data'!AE93/100)</f>
        <v>0</v>
      </c>
      <c r="D98" s="7">
        <f>'AM Benches Data'!AI93*('AM Benches Data'!AF93/100)</f>
        <v>0</v>
      </c>
      <c r="E98" s="116" t="e">
        <f t="shared" si="63"/>
        <v>#DIV/0!</v>
      </c>
      <c r="F98" s="116" t="e">
        <f t="shared" si="64"/>
        <v>#DIV/0!</v>
      </c>
      <c r="G98" s="67">
        <f>'AM Benches Data'!B93</f>
        <v>0</v>
      </c>
      <c r="H98" s="43">
        <f>'AM Benches Data'!L93</f>
        <v>0</v>
      </c>
      <c r="I98" s="43">
        <f>'AM Benches Data'!V93</f>
        <v>0</v>
      </c>
      <c r="J98" s="116" t="e">
        <f t="shared" si="65"/>
        <v>#DIV/0!</v>
      </c>
      <c r="K98" s="116" t="e">
        <f t="shared" si="66"/>
        <v>#DIV/0!</v>
      </c>
      <c r="L98" s="43">
        <f>'AM Benches Data'!C93</f>
        <v>0</v>
      </c>
      <c r="M98" s="43">
        <f>'AM Benches Data'!M93</f>
        <v>0</v>
      </c>
      <c r="N98" s="43">
        <f>'AM Benches Data'!W93</f>
        <v>0</v>
      </c>
      <c r="O98" s="1341" t="e">
        <f t="shared" si="67"/>
        <v>#DIV/0!</v>
      </c>
      <c r="P98" s="116" t="e">
        <f t="shared" si="68"/>
        <v>#DIV/0!</v>
      </c>
      <c r="Q98" s="43">
        <f>'AM Benches Data'!D93</f>
        <v>0</v>
      </c>
      <c r="R98" s="43">
        <f>'AM Benches Data'!N93</f>
        <v>0</v>
      </c>
      <c r="S98" s="43">
        <f>'AM Benches Data'!X93</f>
        <v>0</v>
      </c>
      <c r="T98" s="1341" t="e">
        <f t="shared" si="69"/>
        <v>#DIV/0!</v>
      </c>
      <c r="U98" s="116" t="e">
        <f t="shared" si="70"/>
        <v>#DIV/0!</v>
      </c>
      <c r="V98" s="43">
        <f>'AM Benches Data'!H93</f>
        <v>0</v>
      </c>
      <c r="W98" s="43">
        <f>'AM Benches Data'!R93</f>
        <v>0</v>
      </c>
      <c r="X98" s="43">
        <f>'AM Benches Data'!Z93</f>
        <v>0</v>
      </c>
      <c r="Y98" s="1341" t="e">
        <f t="shared" si="71"/>
        <v>#DIV/0!</v>
      </c>
      <c r="Z98" s="116" t="e">
        <f t="shared" si="72"/>
        <v>#DIV/0!</v>
      </c>
      <c r="AA98" s="43">
        <f>'AM Benches Data'!I93</f>
        <v>0</v>
      </c>
      <c r="AB98" s="43">
        <f>'AM Benches Data'!S93</f>
        <v>0</v>
      </c>
      <c r="AC98" s="43">
        <f>'AM Benches Data'!AA93</f>
        <v>0</v>
      </c>
      <c r="AD98" s="1341" t="e">
        <f t="shared" si="73"/>
        <v>#DIV/0!</v>
      </c>
      <c r="AE98" s="116" t="e">
        <f t="shared" si="74"/>
        <v>#DIV/0!</v>
      </c>
      <c r="AF98" s="43">
        <f>'AM Benches Data'!K93</f>
        <v>0</v>
      </c>
      <c r="AG98" s="43">
        <f>'AM Benches Data'!U93</f>
        <v>0</v>
      </c>
      <c r="AH98" s="43">
        <f>'AM Benches Data'!AC93</f>
        <v>0</v>
      </c>
      <c r="AI98" s="1341" t="e">
        <f t="shared" si="75"/>
        <v>#DIV/0!</v>
      </c>
      <c r="AJ98" s="116" t="e">
        <f t="shared" si="76"/>
        <v>#DIV/0!</v>
      </c>
    </row>
    <row r="99" spans="1:51" hidden="1" outlineLevel="1" x14ac:dyDescent="0.25">
      <c r="B99" s="7">
        <f>'AM Benches Data'!AG94*('AM Benches Data'!AD94/100)</f>
        <v>0</v>
      </c>
      <c r="C99" s="7">
        <f>'AM Benches Data'!AH94*('AM Benches Data'!AE94/100)</f>
        <v>0</v>
      </c>
      <c r="D99" s="7">
        <f>'AM Benches Data'!AI94*('AM Benches Data'!AF94/100)</f>
        <v>0</v>
      </c>
      <c r="E99" s="116" t="e">
        <f t="shared" si="63"/>
        <v>#DIV/0!</v>
      </c>
      <c r="F99" s="116" t="e">
        <f t="shared" si="64"/>
        <v>#DIV/0!</v>
      </c>
      <c r="G99" s="67">
        <f>'AM Benches Data'!B94</f>
        <v>0</v>
      </c>
      <c r="H99" s="43">
        <f>'AM Benches Data'!L94</f>
        <v>0</v>
      </c>
      <c r="I99" s="43">
        <f>'AM Benches Data'!V94</f>
        <v>0</v>
      </c>
      <c r="J99" s="116" t="e">
        <f t="shared" si="65"/>
        <v>#DIV/0!</v>
      </c>
      <c r="K99" s="116" t="e">
        <f t="shared" si="66"/>
        <v>#DIV/0!</v>
      </c>
      <c r="L99" s="43">
        <f>'AM Benches Data'!C94</f>
        <v>0</v>
      </c>
      <c r="M99" s="43">
        <f>'AM Benches Data'!M94</f>
        <v>0</v>
      </c>
      <c r="N99" s="43">
        <f>'AM Benches Data'!W94</f>
        <v>0</v>
      </c>
      <c r="O99" s="1341" t="e">
        <f t="shared" si="67"/>
        <v>#DIV/0!</v>
      </c>
      <c r="P99" s="116" t="e">
        <f t="shared" si="68"/>
        <v>#DIV/0!</v>
      </c>
      <c r="Q99" s="43">
        <f>'AM Benches Data'!D94</f>
        <v>0</v>
      </c>
      <c r="R99" s="43">
        <f>'AM Benches Data'!N94</f>
        <v>0</v>
      </c>
      <c r="S99" s="43">
        <f>'AM Benches Data'!X94</f>
        <v>0</v>
      </c>
      <c r="T99" s="1341" t="e">
        <f t="shared" si="69"/>
        <v>#DIV/0!</v>
      </c>
      <c r="U99" s="116" t="e">
        <f t="shared" si="70"/>
        <v>#DIV/0!</v>
      </c>
      <c r="V99" s="43">
        <f>'AM Benches Data'!H94</f>
        <v>0</v>
      </c>
      <c r="W99" s="43">
        <f>'AM Benches Data'!R94</f>
        <v>0</v>
      </c>
      <c r="X99" s="43">
        <f>'AM Benches Data'!Z94</f>
        <v>0</v>
      </c>
      <c r="Y99" s="1341" t="e">
        <f t="shared" si="71"/>
        <v>#DIV/0!</v>
      </c>
      <c r="Z99" s="116" t="e">
        <f t="shared" si="72"/>
        <v>#DIV/0!</v>
      </c>
      <c r="AA99" s="43">
        <f>'AM Benches Data'!I94</f>
        <v>0</v>
      </c>
      <c r="AB99" s="43">
        <f>'AM Benches Data'!S94</f>
        <v>0</v>
      </c>
      <c r="AC99" s="43">
        <f>'AM Benches Data'!AA94</f>
        <v>0</v>
      </c>
      <c r="AD99" s="1341" t="e">
        <f t="shared" si="73"/>
        <v>#DIV/0!</v>
      </c>
      <c r="AE99" s="116" t="e">
        <f t="shared" si="74"/>
        <v>#DIV/0!</v>
      </c>
      <c r="AF99" s="43">
        <f>'AM Benches Data'!K94</f>
        <v>0</v>
      </c>
      <c r="AG99" s="43">
        <f>'AM Benches Data'!U94</f>
        <v>0</v>
      </c>
      <c r="AH99" s="43">
        <f>'AM Benches Data'!AC94</f>
        <v>0</v>
      </c>
      <c r="AI99" s="1341" t="e">
        <f t="shared" si="75"/>
        <v>#DIV/0!</v>
      </c>
      <c r="AJ99" s="116" t="e">
        <f t="shared" si="76"/>
        <v>#DIV/0!</v>
      </c>
    </row>
    <row r="100" spans="1:51" hidden="1" outlineLevel="1" x14ac:dyDescent="0.25">
      <c r="B100" s="7">
        <f>'AM Benches Data'!AG95*('AM Benches Data'!AD95/100)</f>
        <v>0</v>
      </c>
      <c r="C100" s="7">
        <f>'AM Benches Data'!AH95*('AM Benches Data'!AE95/100)</f>
        <v>0</v>
      </c>
      <c r="D100" s="7">
        <f>'AM Benches Data'!AI95*('AM Benches Data'!AF95/100)</f>
        <v>0</v>
      </c>
      <c r="E100" s="116" t="e">
        <f t="shared" si="63"/>
        <v>#DIV/0!</v>
      </c>
      <c r="F100" s="116" t="e">
        <f t="shared" si="64"/>
        <v>#DIV/0!</v>
      </c>
      <c r="G100" s="67">
        <f>'AM Benches Data'!B95</f>
        <v>0</v>
      </c>
      <c r="H100" s="43">
        <f>'AM Benches Data'!L95</f>
        <v>0</v>
      </c>
      <c r="I100" s="43">
        <f>'AM Benches Data'!V95</f>
        <v>0</v>
      </c>
      <c r="J100" s="116" t="e">
        <f t="shared" si="65"/>
        <v>#DIV/0!</v>
      </c>
      <c r="K100" s="116" t="e">
        <f t="shared" si="66"/>
        <v>#DIV/0!</v>
      </c>
      <c r="L100" s="43">
        <f>'AM Benches Data'!C95</f>
        <v>0</v>
      </c>
      <c r="M100" s="43">
        <f>'AM Benches Data'!M95</f>
        <v>0</v>
      </c>
      <c r="N100" s="43">
        <f>'AM Benches Data'!W95</f>
        <v>0</v>
      </c>
      <c r="O100" s="1341" t="e">
        <f t="shared" si="67"/>
        <v>#DIV/0!</v>
      </c>
      <c r="P100" s="116" t="e">
        <f t="shared" si="68"/>
        <v>#DIV/0!</v>
      </c>
      <c r="Q100" s="43">
        <f>'AM Benches Data'!D95</f>
        <v>0</v>
      </c>
      <c r="R100" s="43">
        <f>'AM Benches Data'!N95</f>
        <v>0</v>
      </c>
      <c r="S100" s="43">
        <f>'AM Benches Data'!X95</f>
        <v>0</v>
      </c>
      <c r="T100" s="1341" t="e">
        <f t="shared" si="69"/>
        <v>#DIV/0!</v>
      </c>
      <c r="U100" s="116" t="e">
        <f t="shared" si="70"/>
        <v>#DIV/0!</v>
      </c>
      <c r="V100" s="43">
        <f>'AM Benches Data'!H95</f>
        <v>0</v>
      </c>
      <c r="W100" s="43">
        <f>'AM Benches Data'!R95</f>
        <v>0</v>
      </c>
      <c r="X100" s="43">
        <f>'AM Benches Data'!Z95</f>
        <v>0</v>
      </c>
      <c r="Y100" s="1341" t="e">
        <f t="shared" si="71"/>
        <v>#DIV/0!</v>
      </c>
      <c r="Z100" s="116" t="e">
        <f t="shared" si="72"/>
        <v>#DIV/0!</v>
      </c>
      <c r="AA100" s="43">
        <f>'AM Benches Data'!I95</f>
        <v>0</v>
      </c>
      <c r="AB100" s="43">
        <f>'AM Benches Data'!S95</f>
        <v>0</v>
      </c>
      <c r="AC100" s="43">
        <f>'AM Benches Data'!AA95</f>
        <v>0</v>
      </c>
      <c r="AD100" s="1341" t="e">
        <f t="shared" si="73"/>
        <v>#DIV/0!</v>
      </c>
      <c r="AE100" s="116" t="e">
        <f t="shared" si="74"/>
        <v>#DIV/0!</v>
      </c>
      <c r="AF100" s="43">
        <f>'AM Benches Data'!K95</f>
        <v>0</v>
      </c>
      <c r="AG100" s="43">
        <f>'AM Benches Data'!U95</f>
        <v>0</v>
      </c>
      <c r="AH100" s="43">
        <f>'AM Benches Data'!AC95</f>
        <v>0</v>
      </c>
      <c r="AI100" s="1341" t="e">
        <f t="shared" si="75"/>
        <v>#DIV/0!</v>
      </c>
      <c r="AJ100" s="116" t="e">
        <f t="shared" si="76"/>
        <v>#DIV/0!</v>
      </c>
    </row>
    <row r="101" spans="1:51" hidden="1" outlineLevel="1" x14ac:dyDescent="0.25">
      <c r="B101" s="7">
        <f>'AM Benches Data'!AG96*('AM Benches Data'!AD96/100)</f>
        <v>0</v>
      </c>
      <c r="C101" s="7">
        <f>'AM Benches Data'!AH96*('AM Benches Data'!AE96/100)</f>
        <v>0</v>
      </c>
      <c r="D101" s="7">
        <f>'AM Benches Data'!AI96*('AM Benches Data'!AF96/100)</f>
        <v>0</v>
      </c>
      <c r="E101" s="116" t="e">
        <f t="shared" si="63"/>
        <v>#DIV/0!</v>
      </c>
      <c r="F101" s="116" t="e">
        <f t="shared" si="64"/>
        <v>#DIV/0!</v>
      </c>
      <c r="G101" s="67">
        <f>'AM Benches Data'!B96</f>
        <v>0</v>
      </c>
      <c r="H101" s="43">
        <f>'AM Benches Data'!L96</f>
        <v>0</v>
      </c>
      <c r="I101" s="43">
        <f>'AM Benches Data'!V96</f>
        <v>0</v>
      </c>
      <c r="J101" s="116" t="e">
        <f t="shared" si="65"/>
        <v>#DIV/0!</v>
      </c>
      <c r="K101" s="116" t="e">
        <f t="shared" si="66"/>
        <v>#DIV/0!</v>
      </c>
      <c r="L101" s="43">
        <f>'AM Benches Data'!C96</f>
        <v>0</v>
      </c>
      <c r="M101" s="43">
        <f>'AM Benches Data'!M96</f>
        <v>0</v>
      </c>
      <c r="N101" s="43">
        <f>'AM Benches Data'!W96</f>
        <v>0</v>
      </c>
      <c r="O101" s="1341" t="e">
        <f t="shared" si="67"/>
        <v>#DIV/0!</v>
      </c>
      <c r="P101" s="116" t="e">
        <f t="shared" si="68"/>
        <v>#DIV/0!</v>
      </c>
      <c r="Q101" s="43">
        <f>'AM Benches Data'!D96</f>
        <v>0</v>
      </c>
      <c r="R101" s="43">
        <f>'AM Benches Data'!N96</f>
        <v>0</v>
      </c>
      <c r="S101" s="43">
        <f>'AM Benches Data'!X96</f>
        <v>0</v>
      </c>
      <c r="T101" s="1341" t="e">
        <f t="shared" si="69"/>
        <v>#DIV/0!</v>
      </c>
      <c r="U101" s="116" t="e">
        <f t="shared" si="70"/>
        <v>#DIV/0!</v>
      </c>
      <c r="V101" s="43">
        <f>'AM Benches Data'!H96</f>
        <v>0</v>
      </c>
      <c r="W101" s="43">
        <f>'AM Benches Data'!R96</f>
        <v>0</v>
      </c>
      <c r="X101" s="43">
        <f>'AM Benches Data'!Z96</f>
        <v>0</v>
      </c>
      <c r="Y101" s="1341" t="e">
        <f t="shared" si="71"/>
        <v>#DIV/0!</v>
      </c>
      <c r="Z101" s="116" t="e">
        <f t="shared" si="72"/>
        <v>#DIV/0!</v>
      </c>
      <c r="AA101" s="43">
        <f>'AM Benches Data'!I96</f>
        <v>0</v>
      </c>
      <c r="AB101" s="43">
        <f>'AM Benches Data'!S96</f>
        <v>0</v>
      </c>
      <c r="AC101" s="43">
        <f>'AM Benches Data'!AA96</f>
        <v>0</v>
      </c>
      <c r="AD101" s="1341" t="e">
        <f t="shared" si="73"/>
        <v>#DIV/0!</v>
      </c>
      <c r="AE101" s="116" t="e">
        <f t="shared" si="74"/>
        <v>#DIV/0!</v>
      </c>
      <c r="AF101" s="43">
        <f>'AM Benches Data'!K96</f>
        <v>0</v>
      </c>
      <c r="AG101" s="43">
        <f>'AM Benches Data'!U96</f>
        <v>0</v>
      </c>
      <c r="AH101" s="43">
        <f>'AM Benches Data'!AC96</f>
        <v>0</v>
      </c>
      <c r="AI101" s="1341" t="e">
        <f t="shared" si="75"/>
        <v>#DIV/0!</v>
      </c>
      <c r="AJ101" s="116" t="e">
        <f t="shared" si="76"/>
        <v>#DIV/0!</v>
      </c>
    </row>
    <row r="102" spans="1:51" hidden="1" outlineLevel="1" x14ac:dyDescent="0.25"/>
    <row r="103" spans="1:51" s="1337" customFormat="1" collapsed="1" x14ac:dyDescent="0.25">
      <c r="B103" s="1552" t="s">
        <v>13</v>
      </c>
      <c r="C103" s="1552"/>
      <c r="D103" s="1552"/>
      <c r="E103" s="1552" t="s">
        <v>12</v>
      </c>
      <c r="F103" s="1553"/>
      <c r="G103" s="1552" t="s">
        <v>13</v>
      </c>
      <c r="H103" s="1552"/>
      <c r="I103" s="1552"/>
      <c r="J103" s="1552" t="s">
        <v>12</v>
      </c>
      <c r="K103" s="1553"/>
      <c r="L103" s="1552" t="s">
        <v>13</v>
      </c>
      <c r="M103" s="1552"/>
      <c r="N103" s="1552"/>
      <c r="O103" s="1552" t="s">
        <v>12</v>
      </c>
      <c r="P103" s="1553"/>
      <c r="Q103" s="1552" t="s">
        <v>13</v>
      </c>
      <c r="R103" s="1552"/>
      <c r="S103" s="1552"/>
      <c r="T103" s="1552" t="s">
        <v>12</v>
      </c>
      <c r="U103" s="1553"/>
      <c r="V103" s="1552" t="s">
        <v>13</v>
      </c>
      <c r="W103" s="1552"/>
      <c r="X103" s="1552"/>
      <c r="Y103" s="1552" t="s">
        <v>12</v>
      </c>
      <c r="Z103" s="1553"/>
      <c r="AD103" s="1342"/>
      <c r="AE103" s="1338"/>
      <c r="AI103" s="1342"/>
      <c r="AJ103" s="1338"/>
      <c r="AN103" s="1342"/>
      <c r="AO103" s="1338"/>
      <c r="AS103" s="1342"/>
      <c r="AT103" s="1338"/>
      <c r="AX103" s="1342"/>
      <c r="AY103" s="1338"/>
    </row>
    <row r="104" spans="1:51" s="87" customFormat="1" x14ac:dyDescent="0.25">
      <c r="A104" s="87" t="s">
        <v>14</v>
      </c>
      <c r="E104" s="1554" t="s">
        <v>30</v>
      </c>
      <c r="F104" s="1555"/>
      <c r="G104" s="1335" t="str">
        <f>'PCB Data'!B2</f>
        <v>SMT - 110</v>
      </c>
      <c r="H104" s="87" t="str">
        <f>G104</f>
        <v>SMT - 110</v>
      </c>
      <c r="I104" s="87" t="str">
        <f>H104</f>
        <v>SMT - 110</v>
      </c>
      <c r="J104" s="87" t="str">
        <f>I104</f>
        <v>SMT - 110</v>
      </c>
      <c r="K104" s="1336" t="str">
        <f>J104</f>
        <v>SMT - 110</v>
      </c>
      <c r="L104" s="87" t="str">
        <f>'PCB Data'!C2</f>
        <v>405/Test Towers</v>
      </c>
      <c r="M104" s="87" t="str">
        <f>L104</f>
        <v>405/Test Towers</v>
      </c>
      <c r="N104" s="87" t="str">
        <f>M104</f>
        <v>405/Test Towers</v>
      </c>
      <c r="O104" s="1335" t="str">
        <f>N104</f>
        <v>405/Test Towers</v>
      </c>
      <c r="P104" s="1336" t="str">
        <f>O104</f>
        <v>405/Test Towers</v>
      </c>
      <c r="Q104" s="87" t="str">
        <f>'PCB Data'!D2</f>
        <v>308/RPS</v>
      </c>
      <c r="R104" s="87" t="str">
        <f>Q104</f>
        <v>308/RPS</v>
      </c>
      <c r="S104" s="87" t="str">
        <f>R104</f>
        <v>308/RPS</v>
      </c>
      <c r="T104" s="1335" t="str">
        <f>S104</f>
        <v>308/RPS</v>
      </c>
      <c r="U104" s="1336" t="str">
        <f>T104</f>
        <v>308/RPS</v>
      </c>
      <c r="V104" s="87" t="str">
        <f>'PCB Data'!E2</f>
        <v>431/PVA</v>
      </c>
      <c r="W104" s="87" t="str">
        <f>V104</f>
        <v>431/PVA</v>
      </c>
      <c r="X104" s="87" t="str">
        <f>W104</f>
        <v>431/PVA</v>
      </c>
      <c r="Y104" s="1335" t="str">
        <f>X104</f>
        <v>431/PVA</v>
      </c>
      <c r="Z104" s="1336" t="str">
        <f>Y104</f>
        <v>431/PVA</v>
      </c>
      <c r="AD104" s="1335"/>
      <c r="AE104" s="1336"/>
      <c r="AI104" s="1335"/>
      <c r="AJ104" s="1336"/>
      <c r="AN104" s="1335"/>
      <c r="AO104" s="1336"/>
      <c r="AS104" s="1335"/>
      <c r="AT104" s="1336"/>
      <c r="AX104" s="1335"/>
      <c r="AY104" s="1336"/>
    </row>
    <row r="105" spans="1:51" s="87" customFormat="1" x14ac:dyDescent="0.25">
      <c r="A105" s="87" t="s">
        <v>16</v>
      </c>
      <c r="B105" s="1335" t="s">
        <v>17</v>
      </c>
      <c r="C105" s="87" t="s">
        <v>18</v>
      </c>
      <c r="D105" s="87" t="s">
        <v>19</v>
      </c>
      <c r="E105" s="87" t="s">
        <v>20</v>
      </c>
      <c r="F105" s="1336" t="s">
        <v>21</v>
      </c>
      <c r="G105" s="1335" t="s">
        <v>17</v>
      </c>
      <c r="H105" s="87" t="s">
        <v>18</v>
      </c>
      <c r="I105" s="87" t="s">
        <v>19</v>
      </c>
      <c r="J105" s="87" t="s">
        <v>20</v>
      </c>
      <c r="K105" s="1336" t="s">
        <v>21</v>
      </c>
      <c r="L105" s="87" t="s">
        <v>17</v>
      </c>
      <c r="M105" s="87" t="s">
        <v>18</v>
      </c>
      <c r="N105" s="87" t="s">
        <v>19</v>
      </c>
      <c r="O105" s="1335" t="s">
        <v>20</v>
      </c>
      <c r="P105" s="1336" t="s">
        <v>21</v>
      </c>
      <c r="Q105" s="87" t="s">
        <v>17</v>
      </c>
      <c r="R105" s="87" t="s">
        <v>18</v>
      </c>
      <c r="S105" s="87" t="s">
        <v>19</v>
      </c>
      <c r="T105" s="1335" t="s">
        <v>20</v>
      </c>
      <c r="U105" s="1336" t="s">
        <v>21</v>
      </c>
      <c r="V105" s="87" t="s">
        <v>17</v>
      </c>
      <c r="W105" s="87" t="s">
        <v>18</v>
      </c>
      <c r="X105" s="87" t="s">
        <v>19</v>
      </c>
      <c r="Y105" s="1335" t="s">
        <v>20</v>
      </c>
      <c r="Z105" s="1336" t="s">
        <v>21</v>
      </c>
      <c r="AD105" s="1335"/>
      <c r="AE105" s="1336"/>
      <c r="AI105" s="1335"/>
      <c r="AJ105" s="1336"/>
      <c r="AN105" s="1335"/>
      <c r="AO105" s="1336"/>
      <c r="AS105" s="1335"/>
      <c r="AT105" s="1336"/>
      <c r="AX105" s="1335"/>
      <c r="AY105" s="1336"/>
    </row>
    <row r="106" spans="1:51" s="87" customFormat="1" x14ac:dyDescent="0.25">
      <c r="A106" s="87" t="s">
        <v>22</v>
      </c>
      <c r="B106" s="1345" t="s">
        <v>23</v>
      </c>
      <c r="C106" s="1346" t="s">
        <v>24</v>
      </c>
      <c r="D106" s="1346" t="s">
        <v>25</v>
      </c>
      <c r="E106" s="1346" t="s">
        <v>26</v>
      </c>
      <c r="F106" s="1347" t="s">
        <v>27</v>
      </c>
      <c r="G106" s="1335" t="str">
        <f>'PCB Data'!B3</f>
        <v>13 Wks</v>
      </c>
      <c r="H106" s="87" t="str">
        <f>'PCB Data'!F3</f>
        <v>14 - 26 Wks</v>
      </c>
      <c r="I106" s="87" t="str">
        <f>'PCB Data'!J3</f>
        <v>27 - 52 Wks</v>
      </c>
      <c r="K106" s="1336"/>
      <c r="L106" s="87" t="str">
        <f>G106</f>
        <v>13 Wks</v>
      </c>
      <c r="M106" s="87" t="str">
        <f t="shared" ref="M106" si="77">H106</f>
        <v>14 - 26 Wks</v>
      </c>
      <c r="N106" s="87" t="str">
        <f t="shared" ref="N106" si="78">I106</f>
        <v>27 - 52 Wks</v>
      </c>
      <c r="O106" s="1335"/>
      <c r="P106" s="1336"/>
      <c r="Q106" s="87" t="str">
        <f>G106</f>
        <v>13 Wks</v>
      </c>
      <c r="R106" s="87" t="str">
        <f t="shared" ref="R106" si="79">H106</f>
        <v>14 - 26 Wks</v>
      </c>
      <c r="S106" s="87" t="str">
        <f t="shared" ref="S106" si="80">I106</f>
        <v>27 - 52 Wks</v>
      </c>
      <c r="T106" s="1335"/>
      <c r="U106" s="1336"/>
      <c r="V106" s="87" t="str">
        <f>Q106</f>
        <v>13 Wks</v>
      </c>
      <c r="W106" s="87" t="str">
        <f>R106</f>
        <v>14 - 26 Wks</v>
      </c>
      <c r="X106" s="87" t="str">
        <f>S106</f>
        <v>27 - 52 Wks</v>
      </c>
      <c r="Y106" s="1335"/>
      <c r="Z106" s="1336"/>
      <c r="AD106" s="1335"/>
      <c r="AE106" s="1336"/>
      <c r="AI106" s="1335"/>
      <c r="AJ106" s="1336"/>
      <c r="AN106" s="1335"/>
      <c r="AO106" s="1336"/>
      <c r="AS106" s="1335"/>
      <c r="AT106" s="1336"/>
      <c r="AX106" s="1335"/>
      <c r="AY106" s="1336"/>
    </row>
    <row r="107" spans="1:51" s="191" customFormat="1" x14ac:dyDescent="0.25">
      <c r="A107" s="1333">
        <f>'PCB Data'!A52</f>
        <v>44593</v>
      </c>
      <c r="B107" s="30">
        <f>'PCB Data'!Q52*('PCB Data'!N52/100)</f>
        <v>743.7</v>
      </c>
      <c r="C107" s="30">
        <f>'PCB Data'!R52*('PCB Data'!O52/100)</f>
        <v>392.58000000000004</v>
      </c>
      <c r="D107" s="30">
        <f>'PCB Data'!S52*('PCB Data'!P52/100)</f>
        <v>636.5</v>
      </c>
      <c r="E107" s="191" t="s">
        <v>28</v>
      </c>
      <c r="F107" s="192" t="s">
        <v>28</v>
      </c>
      <c r="G107" s="190">
        <f>'PCB Data'!B52</f>
        <v>127</v>
      </c>
      <c r="H107" s="191">
        <f>'PCB Data'!F52</f>
        <v>72</v>
      </c>
      <c r="I107" s="191">
        <f>'PCB Data'!J52</f>
        <v>104</v>
      </c>
      <c r="J107" s="191" t="s">
        <v>28</v>
      </c>
      <c r="K107" s="192" t="s">
        <v>28</v>
      </c>
      <c r="L107" s="191">
        <f>'PCB Data'!C52</f>
        <v>89</v>
      </c>
      <c r="M107" s="191">
        <f>'PCB Data'!G52</f>
        <v>39</v>
      </c>
      <c r="N107" s="191">
        <f>'PCB Data'!K52</f>
        <v>67</v>
      </c>
      <c r="O107" s="190" t="s">
        <v>28</v>
      </c>
      <c r="P107" s="192" t="s">
        <v>28</v>
      </c>
      <c r="Q107" s="191">
        <f>'PCB Data'!D52</f>
        <v>105</v>
      </c>
      <c r="R107" s="191">
        <f>'PCB Data'!H52</f>
        <v>47</v>
      </c>
      <c r="S107" s="191">
        <f>'PCB Data'!L52</f>
        <v>84</v>
      </c>
      <c r="T107" s="190" t="s">
        <v>28</v>
      </c>
      <c r="U107" s="192" t="s">
        <v>28</v>
      </c>
      <c r="V107" s="191">
        <f>'PCB Data'!E52</f>
        <v>70</v>
      </c>
      <c r="W107" s="191">
        <f>'PCB Data'!I52</f>
        <v>35</v>
      </c>
      <c r="X107" s="191">
        <f>'PCB Data'!M52</f>
        <v>68</v>
      </c>
      <c r="Y107" s="190" t="s">
        <v>28</v>
      </c>
      <c r="Z107" s="192" t="s">
        <v>28</v>
      </c>
      <c r="AD107" s="190"/>
      <c r="AE107" s="192"/>
      <c r="AI107" s="190"/>
      <c r="AJ107" s="192"/>
      <c r="AN107" s="190"/>
      <c r="AO107" s="192"/>
      <c r="AS107" s="190"/>
      <c r="AT107" s="192"/>
      <c r="AX107" s="190"/>
      <c r="AY107" s="192"/>
    </row>
    <row r="108" spans="1:51" x14ac:dyDescent="0.25">
      <c r="A108" s="1332">
        <f>'PCB Data'!A53</f>
        <v>44617</v>
      </c>
      <c r="B108" s="7">
        <f>'PCB Data'!Q53*('PCB Data'!N53/100)</f>
        <v>708.24</v>
      </c>
      <c r="C108" s="7">
        <f>'PCB Data'!R53*('PCB Data'!O53/100)</f>
        <v>465.28000000000003</v>
      </c>
      <c r="D108" s="7">
        <f>'PCB Data'!S53*('PCB Data'!P53/100)</f>
        <v>571.04</v>
      </c>
      <c r="E108" s="43" t="s">
        <v>28</v>
      </c>
      <c r="F108" s="81" t="s">
        <v>28</v>
      </c>
      <c r="G108" s="67">
        <f>'PCB Data'!B53</f>
        <v>128</v>
      </c>
      <c r="H108" s="43">
        <f>'PCB Data'!F53</f>
        <v>73</v>
      </c>
      <c r="I108" s="43">
        <f>'PCB Data'!J53</f>
        <v>98</v>
      </c>
      <c r="J108" s="43" t="s">
        <v>28</v>
      </c>
      <c r="K108" s="81" t="s">
        <v>28</v>
      </c>
      <c r="L108" s="43">
        <f>'PCB Data'!C53</f>
        <v>81</v>
      </c>
      <c r="M108" s="43">
        <f>'PCB Data'!G53</f>
        <v>47</v>
      </c>
      <c r="N108" s="43">
        <f>'PCB Data'!K53</f>
        <v>61</v>
      </c>
      <c r="O108" s="67" t="s">
        <v>28</v>
      </c>
      <c r="P108" s="81" t="s">
        <v>28</v>
      </c>
      <c r="Q108" s="43">
        <f>'PCB Data'!D53</f>
        <v>98</v>
      </c>
      <c r="R108" s="43">
        <f>'PCB Data'!H53</f>
        <v>57</v>
      </c>
      <c r="S108" s="43">
        <f>'PCB Data'!L53</f>
        <v>77</v>
      </c>
      <c r="T108" s="67" t="s">
        <v>28</v>
      </c>
      <c r="U108" s="81" t="s">
        <v>28</v>
      </c>
      <c r="V108" s="43">
        <f>'PCB Data'!E53</f>
        <v>66</v>
      </c>
      <c r="W108" s="43">
        <f>'PCB Data'!I53</f>
        <v>47</v>
      </c>
      <c r="X108" s="43">
        <f>'PCB Data'!M53</f>
        <v>58</v>
      </c>
      <c r="Y108" s="67" t="s">
        <v>28</v>
      </c>
      <c r="Z108" s="81" t="s">
        <v>28</v>
      </c>
    </row>
    <row r="109" spans="1:51" x14ac:dyDescent="0.25">
      <c r="A109" s="1332">
        <f>'PCB Data'!A54</f>
        <v>44655</v>
      </c>
      <c r="B109" s="7">
        <f>'PCB Data'!Q54*('PCB Data'!N54/100)</f>
        <v>614.76</v>
      </c>
      <c r="C109" s="7">
        <f>'PCB Data'!R54*('PCB Data'!O54/100)</f>
        <v>547.35</v>
      </c>
      <c r="D109" s="7">
        <f>'PCB Data'!S54*('PCB Data'!P54/100)</f>
        <v>554.49</v>
      </c>
      <c r="E109" s="116" t="s">
        <v>28</v>
      </c>
      <c r="F109" s="81" t="s">
        <v>28</v>
      </c>
      <c r="G109" s="67">
        <f>'PCB Data'!B54</f>
        <v>133</v>
      </c>
      <c r="H109" s="43">
        <f>'PCB Data'!F54</f>
        <v>88</v>
      </c>
      <c r="I109" s="43">
        <f>'PCB Data'!J54</f>
        <v>93</v>
      </c>
      <c r="J109" s="116" t="s">
        <v>28</v>
      </c>
      <c r="K109" s="81" t="s">
        <v>28</v>
      </c>
      <c r="L109" s="43">
        <f>'PCB Data'!C54</f>
        <v>69</v>
      </c>
      <c r="M109" s="43">
        <f>'PCB Data'!G54</f>
        <v>55</v>
      </c>
      <c r="N109" s="43">
        <f>'PCB Data'!K54</f>
        <v>62</v>
      </c>
      <c r="O109" s="1341" t="s">
        <v>28</v>
      </c>
      <c r="P109" s="81" t="s">
        <v>28</v>
      </c>
      <c r="Q109" s="43">
        <f>'PCB Data'!D54</f>
        <v>83</v>
      </c>
      <c r="R109" s="43">
        <f>'PCB Data'!H54</f>
        <v>66</v>
      </c>
      <c r="S109" s="43">
        <f>'PCB Data'!L54</f>
        <v>74</v>
      </c>
      <c r="T109" s="1341" t="s">
        <v>28</v>
      </c>
      <c r="U109" s="81" t="s">
        <v>28</v>
      </c>
      <c r="V109" s="43">
        <f>'PCB Data'!E54</f>
        <v>63</v>
      </c>
      <c r="W109" s="43">
        <f>'PCB Data'!I54</f>
        <v>59</v>
      </c>
      <c r="X109" s="43">
        <f>'PCB Data'!M54</f>
        <v>60</v>
      </c>
      <c r="Y109" s="1341" t="s">
        <v>28</v>
      </c>
      <c r="Z109" s="81" t="s">
        <v>28</v>
      </c>
    </row>
    <row r="110" spans="1:51" x14ac:dyDescent="0.25">
      <c r="A110" s="1332">
        <f>'PCB Data'!A55</f>
        <v>44691</v>
      </c>
      <c r="B110" s="7">
        <f>'PCB Data'!Q55*('PCB Data'!N55/100)</f>
        <v>677.31000000000006</v>
      </c>
      <c r="C110" s="7">
        <f>'PCB Data'!R55*('PCB Data'!O55/100)</f>
        <v>546.12</v>
      </c>
      <c r="D110" s="7">
        <f>'PCB Data'!S55*('PCB Data'!P55/100)</f>
        <v>460.46000000000004</v>
      </c>
      <c r="E110" s="116">
        <f t="shared" ref="E110:E115" si="81">B110/C107</f>
        <v>1.7252789240409598</v>
      </c>
      <c r="F110" s="81" t="s">
        <v>28</v>
      </c>
      <c r="G110" s="67">
        <f>'PCB Data'!B55</f>
        <v>108</v>
      </c>
      <c r="H110" s="43">
        <f>'PCB Data'!F55</f>
        <v>78</v>
      </c>
      <c r="I110" s="43">
        <f>'PCB Data'!J55</f>
        <v>80</v>
      </c>
      <c r="J110" s="116">
        <f t="shared" ref="J110:J115" si="82">G110/H107</f>
        <v>1.5</v>
      </c>
      <c r="K110" s="81" t="s">
        <v>28</v>
      </c>
      <c r="L110" s="43">
        <f>'PCB Data'!C55</f>
        <v>69</v>
      </c>
      <c r="M110" s="43">
        <f>'PCB Data'!G55</f>
        <v>55</v>
      </c>
      <c r="N110" s="43">
        <f>'PCB Data'!K55</f>
        <v>54</v>
      </c>
      <c r="O110" s="1341">
        <f t="shared" ref="O110:O115" si="83">L110/M107</f>
        <v>1.7692307692307692</v>
      </c>
      <c r="P110" s="81" t="s">
        <v>28</v>
      </c>
      <c r="Q110" s="43">
        <f>'PCB Data'!D55</f>
        <v>75</v>
      </c>
      <c r="R110" s="43">
        <f>'PCB Data'!H55</f>
        <v>61</v>
      </c>
      <c r="S110" s="43">
        <f>'PCB Data'!L55</f>
        <v>63</v>
      </c>
      <c r="T110" s="1341">
        <f t="shared" ref="T110:T115" si="84">Q110/R107</f>
        <v>1.5957446808510638</v>
      </c>
      <c r="U110" s="81" t="s">
        <v>28</v>
      </c>
      <c r="V110" s="43">
        <f>'PCB Data'!E55</f>
        <v>68</v>
      </c>
      <c r="W110" s="43">
        <f>'PCB Data'!I55</f>
        <v>61</v>
      </c>
      <c r="X110" s="43">
        <f>'PCB Data'!M55</f>
        <v>49</v>
      </c>
      <c r="Y110" s="1341">
        <f t="shared" ref="Y110:Y115" si="85">V110/W107</f>
        <v>1.9428571428571428</v>
      </c>
      <c r="Z110" s="81" t="s">
        <v>28</v>
      </c>
    </row>
    <row r="111" spans="1:51" x14ac:dyDescent="0.25">
      <c r="A111" s="1332">
        <f>'PCB Data'!A56</f>
        <v>44714</v>
      </c>
      <c r="B111" s="7">
        <f>'PCB Data'!Q56*('PCB Data'!N56/100)</f>
        <v>634.05999999999995</v>
      </c>
      <c r="C111" s="7">
        <f>'PCB Data'!R56*('PCB Data'!O56/100)</f>
        <v>532.80000000000007</v>
      </c>
      <c r="D111" s="7">
        <f>'PCB Data'!S56*('PCB Data'!P56/100)</f>
        <v>394.68</v>
      </c>
      <c r="E111" s="116">
        <f t="shared" si="81"/>
        <v>1.3627493122420906</v>
      </c>
      <c r="F111" s="81" t="s">
        <v>28</v>
      </c>
      <c r="G111" s="67">
        <f>'PCB Data'!B56</f>
        <v>95</v>
      </c>
      <c r="H111" s="43">
        <f>'PCB Data'!F56</f>
        <v>81</v>
      </c>
      <c r="I111" s="43">
        <f>'PCB Data'!J56</f>
        <v>73</v>
      </c>
      <c r="J111" s="116">
        <f t="shared" si="82"/>
        <v>1.3013698630136987</v>
      </c>
      <c r="K111" s="81" t="s">
        <v>28</v>
      </c>
      <c r="L111" s="43">
        <f>'PCB Data'!C56</f>
        <v>65</v>
      </c>
      <c r="M111" s="43">
        <f>'PCB Data'!G56</f>
        <v>55</v>
      </c>
      <c r="N111" s="43">
        <f>'PCB Data'!K56</f>
        <v>46</v>
      </c>
      <c r="O111" s="1341">
        <f t="shared" si="83"/>
        <v>1.3829787234042554</v>
      </c>
      <c r="P111" s="81" t="s">
        <v>28</v>
      </c>
      <c r="Q111" s="43">
        <f>'PCB Data'!D56</f>
        <v>70</v>
      </c>
      <c r="R111" s="43">
        <f>'PCB Data'!H56</f>
        <v>64</v>
      </c>
      <c r="S111" s="43">
        <f>'PCB Data'!L56</f>
        <v>55</v>
      </c>
      <c r="T111" s="1341">
        <f t="shared" si="84"/>
        <v>1.2280701754385965</v>
      </c>
      <c r="U111" s="81" t="s">
        <v>28</v>
      </c>
      <c r="V111" s="43">
        <f>'PCB Data'!E56</f>
        <v>62</v>
      </c>
      <c r="W111" s="43">
        <f>'PCB Data'!I56</f>
        <v>57</v>
      </c>
      <c r="X111" s="43">
        <f>'PCB Data'!M56</f>
        <v>41</v>
      </c>
      <c r="Y111" s="1341">
        <f t="shared" si="85"/>
        <v>1.3191489361702127</v>
      </c>
      <c r="Z111" s="81" t="s">
        <v>28</v>
      </c>
    </row>
    <row r="112" spans="1:51" x14ac:dyDescent="0.25">
      <c r="A112" s="1332">
        <f>'PCB Data'!A57</f>
        <v>44753</v>
      </c>
      <c r="B112" s="7">
        <f>'PCB Data'!Q57*('PCB Data'!N57/100)</f>
        <v>611.04999999999995</v>
      </c>
      <c r="C112" s="7">
        <f>'PCB Data'!R57*('PCB Data'!O57/100)</f>
        <v>459.90000000000003</v>
      </c>
      <c r="D112" s="7">
        <f>'PCB Data'!S57*('PCB Data'!P57/100)</f>
        <v>442.32</v>
      </c>
      <c r="E112" s="116">
        <f t="shared" si="81"/>
        <v>1.1163789165981546</v>
      </c>
      <c r="F112" s="81" t="s">
        <v>28</v>
      </c>
      <c r="G112" s="67">
        <f>'PCB Data'!B57</f>
        <v>80</v>
      </c>
      <c r="H112" s="43">
        <f>'PCB Data'!F57</f>
        <v>85</v>
      </c>
      <c r="I112" s="43">
        <f>'PCB Data'!J57</f>
        <v>73</v>
      </c>
      <c r="J112" s="116">
        <f t="shared" si="82"/>
        <v>0.90909090909090906</v>
      </c>
      <c r="K112" s="81" t="s">
        <v>28</v>
      </c>
      <c r="L112" s="43">
        <f>'PCB Data'!C57</f>
        <v>63</v>
      </c>
      <c r="M112" s="43">
        <f>'PCB Data'!G57</f>
        <v>59</v>
      </c>
      <c r="N112" s="43">
        <f>'PCB Data'!K57</f>
        <v>50</v>
      </c>
      <c r="O112" s="1341">
        <f t="shared" si="83"/>
        <v>1.1454545454545455</v>
      </c>
      <c r="P112" s="81" t="s">
        <v>28</v>
      </c>
      <c r="Q112" s="43">
        <f>'PCB Data'!D57</f>
        <v>68</v>
      </c>
      <c r="R112" s="43">
        <f>'PCB Data'!H57</f>
        <v>71</v>
      </c>
      <c r="S112" s="43">
        <f>'PCB Data'!L57</f>
        <v>60</v>
      </c>
      <c r="T112" s="1341">
        <f t="shared" si="84"/>
        <v>1.0303030303030303</v>
      </c>
      <c r="U112" s="81" t="s">
        <v>28</v>
      </c>
      <c r="V112" s="43">
        <f>'PCB Data'!E57</f>
        <v>52</v>
      </c>
      <c r="W112" s="43">
        <f>'PCB Data'!I57</f>
        <v>50</v>
      </c>
      <c r="X112" s="43">
        <f>'PCB Data'!M57</f>
        <v>41</v>
      </c>
      <c r="Y112" s="1341">
        <f t="shared" si="85"/>
        <v>0.88135593220338981</v>
      </c>
      <c r="Z112" s="81" t="s">
        <v>28</v>
      </c>
    </row>
    <row r="113" spans="1:26" x14ac:dyDescent="0.25">
      <c r="A113" s="1332">
        <v>44774</v>
      </c>
      <c r="B113" s="7">
        <f>'PCB Data'!Q58*('PCB Data'!N58/100)</f>
        <v>577.72</v>
      </c>
      <c r="C113" s="7">
        <f>'PCB Data'!R58*('PCB Data'!O58/100)</f>
        <v>461.7</v>
      </c>
      <c r="D113" s="7">
        <f>'PCB Data'!S58*('PCB Data'!P58/100)</f>
        <v>412.92</v>
      </c>
      <c r="E113" s="116">
        <f t="shared" si="81"/>
        <v>1.05786274078957</v>
      </c>
      <c r="F113" s="116">
        <f t="shared" ref="F113:F118" si="86">B113/D107</f>
        <v>0.90765121759622946</v>
      </c>
      <c r="G113" s="67">
        <f>'PCB Data'!B58</f>
        <v>81</v>
      </c>
      <c r="H113" s="43">
        <f>'PCB Data'!F58</f>
        <v>89</v>
      </c>
      <c r="I113" s="43">
        <f>'PCB Data'!J58</f>
        <v>65</v>
      </c>
      <c r="J113" s="116">
        <f t="shared" si="82"/>
        <v>1.0384615384615385</v>
      </c>
      <c r="K113" s="116">
        <f t="shared" ref="K113:K118" si="87">G113/I107</f>
        <v>0.77884615384615385</v>
      </c>
      <c r="L113" s="43">
        <f>'PCB Data'!C58</f>
        <v>61</v>
      </c>
      <c r="M113" s="43">
        <f>'PCB Data'!G58</f>
        <v>57</v>
      </c>
      <c r="N113" s="43">
        <f>'PCB Data'!K58</f>
        <v>45</v>
      </c>
      <c r="O113" s="1341">
        <f t="shared" si="83"/>
        <v>1.1090909090909091</v>
      </c>
      <c r="P113" s="116">
        <f t="shared" ref="P113:P118" si="88">L113/N107</f>
        <v>0.91044776119402981</v>
      </c>
      <c r="Q113" s="43">
        <f>'PCB Data'!D58</f>
        <v>69</v>
      </c>
      <c r="R113" s="43">
        <f>'PCB Data'!H58</f>
        <v>71</v>
      </c>
      <c r="S113" s="43">
        <f>'PCB Data'!L58</f>
        <v>54</v>
      </c>
      <c r="T113" s="1341">
        <f t="shared" si="84"/>
        <v>1.1311475409836065</v>
      </c>
      <c r="U113" s="116">
        <f t="shared" ref="U113:U118" si="89">Q113/S107</f>
        <v>0.8214285714285714</v>
      </c>
      <c r="V113" s="43">
        <f>'PCB Data'!E58</f>
        <v>40</v>
      </c>
      <c r="W113" s="43">
        <f>'PCB Data'!I58</f>
        <v>57</v>
      </c>
      <c r="X113" s="43">
        <f>'PCB Data'!M58</f>
        <v>40</v>
      </c>
      <c r="Y113" s="1341">
        <f t="shared" si="85"/>
        <v>0.65573770491803274</v>
      </c>
      <c r="Z113" s="116">
        <f t="shared" ref="Z113:Z118" si="90">V113/X107</f>
        <v>0.58823529411764708</v>
      </c>
    </row>
    <row r="114" spans="1:26" x14ac:dyDescent="0.25">
      <c r="A114" s="1332">
        <v>44805</v>
      </c>
      <c r="B114" s="7">
        <f>'PCB Data'!Q59*('PCB Data'!N59/100)</f>
        <v>621.31999999999994</v>
      </c>
      <c r="C114" s="7">
        <f>'PCB Data'!R59*('PCB Data'!O59/100)</f>
        <v>399</v>
      </c>
      <c r="D114" s="7">
        <f>'PCB Data'!S59*('PCB Data'!P59/100)</f>
        <v>445.68</v>
      </c>
      <c r="E114" s="116">
        <f t="shared" si="81"/>
        <v>1.1661411411411409</v>
      </c>
      <c r="F114" s="116">
        <f t="shared" si="86"/>
        <v>1.0880498739142617</v>
      </c>
      <c r="G114" s="67">
        <f>'PCB Data'!B59</f>
        <v>89</v>
      </c>
      <c r="H114" s="43">
        <f>'PCB Data'!F59</f>
        <v>72</v>
      </c>
      <c r="I114" s="43">
        <f>'PCB Data'!J59</f>
        <v>74</v>
      </c>
      <c r="J114" s="116">
        <f t="shared" si="82"/>
        <v>1.0987654320987654</v>
      </c>
      <c r="K114" s="116">
        <f t="shared" si="87"/>
        <v>0.90816326530612246</v>
      </c>
      <c r="L114" s="43">
        <f>'PCB Data'!C59</f>
        <v>68</v>
      </c>
      <c r="M114" s="43">
        <f>'PCB Data'!G59</f>
        <v>46</v>
      </c>
      <c r="N114" s="43">
        <f>'PCB Data'!K59</f>
        <v>50</v>
      </c>
      <c r="O114" s="1341">
        <f t="shared" si="83"/>
        <v>1.2363636363636363</v>
      </c>
      <c r="P114" s="116">
        <f t="shared" si="88"/>
        <v>1.1147540983606556</v>
      </c>
      <c r="Q114" s="43">
        <f>'PCB Data'!D59</f>
        <v>79</v>
      </c>
      <c r="R114" s="43">
        <f>'PCB Data'!H59</f>
        <v>56</v>
      </c>
      <c r="S114" s="43">
        <f>'PCB Data'!L59</f>
        <v>60</v>
      </c>
      <c r="T114" s="1341">
        <f t="shared" si="84"/>
        <v>1.234375</v>
      </c>
      <c r="U114" s="116">
        <f t="shared" si="89"/>
        <v>1.025974025974026</v>
      </c>
      <c r="V114" s="43">
        <f>'PCB Data'!E59</f>
        <v>50</v>
      </c>
      <c r="W114" s="43">
        <f>'PCB Data'!I59</f>
        <v>53</v>
      </c>
      <c r="X114" s="43">
        <f>'PCB Data'!M59</f>
        <v>38</v>
      </c>
      <c r="Y114" s="1341">
        <f t="shared" si="85"/>
        <v>0.8771929824561403</v>
      </c>
      <c r="Z114" s="116">
        <f t="shared" si="90"/>
        <v>0.86206896551724133</v>
      </c>
    </row>
    <row r="115" spans="1:26" x14ac:dyDescent="0.25">
      <c r="A115" s="1332">
        <v>44838</v>
      </c>
      <c r="B115" s="7">
        <f>'PCB Data'!Q60*('PCB Data'!N60/100)</f>
        <v>571.54999999999995</v>
      </c>
      <c r="C115" s="7">
        <f>'PCB Data'!R60*('PCB Data'!O60/100)</f>
        <v>445.38</v>
      </c>
      <c r="D115" s="7">
        <f>'PCB Data'!S60*('PCB Data'!P60/100)</f>
        <v>411.79999999999995</v>
      </c>
      <c r="E115" s="116">
        <f t="shared" si="81"/>
        <v>1.2427701674277014</v>
      </c>
      <c r="F115" s="116">
        <f t="shared" si="86"/>
        <v>1.0307670111273421</v>
      </c>
      <c r="G115" s="67">
        <f>'PCB Data'!B60</f>
        <v>98</v>
      </c>
      <c r="H115" s="43">
        <f>'PCB Data'!F60</f>
        <v>79</v>
      </c>
      <c r="I115" s="43">
        <f>'PCB Data'!J60</f>
        <v>67</v>
      </c>
      <c r="J115" s="116">
        <f t="shared" si="82"/>
        <v>1.1529411764705881</v>
      </c>
      <c r="K115" s="116">
        <f t="shared" si="87"/>
        <v>1.053763440860215</v>
      </c>
      <c r="L115" s="43">
        <f>'PCB Data'!C60</f>
        <v>71</v>
      </c>
      <c r="M115" s="43">
        <f>'PCB Data'!G60</f>
        <v>46</v>
      </c>
      <c r="N115" s="43">
        <f>'PCB Data'!K60</f>
        <v>42</v>
      </c>
      <c r="O115" s="1341">
        <f t="shared" si="83"/>
        <v>1.2033898305084745</v>
      </c>
      <c r="P115" s="116">
        <f t="shared" si="88"/>
        <v>1.1451612903225807</v>
      </c>
      <c r="Q115" s="43">
        <f>'PCB Data'!D60</f>
        <v>81</v>
      </c>
      <c r="R115" s="43">
        <f>'PCB Data'!H60</f>
        <v>53</v>
      </c>
      <c r="S115" s="43">
        <f>'PCB Data'!L60</f>
        <v>49</v>
      </c>
      <c r="T115" s="1341">
        <f t="shared" si="84"/>
        <v>1.1408450704225352</v>
      </c>
      <c r="U115" s="116">
        <f t="shared" si="89"/>
        <v>1.0945945945945945</v>
      </c>
      <c r="V115" s="43">
        <f>'PCB Data'!E60</f>
        <v>55</v>
      </c>
      <c r="W115" s="43">
        <f>'PCB Data'!I60</f>
        <v>48</v>
      </c>
      <c r="X115" s="43">
        <f>'PCB Data'!M60</f>
        <v>41</v>
      </c>
      <c r="Y115" s="1341">
        <f t="shared" si="85"/>
        <v>1.1000000000000001</v>
      </c>
      <c r="Z115" s="116">
        <f t="shared" si="90"/>
        <v>0.91666666666666663</v>
      </c>
    </row>
    <row r="116" spans="1:26" x14ac:dyDescent="0.25">
      <c r="A116" s="1332">
        <v>44868</v>
      </c>
      <c r="B116" s="7">
        <f>'PCB Data'!Q61*('PCB Data'!N61/100)</f>
        <v>465.75000000000006</v>
      </c>
      <c r="C116" s="7">
        <f>'PCB Data'!R61*('PCB Data'!O61/100)</f>
        <v>324.89000000000004</v>
      </c>
      <c r="D116" s="7">
        <f>'PCB Data'!S61*('PCB Data'!P61/100)</f>
        <v>424.96000000000004</v>
      </c>
      <c r="E116" s="116">
        <f t="shared" ref="E116" si="91">B116/C113</f>
        <v>1.0087719298245617</v>
      </c>
      <c r="F116" s="116">
        <f t="shared" si="86"/>
        <v>1.0114885114885115</v>
      </c>
      <c r="G116" s="67">
        <f>'PCB Data'!B61</f>
        <v>62</v>
      </c>
      <c r="H116" s="43">
        <f>'PCB Data'!F61</f>
        <v>53</v>
      </c>
      <c r="I116" s="43">
        <f>'PCB Data'!J61</f>
        <v>60</v>
      </c>
      <c r="J116" s="116">
        <f t="shared" ref="J116" si="92">G116/H113</f>
        <v>0.6966292134831461</v>
      </c>
      <c r="K116" s="116">
        <f t="shared" si="87"/>
        <v>0.77500000000000002</v>
      </c>
      <c r="L116" s="43">
        <f>'PCB Data'!C61</f>
        <v>48</v>
      </c>
      <c r="M116" s="43">
        <f>'PCB Data'!G61</f>
        <v>45</v>
      </c>
      <c r="N116" s="43">
        <f>'PCB Data'!K61</f>
        <v>44</v>
      </c>
      <c r="O116" s="1341">
        <f t="shared" ref="O116" si="93">L116/M113</f>
        <v>0.84210526315789469</v>
      </c>
      <c r="P116" s="116">
        <f t="shared" si="88"/>
        <v>0.88888888888888884</v>
      </c>
      <c r="Q116" s="43">
        <f>'PCB Data'!D61</f>
        <v>54</v>
      </c>
      <c r="R116" s="43">
        <f>'PCB Data'!H61</f>
        <v>41</v>
      </c>
      <c r="S116" s="43">
        <f>'PCB Data'!L61</f>
        <v>52</v>
      </c>
      <c r="T116" s="1341">
        <f t="shared" ref="T116" si="94">Q116/R113</f>
        <v>0.76056338028169013</v>
      </c>
      <c r="U116" s="116">
        <f t="shared" si="89"/>
        <v>0.8571428571428571</v>
      </c>
      <c r="V116" s="43">
        <f>'PCB Data'!E61</f>
        <v>56</v>
      </c>
      <c r="W116" s="43">
        <f>'PCB Data'!I61</f>
        <v>39</v>
      </c>
      <c r="X116" s="43">
        <f>'PCB Data'!M61</f>
        <v>39</v>
      </c>
      <c r="Y116" s="1341">
        <f t="shared" ref="Y116" si="95">V116/W113</f>
        <v>0.98245614035087714</v>
      </c>
      <c r="Z116" s="116">
        <f t="shared" si="90"/>
        <v>1.1428571428571428</v>
      </c>
    </row>
    <row r="117" spans="1:26" x14ac:dyDescent="0.25">
      <c r="A117" s="1332">
        <v>44908</v>
      </c>
      <c r="B117" s="7">
        <f>'PCB Data'!Q62*('PCB Data'!N62/100)</f>
        <v>304.92</v>
      </c>
      <c r="C117" s="7">
        <f>'PCB Data'!R62*('PCB Data'!O62/100)</f>
        <v>228</v>
      </c>
      <c r="D117" s="7">
        <f>'PCB Data'!S62*('PCB Data'!P62/100)</f>
        <v>409.94</v>
      </c>
      <c r="E117" s="116">
        <f t="shared" ref="E117" si="96">B117/C114</f>
        <v>0.76421052631578956</v>
      </c>
      <c r="F117" s="116">
        <f t="shared" si="86"/>
        <v>0.77257525083612044</v>
      </c>
      <c r="G117" s="67">
        <f>'PCB Data'!B62</f>
        <v>45</v>
      </c>
      <c r="H117" s="43">
        <f>'PCB Data'!F62</f>
        <v>45</v>
      </c>
      <c r="I117" s="43">
        <f>'PCB Data'!J62</f>
        <v>48</v>
      </c>
      <c r="J117" s="116">
        <f t="shared" ref="J117" si="97">G117/H114</f>
        <v>0.625</v>
      </c>
      <c r="K117" s="116">
        <f t="shared" si="87"/>
        <v>0.61643835616438358</v>
      </c>
      <c r="L117" s="43">
        <f>'PCB Data'!C62</f>
        <v>32</v>
      </c>
      <c r="M117" s="43">
        <f>'PCB Data'!G62</f>
        <v>23</v>
      </c>
      <c r="N117" s="43">
        <f>'PCB Data'!K62</f>
        <v>42</v>
      </c>
      <c r="O117" s="1341">
        <f t="shared" ref="O117" si="98">L117/M114</f>
        <v>0.69565217391304346</v>
      </c>
      <c r="P117" s="116">
        <f t="shared" si="88"/>
        <v>0.69565217391304346</v>
      </c>
      <c r="Q117" s="43">
        <f>'PCB Data'!D62</f>
        <v>36</v>
      </c>
      <c r="R117" s="43">
        <f>'PCB Data'!H62</f>
        <v>26</v>
      </c>
      <c r="S117" s="43">
        <f>'PCB Data'!L62</f>
        <v>49</v>
      </c>
      <c r="T117" s="1341">
        <f t="shared" ref="T117" si="99">Q117/R114</f>
        <v>0.6428571428571429</v>
      </c>
      <c r="U117" s="116">
        <f t="shared" si="89"/>
        <v>0.65454545454545454</v>
      </c>
      <c r="V117" s="43">
        <f>'PCB Data'!E62</f>
        <v>38</v>
      </c>
      <c r="W117" s="43">
        <f>'PCB Data'!I62</f>
        <v>30</v>
      </c>
      <c r="X117" s="43">
        <f>'PCB Data'!M62</f>
        <v>41</v>
      </c>
      <c r="Y117" s="1341">
        <f t="shared" ref="Y117" si="100">V117/W114</f>
        <v>0.71698113207547165</v>
      </c>
      <c r="Z117" s="116">
        <f t="shared" si="90"/>
        <v>0.92682926829268297</v>
      </c>
    </row>
    <row r="118" spans="1:26" x14ac:dyDescent="0.25">
      <c r="A118" s="1332">
        <v>44965</v>
      </c>
      <c r="B118" s="7">
        <f>'PCB Data'!Q63*('PCB Data'!N63/100)</f>
        <v>276.5</v>
      </c>
      <c r="C118" s="7">
        <f>'PCB Data'!R63*('PCB Data'!O63/100)</f>
        <v>297.48</v>
      </c>
      <c r="D118" s="7">
        <f>'PCB Data'!S63*('PCB Data'!P63/100)</f>
        <v>500.96</v>
      </c>
      <c r="E118" s="116">
        <f t="shared" ref="E118" si="101">B118/C115</f>
        <v>0.62081817773586601</v>
      </c>
      <c r="F118" s="116">
        <f t="shared" si="86"/>
        <v>0.6251130403327908</v>
      </c>
      <c r="G118" s="67">
        <f>'PCB Data'!B63</f>
        <v>27</v>
      </c>
      <c r="H118" s="43">
        <f>'PCB Data'!F63</f>
        <v>39</v>
      </c>
      <c r="I118" s="43">
        <f>'PCB Data'!J63</f>
        <v>63</v>
      </c>
      <c r="J118" s="116">
        <f t="shared" ref="J118" si="102">G118/H115</f>
        <v>0.34177215189873417</v>
      </c>
      <c r="K118" s="116">
        <f t="shared" si="87"/>
        <v>0.36986301369863012</v>
      </c>
      <c r="L118" s="43">
        <f>'PCB Data'!C63</f>
        <v>27</v>
      </c>
      <c r="M118" s="43">
        <f>'PCB Data'!G63</f>
        <v>22</v>
      </c>
      <c r="N118" s="43">
        <f>'PCB Data'!K63</f>
        <v>49</v>
      </c>
      <c r="O118" s="1341">
        <f t="shared" ref="O118" si="103">L118/M115</f>
        <v>0.58695652173913049</v>
      </c>
      <c r="P118" s="116">
        <f t="shared" si="88"/>
        <v>0.54</v>
      </c>
      <c r="Q118" s="43">
        <f>'PCB Data'!D63</f>
        <v>30</v>
      </c>
      <c r="R118" s="43">
        <f>'PCB Data'!H63</f>
        <v>27</v>
      </c>
      <c r="S118" s="43">
        <f>'PCB Data'!L63</f>
        <v>58</v>
      </c>
      <c r="T118" s="1341">
        <f t="shared" ref="T118" si="104">Q118/R115</f>
        <v>0.56603773584905659</v>
      </c>
      <c r="U118" s="116">
        <f t="shared" si="89"/>
        <v>0.5</v>
      </c>
      <c r="V118" s="43">
        <f>'PCB Data'!E63</f>
        <v>36</v>
      </c>
      <c r="W118" s="43">
        <f>'PCB Data'!I63</f>
        <v>23</v>
      </c>
      <c r="X118" s="43">
        <f>'PCB Data'!M63</f>
        <v>50</v>
      </c>
      <c r="Y118" s="1341">
        <f t="shared" ref="Y118" si="105">V118/W115</f>
        <v>0.75</v>
      </c>
      <c r="Z118" s="116">
        <f t="shared" si="90"/>
        <v>0.87804878048780488</v>
      </c>
    </row>
    <row r="119" spans="1:26" x14ac:dyDescent="0.25">
      <c r="A119" s="1332">
        <v>44992</v>
      </c>
      <c r="B119" s="7">
        <f>'PCB Data'!Q64*('PCB Data'!N64/100)</f>
        <v>258.54000000000002</v>
      </c>
      <c r="C119" s="7">
        <f>'PCB Data'!R64*('PCB Data'!O64/100)</f>
        <v>234.09</v>
      </c>
      <c r="D119" s="7">
        <f>'PCB Data'!S64*('PCB Data'!P64/100)</f>
        <v>528.39</v>
      </c>
      <c r="E119" s="116">
        <f t="shared" ref="E119:E151" si="106">B119/C116</f>
        <v>0.79577703222629192</v>
      </c>
      <c r="F119" s="116">
        <f t="shared" ref="F119:F151" si="107">B119/D113</f>
        <v>0.62612612612612617</v>
      </c>
      <c r="G119" s="67">
        <f>'PCB Data'!B64</f>
        <v>30</v>
      </c>
      <c r="H119" s="43">
        <f>'PCB Data'!F64</f>
        <v>31</v>
      </c>
      <c r="I119" s="43">
        <f>'PCB Data'!J64</f>
        <v>56</v>
      </c>
      <c r="J119" s="116">
        <f t="shared" ref="J119:J151" si="108">G119/H116</f>
        <v>0.56603773584905659</v>
      </c>
      <c r="K119" s="116">
        <f t="shared" ref="K119:K151" si="109">G119/I113</f>
        <v>0.46153846153846156</v>
      </c>
      <c r="L119" s="43">
        <f>'PCB Data'!C64</f>
        <v>26</v>
      </c>
      <c r="M119" s="43">
        <f>'PCB Data'!G64</f>
        <v>27</v>
      </c>
      <c r="N119" s="43">
        <f>'PCB Data'!K64</f>
        <v>50</v>
      </c>
      <c r="O119" s="1341">
        <f t="shared" ref="O119:O151" si="110">L119/M116</f>
        <v>0.57777777777777772</v>
      </c>
      <c r="P119" s="116">
        <f t="shared" ref="P119:P151" si="111">L119/N113</f>
        <v>0.57777777777777772</v>
      </c>
      <c r="Q119" s="43">
        <f>'PCB Data'!D64</f>
        <v>28</v>
      </c>
      <c r="R119" s="43">
        <f>'PCB Data'!H64</f>
        <v>30</v>
      </c>
      <c r="S119" s="43">
        <f>'PCB Data'!L64</f>
        <v>58</v>
      </c>
      <c r="T119" s="1341">
        <f t="shared" ref="T119:T151" si="112">Q119/R116</f>
        <v>0.68292682926829273</v>
      </c>
      <c r="U119" s="116">
        <f t="shared" ref="U119:U151" si="113">Q119/S113</f>
        <v>0.51851851851851849</v>
      </c>
      <c r="V119" s="43">
        <f>'PCB Data'!E64</f>
        <v>36</v>
      </c>
      <c r="W119" s="43">
        <f>'PCB Data'!I64</f>
        <v>33</v>
      </c>
      <c r="X119" s="43">
        <f>'PCB Data'!M64</f>
        <v>59</v>
      </c>
      <c r="Y119" s="1341">
        <f t="shared" ref="Y119:Y151" si="114">V119/W116</f>
        <v>0.92307692307692313</v>
      </c>
      <c r="Z119" s="116">
        <f t="shared" ref="Z119:Z151" si="115">V119/X113</f>
        <v>0.9</v>
      </c>
    </row>
    <row r="120" spans="1:26" x14ac:dyDescent="0.25">
      <c r="A120" s="1332">
        <v>45020</v>
      </c>
      <c r="B120" s="7">
        <f>'PCB Data'!Q65*('PCB Data'!N65/100)</f>
        <v>371.29999999999995</v>
      </c>
      <c r="C120" s="7">
        <f>'PCB Data'!R65*('PCB Data'!O65/100)</f>
        <v>399.84</v>
      </c>
      <c r="D120" s="7">
        <f>'PCB Data'!S65*('PCB Data'!P65/100)</f>
        <v>432.73</v>
      </c>
      <c r="E120" s="116">
        <f t="shared" si="106"/>
        <v>1.6285087719298244</v>
      </c>
      <c r="F120" s="116">
        <f t="shared" si="107"/>
        <v>0.83310895709926391</v>
      </c>
      <c r="G120" s="67">
        <f>'PCB Data'!B65</f>
        <v>37</v>
      </c>
      <c r="H120" s="43">
        <f>'PCB Data'!F65</f>
        <v>41</v>
      </c>
      <c r="I120" s="43">
        <f>'PCB Data'!J65</f>
        <v>50</v>
      </c>
      <c r="J120" s="116">
        <f t="shared" si="108"/>
        <v>0.82222222222222219</v>
      </c>
      <c r="K120" s="116">
        <f t="shared" si="109"/>
        <v>0.5</v>
      </c>
      <c r="L120" s="43">
        <f>'PCB Data'!C65</f>
        <v>35</v>
      </c>
      <c r="M120" s="43">
        <f>'PCB Data'!G65</f>
        <v>38</v>
      </c>
      <c r="N120" s="43">
        <f>'PCB Data'!K65</f>
        <v>44</v>
      </c>
      <c r="O120" s="1341">
        <f t="shared" si="110"/>
        <v>1.5217391304347827</v>
      </c>
      <c r="P120" s="116">
        <f t="shared" si="111"/>
        <v>0.7</v>
      </c>
      <c r="Q120" s="43">
        <f>'PCB Data'!D65</f>
        <v>39</v>
      </c>
      <c r="R120" s="43">
        <f>'PCB Data'!H65</f>
        <v>43</v>
      </c>
      <c r="S120" s="43">
        <f>'PCB Data'!L65</f>
        <v>49</v>
      </c>
      <c r="T120" s="1341">
        <f t="shared" si="112"/>
        <v>1.5</v>
      </c>
      <c r="U120" s="116">
        <f t="shared" si="113"/>
        <v>0.65</v>
      </c>
      <c r="V120" s="43">
        <f>'PCB Data'!E65</f>
        <v>41</v>
      </c>
      <c r="W120" s="43">
        <f>'PCB Data'!I65</f>
        <v>45</v>
      </c>
      <c r="X120" s="43">
        <f>'PCB Data'!M65</f>
        <v>52</v>
      </c>
      <c r="Y120" s="1341">
        <f t="shared" si="114"/>
        <v>1.3666666666666667</v>
      </c>
      <c r="Z120" s="116">
        <f t="shared" si="115"/>
        <v>1.0789473684210527</v>
      </c>
    </row>
    <row r="121" spans="1:26" x14ac:dyDescent="0.25">
      <c r="A121" s="1332">
        <v>45047</v>
      </c>
      <c r="B121" s="7">
        <f>'PCB Data'!Q66*('PCB Data'!N66/100)</f>
        <v>402</v>
      </c>
      <c r="C121" s="7">
        <f>'PCB Data'!R66*('PCB Data'!O66/100)</f>
        <v>428.40000000000003</v>
      </c>
      <c r="D121" s="7">
        <f>'PCB Data'!S66*('PCB Data'!P66/100)</f>
        <v>416.85</v>
      </c>
      <c r="E121" s="116">
        <f t="shared" si="106"/>
        <v>1.3513513513513513</v>
      </c>
      <c r="F121" s="116">
        <f t="shared" si="107"/>
        <v>0.97620203982515796</v>
      </c>
      <c r="G121" s="67">
        <f>'PCB Data'!B66</f>
        <v>48</v>
      </c>
      <c r="H121" s="43">
        <f>'PCB Data'!F66</f>
        <v>49</v>
      </c>
      <c r="I121" s="43">
        <f>'PCB Data'!J66</f>
        <v>48</v>
      </c>
      <c r="J121" s="116">
        <f t="shared" si="108"/>
        <v>1.2307692307692308</v>
      </c>
      <c r="K121" s="116">
        <f t="shared" si="109"/>
        <v>0.71641791044776115</v>
      </c>
      <c r="L121" s="43">
        <f>'PCB Data'!C66</f>
        <v>38</v>
      </c>
      <c r="M121" s="43">
        <f>'PCB Data'!G66</f>
        <v>42</v>
      </c>
      <c r="N121" s="43">
        <f>'PCB Data'!K66</f>
        <v>44</v>
      </c>
      <c r="O121" s="1341">
        <f t="shared" si="110"/>
        <v>1.7272727272727273</v>
      </c>
      <c r="P121" s="116">
        <f t="shared" si="111"/>
        <v>0.90476190476190477</v>
      </c>
      <c r="Q121" s="43">
        <f>'PCB Data'!D66</f>
        <v>41</v>
      </c>
      <c r="R121" s="43">
        <f>'PCB Data'!H66</f>
        <v>46</v>
      </c>
      <c r="S121" s="43">
        <f>'PCB Data'!L66</f>
        <v>49</v>
      </c>
      <c r="T121" s="1341">
        <f t="shared" si="112"/>
        <v>1.5185185185185186</v>
      </c>
      <c r="U121" s="116">
        <f t="shared" si="113"/>
        <v>0.83673469387755106</v>
      </c>
      <c r="V121" s="43">
        <f>'PCB Data'!E66</f>
        <v>44</v>
      </c>
      <c r="W121" s="43">
        <f>'PCB Data'!I66</f>
        <v>50</v>
      </c>
      <c r="X121" s="43">
        <f>'PCB Data'!M66</f>
        <v>48</v>
      </c>
      <c r="Y121" s="1341">
        <f t="shared" si="114"/>
        <v>1.9130434782608696</v>
      </c>
      <c r="Z121" s="116">
        <f t="shared" si="115"/>
        <v>1.0731707317073171</v>
      </c>
    </row>
    <row r="122" spans="1:26" x14ac:dyDescent="0.25">
      <c r="B122" s="7">
        <f>'PCB Data'!Q67*('PCB Data'!N67/100)</f>
        <v>0</v>
      </c>
      <c r="C122" s="7">
        <f>'PCB Data'!R67*('PCB Data'!O67/100)</f>
        <v>0</v>
      </c>
      <c r="D122" s="7">
        <f>'PCB Data'!S67*('PCB Data'!P67/100)</f>
        <v>0</v>
      </c>
      <c r="E122" s="116">
        <f t="shared" si="106"/>
        <v>0</v>
      </c>
      <c r="F122" s="116">
        <f t="shared" si="107"/>
        <v>0</v>
      </c>
      <c r="G122" s="67">
        <f>'PCB Data'!B67</f>
        <v>0</v>
      </c>
      <c r="H122" s="43">
        <f>'PCB Data'!F67</f>
        <v>0</v>
      </c>
      <c r="I122" s="43">
        <f>'PCB Data'!J67</f>
        <v>0</v>
      </c>
      <c r="J122" s="116">
        <f t="shared" si="108"/>
        <v>0</v>
      </c>
      <c r="K122" s="116">
        <f t="shared" si="109"/>
        <v>0</v>
      </c>
      <c r="L122" s="43">
        <f>'PCB Data'!C67</f>
        <v>0</v>
      </c>
      <c r="M122" s="43">
        <f>'PCB Data'!G67</f>
        <v>0</v>
      </c>
      <c r="N122" s="43">
        <f>'PCB Data'!K67</f>
        <v>0</v>
      </c>
      <c r="O122" s="1341">
        <f t="shared" si="110"/>
        <v>0</v>
      </c>
      <c r="P122" s="116">
        <f t="shared" si="111"/>
        <v>0</v>
      </c>
      <c r="Q122" s="43">
        <f>'PCB Data'!D67</f>
        <v>0</v>
      </c>
      <c r="R122" s="43">
        <f>'PCB Data'!H67</f>
        <v>0</v>
      </c>
      <c r="S122" s="43">
        <f>'PCB Data'!L67</f>
        <v>0</v>
      </c>
      <c r="T122" s="1341">
        <f t="shared" si="112"/>
        <v>0</v>
      </c>
      <c r="U122" s="116">
        <f t="shared" si="113"/>
        <v>0</v>
      </c>
      <c r="V122" s="43">
        <f>'PCB Data'!E67</f>
        <v>0</v>
      </c>
      <c r="W122" s="43">
        <f>'PCB Data'!I67</f>
        <v>0</v>
      </c>
      <c r="X122" s="43">
        <f>'PCB Data'!M67</f>
        <v>0</v>
      </c>
      <c r="Y122" s="1341">
        <f t="shared" si="114"/>
        <v>0</v>
      </c>
      <c r="Z122" s="116">
        <f t="shared" si="115"/>
        <v>0</v>
      </c>
    </row>
    <row r="123" spans="1:26" x14ac:dyDescent="0.25">
      <c r="B123" s="7">
        <f>'PCB Data'!Q68*('PCB Data'!N68/100)</f>
        <v>0</v>
      </c>
      <c r="C123" s="7">
        <f>'PCB Data'!R68*('PCB Data'!O68/100)</f>
        <v>0</v>
      </c>
      <c r="D123" s="7">
        <f>'PCB Data'!S68*('PCB Data'!P68/100)</f>
        <v>0</v>
      </c>
      <c r="E123" s="116">
        <f t="shared" si="106"/>
        <v>0</v>
      </c>
      <c r="F123" s="116">
        <f t="shared" si="107"/>
        <v>0</v>
      </c>
      <c r="G123" s="67">
        <f>'PCB Data'!B68</f>
        <v>0</v>
      </c>
      <c r="H123" s="43">
        <f>'PCB Data'!F68</f>
        <v>0</v>
      </c>
      <c r="I123" s="43">
        <f>'PCB Data'!J68</f>
        <v>0</v>
      </c>
      <c r="J123" s="116">
        <f t="shared" si="108"/>
        <v>0</v>
      </c>
      <c r="K123" s="116">
        <f t="shared" si="109"/>
        <v>0</v>
      </c>
      <c r="L123" s="43">
        <f>'PCB Data'!C68</f>
        <v>0</v>
      </c>
      <c r="M123" s="43">
        <f>'PCB Data'!G68</f>
        <v>0</v>
      </c>
      <c r="N123" s="43">
        <f>'PCB Data'!K68</f>
        <v>0</v>
      </c>
      <c r="O123" s="1341">
        <f t="shared" si="110"/>
        <v>0</v>
      </c>
      <c r="P123" s="116">
        <f t="shared" si="111"/>
        <v>0</v>
      </c>
      <c r="Q123" s="43">
        <f>'PCB Data'!D68</f>
        <v>0</v>
      </c>
      <c r="R123" s="43">
        <f>'PCB Data'!H68</f>
        <v>0</v>
      </c>
      <c r="S123" s="43">
        <f>'PCB Data'!L68</f>
        <v>0</v>
      </c>
      <c r="T123" s="1341">
        <f t="shared" si="112"/>
        <v>0</v>
      </c>
      <c r="U123" s="116">
        <f t="shared" si="113"/>
        <v>0</v>
      </c>
      <c r="V123" s="43">
        <f>'PCB Data'!E68</f>
        <v>0</v>
      </c>
      <c r="W123" s="43">
        <f>'PCB Data'!I68</f>
        <v>0</v>
      </c>
      <c r="X123" s="43">
        <f>'PCB Data'!M68</f>
        <v>0</v>
      </c>
      <c r="Y123" s="1341">
        <f t="shared" si="114"/>
        <v>0</v>
      </c>
      <c r="Z123" s="116">
        <f t="shared" si="115"/>
        <v>0</v>
      </c>
    </row>
    <row r="124" spans="1:26" x14ac:dyDescent="0.25">
      <c r="B124" s="7">
        <f>'PCB Data'!Q69*('PCB Data'!N69/100)</f>
        <v>0</v>
      </c>
      <c r="C124" s="7">
        <f>'PCB Data'!R69*('PCB Data'!O69/100)</f>
        <v>0</v>
      </c>
      <c r="D124" s="7">
        <f>'PCB Data'!S69*('PCB Data'!P69/100)</f>
        <v>0</v>
      </c>
      <c r="E124" s="116">
        <f t="shared" si="106"/>
        <v>0</v>
      </c>
      <c r="F124" s="116">
        <f t="shared" si="107"/>
        <v>0</v>
      </c>
      <c r="G124" s="67">
        <f>'PCB Data'!B69</f>
        <v>0</v>
      </c>
      <c r="H124" s="43">
        <f>'PCB Data'!F69</f>
        <v>0</v>
      </c>
      <c r="I124" s="43">
        <f>'PCB Data'!J69</f>
        <v>0</v>
      </c>
      <c r="J124" s="116">
        <f t="shared" si="108"/>
        <v>0</v>
      </c>
      <c r="K124" s="116">
        <f t="shared" si="109"/>
        <v>0</v>
      </c>
      <c r="L124" s="43">
        <f>'PCB Data'!C69</f>
        <v>0</v>
      </c>
      <c r="M124" s="43">
        <f>'PCB Data'!G69</f>
        <v>0</v>
      </c>
      <c r="N124" s="43">
        <f>'PCB Data'!K69</f>
        <v>0</v>
      </c>
      <c r="O124" s="1341">
        <f t="shared" si="110"/>
        <v>0</v>
      </c>
      <c r="P124" s="116">
        <f t="shared" si="111"/>
        <v>0</v>
      </c>
      <c r="Q124" s="43">
        <f>'PCB Data'!D69</f>
        <v>0</v>
      </c>
      <c r="R124" s="43">
        <f>'PCB Data'!H69</f>
        <v>0</v>
      </c>
      <c r="S124" s="43">
        <f>'PCB Data'!L69</f>
        <v>0</v>
      </c>
      <c r="T124" s="1341">
        <f t="shared" si="112"/>
        <v>0</v>
      </c>
      <c r="U124" s="116">
        <f t="shared" si="113"/>
        <v>0</v>
      </c>
      <c r="V124" s="43">
        <f>'PCB Data'!E69</f>
        <v>0</v>
      </c>
      <c r="W124" s="43">
        <f>'PCB Data'!I69</f>
        <v>0</v>
      </c>
      <c r="X124" s="43">
        <f>'PCB Data'!M69</f>
        <v>0</v>
      </c>
      <c r="Y124" s="1341">
        <f t="shared" si="114"/>
        <v>0</v>
      </c>
      <c r="Z124" s="116">
        <f t="shared" si="115"/>
        <v>0</v>
      </c>
    </row>
    <row r="125" spans="1:26" hidden="1" outlineLevel="1" x14ac:dyDescent="0.25">
      <c r="B125" s="7">
        <f>'PCB Data'!Q70*('PCB Data'!N70/100)</f>
        <v>0</v>
      </c>
      <c r="C125" s="7">
        <f>'PCB Data'!R70*('PCB Data'!O70/100)</f>
        <v>0</v>
      </c>
      <c r="D125" s="7">
        <f>'PCB Data'!S70*('PCB Data'!P70/100)</f>
        <v>0</v>
      </c>
      <c r="E125" s="116" t="e">
        <f t="shared" si="106"/>
        <v>#DIV/0!</v>
      </c>
      <c r="F125" s="116">
        <f t="shared" si="107"/>
        <v>0</v>
      </c>
      <c r="G125" s="67">
        <f>'PCB Data'!B70</f>
        <v>0</v>
      </c>
      <c r="H125" s="43">
        <f>'PCB Data'!F70</f>
        <v>0</v>
      </c>
      <c r="I125" s="43">
        <f>'PCB Data'!J70</f>
        <v>0</v>
      </c>
      <c r="J125" s="116" t="e">
        <f t="shared" si="108"/>
        <v>#DIV/0!</v>
      </c>
      <c r="K125" s="116">
        <f t="shared" si="109"/>
        <v>0</v>
      </c>
      <c r="L125" s="43">
        <f>'PCB Data'!C70</f>
        <v>0</v>
      </c>
      <c r="M125" s="43">
        <f>'PCB Data'!G70</f>
        <v>0</v>
      </c>
      <c r="N125" s="43">
        <f>'PCB Data'!K70</f>
        <v>0</v>
      </c>
      <c r="O125" s="1341" t="e">
        <f t="shared" si="110"/>
        <v>#DIV/0!</v>
      </c>
      <c r="P125" s="116">
        <f t="shared" si="111"/>
        <v>0</v>
      </c>
      <c r="Q125" s="43">
        <f>'PCB Data'!D70</f>
        <v>0</v>
      </c>
      <c r="R125" s="43">
        <f>'PCB Data'!H70</f>
        <v>0</v>
      </c>
      <c r="S125" s="43">
        <f>'PCB Data'!L70</f>
        <v>0</v>
      </c>
      <c r="T125" s="1341" t="e">
        <f t="shared" si="112"/>
        <v>#DIV/0!</v>
      </c>
      <c r="U125" s="116">
        <f t="shared" si="113"/>
        <v>0</v>
      </c>
      <c r="V125" s="43">
        <f>'PCB Data'!E70</f>
        <v>0</v>
      </c>
      <c r="W125" s="43">
        <f>'PCB Data'!I70</f>
        <v>0</v>
      </c>
      <c r="X125" s="43">
        <f>'PCB Data'!M70</f>
        <v>0</v>
      </c>
      <c r="Y125" s="1341" t="e">
        <f t="shared" si="114"/>
        <v>#DIV/0!</v>
      </c>
      <c r="Z125" s="116">
        <f t="shared" si="115"/>
        <v>0</v>
      </c>
    </row>
    <row r="126" spans="1:26" hidden="1" outlineLevel="1" x14ac:dyDescent="0.25">
      <c r="B126" s="7">
        <f>'PCB Data'!Q71*('PCB Data'!N71/100)</f>
        <v>0</v>
      </c>
      <c r="C126" s="7">
        <f>'PCB Data'!R71*('PCB Data'!O71/100)</f>
        <v>0</v>
      </c>
      <c r="D126" s="7">
        <f>'PCB Data'!S71*('PCB Data'!P71/100)</f>
        <v>0</v>
      </c>
      <c r="E126" s="116" t="e">
        <f t="shared" si="106"/>
        <v>#DIV/0!</v>
      </c>
      <c r="F126" s="116">
        <f t="shared" si="107"/>
        <v>0</v>
      </c>
      <c r="G126" s="67">
        <f>'PCB Data'!B71</f>
        <v>0</v>
      </c>
      <c r="H126" s="43">
        <f>'PCB Data'!F71</f>
        <v>0</v>
      </c>
      <c r="I126" s="43">
        <f>'PCB Data'!J71</f>
        <v>0</v>
      </c>
      <c r="J126" s="116" t="e">
        <f t="shared" si="108"/>
        <v>#DIV/0!</v>
      </c>
      <c r="K126" s="116">
        <f t="shared" si="109"/>
        <v>0</v>
      </c>
      <c r="L126" s="43">
        <f>'PCB Data'!C71</f>
        <v>0</v>
      </c>
      <c r="M126" s="43">
        <f>'PCB Data'!G71</f>
        <v>0</v>
      </c>
      <c r="N126" s="43">
        <f>'PCB Data'!K71</f>
        <v>0</v>
      </c>
      <c r="O126" s="1341" t="e">
        <f t="shared" si="110"/>
        <v>#DIV/0!</v>
      </c>
      <c r="P126" s="116">
        <f t="shared" si="111"/>
        <v>0</v>
      </c>
      <c r="Q126" s="43">
        <f>'PCB Data'!D71</f>
        <v>0</v>
      </c>
      <c r="R126" s="43">
        <f>'PCB Data'!H71</f>
        <v>0</v>
      </c>
      <c r="S126" s="43">
        <f>'PCB Data'!L71</f>
        <v>0</v>
      </c>
      <c r="T126" s="1341" t="e">
        <f t="shared" si="112"/>
        <v>#DIV/0!</v>
      </c>
      <c r="U126" s="116">
        <f t="shared" si="113"/>
        <v>0</v>
      </c>
      <c r="V126" s="43">
        <f>'PCB Data'!E71</f>
        <v>0</v>
      </c>
      <c r="W126" s="43">
        <f>'PCB Data'!I71</f>
        <v>0</v>
      </c>
      <c r="X126" s="43">
        <f>'PCB Data'!M71</f>
        <v>0</v>
      </c>
      <c r="Y126" s="1341" t="e">
        <f t="shared" si="114"/>
        <v>#DIV/0!</v>
      </c>
      <c r="Z126" s="116">
        <f t="shared" si="115"/>
        <v>0</v>
      </c>
    </row>
    <row r="127" spans="1:26" hidden="1" outlineLevel="1" x14ac:dyDescent="0.25">
      <c r="B127" s="7">
        <f>'PCB Data'!Q72*('PCB Data'!N72/100)</f>
        <v>0</v>
      </c>
      <c r="C127" s="7">
        <f>'PCB Data'!R72*('PCB Data'!O72/100)</f>
        <v>0</v>
      </c>
      <c r="D127" s="7">
        <f>'PCB Data'!S72*('PCB Data'!P72/100)</f>
        <v>0</v>
      </c>
      <c r="E127" s="116" t="e">
        <f t="shared" si="106"/>
        <v>#DIV/0!</v>
      </c>
      <c r="F127" s="116">
        <f t="shared" si="107"/>
        <v>0</v>
      </c>
      <c r="G127" s="67">
        <f>'PCB Data'!B72</f>
        <v>0</v>
      </c>
      <c r="H127" s="43">
        <f>'PCB Data'!F72</f>
        <v>0</v>
      </c>
      <c r="I127" s="43">
        <f>'PCB Data'!J72</f>
        <v>0</v>
      </c>
      <c r="J127" s="116" t="e">
        <f t="shared" si="108"/>
        <v>#DIV/0!</v>
      </c>
      <c r="K127" s="116">
        <f t="shared" si="109"/>
        <v>0</v>
      </c>
      <c r="L127" s="43">
        <f>'PCB Data'!C72</f>
        <v>0</v>
      </c>
      <c r="M127" s="43">
        <f>'PCB Data'!G72</f>
        <v>0</v>
      </c>
      <c r="N127" s="43">
        <f>'PCB Data'!K72</f>
        <v>0</v>
      </c>
      <c r="O127" s="1341" t="e">
        <f t="shared" si="110"/>
        <v>#DIV/0!</v>
      </c>
      <c r="P127" s="116">
        <f t="shared" si="111"/>
        <v>0</v>
      </c>
      <c r="Q127" s="43">
        <f>'PCB Data'!D72</f>
        <v>0</v>
      </c>
      <c r="R127" s="43">
        <f>'PCB Data'!H72</f>
        <v>0</v>
      </c>
      <c r="S127" s="43">
        <f>'PCB Data'!L72</f>
        <v>0</v>
      </c>
      <c r="T127" s="1341" t="e">
        <f t="shared" si="112"/>
        <v>#DIV/0!</v>
      </c>
      <c r="U127" s="116">
        <f t="shared" si="113"/>
        <v>0</v>
      </c>
      <c r="V127" s="43">
        <f>'PCB Data'!E72</f>
        <v>0</v>
      </c>
      <c r="W127" s="43">
        <f>'PCB Data'!I72</f>
        <v>0</v>
      </c>
      <c r="X127" s="43">
        <f>'PCB Data'!M72</f>
        <v>0</v>
      </c>
      <c r="Y127" s="1341" t="e">
        <f t="shared" si="114"/>
        <v>#DIV/0!</v>
      </c>
      <c r="Z127" s="116">
        <f t="shared" si="115"/>
        <v>0</v>
      </c>
    </row>
    <row r="128" spans="1:26" hidden="1" outlineLevel="1" x14ac:dyDescent="0.25">
      <c r="B128" s="7">
        <f>'PCB Data'!Q73*('PCB Data'!N73/100)</f>
        <v>0</v>
      </c>
      <c r="C128" s="7">
        <f>'PCB Data'!R73*('PCB Data'!O73/100)</f>
        <v>0</v>
      </c>
      <c r="D128" s="7">
        <f>'PCB Data'!S73*('PCB Data'!P73/100)</f>
        <v>0</v>
      </c>
      <c r="E128" s="116" t="e">
        <f t="shared" si="106"/>
        <v>#DIV/0!</v>
      </c>
      <c r="F128" s="116" t="e">
        <f t="shared" si="107"/>
        <v>#DIV/0!</v>
      </c>
      <c r="G128" s="67">
        <f>'PCB Data'!B73</f>
        <v>0</v>
      </c>
      <c r="H128" s="43">
        <f>'PCB Data'!F73</f>
        <v>0</v>
      </c>
      <c r="I128" s="43">
        <f>'PCB Data'!J73</f>
        <v>0</v>
      </c>
      <c r="J128" s="116" t="e">
        <f t="shared" si="108"/>
        <v>#DIV/0!</v>
      </c>
      <c r="K128" s="116" t="e">
        <f t="shared" si="109"/>
        <v>#DIV/0!</v>
      </c>
      <c r="L128" s="43">
        <f>'PCB Data'!C73</f>
        <v>0</v>
      </c>
      <c r="M128" s="43">
        <f>'PCB Data'!G73</f>
        <v>0</v>
      </c>
      <c r="N128" s="43">
        <f>'PCB Data'!K73</f>
        <v>0</v>
      </c>
      <c r="O128" s="1341" t="e">
        <f t="shared" si="110"/>
        <v>#DIV/0!</v>
      </c>
      <c r="P128" s="116" t="e">
        <f t="shared" si="111"/>
        <v>#DIV/0!</v>
      </c>
      <c r="Q128" s="43">
        <f>'PCB Data'!D73</f>
        <v>0</v>
      </c>
      <c r="R128" s="43">
        <f>'PCB Data'!H73</f>
        <v>0</v>
      </c>
      <c r="S128" s="43">
        <f>'PCB Data'!L73</f>
        <v>0</v>
      </c>
      <c r="T128" s="1341" t="e">
        <f t="shared" si="112"/>
        <v>#DIV/0!</v>
      </c>
      <c r="U128" s="116" t="e">
        <f t="shared" si="113"/>
        <v>#DIV/0!</v>
      </c>
      <c r="V128" s="43">
        <f>'PCB Data'!E73</f>
        <v>0</v>
      </c>
      <c r="W128" s="43">
        <f>'PCB Data'!I73</f>
        <v>0</v>
      </c>
      <c r="X128" s="43">
        <f>'PCB Data'!M73</f>
        <v>0</v>
      </c>
      <c r="Y128" s="1341" t="e">
        <f t="shared" si="114"/>
        <v>#DIV/0!</v>
      </c>
      <c r="Z128" s="116" t="e">
        <f t="shared" si="115"/>
        <v>#DIV/0!</v>
      </c>
    </row>
    <row r="129" spans="2:26" hidden="1" outlineLevel="1" x14ac:dyDescent="0.25">
      <c r="B129" s="7">
        <f>'PCB Data'!Q74*('PCB Data'!N74/100)</f>
        <v>0</v>
      </c>
      <c r="C129" s="7">
        <f>'PCB Data'!R74*('PCB Data'!O74/100)</f>
        <v>0</v>
      </c>
      <c r="D129" s="7">
        <f>'PCB Data'!S74*('PCB Data'!P74/100)</f>
        <v>0</v>
      </c>
      <c r="E129" s="116" t="e">
        <f t="shared" si="106"/>
        <v>#DIV/0!</v>
      </c>
      <c r="F129" s="116" t="e">
        <f t="shared" si="107"/>
        <v>#DIV/0!</v>
      </c>
      <c r="G129" s="67">
        <f>'PCB Data'!B74</f>
        <v>0</v>
      </c>
      <c r="H129" s="43">
        <f>'PCB Data'!F74</f>
        <v>0</v>
      </c>
      <c r="I129" s="43">
        <f>'PCB Data'!J74</f>
        <v>0</v>
      </c>
      <c r="J129" s="116" t="e">
        <f t="shared" si="108"/>
        <v>#DIV/0!</v>
      </c>
      <c r="K129" s="116" t="e">
        <f t="shared" si="109"/>
        <v>#DIV/0!</v>
      </c>
      <c r="L129" s="43">
        <f>'PCB Data'!C74</f>
        <v>0</v>
      </c>
      <c r="M129" s="43">
        <f>'PCB Data'!G74</f>
        <v>0</v>
      </c>
      <c r="N129" s="43">
        <f>'PCB Data'!K74</f>
        <v>0</v>
      </c>
      <c r="O129" s="1341" t="e">
        <f t="shared" si="110"/>
        <v>#DIV/0!</v>
      </c>
      <c r="P129" s="116" t="e">
        <f t="shared" si="111"/>
        <v>#DIV/0!</v>
      </c>
      <c r="Q129" s="43">
        <f>'PCB Data'!D74</f>
        <v>0</v>
      </c>
      <c r="R129" s="43">
        <f>'PCB Data'!H74</f>
        <v>0</v>
      </c>
      <c r="S129" s="43">
        <f>'PCB Data'!L74</f>
        <v>0</v>
      </c>
      <c r="T129" s="1341" t="e">
        <f t="shared" si="112"/>
        <v>#DIV/0!</v>
      </c>
      <c r="U129" s="116" t="e">
        <f t="shared" si="113"/>
        <v>#DIV/0!</v>
      </c>
      <c r="V129" s="43">
        <f>'PCB Data'!E74</f>
        <v>0</v>
      </c>
      <c r="W129" s="43">
        <f>'PCB Data'!I74</f>
        <v>0</v>
      </c>
      <c r="X129" s="43">
        <f>'PCB Data'!M74</f>
        <v>0</v>
      </c>
      <c r="Y129" s="1341" t="e">
        <f t="shared" si="114"/>
        <v>#DIV/0!</v>
      </c>
      <c r="Z129" s="116" t="e">
        <f t="shared" si="115"/>
        <v>#DIV/0!</v>
      </c>
    </row>
    <row r="130" spans="2:26" hidden="1" outlineLevel="1" x14ac:dyDescent="0.25">
      <c r="B130" s="7">
        <f>'PCB Data'!Q75*('PCB Data'!N75/100)</f>
        <v>0</v>
      </c>
      <c r="C130" s="7">
        <f>'PCB Data'!R75*('PCB Data'!O75/100)</f>
        <v>0</v>
      </c>
      <c r="D130" s="7">
        <f>'PCB Data'!S75*('PCB Data'!P75/100)</f>
        <v>0</v>
      </c>
      <c r="E130" s="116" t="e">
        <f t="shared" si="106"/>
        <v>#DIV/0!</v>
      </c>
      <c r="F130" s="116" t="e">
        <f t="shared" si="107"/>
        <v>#DIV/0!</v>
      </c>
      <c r="G130" s="67">
        <f>'PCB Data'!B75</f>
        <v>0</v>
      </c>
      <c r="H130" s="43">
        <f>'PCB Data'!F75</f>
        <v>0</v>
      </c>
      <c r="I130" s="43">
        <f>'PCB Data'!J75</f>
        <v>0</v>
      </c>
      <c r="J130" s="116" t="e">
        <f t="shared" si="108"/>
        <v>#DIV/0!</v>
      </c>
      <c r="K130" s="116" t="e">
        <f t="shared" si="109"/>
        <v>#DIV/0!</v>
      </c>
      <c r="L130" s="43">
        <f>'PCB Data'!C75</f>
        <v>0</v>
      </c>
      <c r="M130" s="43">
        <f>'PCB Data'!G75</f>
        <v>0</v>
      </c>
      <c r="N130" s="43">
        <f>'PCB Data'!K75</f>
        <v>0</v>
      </c>
      <c r="O130" s="1341" t="e">
        <f t="shared" si="110"/>
        <v>#DIV/0!</v>
      </c>
      <c r="P130" s="116" t="e">
        <f t="shared" si="111"/>
        <v>#DIV/0!</v>
      </c>
      <c r="Q130" s="43">
        <f>'PCB Data'!D75</f>
        <v>0</v>
      </c>
      <c r="R130" s="43">
        <f>'PCB Data'!H75</f>
        <v>0</v>
      </c>
      <c r="S130" s="43">
        <f>'PCB Data'!L75</f>
        <v>0</v>
      </c>
      <c r="T130" s="1341" t="e">
        <f t="shared" si="112"/>
        <v>#DIV/0!</v>
      </c>
      <c r="U130" s="116" t="e">
        <f t="shared" si="113"/>
        <v>#DIV/0!</v>
      </c>
      <c r="V130" s="43">
        <f>'PCB Data'!E75</f>
        <v>0</v>
      </c>
      <c r="W130" s="43">
        <f>'PCB Data'!I75</f>
        <v>0</v>
      </c>
      <c r="X130" s="43">
        <f>'PCB Data'!M75</f>
        <v>0</v>
      </c>
      <c r="Y130" s="1341" t="e">
        <f t="shared" si="114"/>
        <v>#DIV/0!</v>
      </c>
      <c r="Z130" s="116" t="e">
        <f t="shared" si="115"/>
        <v>#DIV/0!</v>
      </c>
    </row>
    <row r="131" spans="2:26" hidden="1" outlineLevel="1" x14ac:dyDescent="0.25">
      <c r="B131" s="7">
        <f>'PCB Data'!Q76*('PCB Data'!N76/100)</f>
        <v>0</v>
      </c>
      <c r="C131" s="7">
        <f>'PCB Data'!R76*('PCB Data'!O76/100)</f>
        <v>0</v>
      </c>
      <c r="D131" s="7">
        <f>'PCB Data'!S76*('PCB Data'!P76/100)</f>
        <v>0</v>
      </c>
      <c r="E131" s="116" t="e">
        <f t="shared" si="106"/>
        <v>#DIV/0!</v>
      </c>
      <c r="F131" s="116" t="e">
        <f t="shared" si="107"/>
        <v>#DIV/0!</v>
      </c>
      <c r="G131" s="67">
        <f>'PCB Data'!B76</f>
        <v>0</v>
      </c>
      <c r="H131" s="43">
        <f>'PCB Data'!F76</f>
        <v>0</v>
      </c>
      <c r="I131" s="43">
        <f>'PCB Data'!J76</f>
        <v>0</v>
      </c>
      <c r="J131" s="116" t="e">
        <f t="shared" si="108"/>
        <v>#DIV/0!</v>
      </c>
      <c r="K131" s="116" t="e">
        <f t="shared" si="109"/>
        <v>#DIV/0!</v>
      </c>
      <c r="L131" s="43">
        <f>'PCB Data'!C76</f>
        <v>0</v>
      </c>
      <c r="M131" s="43">
        <f>'PCB Data'!G76</f>
        <v>0</v>
      </c>
      <c r="N131" s="43">
        <f>'PCB Data'!K76</f>
        <v>0</v>
      </c>
      <c r="O131" s="1341" t="e">
        <f t="shared" si="110"/>
        <v>#DIV/0!</v>
      </c>
      <c r="P131" s="116" t="e">
        <f t="shared" si="111"/>
        <v>#DIV/0!</v>
      </c>
      <c r="Q131" s="43">
        <f>'PCB Data'!D76</f>
        <v>0</v>
      </c>
      <c r="R131" s="43">
        <f>'PCB Data'!H76</f>
        <v>0</v>
      </c>
      <c r="S131" s="43">
        <f>'PCB Data'!L76</f>
        <v>0</v>
      </c>
      <c r="T131" s="1341" t="e">
        <f t="shared" si="112"/>
        <v>#DIV/0!</v>
      </c>
      <c r="U131" s="116" t="e">
        <f t="shared" si="113"/>
        <v>#DIV/0!</v>
      </c>
      <c r="V131" s="43">
        <f>'PCB Data'!E76</f>
        <v>0</v>
      </c>
      <c r="W131" s="43">
        <f>'PCB Data'!I76</f>
        <v>0</v>
      </c>
      <c r="X131" s="43">
        <f>'PCB Data'!M76</f>
        <v>0</v>
      </c>
      <c r="Y131" s="1341" t="e">
        <f t="shared" si="114"/>
        <v>#DIV/0!</v>
      </c>
      <c r="Z131" s="116" t="e">
        <f t="shared" si="115"/>
        <v>#DIV/0!</v>
      </c>
    </row>
    <row r="132" spans="2:26" hidden="1" outlineLevel="1" x14ac:dyDescent="0.25">
      <c r="B132" s="7">
        <f>'PCB Data'!Q77*('PCB Data'!N77/100)</f>
        <v>0</v>
      </c>
      <c r="C132" s="7">
        <f>'PCB Data'!R77*('PCB Data'!O77/100)</f>
        <v>0</v>
      </c>
      <c r="D132" s="7">
        <f>'PCB Data'!S77*('PCB Data'!P77/100)</f>
        <v>0</v>
      </c>
      <c r="E132" s="116" t="e">
        <f t="shared" si="106"/>
        <v>#DIV/0!</v>
      </c>
      <c r="F132" s="116" t="e">
        <f t="shared" si="107"/>
        <v>#DIV/0!</v>
      </c>
      <c r="G132" s="67">
        <f>'PCB Data'!B77</f>
        <v>0</v>
      </c>
      <c r="H132" s="43">
        <f>'PCB Data'!F77</f>
        <v>0</v>
      </c>
      <c r="I132" s="43">
        <f>'PCB Data'!J77</f>
        <v>0</v>
      </c>
      <c r="J132" s="116" t="e">
        <f t="shared" si="108"/>
        <v>#DIV/0!</v>
      </c>
      <c r="K132" s="116" t="e">
        <f t="shared" si="109"/>
        <v>#DIV/0!</v>
      </c>
      <c r="L132" s="43">
        <f>'PCB Data'!C77</f>
        <v>0</v>
      </c>
      <c r="M132" s="43">
        <f>'PCB Data'!G77</f>
        <v>0</v>
      </c>
      <c r="N132" s="43">
        <f>'PCB Data'!K77</f>
        <v>0</v>
      </c>
      <c r="O132" s="1341" t="e">
        <f t="shared" si="110"/>
        <v>#DIV/0!</v>
      </c>
      <c r="P132" s="116" t="e">
        <f t="shared" si="111"/>
        <v>#DIV/0!</v>
      </c>
      <c r="Q132" s="43">
        <f>'PCB Data'!D77</f>
        <v>0</v>
      </c>
      <c r="R132" s="43">
        <f>'PCB Data'!H77</f>
        <v>0</v>
      </c>
      <c r="S132" s="43">
        <f>'PCB Data'!L77</f>
        <v>0</v>
      </c>
      <c r="T132" s="1341" t="e">
        <f t="shared" si="112"/>
        <v>#DIV/0!</v>
      </c>
      <c r="U132" s="116" t="e">
        <f t="shared" si="113"/>
        <v>#DIV/0!</v>
      </c>
      <c r="V132" s="43">
        <f>'PCB Data'!E77</f>
        <v>0</v>
      </c>
      <c r="W132" s="43">
        <f>'PCB Data'!I77</f>
        <v>0</v>
      </c>
      <c r="X132" s="43">
        <f>'PCB Data'!M77</f>
        <v>0</v>
      </c>
      <c r="Y132" s="1341" t="e">
        <f t="shared" si="114"/>
        <v>#DIV/0!</v>
      </c>
      <c r="Z132" s="116" t="e">
        <f t="shared" si="115"/>
        <v>#DIV/0!</v>
      </c>
    </row>
    <row r="133" spans="2:26" hidden="1" outlineLevel="1" x14ac:dyDescent="0.25">
      <c r="B133" s="7">
        <f>'PCB Data'!Q78*('PCB Data'!N78/100)</f>
        <v>0</v>
      </c>
      <c r="C133" s="7">
        <f>'PCB Data'!R78*('PCB Data'!O78/100)</f>
        <v>0</v>
      </c>
      <c r="D133" s="7">
        <f>'PCB Data'!S78*('PCB Data'!P78/100)</f>
        <v>0</v>
      </c>
      <c r="E133" s="116" t="e">
        <f t="shared" si="106"/>
        <v>#DIV/0!</v>
      </c>
      <c r="F133" s="116" t="e">
        <f t="shared" si="107"/>
        <v>#DIV/0!</v>
      </c>
      <c r="G133" s="67">
        <f>'PCB Data'!B78</f>
        <v>0</v>
      </c>
      <c r="H133" s="43">
        <f>'PCB Data'!F78</f>
        <v>0</v>
      </c>
      <c r="I133" s="43">
        <f>'PCB Data'!J78</f>
        <v>0</v>
      </c>
      <c r="J133" s="116" t="e">
        <f t="shared" si="108"/>
        <v>#DIV/0!</v>
      </c>
      <c r="K133" s="116" t="e">
        <f t="shared" si="109"/>
        <v>#DIV/0!</v>
      </c>
      <c r="L133" s="43">
        <f>'PCB Data'!C78</f>
        <v>0</v>
      </c>
      <c r="M133" s="43">
        <f>'PCB Data'!G78</f>
        <v>0</v>
      </c>
      <c r="N133" s="43">
        <f>'PCB Data'!K78</f>
        <v>0</v>
      </c>
      <c r="O133" s="1341" t="e">
        <f t="shared" si="110"/>
        <v>#DIV/0!</v>
      </c>
      <c r="P133" s="116" t="e">
        <f t="shared" si="111"/>
        <v>#DIV/0!</v>
      </c>
      <c r="Q133" s="43">
        <f>'PCB Data'!D78</f>
        <v>0</v>
      </c>
      <c r="R133" s="43">
        <f>'PCB Data'!H78</f>
        <v>0</v>
      </c>
      <c r="S133" s="43">
        <f>'PCB Data'!L78</f>
        <v>0</v>
      </c>
      <c r="T133" s="1341" t="e">
        <f t="shared" si="112"/>
        <v>#DIV/0!</v>
      </c>
      <c r="U133" s="116" t="e">
        <f t="shared" si="113"/>
        <v>#DIV/0!</v>
      </c>
      <c r="V133" s="43">
        <f>'PCB Data'!E78</f>
        <v>0</v>
      </c>
      <c r="W133" s="43">
        <f>'PCB Data'!I78</f>
        <v>0</v>
      </c>
      <c r="X133" s="43">
        <f>'PCB Data'!M78</f>
        <v>0</v>
      </c>
      <c r="Y133" s="1341" t="e">
        <f t="shared" si="114"/>
        <v>#DIV/0!</v>
      </c>
      <c r="Z133" s="116" t="e">
        <f t="shared" si="115"/>
        <v>#DIV/0!</v>
      </c>
    </row>
    <row r="134" spans="2:26" hidden="1" outlineLevel="1" x14ac:dyDescent="0.25">
      <c r="B134" s="7">
        <f>'PCB Data'!Q79*('PCB Data'!N79/100)</f>
        <v>0</v>
      </c>
      <c r="C134" s="7">
        <f>'PCB Data'!R79*('PCB Data'!O79/100)</f>
        <v>0</v>
      </c>
      <c r="D134" s="7">
        <f>'PCB Data'!S79*('PCB Data'!P79/100)</f>
        <v>0</v>
      </c>
      <c r="E134" s="116" t="e">
        <f t="shared" si="106"/>
        <v>#DIV/0!</v>
      </c>
      <c r="F134" s="116" t="e">
        <f t="shared" si="107"/>
        <v>#DIV/0!</v>
      </c>
      <c r="G134" s="67">
        <f>'PCB Data'!B79</f>
        <v>0</v>
      </c>
      <c r="H134" s="43">
        <f>'PCB Data'!F79</f>
        <v>0</v>
      </c>
      <c r="I134" s="43">
        <f>'PCB Data'!J79</f>
        <v>0</v>
      </c>
      <c r="J134" s="116" t="e">
        <f t="shared" si="108"/>
        <v>#DIV/0!</v>
      </c>
      <c r="K134" s="116" t="e">
        <f t="shared" si="109"/>
        <v>#DIV/0!</v>
      </c>
      <c r="L134" s="43">
        <f>'PCB Data'!C79</f>
        <v>0</v>
      </c>
      <c r="M134" s="43">
        <f>'PCB Data'!G79</f>
        <v>0</v>
      </c>
      <c r="N134" s="43">
        <f>'PCB Data'!K79</f>
        <v>0</v>
      </c>
      <c r="O134" s="1341" t="e">
        <f t="shared" si="110"/>
        <v>#DIV/0!</v>
      </c>
      <c r="P134" s="116" t="e">
        <f t="shared" si="111"/>
        <v>#DIV/0!</v>
      </c>
      <c r="Q134" s="43">
        <f>'PCB Data'!D79</f>
        <v>0</v>
      </c>
      <c r="R134" s="43">
        <f>'PCB Data'!H79</f>
        <v>0</v>
      </c>
      <c r="S134" s="43">
        <f>'PCB Data'!L79</f>
        <v>0</v>
      </c>
      <c r="T134" s="1341" t="e">
        <f t="shared" si="112"/>
        <v>#DIV/0!</v>
      </c>
      <c r="U134" s="116" t="e">
        <f t="shared" si="113"/>
        <v>#DIV/0!</v>
      </c>
      <c r="V134" s="43">
        <f>'PCB Data'!E79</f>
        <v>0</v>
      </c>
      <c r="W134" s="43">
        <f>'PCB Data'!I79</f>
        <v>0</v>
      </c>
      <c r="X134" s="43">
        <f>'PCB Data'!M79</f>
        <v>0</v>
      </c>
      <c r="Y134" s="1341" t="e">
        <f t="shared" si="114"/>
        <v>#DIV/0!</v>
      </c>
      <c r="Z134" s="116" t="e">
        <f t="shared" si="115"/>
        <v>#DIV/0!</v>
      </c>
    </row>
    <row r="135" spans="2:26" hidden="1" outlineLevel="1" x14ac:dyDescent="0.25">
      <c r="B135" s="7">
        <f>'PCB Data'!Q80*('PCB Data'!N80/100)</f>
        <v>0</v>
      </c>
      <c r="C135" s="7">
        <f>'PCB Data'!R80*('PCB Data'!O80/100)</f>
        <v>0</v>
      </c>
      <c r="D135" s="7">
        <f>'PCB Data'!S80*('PCB Data'!P80/100)</f>
        <v>0</v>
      </c>
      <c r="E135" s="116" t="e">
        <f t="shared" si="106"/>
        <v>#DIV/0!</v>
      </c>
      <c r="F135" s="116" t="e">
        <f t="shared" si="107"/>
        <v>#DIV/0!</v>
      </c>
      <c r="G135" s="67">
        <f>'PCB Data'!B80</f>
        <v>0</v>
      </c>
      <c r="H135" s="43">
        <f>'PCB Data'!F80</f>
        <v>0</v>
      </c>
      <c r="I135" s="43">
        <f>'PCB Data'!J80</f>
        <v>0</v>
      </c>
      <c r="J135" s="116" t="e">
        <f t="shared" si="108"/>
        <v>#DIV/0!</v>
      </c>
      <c r="K135" s="116" t="e">
        <f t="shared" si="109"/>
        <v>#DIV/0!</v>
      </c>
      <c r="L135" s="43">
        <f>'PCB Data'!C80</f>
        <v>0</v>
      </c>
      <c r="M135" s="43">
        <f>'PCB Data'!G80</f>
        <v>0</v>
      </c>
      <c r="N135" s="43">
        <f>'PCB Data'!K80</f>
        <v>0</v>
      </c>
      <c r="O135" s="1341" t="e">
        <f t="shared" si="110"/>
        <v>#DIV/0!</v>
      </c>
      <c r="P135" s="116" t="e">
        <f t="shared" si="111"/>
        <v>#DIV/0!</v>
      </c>
      <c r="Q135" s="43">
        <f>'PCB Data'!D80</f>
        <v>0</v>
      </c>
      <c r="R135" s="43">
        <f>'PCB Data'!H80</f>
        <v>0</v>
      </c>
      <c r="S135" s="43">
        <f>'PCB Data'!L80</f>
        <v>0</v>
      </c>
      <c r="T135" s="1341" t="e">
        <f t="shared" si="112"/>
        <v>#DIV/0!</v>
      </c>
      <c r="U135" s="116" t="e">
        <f t="shared" si="113"/>
        <v>#DIV/0!</v>
      </c>
      <c r="V135" s="43">
        <f>'PCB Data'!E80</f>
        <v>0</v>
      </c>
      <c r="W135" s="43">
        <f>'PCB Data'!I80</f>
        <v>0</v>
      </c>
      <c r="X135" s="43">
        <f>'PCB Data'!M80</f>
        <v>0</v>
      </c>
      <c r="Y135" s="1341" t="e">
        <f t="shared" si="114"/>
        <v>#DIV/0!</v>
      </c>
      <c r="Z135" s="116" t="e">
        <f t="shared" si="115"/>
        <v>#DIV/0!</v>
      </c>
    </row>
    <row r="136" spans="2:26" hidden="1" outlineLevel="1" x14ac:dyDescent="0.25">
      <c r="B136" s="7">
        <f>'PCB Data'!Q81*('PCB Data'!N81/100)</f>
        <v>0</v>
      </c>
      <c r="C136" s="7">
        <f>'PCB Data'!R81*('PCB Data'!O81/100)</f>
        <v>0</v>
      </c>
      <c r="D136" s="7">
        <f>'PCB Data'!S81*('PCB Data'!P81/100)</f>
        <v>0</v>
      </c>
      <c r="E136" s="116" t="e">
        <f t="shared" si="106"/>
        <v>#DIV/0!</v>
      </c>
      <c r="F136" s="116" t="e">
        <f t="shared" si="107"/>
        <v>#DIV/0!</v>
      </c>
      <c r="G136" s="67">
        <f>'PCB Data'!B81</f>
        <v>0</v>
      </c>
      <c r="H136" s="43">
        <f>'PCB Data'!F81</f>
        <v>0</v>
      </c>
      <c r="I136" s="43">
        <f>'PCB Data'!J81</f>
        <v>0</v>
      </c>
      <c r="J136" s="116" t="e">
        <f t="shared" si="108"/>
        <v>#DIV/0!</v>
      </c>
      <c r="K136" s="116" t="e">
        <f t="shared" si="109"/>
        <v>#DIV/0!</v>
      </c>
      <c r="L136" s="43">
        <f>'PCB Data'!C81</f>
        <v>0</v>
      </c>
      <c r="M136" s="43">
        <f>'PCB Data'!G81</f>
        <v>0</v>
      </c>
      <c r="N136" s="43">
        <f>'PCB Data'!K81</f>
        <v>0</v>
      </c>
      <c r="O136" s="1341" t="e">
        <f t="shared" si="110"/>
        <v>#DIV/0!</v>
      </c>
      <c r="P136" s="116" t="e">
        <f t="shared" si="111"/>
        <v>#DIV/0!</v>
      </c>
      <c r="Q136" s="43">
        <f>'PCB Data'!D81</f>
        <v>0</v>
      </c>
      <c r="R136" s="43">
        <f>'PCB Data'!H81</f>
        <v>0</v>
      </c>
      <c r="S136" s="43">
        <f>'PCB Data'!L81</f>
        <v>0</v>
      </c>
      <c r="T136" s="1341" t="e">
        <f t="shared" si="112"/>
        <v>#DIV/0!</v>
      </c>
      <c r="U136" s="116" t="e">
        <f t="shared" si="113"/>
        <v>#DIV/0!</v>
      </c>
      <c r="V136" s="43">
        <f>'PCB Data'!E81</f>
        <v>0</v>
      </c>
      <c r="W136" s="43">
        <f>'PCB Data'!I81</f>
        <v>0</v>
      </c>
      <c r="X136" s="43">
        <f>'PCB Data'!M81</f>
        <v>0</v>
      </c>
      <c r="Y136" s="1341" t="e">
        <f t="shared" si="114"/>
        <v>#DIV/0!</v>
      </c>
      <c r="Z136" s="116" t="e">
        <f t="shared" si="115"/>
        <v>#DIV/0!</v>
      </c>
    </row>
    <row r="137" spans="2:26" hidden="1" outlineLevel="1" x14ac:dyDescent="0.25">
      <c r="B137" s="7">
        <f>'PCB Data'!Q82*('PCB Data'!N82/100)</f>
        <v>0</v>
      </c>
      <c r="C137" s="7">
        <f>'PCB Data'!R82*('PCB Data'!O82/100)</f>
        <v>0</v>
      </c>
      <c r="D137" s="7">
        <f>'PCB Data'!S82*('PCB Data'!P82/100)</f>
        <v>0</v>
      </c>
      <c r="E137" s="116" t="e">
        <f t="shared" si="106"/>
        <v>#DIV/0!</v>
      </c>
      <c r="F137" s="116" t="e">
        <f t="shared" si="107"/>
        <v>#DIV/0!</v>
      </c>
      <c r="G137" s="67">
        <f>'PCB Data'!B82</f>
        <v>0</v>
      </c>
      <c r="H137" s="43">
        <f>'PCB Data'!F82</f>
        <v>0</v>
      </c>
      <c r="I137" s="43">
        <f>'PCB Data'!J82</f>
        <v>0</v>
      </c>
      <c r="J137" s="116" t="e">
        <f t="shared" si="108"/>
        <v>#DIV/0!</v>
      </c>
      <c r="K137" s="116" t="e">
        <f t="shared" si="109"/>
        <v>#DIV/0!</v>
      </c>
      <c r="L137" s="43">
        <f>'PCB Data'!C82</f>
        <v>0</v>
      </c>
      <c r="M137" s="43">
        <f>'PCB Data'!G82</f>
        <v>0</v>
      </c>
      <c r="N137" s="43">
        <f>'PCB Data'!K82</f>
        <v>0</v>
      </c>
      <c r="O137" s="1341" t="e">
        <f t="shared" si="110"/>
        <v>#DIV/0!</v>
      </c>
      <c r="P137" s="116" t="e">
        <f t="shared" si="111"/>
        <v>#DIV/0!</v>
      </c>
      <c r="Q137" s="43">
        <f>'PCB Data'!D82</f>
        <v>0</v>
      </c>
      <c r="R137" s="43">
        <f>'PCB Data'!H82</f>
        <v>0</v>
      </c>
      <c r="S137" s="43">
        <f>'PCB Data'!L82</f>
        <v>0</v>
      </c>
      <c r="T137" s="1341" t="e">
        <f t="shared" si="112"/>
        <v>#DIV/0!</v>
      </c>
      <c r="U137" s="116" t="e">
        <f t="shared" si="113"/>
        <v>#DIV/0!</v>
      </c>
      <c r="V137" s="43">
        <f>'PCB Data'!E82</f>
        <v>0</v>
      </c>
      <c r="W137" s="43">
        <f>'PCB Data'!I82</f>
        <v>0</v>
      </c>
      <c r="X137" s="43">
        <f>'PCB Data'!M82</f>
        <v>0</v>
      </c>
      <c r="Y137" s="1341" t="e">
        <f t="shared" si="114"/>
        <v>#DIV/0!</v>
      </c>
      <c r="Z137" s="116" t="e">
        <f t="shared" si="115"/>
        <v>#DIV/0!</v>
      </c>
    </row>
    <row r="138" spans="2:26" hidden="1" outlineLevel="1" x14ac:dyDescent="0.25">
      <c r="B138" s="7">
        <f>'PCB Data'!Q83*('PCB Data'!N83/100)</f>
        <v>0</v>
      </c>
      <c r="C138" s="7">
        <f>'PCB Data'!R83*('PCB Data'!O83/100)</f>
        <v>0</v>
      </c>
      <c r="D138" s="7">
        <f>'PCB Data'!S83*('PCB Data'!P83/100)</f>
        <v>0</v>
      </c>
      <c r="E138" s="116" t="e">
        <f t="shared" si="106"/>
        <v>#DIV/0!</v>
      </c>
      <c r="F138" s="116" t="e">
        <f t="shared" si="107"/>
        <v>#DIV/0!</v>
      </c>
      <c r="G138" s="67">
        <f>'PCB Data'!B83</f>
        <v>0</v>
      </c>
      <c r="H138" s="43">
        <f>'PCB Data'!F83</f>
        <v>0</v>
      </c>
      <c r="I138" s="43">
        <f>'PCB Data'!J83</f>
        <v>0</v>
      </c>
      <c r="J138" s="116" t="e">
        <f t="shared" si="108"/>
        <v>#DIV/0!</v>
      </c>
      <c r="K138" s="116" t="e">
        <f t="shared" si="109"/>
        <v>#DIV/0!</v>
      </c>
      <c r="L138" s="43">
        <f>'PCB Data'!C83</f>
        <v>0</v>
      </c>
      <c r="M138" s="43">
        <f>'PCB Data'!G83</f>
        <v>0</v>
      </c>
      <c r="N138" s="43">
        <f>'PCB Data'!K83</f>
        <v>0</v>
      </c>
      <c r="O138" s="1341" t="e">
        <f t="shared" si="110"/>
        <v>#DIV/0!</v>
      </c>
      <c r="P138" s="116" t="e">
        <f t="shared" si="111"/>
        <v>#DIV/0!</v>
      </c>
      <c r="Q138" s="43">
        <f>'PCB Data'!D83</f>
        <v>0</v>
      </c>
      <c r="R138" s="43">
        <f>'PCB Data'!H83</f>
        <v>0</v>
      </c>
      <c r="S138" s="43">
        <f>'PCB Data'!L83</f>
        <v>0</v>
      </c>
      <c r="T138" s="1341" t="e">
        <f t="shared" si="112"/>
        <v>#DIV/0!</v>
      </c>
      <c r="U138" s="116" t="e">
        <f t="shared" si="113"/>
        <v>#DIV/0!</v>
      </c>
      <c r="V138" s="43">
        <f>'PCB Data'!E83</f>
        <v>0</v>
      </c>
      <c r="W138" s="43">
        <f>'PCB Data'!I83</f>
        <v>0</v>
      </c>
      <c r="X138" s="43">
        <f>'PCB Data'!M83</f>
        <v>0</v>
      </c>
      <c r="Y138" s="1341" t="e">
        <f t="shared" si="114"/>
        <v>#DIV/0!</v>
      </c>
      <c r="Z138" s="116" t="e">
        <f t="shared" si="115"/>
        <v>#DIV/0!</v>
      </c>
    </row>
    <row r="139" spans="2:26" hidden="1" outlineLevel="1" x14ac:dyDescent="0.25">
      <c r="B139" s="7">
        <f>'PCB Data'!Q84*('PCB Data'!N84/100)</f>
        <v>0</v>
      </c>
      <c r="C139" s="7">
        <f>'PCB Data'!R84*('PCB Data'!O84/100)</f>
        <v>0</v>
      </c>
      <c r="D139" s="7">
        <f>'PCB Data'!S84*('PCB Data'!P84/100)</f>
        <v>0</v>
      </c>
      <c r="E139" s="116" t="e">
        <f t="shared" si="106"/>
        <v>#DIV/0!</v>
      </c>
      <c r="F139" s="116" t="e">
        <f t="shared" si="107"/>
        <v>#DIV/0!</v>
      </c>
      <c r="G139" s="67">
        <f>'PCB Data'!B84</f>
        <v>0</v>
      </c>
      <c r="H139" s="43">
        <f>'PCB Data'!F84</f>
        <v>0</v>
      </c>
      <c r="I139" s="43">
        <f>'PCB Data'!J84</f>
        <v>0</v>
      </c>
      <c r="J139" s="116" t="e">
        <f t="shared" si="108"/>
        <v>#DIV/0!</v>
      </c>
      <c r="K139" s="116" t="e">
        <f t="shared" si="109"/>
        <v>#DIV/0!</v>
      </c>
      <c r="L139" s="43">
        <f>'PCB Data'!C84</f>
        <v>0</v>
      </c>
      <c r="M139" s="43">
        <f>'PCB Data'!G84</f>
        <v>0</v>
      </c>
      <c r="N139" s="43">
        <f>'PCB Data'!K84</f>
        <v>0</v>
      </c>
      <c r="O139" s="1341" t="e">
        <f t="shared" si="110"/>
        <v>#DIV/0!</v>
      </c>
      <c r="P139" s="116" t="e">
        <f t="shared" si="111"/>
        <v>#DIV/0!</v>
      </c>
      <c r="Q139" s="43">
        <f>'PCB Data'!D84</f>
        <v>0</v>
      </c>
      <c r="R139" s="43">
        <f>'PCB Data'!H84</f>
        <v>0</v>
      </c>
      <c r="S139" s="43">
        <f>'PCB Data'!L84</f>
        <v>0</v>
      </c>
      <c r="T139" s="1341" t="e">
        <f t="shared" si="112"/>
        <v>#DIV/0!</v>
      </c>
      <c r="U139" s="116" t="e">
        <f t="shared" si="113"/>
        <v>#DIV/0!</v>
      </c>
      <c r="V139" s="43">
        <f>'PCB Data'!E84</f>
        <v>0</v>
      </c>
      <c r="W139" s="43">
        <f>'PCB Data'!I84</f>
        <v>0</v>
      </c>
      <c r="X139" s="43">
        <f>'PCB Data'!M84</f>
        <v>0</v>
      </c>
      <c r="Y139" s="1341" t="e">
        <f t="shared" si="114"/>
        <v>#DIV/0!</v>
      </c>
      <c r="Z139" s="116" t="e">
        <f t="shared" si="115"/>
        <v>#DIV/0!</v>
      </c>
    </row>
    <row r="140" spans="2:26" hidden="1" outlineLevel="1" x14ac:dyDescent="0.25">
      <c r="B140" s="7">
        <f>'PCB Data'!Q85*('PCB Data'!N85/100)</f>
        <v>0</v>
      </c>
      <c r="C140" s="7">
        <f>'PCB Data'!R85*('PCB Data'!O85/100)</f>
        <v>0</v>
      </c>
      <c r="D140" s="7">
        <f>'PCB Data'!S85*('PCB Data'!P85/100)</f>
        <v>0</v>
      </c>
      <c r="E140" s="116" t="e">
        <f t="shared" si="106"/>
        <v>#DIV/0!</v>
      </c>
      <c r="F140" s="116" t="e">
        <f t="shared" si="107"/>
        <v>#DIV/0!</v>
      </c>
      <c r="G140" s="67">
        <f>'PCB Data'!B85</f>
        <v>0</v>
      </c>
      <c r="H140" s="43">
        <f>'PCB Data'!F85</f>
        <v>0</v>
      </c>
      <c r="I140" s="43">
        <f>'PCB Data'!J85</f>
        <v>0</v>
      </c>
      <c r="J140" s="116" t="e">
        <f t="shared" si="108"/>
        <v>#DIV/0!</v>
      </c>
      <c r="K140" s="116" t="e">
        <f t="shared" si="109"/>
        <v>#DIV/0!</v>
      </c>
      <c r="L140" s="43">
        <f>'PCB Data'!C85</f>
        <v>0</v>
      </c>
      <c r="M140" s="43">
        <f>'PCB Data'!G85</f>
        <v>0</v>
      </c>
      <c r="N140" s="43">
        <f>'PCB Data'!K85</f>
        <v>0</v>
      </c>
      <c r="O140" s="1341" t="e">
        <f t="shared" si="110"/>
        <v>#DIV/0!</v>
      </c>
      <c r="P140" s="116" t="e">
        <f t="shared" si="111"/>
        <v>#DIV/0!</v>
      </c>
      <c r="Q140" s="43">
        <f>'PCB Data'!D85</f>
        <v>0</v>
      </c>
      <c r="R140" s="43">
        <f>'PCB Data'!H85</f>
        <v>0</v>
      </c>
      <c r="S140" s="43">
        <f>'PCB Data'!L85</f>
        <v>0</v>
      </c>
      <c r="T140" s="1341" t="e">
        <f t="shared" si="112"/>
        <v>#DIV/0!</v>
      </c>
      <c r="U140" s="116" t="e">
        <f t="shared" si="113"/>
        <v>#DIV/0!</v>
      </c>
      <c r="V140" s="43">
        <f>'PCB Data'!E85</f>
        <v>0</v>
      </c>
      <c r="W140" s="43">
        <f>'PCB Data'!I85</f>
        <v>0</v>
      </c>
      <c r="X140" s="43">
        <f>'PCB Data'!M85</f>
        <v>0</v>
      </c>
      <c r="Y140" s="1341" t="e">
        <f t="shared" si="114"/>
        <v>#DIV/0!</v>
      </c>
      <c r="Z140" s="116" t="e">
        <f t="shared" si="115"/>
        <v>#DIV/0!</v>
      </c>
    </row>
    <row r="141" spans="2:26" hidden="1" outlineLevel="1" x14ac:dyDescent="0.25">
      <c r="B141" s="7">
        <f>'PCB Data'!Q86*('PCB Data'!N86/100)</f>
        <v>0</v>
      </c>
      <c r="C141" s="7">
        <f>'PCB Data'!R86*('PCB Data'!O86/100)</f>
        <v>0</v>
      </c>
      <c r="D141" s="7">
        <f>'PCB Data'!S86*('PCB Data'!P86/100)</f>
        <v>0</v>
      </c>
      <c r="E141" s="116" t="e">
        <f t="shared" si="106"/>
        <v>#DIV/0!</v>
      </c>
      <c r="F141" s="116" t="e">
        <f t="shared" si="107"/>
        <v>#DIV/0!</v>
      </c>
      <c r="G141" s="67">
        <f>'PCB Data'!B86</f>
        <v>0</v>
      </c>
      <c r="H141" s="43">
        <f>'PCB Data'!F86</f>
        <v>0</v>
      </c>
      <c r="I141" s="43">
        <f>'PCB Data'!J86</f>
        <v>0</v>
      </c>
      <c r="J141" s="116" t="e">
        <f t="shared" si="108"/>
        <v>#DIV/0!</v>
      </c>
      <c r="K141" s="116" t="e">
        <f t="shared" si="109"/>
        <v>#DIV/0!</v>
      </c>
      <c r="L141" s="43">
        <f>'PCB Data'!C86</f>
        <v>0</v>
      </c>
      <c r="M141" s="43">
        <f>'PCB Data'!G86</f>
        <v>0</v>
      </c>
      <c r="N141" s="43">
        <f>'PCB Data'!K86</f>
        <v>0</v>
      </c>
      <c r="O141" s="1341" t="e">
        <f t="shared" si="110"/>
        <v>#DIV/0!</v>
      </c>
      <c r="P141" s="116" t="e">
        <f t="shared" si="111"/>
        <v>#DIV/0!</v>
      </c>
      <c r="Q141" s="43">
        <f>'PCB Data'!D86</f>
        <v>0</v>
      </c>
      <c r="R141" s="43">
        <f>'PCB Data'!H86</f>
        <v>0</v>
      </c>
      <c r="S141" s="43">
        <f>'PCB Data'!L86</f>
        <v>0</v>
      </c>
      <c r="T141" s="1341" t="e">
        <f t="shared" si="112"/>
        <v>#DIV/0!</v>
      </c>
      <c r="U141" s="116" t="e">
        <f t="shared" si="113"/>
        <v>#DIV/0!</v>
      </c>
      <c r="V141" s="43">
        <f>'PCB Data'!E86</f>
        <v>0</v>
      </c>
      <c r="W141" s="43">
        <f>'PCB Data'!I86</f>
        <v>0</v>
      </c>
      <c r="X141" s="43">
        <f>'PCB Data'!M86</f>
        <v>0</v>
      </c>
      <c r="Y141" s="1341" t="e">
        <f t="shared" si="114"/>
        <v>#DIV/0!</v>
      </c>
      <c r="Z141" s="116" t="e">
        <f t="shared" si="115"/>
        <v>#DIV/0!</v>
      </c>
    </row>
    <row r="142" spans="2:26" hidden="1" outlineLevel="1" x14ac:dyDescent="0.25">
      <c r="B142" s="7">
        <f>'PCB Data'!Q87*('PCB Data'!N87/100)</f>
        <v>0</v>
      </c>
      <c r="C142" s="7">
        <f>'PCB Data'!R87*('PCB Data'!O87/100)</f>
        <v>0</v>
      </c>
      <c r="D142" s="7">
        <f>'PCB Data'!S87*('PCB Data'!P87/100)</f>
        <v>0</v>
      </c>
      <c r="E142" s="116" t="e">
        <f t="shared" si="106"/>
        <v>#DIV/0!</v>
      </c>
      <c r="F142" s="116" t="e">
        <f t="shared" si="107"/>
        <v>#DIV/0!</v>
      </c>
      <c r="G142" s="67">
        <f>'PCB Data'!B87</f>
        <v>0</v>
      </c>
      <c r="H142" s="43">
        <f>'PCB Data'!F87</f>
        <v>0</v>
      </c>
      <c r="I142" s="43">
        <f>'PCB Data'!J87</f>
        <v>0</v>
      </c>
      <c r="J142" s="116" t="e">
        <f t="shared" si="108"/>
        <v>#DIV/0!</v>
      </c>
      <c r="K142" s="116" t="e">
        <f t="shared" si="109"/>
        <v>#DIV/0!</v>
      </c>
      <c r="L142" s="43">
        <f>'PCB Data'!C87</f>
        <v>0</v>
      </c>
      <c r="M142" s="43">
        <f>'PCB Data'!G87</f>
        <v>0</v>
      </c>
      <c r="N142" s="43">
        <f>'PCB Data'!K87</f>
        <v>0</v>
      </c>
      <c r="O142" s="1341" t="e">
        <f t="shared" si="110"/>
        <v>#DIV/0!</v>
      </c>
      <c r="P142" s="116" t="e">
        <f t="shared" si="111"/>
        <v>#DIV/0!</v>
      </c>
      <c r="Q142" s="43">
        <f>'PCB Data'!D87</f>
        <v>0</v>
      </c>
      <c r="R142" s="43">
        <f>'PCB Data'!H87</f>
        <v>0</v>
      </c>
      <c r="S142" s="43">
        <f>'PCB Data'!L87</f>
        <v>0</v>
      </c>
      <c r="T142" s="1341" t="e">
        <f t="shared" si="112"/>
        <v>#DIV/0!</v>
      </c>
      <c r="U142" s="116" t="e">
        <f t="shared" si="113"/>
        <v>#DIV/0!</v>
      </c>
      <c r="V142" s="43">
        <f>'PCB Data'!E87</f>
        <v>0</v>
      </c>
      <c r="W142" s="43">
        <f>'PCB Data'!I87</f>
        <v>0</v>
      </c>
      <c r="X142" s="43">
        <f>'PCB Data'!M87</f>
        <v>0</v>
      </c>
      <c r="Y142" s="1341" t="e">
        <f t="shared" si="114"/>
        <v>#DIV/0!</v>
      </c>
      <c r="Z142" s="116" t="e">
        <f t="shared" si="115"/>
        <v>#DIV/0!</v>
      </c>
    </row>
    <row r="143" spans="2:26" hidden="1" outlineLevel="1" x14ac:dyDescent="0.25">
      <c r="B143" s="7">
        <f>'PCB Data'!Q88*('PCB Data'!N88/100)</f>
        <v>0</v>
      </c>
      <c r="C143" s="7">
        <f>'PCB Data'!R88*('PCB Data'!O88/100)</f>
        <v>0</v>
      </c>
      <c r="D143" s="7">
        <f>'PCB Data'!S88*('PCB Data'!P88/100)</f>
        <v>0</v>
      </c>
      <c r="E143" s="116" t="e">
        <f t="shared" si="106"/>
        <v>#DIV/0!</v>
      </c>
      <c r="F143" s="116" t="e">
        <f t="shared" si="107"/>
        <v>#DIV/0!</v>
      </c>
      <c r="G143" s="67">
        <f>'PCB Data'!B88</f>
        <v>0</v>
      </c>
      <c r="H143" s="43">
        <f>'PCB Data'!F88</f>
        <v>0</v>
      </c>
      <c r="I143" s="43">
        <f>'PCB Data'!J88</f>
        <v>0</v>
      </c>
      <c r="J143" s="116" t="e">
        <f t="shared" si="108"/>
        <v>#DIV/0!</v>
      </c>
      <c r="K143" s="116" t="e">
        <f t="shared" si="109"/>
        <v>#DIV/0!</v>
      </c>
      <c r="L143" s="43">
        <f>'PCB Data'!C88</f>
        <v>0</v>
      </c>
      <c r="M143" s="43">
        <f>'PCB Data'!G88</f>
        <v>0</v>
      </c>
      <c r="N143" s="43">
        <f>'PCB Data'!K88</f>
        <v>0</v>
      </c>
      <c r="O143" s="1341" t="e">
        <f t="shared" si="110"/>
        <v>#DIV/0!</v>
      </c>
      <c r="P143" s="116" t="e">
        <f t="shared" si="111"/>
        <v>#DIV/0!</v>
      </c>
      <c r="Q143" s="43">
        <f>'PCB Data'!D88</f>
        <v>0</v>
      </c>
      <c r="R143" s="43">
        <f>'PCB Data'!H88</f>
        <v>0</v>
      </c>
      <c r="S143" s="43">
        <f>'PCB Data'!L88</f>
        <v>0</v>
      </c>
      <c r="T143" s="1341" t="e">
        <f t="shared" si="112"/>
        <v>#DIV/0!</v>
      </c>
      <c r="U143" s="116" t="e">
        <f t="shared" si="113"/>
        <v>#DIV/0!</v>
      </c>
      <c r="V143" s="43">
        <f>'PCB Data'!E88</f>
        <v>0</v>
      </c>
      <c r="W143" s="43">
        <f>'PCB Data'!I88</f>
        <v>0</v>
      </c>
      <c r="X143" s="43">
        <f>'PCB Data'!M88</f>
        <v>0</v>
      </c>
      <c r="Y143" s="1341" t="e">
        <f t="shared" si="114"/>
        <v>#DIV/0!</v>
      </c>
      <c r="Z143" s="116" t="e">
        <f t="shared" si="115"/>
        <v>#DIV/0!</v>
      </c>
    </row>
    <row r="144" spans="2:26" hidden="1" outlineLevel="1" x14ac:dyDescent="0.25">
      <c r="B144" s="7">
        <f>'PCB Data'!Q89*('PCB Data'!N89/100)</f>
        <v>0</v>
      </c>
      <c r="C144" s="7">
        <f>'PCB Data'!R89*('PCB Data'!O89/100)</f>
        <v>0</v>
      </c>
      <c r="D144" s="7">
        <f>'PCB Data'!S89*('PCB Data'!P89/100)</f>
        <v>0</v>
      </c>
      <c r="E144" s="116" t="e">
        <f t="shared" si="106"/>
        <v>#DIV/0!</v>
      </c>
      <c r="F144" s="116" t="e">
        <f t="shared" si="107"/>
        <v>#DIV/0!</v>
      </c>
      <c r="G144" s="67">
        <f>'PCB Data'!B89</f>
        <v>0</v>
      </c>
      <c r="H144" s="43">
        <f>'PCB Data'!F89</f>
        <v>0</v>
      </c>
      <c r="I144" s="43">
        <f>'PCB Data'!J89</f>
        <v>0</v>
      </c>
      <c r="J144" s="116" t="e">
        <f t="shared" si="108"/>
        <v>#DIV/0!</v>
      </c>
      <c r="K144" s="116" t="e">
        <f t="shared" si="109"/>
        <v>#DIV/0!</v>
      </c>
      <c r="L144" s="43">
        <f>'PCB Data'!C89</f>
        <v>0</v>
      </c>
      <c r="M144" s="43">
        <f>'PCB Data'!G89</f>
        <v>0</v>
      </c>
      <c r="N144" s="43">
        <f>'PCB Data'!K89</f>
        <v>0</v>
      </c>
      <c r="O144" s="1341" t="e">
        <f t="shared" si="110"/>
        <v>#DIV/0!</v>
      </c>
      <c r="P144" s="116" t="e">
        <f t="shared" si="111"/>
        <v>#DIV/0!</v>
      </c>
      <c r="Q144" s="43">
        <f>'PCB Data'!D89</f>
        <v>0</v>
      </c>
      <c r="R144" s="43">
        <f>'PCB Data'!H89</f>
        <v>0</v>
      </c>
      <c r="S144" s="43">
        <f>'PCB Data'!L89</f>
        <v>0</v>
      </c>
      <c r="T144" s="1341" t="e">
        <f t="shared" si="112"/>
        <v>#DIV/0!</v>
      </c>
      <c r="U144" s="116" t="e">
        <f t="shared" si="113"/>
        <v>#DIV/0!</v>
      </c>
      <c r="V144" s="43">
        <f>'PCB Data'!E89</f>
        <v>0</v>
      </c>
      <c r="W144" s="43">
        <f>'PCB Data'!I89</f>
        <v>0</v>
      </c>
      <c r="X144" s="43">
        <f>'PCB Data'!M89</f>
        <v>0</v>
      </c>
      <c r="Y144" s="1341" t="e">
        <f t="shared" si="114"/>
        <v>#DIV/0!</v>
      </c>
      <c r="Z144" s="116" t="e">
        <f t="shared" si="115"/>
        <v>#DIV/0!</v>
      </c>
    </row>
    <row r="145" spans="1:51" hidden="1" outlineLevel="1" x14ac:dyDescent="0.25">
      <c r="B145" s="7">
        <f>'PCB Data'!Q90*('PCB Data'!N90/100)</f>
        <v>0</v>
      </c>
      <c r="C145" s="7">
        <f>'PCB Data'!R90*('PCB Data'!O90/100)</f>
        <v>0</v>
      </c>
      <c r="D145" s="7">
        <f>'PCB Data'!S90*('PCB Data'!P90/100)</f>
        <v>0</v>
      </c>
      <c r="E145" s="116" t="e">
        <f t="shared" si="106"/>
        <v>#DIV/0!</v>
      </c>
      <c r="F145" s="116" t="e">
        <f t="shared" si="107"/>
        <v>#DIV/0!</v>
      </c>
      <c r="G145" s="67">
        <f>'PCB Data'!B90</f>
        <v>0</v>
      </c>
      <c r="H145" s="43">
        <f>'PCB Data'!F90</f>
        <v>0</v>
      </c>
      <c r="I145" s="43">
        <f>'PCB Data'!J90</f>
        <v>0</v>
      </c>
      <c r="J145" s="116" t="e">
        <f t="shared" si="108"/>
        <v>#DIV/0!</v>
      </c>
      <c r="K145" s="116" t="e">
        <f t="shared" si="109"/>
        <v>#DIV/0!</v>
      </c>
      <c r="L145" s="43">
        <f>'PCB Data'!C90</f>
        <v>0</v>
      </c>
      <c r="M145" s="43">
        <f>'PCB Data'!G90</f>
        <v>0</v>
      </c>
      <c r="N145" s="43">
        <f>'PCB Data'!K90</f>
        <v>0</v>
      </c>
      <c r="O145" s="1341" t="e">
        <f t="shared" si="110"/>
        <v>#DIV/0!</v>
      </c>
      <c r="P145" s="116" t="e">
        <f t="shared" si="111"/>
        <v>#DIV/0!</v>
      </c>
      <c r="Q145" s="43">
        <f>'PCB Data'!D90</f>
        <v>0</v>
      </c>
      <c r="R145" s="43">
        <f>'PCB Data'!H90</f>
        <v>0</v>
      </c>
      <c r="S145" s="43">
        <f>'PCB Data'!L90</f>
        <v>0</v>
      </c>
      <c r="T145" s="1341" t="e">
        <f t="shared" si="112"/>
        <v>#DIV/0!</v>
      </c>
      <c r="U145" s="116" t="e">
        <f t="shared" si="113"/>
        <v>#DIV/0!</v>
      </c>
      <c r="V145" s="43">
        <f>'PCB Data'!E90</f>
        <v>0</v>
      </c>
      <c r="W145" s="43">
        <f>'PCB Data'!I90</f>
        <v>0</v>
      </c>
      <c r="X145" s="43">
        <f>'PCB Data'!M90</f>
        <v>0</v>
      </c>
      <c r="Y145" s="1341" t="e">
        <f t="shared" si="114"/>
        <v>#DIV/0!</v>
      </c>
      <c r="Z145" s="116" t="e">
        <f t="shared" si="115"/>
        <v>#DIV/0!</v>
      </c>
    </row>
    <row r="146" spans="1:51" hidden="1" outlineLevel="1" x14ac:dyDescent="0.25">
      <c r="B146" s="7">
        <f>'PCB Data'!Q91*('PCB Data'!N91/100)</f>
        <v>0</v>
      </c>
      <c r="C146" s="7">
        <f>'PCB Data'!R91*('PCB Data'!O91/100)</f>
        <v>0</v>
      </c>
      <c r="D146" s="7">
        <f>'PCB Data'!S91*('PCB Data'!P91/100)</f>
        <v>0</v>
      </c>
      <c r="E146" s="116" t="e">
        <f t="shared" si="106"/>
        <v>#DIV/0!</v>
      </c>
      <c r="F146" s="116" t="e">
        <f t="shared" si="107"/>
        <v>#DIV/0!</v>
      </c>
      <c r="G146" s="67">
        <f>'PCB Data'!B91</f>
        <v>0</v>
      </c>
      <c r="H146" s="43">
        <f>'PCB Data'!F91</f>
        <v>0</v>
      </c>
      <c r="I146" s="43">
        <f>'PCB Data'!J91</f>
        <v>0</v>
      </c>
      <c r="J146" s="116" t="e">
        <f t="shared" si="108"/>
        <v>#DIV/0!</v>
      </c>
      <c r="K146" s="116" t="e">
        <f t="shared" si="109"/>
        <v>#DIV/0!</v>
      </c>
      <c r="L146" s="43">
        <f>'PCB Data'!C91</f>
        <v>0</v>
      </c>
      <c r="M146" s="43">
        <f>'PCB Data'!G91</f>
        <v>0</v>
      </c>
      <c r="N146" s="43">
        <f>'PCB Data'!K91</f>
        <v>0</v>
      </c>
      <c r="O146" s="1341" t="e">
        <f t="shared" si="110"/>
        <v>#DIV/0!</v>
      </c>
      <c r="P146" s="116" t="e">
        <f t="shared" si="111"/>
        <v>#DIV/0!</v>
      </c>
      <c r="Q146" s="43">
        <f>'PCB Data'!D91</f>
        <v>0</v>
      </c>
      <c r="R146" s="43">
        <f>'PCB Data'!H91</f>
        <v>0</v>
      </c>
      <c r="S146" s="43">
        <f>'PCB Data'!L91</f>
        <v>0</v>
      </c>
      <c r="T146" s="1341" t="e">
        <f t="shared" si="112"/>
        <v>#DIV/0!</v>
      </c>
      <c r="U146" s="116" t="e">
        <f t="shared" si="113"/>
        <v>#DIV/0!</v>
      </c>
      <c r="V146" s="43">
        <f>'PCB Data'!E91</f>
        <v>0</v>
      </c>
      <c r="W146" s="43">
        <f>'PCB Data'!I91</f>
        <v>0</v>
      </c>
      <c r="X146" s="43">
        <f>'PCB Data'!M91</f>
        <v>0</v>
      </c>
      <c r="Y146" s="1341" t="e">
        <f t="shared" si="114"/>
        <v>#DIV/0!</v>
      </c>
      <c r="Z146" s="116" t="e">
        <f t="shared" si="115"/>
        <v>#DIV/0!</v>
      </c>
    </row>
    <row r="147" spans="1:51" hidden="1" outlineLevel="1" x14ac:dyDescent="0.25">
      <c r="B147" s="7">
        <f>'PCB Data'!Q92*('PCB Data'!N92/100)</f>
        <v>0</v>
      </c>
      <c r="C147" s="7">
        <f>'PCB Data'!R92*('PCB Data'!O92/100)</f>
        <v>0</v>
      </c>
      <c r="D147" s="7">
        <f>'PCB Data'!S92*('PCB Data'!P92/100)</f>
        <v>0</v>
      </c>
      <c r="E147" s="116" t="e">
        <f t="shared" si="106"/>
        <v>#DIV/0!</v>
      </c>
      <c r="F147" s="116" t="e">
        <f t="shared" si="107"/>
        <v>#DIV/0!</v>
      </c>
      <c r="G147" s="67">
        <f>'PCB Data'!B92</f>
        <v>0</v>
      </c>
      <c r="H147" s="43">
        <f>'PCB Data'!F92</f>
        <v>0</v>
      </c>
      <c r="I147" s="43">
        <f>'PCB Data'!J92</f>
        <v>0</v>
      </c>
      <c r="J147" s="116" t="e">
        <f t="shared" si="108"/>
        <v>#DIV/0!</v>
      </c>
      <c r="K147" s="116" t="e">
        <f t="shared" si="109"/>
        <v>#DIV/0!</v>
      </c>
      <c r="L147" s="43">
        <f>'PCB Data'!C92</f>
        <v>0</v>
      </c>
      <c r="M147" s="43">
        <f>'PCB Data'!G92</f>
        <v>0</v>
      </c>
      <c r="N147" s="43">
        <f>'PCB Data'!K92</f>
        <v>0</v>
      </c>
      <c r="O147" s="1341" t="e">
        <f t="shared" si="110"/>
        <v>#DIV/0!</v>
      </c>
      <c r="P147" s="116" t="e">
        <f t="shared" si="111"/>
        <v>#DIV/0!</v>
      </c>
      <c r="Q147" s="43">
        <f>'PCB Data'!D92</f>
        <v>0</v>
      </c>
      <c r="R147" s="43">
        <f>'PCB Data'!H92</f>
        <v>0</v>
      </c>
      <c r="S147" s="43">
        <f>'PCB Data'!L92</f>
        <v>0</v>
      </c>
      <c r="T147" s="1341" t="e">
        <f t="shared" si="112"/>
        <v>#DIV/0!</v>
      </c>
      <c r="U147" s="116" t="e">
        <f t="shared" si="113"/>
        <v>#DIV/0!</v>
      </c>
      <c r="V147" s="43">
        <f>'PCB Data'!E92</f>
        <v>0</v>
      </c>
      <c r="W147" s="43">
        <f>'PCB Data'!I92</f>
        <v>0</v>
      </c>
      <c r="X147" s="43">
        <f>'PCB Data'!M92</f>
        <v>0</v>
      </c>
      <c r="Y147" s="1341" t="e">
        <f t="shared" si="114"/>
        <v>#DIV/0!</v>
      </c>
      <c r="Z147" s="116" t="e">
        <f t="shared" si="115"/>
        <v>#DIV/0!</v>
      </c>
    </row>
    <row r="148" spans="1:51" hidden="1" outlineLevel="1" x14ac:dyDescent="0.25">
      <c r="B148" s="7">
        <f>'PCB Data'!Q93*('PCB Data'!N93/100)</f>
        <v>0</v>
      </c>
      <c r="C148" s="7">
        <f>'PCB Data'!R93*('PCB Data'!O93/100)</f>
        <v>0</v>
      </c>
      <c r="D148" s="7">
        <f>'PCB Data'!S93*('PCB Data'!P93/100)</f>
        <v>0</v>
      </c>
      <c r="E148" s="116" t="e">
        <f t="shared" si="106"/>
        <v>#DIV/0!</v>
      </c>
      <c r="F148" s="116" t="e">
        <f t="shared" si="107"/>
        <v>#DIV/0!</v>
      </c>
      <c r="G148" s="67">
        <f>'PCB Data'!B93</f>
        <v>0</v>
      </c>
      <c r="H148" s="43">
        <f>'PCB Data'!F93</f>
        <v>0</v>
      </c>
      <c r="I148" s="43">
        <f>'PCB Data'!J93</f>
        <v>0</v>
      </c>
      <c r="J148" s="116" t="e">
        <f t="shared" si="108"/>
        <v>#DIV/0!</v>
      </c>
      <c r="K148" s="116" t="e">
        <f t="shared" si="109"/>
        <v>#DIV/0!</v>
      </c>
      <c r="L148" s="43">
        <f>'PCB Data'!C93</f>
        <v>0</v>
      </c>
      <c r="M148" s="43">
        <f>'PCB Data'!G93</f>
        <v>0</v>
      </c>
      <c r="N148" s="43">
        <f>'PCB Data'!K93</f>
        <v>0</v>
      </c>
      <c r="O148" s="1341" t="e">
        <f t="shared" si="110"/>
        <v>#DIV/0!</v>
      </c>
      <c r="P148" s="116" t="e">
        <f t="shared" si="111"/>
        <v>#DIV/0!</v>
      </c>
      <c r="Q148" s="43">
        <f>'PCB Data'!D93</f>
        <v>0</v>
      </c>
      <c r="R148" s="43">
        <f>'PCB Data'!H93</f>
        <v>0</v>
      </c>
      <c r="S148" s="43">
        <f>'PCB Data'!L93</f>
        <v>0</v>
      </c>
      <c r="T148" s="1341" t="e">
        <f t="shared" si="112"/>
        <v>#DIV/0!</v>
      </c>
      <c r="U148" s="116" t="e">
        <f t="shared" si="113"/>
        <v>#DIV/0!</v>
      </c>
      <c r="V148" s="43">
        <f>'PCB Data'!E93</f>
        <v>0</v>
      </c>
      <c r="W148" s="43">
        <f>'PCB Data'!I93</f>
        <v>0</v>
      </c>
      <c r="X148" s="43">
        <f>'PCB Data'!M93</f>
        <v>0</v>
      </c>
      <c r="Y148" s="1341" t="e">
        <f t="shared" si="114"/>
        <v>#DIV/0!</v>
      </c>
      <c r="Z148" s="116" t="e">
        <f t="shared" si="115"/>
        <v>#DIV/0!</v>
      </c>
    </row>
    <row r="149" spans="1:51" hidden="1" outlineLevel="1" x14ac:dyDescent="0.25">
      <c r="B149" s="7">
        <f>'PCB Data'!Q94*('PCB Data'!N94/100)</f>
        <v>0</v>
      </c>
      <c r="C149" s="7">
        <f>'PCB Data'!R94*('PCB Data'!O94/100)</f>
        <v>0</v>
      </c>
      <c r="D149" s="7">
        <f>'PCB Data'!S94*('PCB Data'!P94/100)</f>
        <v>0</v>
      </c>
      <c r="E149" s="116" t="e">
        <f t="shared" si="106"/>
        <v>#DIV/0!</v>
      </c>
      <c r="F149" s="116" t="e">
        <f t="shared" si="107"/>
        <v>#DIV/0!</v>
      </c>
      <c r="G149" s="67">
        <f>'PCB Data'!B94</f>
        <v>0</v>
      </c>
      <c r="H149" s="43">
        <f>'PCB Data'!F94</f>
        <v>0</v>
      </c>
      <c r="I149" s="43">
        <f>'PCB Data'!J94</f>
        <v>0</v>
      </c>
      <c r="J149" s="116" t="e">
        <f t="shared" si="108"/>
        <v>#DIV/0!</v>
      </c>
      <c r="K149" s="116" t="e">
        <f t="shared" si="109"/>
        <v>#DIV/0!</v>
      </c>
      <c r="L149" s="43">
        <f>'PCB Data'!C94</f>
        <v>0</v>
      </c>
      <c r="M149" s="43">
        <f>'PCB Data'!G94</f>
        <v>0</v>
      </c>
      <c r="N149" s="43">
        <f>'PCB Data'!K94</f>
        <v>0</v>
      </c>
      <c r="O149" s="1341" t="e">
        <f t="shared" si="110"/>
        <v>#DIV/0!</v>
      </c>
      <c r="P149" s="116" t="e">
        <f t="shared" si="111"/>
        <v>#DIV/0!</v>
      </c>
      <c r="Q149" s="43">
        <f>'PCB Data'!D94</f>
        <v>0</v>
      </c>
      <c r="R149" s="43">
        <f>'PCB Data'!H94</f>
        <v>0</v>
      </c>
      <c r="S149" s="43">
        <f>'PCB Data'!L94</f>
        <v>0</v>
      </c>
      <c r="T149" s="1341" t="e">
        <f t="shared" si="112"/>
        <v>#DIV/0!</v>
      </c>
      <c r="U149" s="116" t="e">
        <f t="shared" si="113"/>
        <v>#DIV/0!</v>
      </c>
      <c r="V149" s="43">
        <f>'PCB Data'!E94</f>
        <v>0</v>
      </c>
      <c r="W149" s="43">
        <f>'PCB Data'!I94</f>
        <v>0</v>
      </c>
      <c r="X149" s="43">
        <f>'PCB Data'!M94</f>
        <v>0</v>
      </c>
      <c r="Y149" s="1341" t="e">
        <f t="shared" si="114"/>
        <v>#DIV/0!</v>
      </c>
      <c r="Z149" s="116" t="e">
        <f t="shared" si="115"/>
        <v>#DIV/0!</v>
      </c>
    </row>
    <row r="150" spans="1:51" hidden="1" outlineLevel="1" x14ac:dyDescent="0.25">
      <c r="B150" s="7">
        <f>'PCB Data'!Q95*('PCB Data'!N95/100)</f>
        <v>0</v>
      </c>
      <c r="C150" s="7">
        <f>'PCB Data'!R95*('PCB Data'!O95/100)</f>
        <v>0</v>
      </c>
      <c r="D150" s="7">
        <f>'PCB Data'!S95*('PCB Data'!P95/100)</f>
        <v>0</v>
      </c>
      <c r="E150" s="116" t="e">
        <f t="shared" si="106"/>
        <v>#DIV/0!</v>
      </c>
      <c r="F150" s="116" t="e">
        <f t="shared" si="107"/>
        <v>#DIV/0!</v>
      </c>
      <c r="G150" s="67">
        <f>'PCB Data'!B95</f>
        <v>0</v>
      </c>
      <c r="H150" s="43">
        <f>'PCB Data'!F95</f>
        <v>0</v>
      </c>
      <c r="I150" s="43">
        <f>'PCB Data'!J95</f>
        <v>0</v>
      </c>
      <c r="J150" s="116" t="e">
        <f t="shared" si="108"/>
        <v>#DIV/0!</v>
      </c>
      <c r="K150" s="116" t="e">
        <f t="shared" si="109"/>
        <v>#DIV/0!</v>
      </c>
      <c r="L150" s="43">
        <f>'PCB Data'!C95</f>
        <v>0</v>
      </c>
      <c r="M150" s="43">
        <f>'PCB Data'!G95</f>
        <v>0</v>
      </c>
      <c r="N150" s="43">
        <f>'PCB Data'!K95</f>
        <v>0</v>
      </c>
      <c r="O150" s="1341" t="e">
        <f t="shared" si="110"/>
        <v>#DIV/0!</v>
      </c>
      <c r="P150" s="116" t="e">
        <f t="shared" si="111"/>
        <v>#DIV/0!</v>
      </c>
      <c r="Q150" s="43">
        <f>'PCB Data'!D95</f>
        <v>0</v>
      </c>
      <c r="R150" s="43">
        <f>'PCB Data'!H95</f>
        <v>0</v>
      </c>
      <c r="S150" s="43">
        <f>'PCB Data'!L95</f>
        <v>0</v>
      </c>
      <c r="T150" s="1341" t="e">
        <f t="shared" si="112"/>
        <v>#DIV/0!</v>
      </c>
      <c r="U150" s="116" t="e">
        <f t="shared" si="113"/>
        <v>#DIV/0!</v>
      </c>
      <c r="V150" s="43">
        <f>'PCB Data'!E95</f>
        <v>0</v>
      </c>
      <c r="W150" s="43">
        <f>'PCB Data'!I95</f>
        <v>0</v>
      </c>
      <c r="X150" s="43">
        <f>'PCB Data'!M95</f>
        <v>0</v>
      </c>
      <c r="Y150" s="1341" t="e">
        <f t="shared" si="114"/>
        <v>#DIV/0!</v>
      </c>
      <c r="Z150" s="116" t="e">
        <f t="shared" si="115"/>
        <v>#DIV/0!</v>
      </c>
    </row>
    <row r="151" spans="1:51" hidden="1" outlineLevel="1" x14ac:dyDescent="0.25">
      <c r="B151" s="7">
        <f>'PCB Data'!Q96*('PCB Data'!N96/100)</f>
        <v>0</v>
      </c>
      <c r="C151" s="7">
        <f>'PCB Data'!R96*('PCB Data'!O96/100)</f>
        <v>0</v>
      </c>
      <c r="D151" s="7">
        <f>'PCB Data'!S96*('PCB Data'!P96/100)</f>
        <v>0</v>
      </c>
      <c r="E151" s="116" t="e">
        <f t="shared" si="106"/>
        <v>#DIV/0!</v>
      </c>
      <c r="F151" s="116" t="e">
        <f t="shared" si="107"/>
        <v>#DIV/0!</v>
      </c>
      <c r="G151" s="67">
        <f>'PCB Data'!B96</f>
        <v>0</v>
      </c>
      <c r="H151" s="43">
        <f>'PCB Data'!F96</f>
        <v>0</v>
      </c>
      <c r="I151" s="43">
        <f>'PCB Data'!J96</f>
        <v>0</v>
      </c>
      <c r="J151" s="116" t="e">
        <f t="shared" si="108"/>
        <v>#DIV/0!</v>
      </c>
      <c r="K151" s="116" t="e">
        <f t="shared" si="109"/>
        <v>#DIV/0!</v>
      </c>
      <c r="L151" s="43">
        <f>'PCB Data'!C96</f>
        <v>0</v>
      </c>
      <c r="M151" s="43">
        <f>'PCB Data'!G96</f>
        <v>0</v>
      </c>
      <c r="N151" s="43">
        <f>'PCB Data'!K96</f>
        <v>0</v>
      </c>
      <c r="O151" s="1341" t="e">
        <f t="shared" si="110"/>
        <v>#DIV/0!</v>
      </c>
      <c r="P151" s="116" t="e">
        <f t="shared" si="111"/>
        <v>#DIV/0!</v>
      </c>
      <c r="Q151" s="43">
        <f>'PCB Data'!D96</f>
        <v>0</v>
      </c>
      <c r="R151" s="43">
        <f>'PCB Data'!H96</f>
        <v>0</v>
      </c>
      <c r="S151" s="43">
        <f>'PCB Data'!L96</f>
        <v>0</v>
      </c>
      <c r="T151" s="1341" t="e">
        <f t="shared" si="112"/>
        <v>#DIV/0!</v>
      </c>
      <c r="U151" s="116" t="e">
        <f t="shared" si="113"/>
        <v>#DIV/0!</v>
      </c>
      <c r="V151" s="43">
        <f>'PCB Data'!E96</f>
        <v>0</v>
      </c>
      <c r="W151" s="43">
        <f>'PCB Data'!I96</f>
        <v>0</v>
      </c>
      <c r="X151" s="43">
        <f>'PCB Data'!M96</f>
        <v>0</v>
      </c>
      <c r="Y151" s="1341" t="e">
        <f t="shared" si="114"/>
        <v>#DIV/0!</v>
      </c>
      <c r="Z151" s="116" t="e">
        <f t="shared" si="115"/>
        <v>#DIV/0!</v>
      </c>
    </row>
    <row r="152" spans="1:51" hidden="1" outlineLevel="1" x14ac:dyDescent="0.25"/>
    <row r="153" spans="1:51" s="1337" customFormat="1" collapsed="1" x14ac:dyDescent="0.25">
      <c r="B153" s="1552" t="s">
        <v>13</v>
      </c>
      <c r="C153" s="1552"/>
      <c r="D153" s="1552"/>
      <c r="E153" s="1552" t="s">
        <v>12</v>
      </c>
      <c r="F153" s="1553"/>
      <c r="G153" s="1552" t="s">
        <v>13</v>
      </c>
      <c r="H153" s="1552"/>
      <c r="I153" s="1552"/>
      <c r="J153" s="1552" t="s">
        <v>12</v>
      </c>
      <c r="K153" s="1553"/>
      <c r="L153" s="1552" t="s">
        <v>13</v>
      </c>
      <c r="M153" s="1552"/>
      <c r="N153" s="1552"/>
      <c r="O153" s="1552" t="s">
        <v>12</v>
      </c>
      <c r="P153" s="1553"/>
      <c r="Q153" s="1552" t="s">
        <v>13</v>
      </c>
      <c r="R153" s="1552"/>
      <c r="S153" s="1552"/>
      <c r="T153" s="1552" t="s">
        <v>12</v>
      </c>
      <c r="U153" s="1553"/>
      <c r="V153" s="1552" t="s">
        <v>13</v>
      </c>
      <c r="W153" s="1552"/>
      <c r="X153" s="1552"/>
      <c r="Y153" s="1552" t="s">
        <v>12</v>
      </c>
      <c r="Z153" s="1553"/>
      <c r="AA153" s="1552" t="s">
        <v>13</v>
      </c>
      <c r="AB153" s="1552"/>
      <c r="AC153" s="1552"/>
      <c r="AD153" s="1552" t="s">
        <v>12</v>
      </c>
      <c r="AE153" s="1553"/>
      <c r="AI153" s="1342"/>
      <c r="AJ153" s="1338"/>
      <c r="AN153" s="1342"/>
      <c r="AO153" s="1338"/>
      <c r="AS153" s="1342"/>
      <c r="AT153" s="1338"/>
      <c r="AX153" s="1342"/>
      <c r="AY153" s="1338"/>
    </row>
    <row r="154" spans="1:51" s="87" customFormat="1" x14ac:dyDescent="0.25">
      <c r="A154" s="87" t="s">
        <v>14</v>
      </c>
      <c r="E154" s="1554" t="s">
        <v>31</v>
      </c>
      <c r="F154" s="1555"/>
      <c r="G154" s="1335" t="str">
        <f>'XFMR Data'!B2</f>
        <v>607 - Sipro</v>
      </c>
      <c r="H154" s="87" t="str">
        <f>G154</f>
        <v>607 - Sipro</v>
      </c>
      <c r="I154" s="87" t="str">
        <f>H154</f>
        <v>607 - Sipro</v>
      </c>
      <c r="J154" s="87" t="str">
        <f>I154</f>
        <v>607 - Sipro</v>
      </c>
      <c r="K154" s="1336" t="str">
        <f>J154</f>
        <v>607 - Sipro</v>
      </c>
      <c r="L154" s="87" t="str">
        <f>'XFMR Data'!C2</f>
        <v>625 - B0051</v>
      </c>
      <c r="M154" s="87" t="str">
        <f>L154</f>
        <v>625 - B0051</v>
      </c>
      <c r="N154" s="87" t="str">
        <f>M154</f>
        <v>625 - B0051</v>
      </c>
      <c r="O154" s="1335" t="str">
        <f>N154</f>
        <v>625 - B0051</v>
      </c>
      <c r="P154" s="1336" t="str">
        <f>O154</f>
        <v>625 - B0051</v>
      </c>
      <c r="Q154" s="87" t="str">
        <f>'XFMR Data'!D2</f>
        <v>645 - Bench</v>
      </c>
      <c r="R154" s="87" t="str">
        <f>Q154</f>
        <v>645 - Bench</v>
      </c>
      <c r="S154" s="87" t="str">
        <f>R154</f>
        <v>645 - Bench</v>
      </c>
      <c r="T154" s="1335" t="str">
        <f>S154</f>
        <v>645 - Bench</v>
      </c>
      <c r="U154" s="1336" t="str">
        <f>T154</f>
        <v>645 - Bench</v>
      </c>
      <c r="V154" s="87" t="str">
        <f>'XFMR Data'!E2</f>
        <v>650 - Pouring</v>
      </c>
      <c r="W154" s="87" t="str">
        <f>V154</f>
        <v>650 - Pouring</v>
      </c>
      <c r="X154" s="87" t="str">
        <f>W154</f>
        <v>650 - Pouring</v>
      </c>
      <c r="Y154" s="1335" t="str">
        <f>X154</f>
        <v>650 - Pouring</v>
      </c>
      <c r="Z154" s="1336" t="str">
        <f>Y154</f>
        <v>650 - Pouring</v>
      </c>
      <c r="AA154" s="87" t="str">
        <f>'XFMR Data'!F2</f>
        <v>660 - HV Tester</v>
      </c>
      <c r="AB154" s="87" t="str">
        <f>AA154</f>
        <v>660 - HV Tester</v>
      </c>
      <c r="AC154" s="87" t="str">
        <f>AB154</f>
        <v>660 - HV Tester</v>
      </c>
      <c r="AD154" s="1335" t="str">
        <f>AC154</f>
        <v>660 - HV Tester</v>
      </c>
      <c r="AE154" s="1336" t="str">
        <f>AD154</f>
        <v>660 - HV Tester</v>
      </c>
      <c r="AI154" s="1335"/>
      <c r="AJ154" s="1336"/>
      <c r="AN154" s="1335"/>
      <c r="AO154" s="1336"/>
      <c r="AS154" s="1335"/>
      <c r="AT154" s="1336"/>
      <c r="AX154" s="1335"/>
      <c r="AY154" s="1336"/>
    </row>
    <row r="155" spans="1:51" s="87" customFormat="1" x14ac:dyDescent="0.25">
      <c r="A155" s="87" t="s">
        <v>16</v>
      </c>
      <c r="B155" s="1335" t="s">
        <v>17</v>
      </c>
      <c r="C155" s="87" t="s">
        <v>18</v>
      </c>
      <c r="D155" s="87" t="s">
        <v>19</v>
      </c>
      <c r="E155" s="87" t="s">
        <v>20</v>
      </c>
      <c r="F155" s="1336" t="s">
        <v>21</v>
      </c>
      <c r="G155" s="1335" t="s">
        <v>17</v>
      </c>
      <c r="H155" s="87" t="s">
        <v>18</v>
      </c>
      <c r="I155" s="87" t="s">
        <v>19</v>
      </c>
      <c r="J155" s="87" t="s">
        <v>20</v>
      </c>
      <c r="K155" s="1336" t="s">
        <v>21</v>
      </c>
      <c r="L155" s="87" t="s">
        <v>17</v>
      </c>
      <c r="M155" s="87" t="s">
        <v>18</v>
      </c>
      <c r="N155" s="87" t="s">
        <v>19</v>
      </c>
      <c r="O155" s="1335" t="s">
        <v>20</v>
      </c>
      <c r="P155" s="1336" t="s">
        <v>21</v>
      </c>
      <c r="Q155" s="87" t="s">
        <v>17</v>
      </c>
      <c r="R155" s="87" t="s">
        <v>18</v>
      </c>
      <c r="S155" s="87" t="s">
        <v>19</v>
      </c>
      <c r="T155" s="1335" t="s">
        <v>20</v>
      </c>
      <c r="U155" s="1336" t="s">
        <v>21</v>
      </c>
      <c r="V155" s="87" t="s">
        <v>17</v>
      </c>
      <c r="W155" s="87" t="s">
        <v>18</v>
      </c>
      <c r="X155" s="87" t="s">
        <v>19</v>
      </c>
      <c r="Y155" s="1335" t="s">
        <v>20</v>
      </c>
      <c r="Z155" s="1336" t="s">
        <v>21</v>
      </c>
      <c r="AA155" s="87" t="s">
        <v>17</v>
      </c>
      <c r="AB155" s="87" t="s">
        <v>18</v>
      </c>
      <c r="AC155" s="87" t="s">
        <v>19</v>
      </c>
      <c r="AD155" s="1335" t="s">
        <v>20</v>
      </c>
      <c r="AE155" s="1336" t="s">
        <v>21</v>
      </c>
      <c r="AI155" s="1335"/>
      <c r="AJ155" s="1336"/>
      <c r="AN155" s="1335"/>
      <c r="AO155" s="1336"/>
      <c r="AS155" s="1335"/>
      <c r="AT155" s="1336"/>
      <c r="AX155" s="1335"/>
      <c r="AY155" s="1336"/>
    </row>
    <row r="156" spans="1:51" s="87" customFormat="1" x14ac:dyDescent="0.25">
      <c r="A156" s="87" t="s">
        <v>22</v>
      </c>
      <c r="B156" s="1335" t="s">
        <v>23</v>
      </c>
      <c r="C156" s="87" t="s">
        <v>24</v>
      </c>
      <c r="D156" s="87" t="s">
        <v>25</v>
      </c>
      <c r="E156" s="1346" t="s">
        <v>26</v>
      </c>
      <c r="F156" s="1347" t="s">
        <v>27</v>
      </c>
      <c r="G156" s="1335" t="str">
        <f>'XFMR Data'!B3</f>
        <v>13 Wks</v>
      </c>
      <c r="H156" s="87" t="str">
        <f>'XFMR Data'!G3</f>
        <v>14 - 26 Wks</v>
      </c>
      <c r="I156" s="87" t="str">
        <f>'XFMR Data'!L3</f>
        <v>27 - 52 Wks</v>
      </c>
      <c r="K156" s="1336"/>
      <c r="L156" s="87" t="str">
        <f>G156</f>
        <v>13 Wks</v>
      </c>
      <c r="M156" s="87" t="str">
        <f t="shared" ref="M156" si="116">H156</f>
        <v>14 - 26 Wks</v>
      </c>
      <c r="N156" s="87" t="str">
        <f t="shared" ref="N156" si="117">I156</f>
        <v>27 - 52 Wks</v>
      </c>
      <c r="O156" s="1335"/>
      <c r="P156" s="1336"/>
      <c r="Q156" s="87" t="str">
        <f>G156</f>
        <v>13 Wks</v>
      </c>
      <c r="R156" s="87" t="str">
        <f t="shared" ref="R156" si="118">H156</f>
        <v>14 - 26 Wks</v>
      </c>
      <c r="S156" s="87" t="str">
        <f t="shared" ref="S156" si="119">I156</f>
        <v>27 - 52 Wks</v>
      </c>
      <c r="T156" s="1335"/>
      <c r="U156" s="1336"/>
      <c r="V156" s="87" t="str">
        <f>Q156</f>
        <v>13 Wks</v>
      </c>
      <c r="W156" s="87" t="str">
        <f>R156</f>
        <v>14 - 26 Wks</v>
      </c>
      <c r="X156" s="87" t="str">
        <f>S156</f>
        <v>27 - 52 Wks</v>
      </c>
      <c r="Y156" s="1335"/>
      <c r="Z156" s="1336"/>
      <c r="AA156" s="87" t="str">
        <f>V156</f>
        <v>13 Wks</v>
      </c>
      <c r="AB156" s="87" t="str">
        <f>W156</f>
        <v>14 - 26 Wks</v>
      </c>
      <c r="AC156" s="87" t="str">
        <f>X156</f>
        <v>27 - 52 Wks</v>
      </c>
      <c r="AD156" s="1335"/>
      <c r="AE156" s="1336"/>
      <c r="AI156" s="1335"/>
      <c r="AJ156" s="1336"/>
      <c r="AN156" s="1335"/>
      <c r="AO156" s="1336"/>
      <c r="AS156" s="1335"/>
      <c r="AT156" s="1336"/>
      <c r="AX156" s="1335"/>
      <c r="AY156" s="1336"/>
    </row>
    <row r="157" spans="1:51" s="191" customFormat="1" x14ac:dyDescent="0.25">
      <c r="A157" s="1333">
        <f>'XFMR Data'!A52</f>
        <v>44593</v>
      </c>
      <c r="B157" s="30">
        <f>'XFMR Data'!T52*('XFMR Data'!Q52/100)</f>
        <v>317.24</v>
      </c>
      <c r="C157" s="30">
        <f>'XFMR Data'!U52*('XFMR Data'!R52/100)</f>
        <v>253.08</v>
      </c>
      <c r="D157" s="30">
        <f>'XFMR Data'!V52*('XFMR Data'!S52/100)</f>
        <v>319.28000000000003</v>
      </c>
      <c r="E157" s="191" t="s">
        <v>28</v>
      </c>
      <c r="F157" s="192" t="s">
        <v>28</v>
      </c>
      <c r="G157" s="1334">
        <f>'XFMR Data'!B52</f>
        <v>71</v>
      </c>
      <c r="H157" s="191">
        <f>'XFMR Data'!G52</f>
        <v>64</v>
      </c>
      <c r="I157" s="30">
        <f>'XFMR Data'!L52</f>
        <v>73</v>
      </c>
      <c r="J157" s="191" t="s">
        <v>28</v>
      </c>
      <c r="K157" s="192" t="s">
        <v>28</v>
      </c>
      <c r="L157" s="30">
        <f>'XFMR Data'!C52</f>
        <v>41</v>
      </c>
      <c r="M157" s="30">
        <f>'XFMR Data'!H52</f>
        <v>27</v>
      </c>
      <c r="N157" s="30">
        <f>'XFMR Data'!M52</f>
        <v>46</v>
      </c>
      <c r="O157" s="190" t="s">
        <v>28</v>
      </c>
      <c r="P157" s="192" t="s">
        <v>28</v>
      </c>
      <c r="Q157" s="30">
        <f>'XFMR Data'!D52</f>
        <v>59</v>
      </c>
      <c r="R157" s="30">
        <f>'XFMR Data'!I52</f>
        <v>43</v>
      </c>
      <c r="S157" s="30">
        <f>'XFMR Data'!N52</f>
        <v>62</v>
      </c>
      <c r="T157" s="190" t="s">
        <v>28</v>
      </c>
      <c r="U157" s="192" t="s">
        <v>28</v>
      </c>
      <c r="V157" s="30">
        <f>'XFMR Data'!E52</f>
        <v>36</v>
      </c>
      <c r="W157" s="30">
        <f>'XFMR Data'!J52</f>
        <v>28</v>
      </c>
      <c r="X157" s="30">
        <f>'XFMR Data'!O52</f>
        <v>38</v>
      </c>
      <c r="Y157" s="190" t="s">
        <v>28</v>
      </c>
      <c r="Z157" s="192" t="s">
        <v>28</v>
      </c>
      <c r="AA157" s="30">
        <f>'XFMR Data'!F52</f>
        <v>48</v>
      </c>
      <c r="AB157" s="191">
        <f>'XFMR Data'!K52</f>
        <v>30</v>
      </c>
      <c r="AC157" s="30">
        <f>'XFMR Data'!P52</f>
        <v>51</v>
      </c>
      <c r="AD157" s="190" t="s">
        <v>28</v>
      </c>
      <c r="AE157" s="192" t="s">
        <v>28</v>
      </c>
      <c r="AI157" s="190"/>
      <c r="AJ157" s="192"/>
      <c r="AN157" s="190"/>
      <c r="AO157" s="192"/>
      <c r="AS157" s="190"/>
      <c r="AT157" s="192"/>
      <c r="AX157" s="190"/>
      <c r="AY157" s="192"/>
    </row>
    <row r="158" spans="1:51" x14ac:dyDescent="0.25">
      <c r="A158" s="1332">
        <f>'XFMR Data'!A53</f>
        <v>44617</v>
      </c>
      <c r="B158" s="7">
        <f>'XFMR Data'!T53*('XFMR Data'!Q53/100)</f>
        <v>313.02</v>
      </c>
      <c r="C158" s="7">
        <f>'XFMR Data'!U53*('XFMR Data'!R53/100)</f>
        <v>163.16999999999999</v>
      </c>
      <c r="D158" s="7">
        <f>'XFMR Data'!V53*('XFMR Data'!S53/100)</f>
        <v>197.6</v>
      </c>
      <c r="E158" s="43" t="s">
        <v>28</v>
      </c>
      <c r="F158" s="81" t="s">
        <v>28</v>
      </c>
      <c r="G158" s="14">
        <f>'XFMR Data'!B53</f>
        <v>73</v>
      </c>
      <c r="H158" s="43">
        <f>'XFMR Data'!G53</f>
        <v>36</v>
      </c>
      <c r="I158" s="7">
        <f>'XFMR Data'!L53</f>
        <v>40</v>
      </c>
      <c r="J158" s="43" t="s">
        <v>28</v>
      </c>
      <c r="K158" s="81" t="s">
        <v>28</v>
      </c>
      <c r="L158" s="7">
        <f>'XFMR Data'!C53</f>
        <v>38</v>
      </c>
      <c r="M158" s="7">
        <f>'XFMR Data'!H53</f>
        <v>24</v>
      </c>
      <c r="N158" s="7">
        <f>'XFMR Data'!M53</f>
        <v>37</v>
      </c>
      <c r="O158" s="67" t="s">
        <v>28</v>
      </c>
      <c r="P158" s="81" t="s">
        <v>28</v>
      </c>
      <c r="Q158" s="7">
        <f>'XFMR Data'!D53</f>
        <v>57</v>
      </c>
      <c r="R158" s="7">
        <f>'XFMR Data'!I53</f>
        <v>29</v>
      </c>
      <c r="S158" s="7">
        <f>'XFMR Data'!N53</f>
        <v>39</v>
      </c>
      <c r="T158" s="67" t="s">
        <v>28</v>
      </c>
      <c r="U158" s="81" t="s">
        <v>28</v>
      </c>
      <c r="V158" s="7">
        <f>'XFMR Data'!E53</f>
        <v>36</v>
      </c>
      <c r="W158" s="7">
        <f>'XFMR Data'!J53</f>
        <v>17</v>
      </c>
      <c r="X158" s="7">
        <f>'XFMR Data'!O53</f>
        <v>22</v>
      </c>
      <c r="Y158" s="67" t="s">
        <v>28</v>
      </c>
      <c r="Z158" s="81" t="s">
        <v>28</v>
      </c>
      <c r="AA158" s="7">
        <f>'XFMR Data'!F53</f>
        <v>43</v>
      </c>
      <c r="AB158" s="43">
        <f>'XFMR Data'!K53</f>
        <v>26</v>
      </c>
      <c r="AC158" s="7">
        <f>'XFMR Data'!P53</f>
        <v>39</v>
      </c>
      <c r="AD158" s="67" t="s">
        <v>28</v>
      </c>
      <c r="AE158" s="81" t="s">
        <v>28</v>
      </c>
    </row>
    <row r="159" spans="1:51" x14ac:dyDescent="0.25">
      <c r="A159" s="1332">
        <f>'XFMR Data'!A54</f>
        <v>44650</v>
      </c>
      <c r="B159" s="7">
        <f>'XFMR Data'!T54*('XFMR Data'!Q54/100)</f>
        <v>270.48</v>
      </c>
      <c r="C159" s="7">
        <f>'XFMR Data'!U54*('XFMR Data'!R54/100)</f>
        <v>216.32</v>
      </c>
      <c r="D159" s="7">
        <f>'XFMR Data'!V54*('XFMR Data'!S54/100)</f>
        <v>234.08</v>
      </c>
      <c r="E159" s="116" t="s">
        <v>28</v>
      </c>
      <c r="F159" s="81" t="s">
        <v>28</v>
      </c>
      <c r="G159" s="14">
        <f>'XFMR Data'!B54</f>
        <v>67</v>
      </c>
      <c r="H159" s="43">
        <f>'XFMR Data'!G54</f>
        <v>70</v>
      </c>
      <c r="I159" s="7">
        <f>'XFMR Data'!L54</f>
        <v>73</v>
      </c>
      <c r="J159" s="116" t="s">
        <v>28</v>
      </c>
      <c r="K159" s="81" t="s">
        <v>28</v>
      </c>
      <c r="L159" s="7">
        <f>'XFMR Data'!C54</f>
        <v>29</v>
      </c>
      <c r="M159" s="7">
        <f>'XFMR Data'!H54</f>
        <v>28</v>
      </c>
      <c r="N159" s="7">
        <f>'XFMR Data'!M54</f>
        <v>42</v>
      </c>
      <c r="O159" s="1341" t="s">
        <v>28</v>
      </c>
      <c r="P159" s="81" t="s">
        <v>28</v>
      </c>
      <c r="Q159" s="7">
        <f>'XFMR Data'!D54</f>
        <v>52</v>
      </c>
      <c r="R159" s="7">
        <f>'XFMR Data'!I54</f>
        <v>48</v>
      </c>
      <c r="S159" s="7">
        <f>'XFMR Data'!N54</f>
        <v>59</v>
      </c>
      <c r="T159" s="1341" t="s">
        <v>28</v>
      </c>
      <c r="U159" s="81" t="s">
        <v>28</v>
      </c>
      <c r="V159" s="7">
        <f>'XFMR Data'!E54</f>
        <v>33</v>
      </c>
      <c r="W159" s="7">
        <f>'XFMR Data'!J54</f>
        <v>32</v>
      </c>
      <c r="X159" s="7">
        <f>'XFMR Data'!O54</f>
        <v>37</v>
      </c>
      <c r="Y159" s="1341" t="s">
        <v>28</v>
      </c>
      <c r="Z159" s="81" t="s">
        <v>28</v>
      </c>
      <c r="AA159" s="7">
        <f>'XFMR Data'!F54</f>
        <v>37</v>
      </c>
      <c r="AB159" s="43">
        <f>'XFMR Data'!K54</f>
        <v>33</v>
      </c>
      <c r="AC159" s="7">
        <f>'XFMR Data'!P54</f>
        <v>48</v>
      </c>
      <c r="AD159" s="1341" t="s">
        <v>28</v>
      </c>
      <c r="AE159" s="81" t="s">
        <v>28</v>
      </c>
    </row>
    <row r="160" spans="1:51" x14ac:dyDescent="0.25">
      <c r="A160" s="1332">
        <f>'XFMR Data'!A55</f>
        <v>44691</v>
      </c>
      <c r="B160" s="7">
        <f>'XFMR Data'!T55*('XFMR Data'!Q55/100)</f>
        <v>271.45999999999998</v>
      </c>
      <c r="C160" s="7">
        <f>'XFMR Data'!U55*('XFMR Data'!R55/100)</f>
        <v>287.84999999999997</v>
      </c>
      <c r="D160" s="7">
        <f>'XFMR Data'!V55*('XFMR Data'!S55/100)</f>
        <v>233.92</v>
      </c>
      <c r="E160" s="116">
        <f t="shared" ref="E160:E165" si="120">B160/C157</f>
        <v>1.072625256835783</v>
      </c>
      <c r="F160" s="81" t="s">
        <v>28</v>
      </c>
      <c r="G160" s="14">
        <f>'XFMR Data'!B55</f>
        <v>65</v>
      </c>
      <c r="H160" s="43">
        <f>'XFMR Data'!G55</f>
        <v>63</v>
      </c>
      <c r="I160" s="7">
        <f>'XFMR Data'!L55</f>
        <v>55</v>
      </c>
      <c r="J160" s="116">
        <f t="shared" ref="J160:J165" si="121">G160/H157</f>
        <v>1.015625</v>
      </c>
      <c r="K160" s="81" t="s">
        <v>28</v>
      </c>
      <c r="L160" s="7">
        <f>'XFMR Data'!C55</f>
        <v>26</v>
      </c>
      <c r="M160" s="7">
        <f>'XFMR Data'!H55</f>
        <v>32</v>
      </c>
      <c r="N160" s="7">
        <f>'XFMR Data'!M55</f>
        <v>31</v>
      </c>
      <c r="O160" s="1341">
        <f t="shared" ref="O160:O165" si="122">L160/M157</f>
        <v>0.96296296296296291</v>
      </c>
      <c r="P160" s="81" t="s">
        <v>28</v>
      </c>
      <c r="Q160" s="7">
        <f>'XFMR Data'!D55</f>
        <v>49</v>
      </c>
      <c r="R160" s="7">
        <f>'XFMR Data'!I55</f>
        <v>53</v>
      </c>
      <c r="S160" s="7">
        <f>'XFMR Data'!N55</f>
        <v>49</v>
      </c>
      <c r="T160" s="1341">
        <f t="shared" ref="T160:T165" si="123">Q160/R157</f>
        <v>1.1395348837209303</v>
      </c>
      <c r="U160" s="81" t="s">
        <v>28</v>
      </c>
      <c r="V160" s="7">
        <f>'XFMR Data'!E55</f>
        <v>32</v>
      </c>
      <c r="W160" s="7">
        <f>'XFMR Data'!J55</f>
        <v>34</v>
      </c>
      <c r="X160" s="7">
        <f>'XFMR Data'!O55</f>
        <v>29</v>
      </c>
      <c r="Y160" s="1341">
        <f t="shared" ref="Y160:Y165" si="124">V160/W157</f>
        <v>1.1428571428571428</v>
      </c>
      <c r="Z160" s="81" t="s">
        <v>28</v>
      </c>
      <c r="AA160" s="7">
        <f>'XFMR Data'!F55</f>
        <v>33</v>
      </c>
      <c r="AB160" s="43">
        <f>'XFMR Data'!K55</f>
        <v>38</v>
      </c>
      <c r="AC160" s="7">
        <f>'XFMR Data'!P55</f>
        <v>37</v>
      </c>
      <c r="AD160" s="1341">
        <f t="shared" ref="AD160:AD165" si="125">AA160/AB157</f>
        <v>1.1000000000000001</v>
      </c>
      <c r="AE160" s="81" t="s">
        <v>28</v>
      </c>
    </row>
    <row r="161" spans="1:31" x14ac:dyDescent="0.25">
      <c r="A161" s="1332">
        <f>'XFMR Data'!A56</f>
        <v>44714</v>
      </c>
      <c r="B161" s="7">
        <f>'XFMR Data'!T56*('XFMR Data'!Q56/100)</f>
        <v>252.9</v>
      </c>
      <c r="C161" s="7">
        <f>'XFMR Data'!U56*('XFMR Data'!R56/100)</f>
        <v>257.55</v>
      </c>
      <c r="D161" s="7">
        <f>'XFMR Data'!V56*('XFMR Data'!S56/100)</f>
        <v>201.28</v>
      </c>
      <c r="E161" s="116">
        <f t="shared" si="120"/>
        <v>1.5499172642029786</v>
      </c>
      <c r="F161" s="81" t="s">
        <v>28</v>
      </c>
      <c r="G161" s="14">
        <f>'XFMR Data'!B56</f>
        <v>61</v>
      </c>
      <c r="H161" s="43">
        <f>'XFMR Data'!G56</f>
        <v>53</v>
      </c>
      <c r="I161" s="7">
        <f>'XFMR Data'!L56</f>
        <v>53</v>
      </c>
      <c r="J161" s="116">
        <f t="shared" si="121"/>
        <v>1.6944444444444444</v>
      </c>
      <c r="K161" s="81" t="s">
        <v>28</v>
      </c>
      <c r="L161" s="7">
        <f>'XFMR Data'!C56</f>
        <v>24</v>
      </c>
      <c r="M161" s="7">
        <f>'XFMR Data'!H56</f>
        <v>31</v>
      </c>
      <c r="N161" s="7">
        <f>'XFMR Data'!M56</f>
        <v>26</v>
      </c>
      <c r="O161" s="1341">
        <f t="shared" si="122"/>
        <v>1</v>
      </c>
      <c r="P161" s="81" t="s">
        <v>28</v>
      </c>
      <c r="Q161" s="7">
        <f>'XFMR Data'!D56</f>
        <v>45</v>
      </c>
      <c r="R161" s="7">
        <f>'XFMR Data'!I56</f>
        <v>47</v>
      </c>
      <c r="S161" s="7">
        <f>'XFMR Data'!N56</f>
        <v>38</v>
      </c>
      <c r="T161" s="1341">
        <f t="shared" si="123"/>
        <v>1.5517241379310345</v>
      </c>
      <c r="U161" s="81" t="s">
        <v>28</v>
      </c>
      <c r="V161" s="7">
        <f>'XFMR Data'!E56</f>
        <v>29</v>
      </c>
      <c r="W161" s="7">
        <f>'XFMR Data'!J56</f>
        <v>30</v>
      </c>
      <c r="X161" s="7">
        <f>'XFMR Data'!O56</f>
        <v>25</v>
      </c>
      <c r="Y161" s="1341">
        <f t="shared" si="124"/>
        <v>1.7058823529411764</v>
      </c>
      <c r="Z161" s="81" t="s">
        <v>28</v>
      </c>
      <c r="AA161" s="7">
        <f>'XFMR Data'!F56</f>
        <v>32</v>
      </c>
      <c r="AB161" s="43">
        <f>'XFMR Data'!K56</f>
        <v>35</v>
      </c>
      <c r="AC161" s="7">
        <f>'XFMR Data'!P56</f>
        <v>31</v>
      </c>
      <c r="AD161" s="1341">
        <f t="shared" si="125"/>
        <v>1.2307692307692308</v>
      </c>
      <c r="AE161" s="81" t="s">
        <v>28</v>
      </c>
    </row>
    <row r="162" spans="1:31" x14ac:dyDescent="0.25">
      <c r="A162" s="1332">
        <f>'XFMR Data'!A57</f>
        <v>44753</v>
      </c>
      <c r="B162" s="7">
        <f>'XFMR Data'!T57*('XFMR Data'!Q57/100)</f>
        <v>223.86</v>
      </c>
      <c r="C162" s="7">
        <f>'XFMR Data'!U57*('XFMR Data'!R57/100)</f>
        <v>183.6</v>
      </c>
      <c r="D162" s="7">
        <f>'XFMR Data'!V57*('XFMR Data'!S57/100)</f>
        <v>206.48</v>
      </c>
      <c r="E162" s="116">
        <f t="shared" si="120"/>
        <v>1.0348557692307694</v>
      </c>
      <c r="F162" s="81" t="s">
        <v>28</v>
      </c>
      <c r="G162" s="14">
        <f>'XFMR Data'!B57</f>
        <v>51</v>
      </c>
      <c r="H162" s="43">
        <f>'XFMR Data'!G57</f>
        <v>44</v>
      </c>
      <c r="I162" s="7">
        <f>'XFMR Data'!L57</f>
        <v>50</v>
      </c>
      <c r="J162" s="116">
        <f t="shared" si="121"/>
        <v>0.72857142857142854</v>
      </c>
      <c r="K162" s="81" t="s">
        <v>28</v>
      </c>
      <c r="L162" s="7">
        <f>'XFMR Data'!C57</f>
        <v>25</v>
      </c>
      <c r="M162" s="7">
        <f>'XFMR Data'!H57</f>
        <v>26</v>
      </c>
      <c r="N162" s="7">
        <f>'XFMR Data'!M57</f>
        <v>24</v>
      </c>
      <c r="O162" s="1341">
        <f t="shared" si="122"/>
        <v>0.8928571428571429</v>
      </c>
      <c r="P162" s="81" t="s">
        <v>28</v>
      </c>
      <c r="Q162" s="7">
        <f>'XFMR Data'!D57</f>
        <v>40</v>
      </c>
      <c r="R162" s="7">
        <f>'XFMR Data'!I57</f>
        <v>40</v>
      </c>
      <c r="S162" s="7">
        <f>'XFMR Data'!N57</f>
        <v>36</v>
      </c>
      <c r="T162" s="1341">
        <f t="shared" si="123"/>
        <v>0.83333333333333337</v>
      </c>
      <c r="U162" s="81" t="s">
        <v>28</v>
      </c>
      <c r="V162" s="7">
        <f>'XFMR Data'!E57</f>
        <v>25</v>
      </c>
      <c r="W162" s="7">
        <f>'XFMR Data'!J57</f>
        <v>25</v>
      </c>
      <c r="X162" s="7">
        <f>'XFMR Data'!O57</f>
        <v>25</v>
      </c>
      <c r="Y162" s="1341">
        <f t="shared" si="124"/>
        <v>0.78125</v>
      </c>
      <c r="Z162" s="81" t="s">
        <v>28</v>
      </c>
      <c r="AA162" s="7">
        <f>'XFMR Data'!F57</f>
        <v>27</v>
      </c>
      <c r="AB162" s="43">
        <f>'XFMR Data'!K57</f>
        <v>33</v>
      </c>
      <c r="AC162" s="7">
        <f>'XFMR Data'!P57</f>
        <v>27</v>
      </c>
      <c r="AD162" s="1341">
        <f t="shared" si="125"/>
        <v>0.81818181818181823</v>
      </c>
      <c r="AE162" s="81" t="s">
        <v>28</v>
      </c>
    </row>
    <row r="163" spans="1:31" x14ac:dyDescent="0.25">
      <c r="A163" s="1332">
        <v>44774</v>
      </c>
      <c r="B163" s="7">
        <f>'XFMR Data'!T58*('XFMR Data'!Q58/100)</f>
        <v>190.8</v>
      </c>
      <c r="C163" s="7">
        <f>'XFMR Data'!U58*('XFMR Data'!R58/100)</f>
        <v>193.92</v>
      </c>
      <c r="D163" s="7">
        <f>'XFMR Data'!V58*('XFMR Data'!S58/100)</f>
        <v>197.4</v>
      </c>
      <c r="E163" s="116">
        <f t="shared" si="120"/>
        <v>0.66284523189161038</v>
      </c>
      <c r="F163" s="116">
        <f t="shared" ref="F163:F168" si="126">B163/D157</f>
        <v>0.59759458782260089</v>
      </c>
      <c r="G163" s="14">
        <f>'XFMR Data'!B58</f>
        <v>43</v>
      </c>
      <c r="H163" s="43">
        <f>'XFMR Data'!G58</f>
        <v>47</v>
      </c>
      <c r="I163" s="7">
        <f>'XFMR Data'!L58</f>
        <v>44</v>
      </c>
      <c r="J163" s="116">
        <f t="shared" si="121"/>
        <v>0.68253968253968256</v>
      </c>
      <c r="K163" s="116">
        <f t="shared" ref="K163:K168" si="127">G163/I157</f>
        <v>0.58904109589041098</v>
      </c>
      <c r="L163" s="7">
        <f>'XFMR Data'!C58</f>
        <v>20</v>
      </c>
      <c r="M163" s="7">
        <f>'XFMR Data'!H58</f>
        <v>27</v>
      </c>
      <c r="N163" s="7">
        <f>'XFMR Data'!M58</f>
        <v>25</v>
      </c>
      <c r="O163" s="1341">
        <f t="shared" si="122"/>
        <v>0.625</v>
      </c>
      <c r="P163" s="116">
        <f t="shared" ref="P163:P168" si="128">L163/N157</f>
        <v>0.43478260869565216</v>
      </c>
      <c r="Q163" s="7">
        <f>'XFMR Data'!D58</f>
        <v>35</v>
      </c>
      <c r="R163" s="7">
        <f>'XFMR Data'!I58</f>
        <v>42</v>
      </c>
      <c r="S163" s="7">
        <f>'XFMR Data'!N58</f>
        <v>36</v>
      </c>
      <c r="T163" s="1341">
        <f t="shared" si="123"/>
        <v>0.660377358490566</v>
      </c>
      <c r="U163" s="116">
        <f t="shared" ref="U163:U168" si="129">Q163/S157</f>
        <v>0.56451612903225812</v>
      </c>
      <c r="V163" s="7">
        <f>'XFMR Data'!E58</f>
        <v>21</v>
      </c>
      <c r="W163" s="7">
        <f>'XFMR Data'!J58</f>
        <v>26</v>
      </c>
      <c r="X163" s="7">
        <f>'XFMR Data'!O58</f>
        <v>23</v>
      </c>
      <c r="Y163" s="1341">
        <f t="shared" si="124"/>
        <v>0.61764705882352944</v>
      </c>
      <c r="Z163" s="116">
        <f t="shared" ref="Z163:Z168" si="130">V163/X157</f>
        <v>0.55263157894736847</v>
      </c>
      <c r="AA163" s="7">
        <f>'XFMR Data'!F58</f>
        <v>27</v>
      </c>
      <c r="AB163" s="43">
        <f>'XFMR Data'!K58</f>
        <v>33</v>
      </c>
      <c r="AC163" s="7">
        <f>'XFMR Data'!P58</f>
        <v>28</v>
      </c>
      <c r="AD163" s="1341">
        <f t="shared" si="125"/>
        <v>0.71052631578947367</v>
      </c>
      <c r="AE163" s="116">
        <f t="shared" ref="AE163:AE168" si="131">AA163/AC157</f>
        <v>0.52941176470588236</v>
      </c>
    </row>
    <row r="164" spans="1:31" x14ac:dyDescent="0.25">
      <c r="A164" s="1332">
        <v>44805</v>
      </c>
      <c r="B164" s="7">
        <f>'XFMR Data'!T59*('XFMR Data'!Q59/100)</f>
        <v>191.1</v>
      </c>
      <c r="C164" s="7">
        <f>'XFMR Data'!U59*('XFMR Data'!R59/100)</f>
        <v>192</v>
      </c>
      <c r="D164" s="7">
        <f>'XFMR Data'!V59*('XFMR Data'!S59/100)</f>
        <v>192.93</v>
      </c>
      <c r="E164" s="116">
        <f t="shared" si="120"/>
        <v>0.74199184624344783</v>
      </c>
      <c r="F164" s="116">
        <f t="shared" si="126"/>
        <v>0.96710526315789469</v>
      </c>
      <c r="G164" s="14">
        <f>'XFMR Data'!B59</f>
        <v>46</v>
      </c>
      <c r="H164" s="43">
        <f>'XFMR Data'!G59</f>
        <v>45</v>
      </c>
      <c r="I164" s="7">
        <f>'XFMR Data'!L59</f>
        <v>46</v>
      </c>
      <c r="J164" s="116">
        <f t="shared" si="121"/>
        <v>0.86792452830188682</v>
      </c>
      <c r="K164" s="116">
        <f t="shared" si="127"/>
        <v>1.1499999999999999</v>
      </c>
      <c r="L164" s="7">
        <f>'XFMR Data'!C59</f>
        <v>20</v>
      </c>
      <c r="M164" s="7">
        <f>'XFMR Data'!H59</f>
        <v>31</v>
      </c>
      <c r="N164" s="7">
        <f>'XFMR Data'!M59</f>
        <v>22</v>
      </c>
      <c r="O164" s="1341">
        <f t="shared" si="122"/>
        <v>0.64516129032258063</v>
      </c>
      <c r="P164" s="116">
        <f t="shared" si="128"/>
        <v>0.54054054054054057</v>
      </c>
      <c r="Q164" s="7">
        <f>'XFMR Data'!D59</f>
        <v>33</v>
      </c>
      <c r="R164" s="7">
        <f>'XFMR Data'!I59</f>
        <v>46</v>
      </c>
      <c r="S164" s="7">
        <f>'XFMR Data'!N59</f>
        <v>34</v>
      </c>
      <c r="T164" s="1341">
        <f t="shared" si="123"/>
        <v>0.7021276595744681</v>
      </c>
      <c r="U164" s="116">
        <f t="shared" si="129"/>
        <v>0.84615384615384615</v>
      </c>
      <c r="V164" s="7">
        <f>'XFMR Data'!E59</f>
        <v>21</v>
      </c>
      <c r="W164" s="7">
        <f>'XFMR Data'!J59</f>
        <v>26</v>
      </c>
      <c r="X164" s="7">
        <f>'XFMR Data'!O59</f>
        <v>22</v>
      </c>
      <c r="Y164" s="1341">
        <f t="shared" si="124"/>
        <v>0.7</v>
      </c>
      <c r="Z164" s="116">
        <f t="shared" si="130"/>
        <v>0.95454545454545459</v>
      </c>
      <c r="AA164" s="7">
        <f>'XFMR Data'!F59</f>
        <v>25</v>
      </c>
      <c r="AB164" s="43">
        <f>'XFMR Data'!K59</f>
        <v>31</v>
      </c>
      <c r="AC164" s="7">
        <f>'XFMR Data'!P59</f>
        <v>27</v>
      </c>
      <c r="AD164" s="1341">
        <f t="shared" si="125"/>
        <v>0.7142857142857143</v>
      </c>
      <c r="AE164" s="116">
        <f t="shared" si="131"/>
        <v>0.64102564102564108</v>
      </c>
    </row>
    <row r="165" spans="1:31" x14ac:dyDescent="0.25">
      <c r="A165" s="1332">
        <v>44838</v>
      </c>
      <c r="B165" s="7">
        <f>'XFMR Data'!T60*('XFMR Data'!Q60/100)</f>
        <v>166.47</v>
      </c>
      <c r="C165" s="7">
        <f>'XFMR Data'!U60*('XFMR Data'!R60/100)</f>
        <v>196.79999999999998</v>
      </c>
      <c r="D165" s="7">
        <f>'XFMR Data'!V60*('XFMR Data'!S60/100)</f>
        <v>204.82</v>
      </c>
      <c r="E165" s="116">
        <f t="shared" si="120"/>
        <v>0.90669934640522876</v>
      </c>
      <c r="F165" s="116">
        <f t="shared" si="126"/>
        <v>0.71116712235133284</v>
      </c>
      <c r="G165" s="14">
        <f>'XFMR Data'!B60</f>
        <v>38</v>
      </c>
      <c r="H165" s="43">
        <f>'XFMR Data'!G60</f>
        <v>53</v>
      </c>
      <c r="I165" s="7">
        <f>'XFMR Data'!L60</f>
        <v>50</v>
      </c>
      <c r="J165" s="116">
        <f t="shared" si="121"/>
        <v>0.86363636363636365</v>
      </c>
      <c r="K165" s="116">
        <f t="shared" si="127"/>
        <v>0.52054794520547942</v>
      </c>
      <c r="L165" s="7">
        <f>'XFMR Data'!C60</f>
        <v>23</v>
      </c>
      <c r="M165" s="7">
        <f>'XFMR Data'!H60</f>
        <v>19</v>
      </c>
      <c r="N165" s="7">
        <f>'XFMR Data'!M60</f>
        <v>24</v>
      </c>
      <c r="O165" s="1341">
        <f t="shared" si="122"/>
        <v>0.88461538461538458</v>
      </c>
      <c r="P165" s="116">
        <f t="shared" si="128"/>
        <v>0.54761904761904767</v>
      </c>
      <c r="Q165" s="7">
        <f>'XFMR Data'!D60</f>
        <v>37</v>
      </c>
      <c r="R165" s="7">
        <f>'XFMR Data'!I60</f>
        <v>36</v>
      </c>
      <c r="S165" s="7">
        <f>'XFMR Data'!N60</f>
        <v>36</v>
      </c>
      <c r="T165" s="1341">
        <f t="shared" si="123"/>
        <v>0.92500000000000004</v>
      </c>
      <c r="U165" s="116">
        <f t="shared" si="129"/>
        <v>0.6271186440677966</v>
      </c>
      <c r="V165" s="7">
        <f>'XFMR Data'!E60</f>
        <v>22</v>
      </c>
      <c r="W165" s="7">
        <f>'XFMR Data'!J60</f>
        <v>22</v>
      </c>
      <c r="X165" s="7">
        <f>'XFMR Data'!O60</f>
        <v>23</v>
      </c>
      <c r="Y165" s="1341">
        <f t="shared" si="124"/>
        <v>0.88</v>
      </c>
      <c r="Z165" s="116">
        <f t="shared" si="130"/>
        <v>0.59459459459459463</v>
      </c>
      <c r="AA165" s="7">
        <f>'XFMR Data'!F60</f>
        <v>38</v>
      </c>
      <c r="AB165" s="43">
        <f>'XFMR Data'!K60</f>
        <v>28</v>
      </c>
      <c r="AC165" s="7">
        <f>'XFMR Data'!P60</f>
        <v>26</v>
      </c>
      <c r="AD165" s="1341">
        <f t="shared" si="125"/>
        <v>1.1515151515151516</v>
      </c>
      <c r="AE165" s="116">
        <f t="shared" si="131"/>
        <v>0.79166666666666663</v>
      </c>
    </row>
    <row r="166" spans="1:31" x14ac:dyDescent="0.25">
      <c r="A166" s="1332">
        <v>44868</v>
      </c>
      <c r="B166" s="7">
        <f>'XFMR Data'!T61*('XFMR Data'!Q61/100)</f>
        <v>138.72</v>
      </c>
      <c r="C166" s="7">
        <f>'XFMR Data'!U61*('XFMR Data'!R61/100)</f>
        <v>159.58000000000001</v>
      </c>
      <c r="D166" s="7">
        <f>'XFMR Data'!V61*('XFMR Data'!S61/100)</f>
        <v>182.7</v>
      </c>
      <c r="E166" s="116">
        <f t="shared" ref="E166" si="132">B166/C163</f>
        <v>0.71534653465346543</v>
      </c>
      <c r="F166" s="116">
        <f t="shared" si="126"/>
        <v>0.59302325581395354</v>
      </c>
      <c r="G166" s="14">
        <f>'XFMR Data'!B61</f>
        <v>27</v>
      </c>
      <c r="H166" s="43">
        <f>'XFMR Data'!G61</f>
        <v>45</v>
      </c>
      <c r="I166" s="7">
        <f>'XFMR Data'!L61</f>
        <v>41</v>
      </c>
      <c r="J166" s="116">
        <f t="shared" ref="J166" si="133">G166/H163</f>
        <v>0.57446808510638303</v>
      </c>
      <c r="K166" s="116">
        <f t="shared" si="127"/>
        <v>0.49090909090909091</v>
      </c>
      <c r="L166" s="7">
        <f>'XFMR Data'!C61</f>
        <v>18</v>
      </c>
      <c r="M166" s="7">
        <f>'XFMR Data'!H61</f>
        <v>16</v>
      </c>
      <c r="N166" s="7">
        <f>'XFMR Data'!M61</f>
        <v>23</v>
      </c>
      <c r="O166" s="1341">
        <f t="shared" ref="O166" si="134">L166/M163</f>
        <v>0.66666666666666663</v>
      </c>
      <c r="P166" s="116">
        <f t="shared" si="128"/>
        <v>0.58064516129032262</v>
      </c>
      <c r="Q166" s="7">
        <f>'XFMR Data'!D61</f>
        <v>28</v>
      </c>
      <c r="R166" s="7">
        <f>'XFMR Data'!I61</f>
        <v>28</v>
      </c>
      <c r="S166" s="7">
        <f>'XFMR Data'!N61</f>
        <v>33</v>
      </c>
      <c r="T166" s="1341">
        <f t="shared" ref="T166" si="135">Q166/R163</f>
        <v>0.66666666666666663</v>
      </c>
      <c r="U166" s="116">
        <f t="shared" si="129"/>
        <v>0.5714285714285714</v>
      </c>
      <c r="V166" s="7">
        <f>'XFMR Data'!E61</f>
        <v>16</v>
      </c>
      <c r="W166" s="7">
        <f>'XFMR Data'!J61</f>
        <v>18</v>
      </c>
      <c r="X166" s="7">
        <f>'XFMR Data'!O61</f>
        <v>21</v>
      </c>
      <c r="Y166" s="1341">
        <f t="shared" ref="Y166" si="136">V166/W163</f>
        <v>0.61538461538461542</v>
      </c>
      <c r="Z166" s="116">
        <f t="shared" si="130"/>
        <v>0.55172413793103448</v>
      </c>
      <c r="AA166" s="7">
        <f>'XFMR Data'!F61</f>
        <v>23</v>
      </c>
      <c r="AB166" s="43">
        <f>'XFMR Data'!K61</f>
        <v>17</v>
      </c>
      <c r="AC166" s="7">
        <f>'XFMR Data'!P61</f>
        <v>26</v>
      </c>
      <c r="AD166" s="1341">
        <f t="shared" ref="AD166" si="137">AA166/AB163</f>
        <v>0.69696969696969702</v>
      </c>
      <c r="AE166" s="116">
        <f t="shared" si="131"/>
        <v>0.6216216216216216</v>
      </c>
    </row>
    <row r="167" spans="1:31" x14ac:dyDescent="0.25">
      <c r="A167" s="1332">
        <v>44908</v>
      </c>
      <c r="B167" s="7">
        <f>'XFMR Data'!T62*('XFMR Data'!Q62/100)</f>
        <v>124.1</v>
      </c>
      <c r="C167" s="7">
        <f>'XFMR Data'!U62*('XFMR Data'!R62/100)</f>
        <v>141.85999999999999</v>
      </c>
      <c r="D167" s="7">
        <f>'XFMR Data'!V62*('XFMR Data'!S62/100)</f>
        <v>220.22</v>
      </c>
      <c r="E167" s="116">
        <f t="shared" ref="E167" si="138">B167/C164</f>
        <v>0.64635416666666667</v>
      </c>
      <c r="F167" s="116">
        <f t="shared" si="126"/>
        <v>0.61655405405405406</v>
      </c>
      <c r="G167" s="14">
        <f>'XFMR Data'!B62</f>
        <v>25</v>
      </c>
      <c r="H167" s="43">
        <f>'XFMR Data'!G62</f>
        <v>36</v>
      </c>
      <c r="I167" s="7">
        <f>'XFMR Data'!L62</f>
        <v>48</v>
      </c>
      <c r="J167" s="116">
        <f t="shared" ref="J167" si="139">G167/H164</f>
        <v>0.55555555555555558</v>
      </c>
      <c r="K167" s="116">
        <f t="shared" si="127"/>
        <v>0.47169811320754718</v>
      </c>
      <c r="L167" s="7">
        <f>'XFMR Data'!C62</f>
        <v>16</v>
      </c>
      <c r="M167" s="7">
        <f>'XFMR Data'!H62</f>
        <v>14</v>
      </c>
      <c r="N167" s="7">
        <f>'XFMR Data'!M62</f>
        <v>27</v>
      </c>
      <c r="O167" s="1341">
        <f t="shared" ref="O167" si="140">L167/M164</f>
        <v>0.5161290322580645</v>
      </c>
      <c r="P167" s="116">
        <f t="shared" si="128"/>
        <v>0.61538461538461542</v>
      </c>
      <c r="Q167" s="7">
        <f>'XFMR Data'!D62</f>
        <v>27</v>
      </c>
      <c r="R167" s="7">
        <f>'XFMR Data'!I62</f>
        <v>26</v>
      </c>
      <c r="S167" s="7">
        <f>'XFMR Data'!N62</f>
        <v>40</v>
      </c>
      <c r="T167" s="1341">
        <f t="shared" ref="T167" si="141">Q167/R164</f>
        <v>0.58695652173913049</v>
      </c>
      <c r="U167" s="116">
        <f t="shared" si="129"/>
        <v>0.71052631578947367</v>
      </c>
      <c r="V167" s="7">
        <f>'XFMR Data'!E62</f>
        <v>14</v>
      </c>
      <c r="W167" s="7">
        <f>'XFMR Data'!J62</f>
        <v>17</v>
      </c>
      <c r="X167" s="7">
        <f>'XFMR Data'!O62</f>
        <v>24</v>
      </c>
      <c r="Y167" s="1341">
        <f t="shared" ref="Y167" si="142">V167/W164</f>
        <v>0.53846153846153844</v>
      </c>
      <c r="Z167" s="116">
        <f t="shared" si="130"/>
        <v>0.56000000000000005</v>
      </c>
      <c r="AA167" s="7">
        <f>'XFMR Data'!F62</f>
        <v>22</v>
      </c>
      <c r="AB167" s="43">
        <f>'XFMR Data'!K62</f>
        <v>18</v>
      </c>
      <c r="AC167" s="7">
        <f>'XFMR Data'!P62</f>
        <v>29</v>
      </c>
      <c r="AD167" s="1341">
        <f t="shared" ref="AD167" si="143">AA167/AB164</f>
        <v>0.70967741935483875</v>
      </c>
      <c r="AE167" s="116">
        <f t="shared" si="131"/>
        <v>0.70967741935483875</v>
      </c>
    </row>
    <row r="168" spans="1:31" x14ac:dyDescent="0.25">
      <c r="A168" s="1332">
        <v>44965</v>
      </c>
      <c r="B168" s="7">
        <f>'XFMR Data'!T63*('XFMR Data'!Q63/100)</f>
        <v>145.6</v>
      </c>
      <c r="C168" s="7">
        <f>'XFMR Data'!U63*('XFMR Data'!R63/100)</f>
        <v>157.25</v>
      </c>
      <c r="D168" s="7">
        <f>'XFMR Data'!V63*('XFMR Data'!S63/100)</f>
        <v>275.27999999999997</v>
      </c>
      <c r="E168" s="116">
        <f t="shared" ref="E168" si="144">B168/C165</f>
        <v>0.73983739837398377</v>
      </c>
      <c r="F168" s="116">
        <f t="shared" si="126"/>
        <v>0.70515304145679969</v>
      </c>
      <c r="G168" s="14">
        <f>'XFMR Data'!B63</f>
        <v>69</v>
      </c>
      <c r="H168" s="43">
        <f>'XFMR Data'!G63</f>
        <v>40</v>
      </c>
      <c r="I168" s="7">
        <f>'XFMR Data'!L63</f>
        <v>121</v>
      </c>
      <c r="J168" s="116">
        <f t="shared" ref="J168" si="145">G168/H165</f>
        <v>1.3018867924528301</v>
      </c>
      <c r="K168" s="116">
        <f t="shared" si="127"/>
        <v>1.38</v>
      </c>
      <c r="L168" s="7">
        <f>'XFMR Data'!C63</f>
        <v>33</v>
      </c>
      <c r="M168" s="7">
        <f>'XFMR Data'!H63</f>
        <v>35</v>
      </c>
      <c r="N168" s="7">
        <f>'XFMR Data'!M63</f>
        <v>62</v>
      </c>
      <c r="O168" s="1341">
        <f t="shared" ref="O168" si="146">L168/M165</f>
        <v>1.736842105263158</v>
      </c>
      <c r="P168" s="116">
        <f t="shared" si="128"/>
        <v>1.375</v>
      </c>
      <c r="Q168" s="7">
        <f>'XFMR Data'!D63</f>
        <v>30</v>
      </c>
      <c r="R168" s="7">
        <f>'XFMR Data'!I63</f>
        <v>22</v>
      </c>
      <c r="S168" s="7">
        <f>'XFMR Data'!N63</f>
        <v>50</v>
      </c>
      <c r="T168" s="1341">
        <f t="shared" ref="T168" si="147">Q168/R165</f>
        <v>0.83333333333333337</v>
      </c>
      <c r="U168" s="116">
        <f t="shared" si="129"/>
        <v>0.83333333333333337</v>
      </c>
      <c r="V168" s="7">
        <f>'XFMR Data'!E63</f>
        <v>17</v>
      </c>
      <c r="W168" s="7">
        <f>'XFMR Data'!J63</f>
        <v>13</v>
      </c>
      <c r="X168" s="7">
        <f>'XFMR Data'!O63</f>
        <v>30</v>
      </c>
      <c r="Y168" s="1341">
        <f t="shared" ref="Y168" si="148">V168/W165</f>
        <v>0.77272727272727271</v>
      </c>
      <c r="Z168" s="116">
        <f t="shared" si="130"/>
        <v>0.68</v>
      </c>
      <c r="AA168" s="7">
        <f>'XFMR Data'!F63</f>
        <v>47</v>
      </c>
      <c r="AB168" s="43">
        <f>'XFMR Data'!K63</f>
        <v>38</v>
      </c>
      <c r="AC168" s="7">
        <f>'XFMR Data'!P63</f>
        <v>70</v>
      </c>
      <c r="AD168" s="1341">
        <f t="shared" ref="AD168" si="149">AA168/AB165</f>
        <v>1.6785714285714286</v>
      </c>
      <c r="AE168" s="116">
        <f t="shared" si="131"/>
        <v>1.7407407407407407</v>
      </c>
    </row>
    <row r="169" spans="1:31" x14ac:dyDescent="0.25">
      <c r="A169" s="1332">
        <v>44992</v>
      </c>
      <c r="B169" s="7">
        <f>'XFMR Data'!T64*('XFMR Data'!Q64/100)</f>
        <v>164.85</v>
      </c>
      <c r="C169" s="7">
        <f>'XFMR Data'!U64*('XFMR Data'!R64/100)</f>
        <v>175.57</v>
      </c>
      <c r="D169" s="7">
        <f>'XFMR Data'!V64*('XFMR Data'!S64/100)</f>
        <v>319.93</v>
      </c>
      <c r="E169" s="116">
        <f t="shared" ref="E169:E203" si="150">B169/C166</f>
        <v>1.0330241884947988</v>
      </c>
      <c r="F169" s="116">
        <f t="shared" ref="F169:F203" si="151">B169/D163</f>
        <v>0.83510638297872331</v>
      </c>
      <c r="G169" s="14">
        <f>'XFMR Data'!B64</f>
        <v>65</v>
      </c>
      <c r="H169" s="43">
        <f>'XFMR Data'!G64</f>
        <v>70</v>
      </c>
      <c r="I169" s="7">
        <f>'XFMR Data'!L64</f>
        <v>126</v>
      </c>
      <c r="J169" s="116">
        <f t="shared" ref="J169:J203" si="152">G169/H166</f>
        <v>1.4444444444444444</v>
      </c>
      <c r="K169" s="116">
        <f t="shared" ref="K169:K203" si="153">G169/I163</f>
        <v>1.4772727272727273</v>
      </c>
      <c r="L169" s="7">
        <f>'XFMR Data'!C64</f>
        <v>39</v>
      </c>
      <c r="M169" s="7">
        <f>'XFMR Data'!H64</f>
        <v>45</v>
      </c>
      <c r="N169" s="7">
        <f>'XFMR Data'!M64</f>
        <v>71</v>
      </c>
      <c r="O169" s="1341">
        <f t="shared" ref="O169:O203" si="154">L169/M166</f>
        <v>2.4375</v>
      </c>
      <c r="P169" s="116">
        <f t="shared" ref="P169:P203" si="155">L169/N163</f>
        <v>1.56</v>
      </c>
      <c r="Q169" s="7">
        <f>'XFMR Data'!D64</f>
        <v>30</v>
      </c>
      <c r="R169" s="7">
        <f>'XFMR Data'!I64</f>
        <v>35</v>
      </c>
      <c r="S169" s="7">
        <f>'XFMR Data'!N64</f>
        <v>56</v>
      </c>
      <c r="T169" s="1341">
        <f t="shared" ref="T169:T203" si="156">Q169/R166</f>
        <v>1.0714285714285714</v>
      </c>
      <c r="U169" s="116">
        <f t="shared" ref="U169:U203" si="157">Q169/S163</f>
        <v>0.83333333333333337</v>
      </c>
      <c r="V169" s="7">
        <f>'XFMR Data'!E64</f>
        <v>18</v>
      </c>
      <c r="W169" s="7">
        <f>'XFMR Data'!J64</f>
        <v>21</v>
      </c>
      <c r="X169" s="7">
        <f>'XFMR Data'!O64</f>
        <v>33</v>
      </c>
      <c r="Y169" s="1341">
        <f t="shared" ref="Y169:Y203" si="158">V169/W166</f>
        <v>1</v>
      </c>
      <c r="Z169" s="116">
        <f t="shared" ref="Z169:Z203" si="159">V169/X163</f>
        <v>0.78260869565217395</v>
      </c>
      <c r="AA169" s="7">
        <f>'XFMR Data'!F64</f>
        <v>60</v>
      </c>
      <c r="AB169" s="43">
        <f>'XFMR Data'!K64</f>
        <v>51</v>
      </c>
      <c r="AC169" s="7">
        <f>'XFMR Data'!P64</f>
        <v>85</v>
      </c>
      <c r="AD169" s="1341">
        <f t="shared" ref="AD169:AD203" si="160">AA169/AB166</f>
        <v>3.5294117647058822</v>
      </c>
      <c r="AE169" s="116">
        <f t="shared" ref="AE169:AE203" si="161">AA169/AC163</f>
        <v>2.1428571428571428</v>
      </c>
    </row>
    <row r="170" spans="1:31" x14ac:dyDescent="0.25">
      <c r="A170" s="1332">
        <v>45020</v>
      </c>
      <c r="B170" s="7">
        <f>'XFMR Data'!T65*('XFMR Data'!Q65/100)</f>
        <v>216.27</v>
      </c>
      <c r="C170" s="7">
        <f>'XFMR Data'!U65*('XFMR Data'!R65/100)</f>
        <v>238.45</v>
      </c>
      <c r="D170" s="7">
        <f>'XFMR Data'!V65*('XFMR Data'!S65/100)</f>
        <v>239.12</v>
      </c>
      <c r="E170" s="116">
        <f t="shared" si="150"/>
        <v>1.5245312279712395</v>
      </c>
      <c r="F170" s="116">
        <f t="shared" si="151"/>
        <v>1.1209765199813404</v>
      </c>
      <c r="G170" s="14">
        <f>'XFMR Data'!B65</f>
        <v>76</v>
      </c>
      <c r="H170" s="43">
        <f>'XFMR Data'!G65</f>
        <v>100</v>
      </c>
      <c r="I170" s="7">
        <f>'XFMR Data'!L65</f>
        <v>110</v>
      </c>
      <c r="J170" s="116">
        <f t="shared" si="152"/>
        <v>2.1111111111111112</v>
      </c>
      <c r="K170" s="116">
        <f t="shared" si="153"/>
        <v>1.6521739130434783</v>
      </c>
      <c r="L170" s="7">
        <f>'XFMR Data'!C65</f>
        <v>60</v>
      </c>
      <c r="M170" s="7">
        <f>'XFMR Data'!H65</f>
        <v>59</v>
      </c>
      <c r="N170" s="7">
        <f>'XFMR Data'!M65</f>
        <v>54</v>
      </c>
      <c r="O170" s="1341">
        <f t="shared" si="154"/>
        <v>4.2857142857142856</v>
      </c>
      <c r="P170" s="116">
        <f t="shared" si="155"/>
        <v>2.7272727272727271</v>
      </c>
      <c r="Q170" s="7">
        <f>'XFMR Data'!D65</f>
        <v>34</v>
      </c>
      <c r="R170" s="7">
        <f>'XFMR Data'!I65</f>
        <v>36</v>
      </c>
      <c r="S170" s="7">
        <f>'XFMR Data'!N65</f>
        <v>38</v>
      </c>
      <c r="T170" s="1341">
        <f t="shared" si="156"/>
        <v>1.3076923076923077</v>
      </c>
      <c r="U170" s="116">
        <f t="shared" si="157"/>
        <v>1</v>
      </c>
      <c r="V170" s="7">
        <f>'XFMR Data'!E65</f>
        <v>26</v>
      </c>
      <c r="W170" s="7">
        <f>'XFMR Data'!J65</f>
        <v>26</v>
      </c>
      <c r="X170" s="7">
        <f>'XFMR Data'!O65</f>
        <v>26</v>
      </c>
      <c r="Y170" s="1341">
        <f t="shared" si="158"/>
        <v>1.5294117647058822</v>
      </c>
      <c r="Z170" s="116">
        <f t="shared" si="159"/>
        <v>1.1818181818181819</v>
      </c>
      <c r="AA170" s="7">
        <f>'XFMR Data'!F65</f>
        <v>77</v>
      </c>
      <c r="AB170" s="43">
        <f>'XFMR Data'!K65</f>
        <v>64</v>
      </c>
      <c r="AC170" s="7">
        <f>'XFMR Data'!P65</f>
        <v>62</v>
      </c>
      <c r="AD170" s="1341">
        <f t="shared" si="160"/>
        <v>4.2777777777777777</v>
      </c>
      <c r="AE170" s="116">
        <f t="shared" si="161"/>
        <v>2.8518518518518516</v>
      </c>
    </row>
    <row r="171" spans="1:31" x14ac:dyDescent="0.25">
      <c r="A171" s="1332">
        <v>45047</v>
      </c>
      <c r="B171" s="7">
        <f>'XFMR Data'!T66*('XFMR Data'!Q66/100)</f>
        <v>224.77</v>
      </c>
      <c r="C171" s="7">
        <f>'XFMR Data'!U66*('XFMR Data'!R66/100)</f>
        <v>243.47</v>
      </c>
      <c r="D171" s="7">
        <f>'XFMR Data'!V66*('XFMR Data'!S66/100)</f>
        <v>219.6</v>
      </c>
      <c r="E171" s="116">
        <f t="shared" si="150"/>
        <v>1.4293799682034978</v>
      </c>
      <c r="F171" s="116">
        <f t="shared" si="151"/>
        <v>1.0974025974025974</v>
      </c>
      <c r="G171" s="14">
        <f>'XFMR Data'!B66</f>
        <v>83</v>
      </c>
      <c r="H171" s="43">
        <f>'XFMR Data'!G66</f>
        <v>105</v>
      </c>
      <c r="I171" s="7">
        <f>'XFMR Data'!L66</f>
        <v>98</v>
      </c>
      <c r="J171" s="116">
        <f t="shared" si="152"/>
        <v>2.0750000000000002</v>
      </c>
      <c r="K171" s="116">
        <f t="shared" si="153"/>
        <v>1.66</v>
      </c>
      <c r="L171" s="7">
        <f>'XFMR Data'!C66</f>
        <v>61</v>
      </c>
      <c r="M171" s="7">
        <f>'XFMR Data'!H66</f>
        <v>59</v>
      </c>
      <c r="N171" s="7">
        <f>'XFMR Data'!M66</f>
        <v>50</v>
      </c>
      <c r="O171" s="1341">
        <f t="shared" si="154"/>
        <v>1.7428571428571429</v>
      </c>
      <c r="P171" s="116">
        <f t="shared" si="155"/>
        <v>2.5416666666666665</v>
      </c>
      <c r="Q171" s="7">
        <f>'XFMR Data'!D66</f>
        <v>35</v>
      </c>
      <c r="R171" s="7">
        <f>'XFMR Data'!I66</f>
        <v>37</v>
      </c>
      <c r="S171" s="7">
        <f>'XFMR Data'!N66</f>
        <v>35</v>
      </c>
      <c r="T171" s="1341">
        <f t="shared" si="156"/>
        <v>1.5909090909090908</v>
      </c>
      <c r="U171" s="116">
        <f t="shared" si="157"/>
        <v>0.97222222222222221</v>
      </c>
      <c r="V171" s="7">
        <f>'XFMR Data'!E66</f>
        <v>26</v>
      </c>
      <c r="W171" s="7">
        <f>'XFMR Data'!J66</f>
        <v>26</v>
      </c>
      <c r="X171" s="7">
        <f>'XFMR Data'!O66</f>
        <v>25</v>
      </c>
      <c r="Y171" s="1341">
        <f t="shared" si="158"/>
        <v>2</v>
      </c>
      <c r="Z171" s="116">
        <f t="shared" si="159"/>
        <v>1.1304347826086956</v>
      </c>
      <c r="AA171" s="7">
        <f>'XFMR Data'!F66</f>
        <v>72</v>
      </c>
      <c r="AB171" s="43">
        <f>'XFMR Data'!K66</f>
        <v>67</v>
      </c>
      <c r="AC171" s="7">
        <f>'XFMR Data'!P66</f>
        <v>58</v>
      </c>
      <c r="AD171" s="1341">
        <f t="shared" si="160"/>
        <v>1.8947368421052631</v>
      </c>
      <c r="AE171" s="116">
        <f t="shared" si="161"/>
        <v>2.7692307692307692</v>
      </c>
    </row>
    <row r="172" spans="1:31" x14ac:dyDescent="0.25">
      <c r="B172" s="7">
        <f>'XFMR Data'!T67*('XFMR Data'!Q67/100)</f>
        <v>0</v>
      </c>
      <c r="C172" s="7">
        <f>'XFMR Data'!U67*('XFMR Data'!R67/100)</f>
        <v>0</v>
      </c>
      <c r="D172" s="7">
        <f>'XFMR Data'!V67*('XFMR Data'!S67/100)</f>
        <v>0</v>
      </c>
      <c r="E172" s="116">
        <f t="shared" si="150"/>
        <v>0</v>
      </c>
      <c r="F172" s="116">
        <f t="shared" si="151"/>
        <v>0</v>
      </c>
      <c r="G172" s="14">
        <f>'XFMR Data'!B67</f>
        <v>0</v>
      </c>
      <c r="H172" s="43">
        <f>'XFMR Data'!G67</f>
        <v>0</v>
      </c>
      <c r="I172" s="7">
        <f>'XFMR Data'!L67</f>
        <v>0</v>
      </c>
      <c r="J172" s="116">
        <f t="shared" si="152"/>
        <v>0</v>
      </c>
      <c r="K172" s="116">
        <f t="shared" si="153"/>
        <v>0</v>
      </c>
      <c r="L172" s="7">
        <f>'XFMR Data'!C67</f>
        <v>0</v>
      </c>
      <c r="M172" s="7">
        <f>'XFMR Data'!H67</f>
        <v>0</v>
      </c>
      <c r="N172" s="7">
        <f>'XFMR Data'!M67</f>
        <v>0</v>
      </c>
      <c r="O172" s="1341">
        <f t="shared" si="154"/>
        <v>0</v>
      </c>
      <c r="P172" s="116">
        <f t="shared" si="155"/>
        <v>0</v>
      </c>
      <c r="Q172" s="7">
        <f>'XFMR Data'!D67</f>
        <v>0</v>
      </c>
      <c r="R172" s="7">
        <f>'XFMR Data'!I67</f>
        <v>0</v>
      </c>
      <c r="S172" s="7">
        <f>'XFMR Data'!N67</f>
        <v>0</v>
      </c>
      <c r="T172" s="1341">
        <f t="shared" si="156"/>
        <v>0</v>
      </c>
      <c r="U172" s="116">
        <f t="shared" si="157"/>
        <v>0</v>
      </c>
      <c r="V172" s="7">
        <f>'XFMR Data'!E67</f>
        <v>0</v>
      </c>
      <c r="W172" s="7">
        <f>'XFMR Data'!J67</f>
        <v>0</v>
      </c>
      <c r="X172" s="7">
        <f>'XFMR Data'!O67</f>
        <v>0</v>
      </c>
      <c r="Y172" s="1341">
        <f t="shared" si="158"/>
        <v>0</v>
      </c>
      <c r="Z172" s="116">
        <f t="shared" si="159"/>
        <v>0</v>
      </c>
      <c r="AA172" s="7">
        <f>'XFMR Data'!F67</f>
        <v>0</v>
      </c>
      <c r="AB172" s="43">
        <f>'XFMR Data'!K67</f>
        <v>0</v>
      </c>
      <c r="AC172" s="7">
        <f>'XFMR Data'!P67</f>
        <v>0</v>
      </c>
      <c r="AD172" s="1341">
        <f t="shared" si="160"/>
        <v>0</v>
      </c>
      <c r="AE172" s="116">
        <f t="shared" si="161"/>
        <v>0</v>
      </c>
    </row>
    <row r="173" spans="1:31" x14ac:dyDescent="0.25">
      <c r="B173" s="7">
        <f>'XFMR Data'!T68*('XFMR Data'!Q68/100)</f>
        <v>0</v>
      </c>
      <c r="C173" s="7">
        <f>'XFMR Data'!U68*('XFMR Data'!R68/100)</f>
        <v>0</v>
      </c>
      <c r="D173" s="7">
        <f>'XFMR Data'!V68*('XFMR Data'!S68/100)</f>
        <v>0</v>
      </c>
      <c r="E173" s="116">
        <f t="shared" si="150"/>
        <v>0</v>
      </c>
      <c r="F173" s="116">
        <f t="shared" si="151"/>
        <v>0</v>
      </c>
      <c r="G173" s="14">
        <f>'XFMR Data'!B68</f>
        <v>0</v>
      </c>
      <c r="H173" s="43">
        <f>'XFMR Data'!G68</f>
        <v>0</v>
      </c>
      <c r="I173" s="7">
        <f>'XFMR Data'!L68</f>
        <v>0</v>
      </c>
      <c r="J173" s="116">
        <f t="shared" si="152"/>
        <v>0</v>
      </c>
      <c r="K173" s="116">
        <f t="shared" si="153"/>
        <v>0</v>
      </c>
      <c r="L173" s="7">
        <f>'XFMR Data'!C68</f>
        <v>0</v>
      </c>
      <c r="M173" s="7">
        <f>'XFMR Data'!H68</f>
        <v>0</v>
      </c>
      <c r="N173" s="7">
        <f>'XFMR Data'!M68</f>
        <v>0</v>
      </c>
      <c r="O173" s="1341">
        <f t="shared" si="154"/>
        <v>0</v>
      </c>
      <c r="P173" s="116">
        <f t="shared" si="155"/>
        <v>0</v>
      </c>
      <c r="Q173" s="7">
        <f>'XFMR Data'!D68</f>
        <v>0</v>
      </c>
      <c r="R173" s="7">
        <f>'XFMR Data'!I68</f>
        <v>0</v>
      </c>
      <c r="S173" s="7">
        <f>'XFMR Data'!N68</f>
        <v>0</v>
      </c>
      <c r="T173" s="1341">
        <f t="shared" si="156"/>
        <v>0</v>
      </c>
      <c r="U173" s="116">
        <f t="shared" si="157"/>
        <v>0</v>
      </c>
      <c r="V173" s="7">
        <f>'XFMR Data'!E68</f>
        <v>0</v>
      </c>
      <c r="W173" s="7">
        <f>'XFMR Data'!J68</f>
        <v>0</v>
      </c>
      <c r="X173" s="7">
        <f>'XFMR Data'!O68</f>
        <v>0</v>
      </c>
      <c r="Y173" s="1341">
        <f t="shared" si="158"/>
        <v>0</v>
      </c>
      <c r="Z173" s="116">
        <f t="shared" si="159"/>
        <v>0</v>
      </c>
      <c r="AA173" s="7">
        <f>'XFMR Data'!F68</f>
        <v>0</v>
      </c>
      <c r="AB173" s="43">
        <f>'XFMR Data'!K68</f>
        <v>0</v>
      </c>
      <c r="AC173" s="7">
        <f>'XFMR Data'!P68</f>
        <v>0</v>
      </c>
      <c r="AD173" s="1341">
        <f t="shared" si="160"/>
        <v>0</v>
      </c>
      <c r="AE173" s="116">
        <f t="shared" si="161"/>
        <v>0</v>
      </c>
    </row>
    <row r="174" spans="1:31" ht="15.75" thickBot="1" x14ac:dyDescent="0.3">
      <c r="B174" s="7">
        <f>'XFMR Data'!T69*('XFMR Data'!Q69/100)</f>
        <v>0</v>
      </c>
      <c r="C174" s="7">
        <f>'XFMR Data'!U69*('XFMR Data'!R69/100)</f>
        <v>0</v>
      </c>
      <c r="D174" s="7">
        <f>'XFMR Data'!V69*('XFMR Data'!S69/100)</f>
        <v>0</v>
      </c>
      <c r="E174" s="116">
        <f t="shared" si="150"/>
        <v>0</v>
      </c>
      <c r="F174" s="116">
        <f t="shared" si="151"/>
        <v>0</v>
      </c>
      <c r="G174" s="14">
        <f>'XFMR Data'!B69</f>
        <v>0</v>
      </c>
      <c r="H174" s="43">
        <f>'XFMR Data'!G69</f>
        <v>0</v>
      </c>
      <c r="I174" s="7">
        <f>'XFMR Data'!L69</f>
        <v>0</v>
      </c>
      <c r="J174" s="116">
        <f t="shared" si="152"/>
        <v>0</v>
      </c>
      <c r="K174" s="116">
        <f t="shared" si="153"/>
        <v>0</v>
      </c>
      <c r="L174" s="7">
        <f>'XFMR Data'!C69</f>
        <v>0</v>
      </c>
      <c r="M174" s="7">
        <f>'XFMR Data'!H69</f>
        <v>0</v>
      </c>
      <c r="N174" s="7">
        <f>'XFMR Data'!M69</f>
        <v>0</v>
      </c>
      <c r="O174" s="1341">
        <f t="shared" si="154"/>
        <v>0</v>
      </c>
      <c r="P174" s="116">
        <f t="shared" si="155"/>
        <v>0</v>
      </c>
      <c r="Q174" s="7">
        <f>'XFMR Data'!D69</f>
        <v>0</v>
      </c>
      <c r="R174" s="7">
        <f>'XFMR Data'!I69</f>
        <v>0</v>
      </c>
      <c r="S174" s="7">
        <f>'XFMR Data'!N69</f>
        <v>0</v>
      </c>
      <c r="T174" s="1341">
        <f t="shared" si="156"/>
        <v>0</v>
      </c>
      <c r="U174" s="116">
        <f t="shared" si="157"/>
        <v>0</v>
      </c>
      <c r="V174" s="7">
        <f>'XFMR Data'!E69</f>
        <v>0</v>
      </c>
      <c r="W174" s="7">
        <f>'XFMR Data'!J69</f>
        <v>0</v>
      </c>
      <c r="X174" s="7">
        <f>'XFMR Data'!O69</f>
        <v>0</v>
      </c>
      <c r="Y174" s="1341">
        <f t="shared" si="158"/>
        <v>0</v>
      </c>
      <c r="Z174" s="116">
        <f t="shared" si="159"/>
        <v>0</v>
      </c>
      <c r="AA174" s="7">
        <f>'XFMR Data'!F69</f>
        <v>0</v>
      </c>
      <c r="AB174" s="43">
        <f>'XFMR Data'!K69</f>
        <v>0</v>
      </c>
      <c r="AC174" s="7">
        <f>'XFMR Data'!P69</f>
        <v>0</v>
      </c>
      <c r="AD174" s="1341">
        <f t="shared" si="160"/>
        <v>0</v>
      </c>
      <c r="AE174" s="116">
        <f t="shared" si="161"/>
        <v>0</v>
      </c>
    </row>
    <row r="175" spans="1:31" hidden="1" outlineLevel="1" x14ac:dyDescent="0.25">
      <c r="B175" s="7">
        <f>'XFMR Data'!T70*('XFMR Data'!Q70/100)</f>
        <v>0</v>
      </c>
      <c r="C175" s="7">
        <f>'XFMR Data'!U70*('XFMR Data'!R70/100)</f>
        <v>0</v>
      </c>
      <c r="D175" s="7">
        <f>'XFMR Data'!V70*('XFMR Data'!S70/100)</f>
        <v>0</v>
      </c>
      <c r="E175" s="116" t="e">
        <f t="shared" si="150"/>
        <v>#DIV/0!</v>
      </c>
      <c r="F175" s="116">
        <f t="shared" si="151"/>
        <v>0</v>
      </c>
      <c r="G175" s="14">
        <f>'XFMR Data'!B70</f>
        <v>0</v>
      </c>
      <c r="H175" s="43">
        <f>'XFMR Data'!G70</f>
        <v>0</v>
      </c>
      <c r="I175" s="7">
        <f>'XFMR Data'!L70</f>
        <v>0</v>
      </c>
      <c r="J175" s="116" t="e">
        <f t="shared" si="152"/>
        <v>#DIV/0!</v>
      </c>
      <c r="K175" s="116">
        <f t="shared" si="153"/>
        <v>0</v>
      </c>
      <c r="L175" s="7">
        <f>'XFMR Data'!C70</f>
        <v>0</v>
      </c>
      <c r="M175" s="7">
        <f>'XFMR Data'!H70</f>
        <v>0</v>
      </c>
      <c r="N175" s="7">
        <f>'XFMR Data'!M70</f>
        <v>0</v>
      </c>
      <c r="O175" s="1341" t="e">
        <f t="shared" si="154"/>
        <v>#DIV/0!</v>
      </c>
      <c r="P175" s="116">
        <f t="shared" si="155"/>
        <v>0</v>
      </c>
      <c r="Q175" s="7">
        <f>'XFMR Data'!D70</f>
        <v>0</v>
      </c>
      <c r="R175" s="7">
        <f>'XFMR Data'!I70</f>
        <v>0</v>
      </c>
      <c r="S175" s="7">
        <f>'XFMR Data'!N70</f>
        <v>0</v>
      </c>
      <c r="T175" s="1341" t="e">
        <f t="shared" si="156"/>
        <v>#DIV/0!</v>
      </c>
      <c r="U175" s="116">
        <f t="shared" si="157"/>
        <v>0</v>
      </c>
      <c r="V175" s="7">
        <f>'XFMR Data'!E70</f>
        <v>0</v>
      </c>
      <c r="W175" s="7">
        <f>'XFMR Data'!J70</f>
        <v>0</v>
      </c>
      <c r="X175" s="7">
        <f>'XFMR Data'!O70</f>
        <v>0</v>
      </c>
      <c r="Y175" s="1341" t="e">
        <f t="shared" si="158"/>
        <v>#DIV/0!</v>
      </c>
      <c r="Z175" s="116">
        <f t="shared" si="159"/>
        <v>0</v>
      </c>
      <c r="AA175" s="7">
        <f>'XFMR Data'!F70</f>
        <v>0</v>
      </c>
      <c r="AB175" s="43">
        <f>'XFMR Data'!K70</f>
        <v>0</v>
      </c>
      <c r="AC175" s="7">
        <f>'XFMR Data'!P70</f>
        <v>0</v>
      </c>
      <c r="AD175" s="1341" t="e">
        <f t="shared" si="160"/>
        <v>#DIV/0!</v>
      </c>
      <c r="AE175" s="116">
        <f t="shared" si="161"/>
        <v>0</v>
      </c>
    </row>
    <row r="176" spans="1:31" hidden="1" outlineLevel="1" x14ac:dyDescent="0.25">
      <c r="B176" s="7">
        <f>'XFMR Data'!T71*('XFMR Data'!Q71/100)</f>
        <v>0</v>
      </c>
      <c r="C176" s="7">
        <f>'XFMR Data'!U71*('XFMR Data'!R71/100)</f>
        <v>0</v>
      </c>
      <c r="D176" s="7">
        <f>'XFMR Data'!V71*('XFMR Data'!S71/100)</f>
        <v>0</v>
      </c>
      <c r="E176" s="116" t="e">
        <f t="shared" si="150"/>
        <v>#DIV/0!</v>
      </c>
      <c r="F176" s="116">
        <f t="shared" si="151"/>
        <v>0</v>
      </c>
      <c r="G176" s="14">
        <f>'XFMR Data'!B71</f>
        <v>0</v>
      </c>
      <c r="H176" s="43">
        <f>'XFMR Data'!G71</f>
        <v>0</v>
      </c>
      <c r="I176" s="7">
        <f>'XFMR Data'!L71</f>
        <v>0</v>
      </c>
      <c r="J176" s="116" t="e">
        <f t="shared" si="152"/>
        <v>#DIV/0!</v>
      </c>
      <c r="K176" s="116">
        <f t="shared" si="153"/>
        <v>0</v>
      </c>
      <c r="L176" s="7">
        <f>'XFMR Data'!C71</f>
        <v>0</v>
      </c>
      <c r="M176" s="7">
        <f>'XFMR Data'!H71</f>
        <v>0</v>
      </c>
      <c r="N176" s="7">
        <f>'XFMR Data'!M71</f>
        <v>0</v>
      </c>
      <c r="O176" s="1341" t="e">
        <f t="shared" si="154"/>
        <v>#DIV/0!</v>
      </c>
      <c r="P176" s="116">
        <f t="shared" si="155"/>
        <v>0</v>
      </c>
      <c r="Q176" s="7">
        <f>'XFMR Data'!D71</f>
        <v>0</v>
      </c>
      <c r="R176" s="7">
        <f>'XFMR Data'!I71</f>
        <v>0</v>
      </c>
      <c r="S176" s="7">
        <f>'XFMR Data'!N71</f>
        <v>0</v>
      </c>
      <c r="T176" s="1341" t="e">
        <f t="shared" si="156"/>
        <v>#DIV/0!</v>
      </c>
      <c r="U176" s="116">
        <f t="shared" si="157"/>
        <v>0</v>
      </c>
      <c r="V176" s="7">
        <f>'XFMR Data'!E71</f>
        <v>0</v>
      </c>
      <c r="W176" s="7">
        <f>'XFMR Data'!J71</f>
        <v>0</v>
      </c>
      <c r="X176" s="7">
        <f>'XFMR Data'!O71</f>
        <v>0</v>
      </c>
      <c r="Y176" s="1341" t="e">
        <f t="shared" si="158"/>
        <v>#DIV/0!</v>
      </c>
      <c r="Z176" s="116">
        <f t="shared" si="159"/>
        <v>0</v>
      </c>
      <c r="AA176" s="7">
        <f>'XFMR Data'!F71</f>
        <v>0</v>
      </c>
      <c r="AB176" s="43">
        <f>'XFMR Data'!K71</f>
        <v>0</v>
      </c>
      <c r="AC176" s="7">
        <f>'XFMR Data'!P71</f>
        <v>0</v>
      </c>
      <c r="AD176" s="1341" t="e">
        <f t="shared" si="160"/>
        <v>#DIV/0!</v>
      </c>
      <c r="AE176" s="116">
        <f t="shared" si="161"/>
        <v>0</v>
      </c>
    </row>
    <row r="177" spans="2:31" hidden="1" outlineLevel="1" x14ac:dyDescent="0.25">
      <c r="B177" s="7">
        <f>'XFMR Data'!T72*('XFMR Data'!Q72/100)</f>
        <v>0</v>
      </c>
      <c r="C177" s="7">
        <f>'XFMR Data'!U72*('XFMR Data'!R72/100)</f>
        <v>0</v>
      </c>
      <c r="D177" s="7">
        <f>'XFMR Data'!V72*('XFMR Data'!S72/100)</f>
        <v>0</v>
      </c>
      <c r="E177" s="116" t="e">
        <f t="shared" si="150"/>
        <v>#DIV/0!</v>
      </c>
      <c r="F177" s="116">
        <f t="shared" si="151"/>
        <v>0</v>
      </c>
      <c r="G177" s="14">
        <f>'XFMR Data'!B72</f>
        <v>0</v>
      </c>
      <c r="H177" s="43">
        <f>'XFMR Data'!G72</f>
        <v>0</v>
      </c>
      <c r="I177" s="7">
        <f>'XFMR Data'!L72</f>
        <v>0</v>
      </c>
      <c r="J177" s="116" t="e">
        <f t="shared" si="152"/>
        <v>#DIV/0!</v>
      </c>
      <c r="K177" s="116">
        <f t="shared" si="153"/>
        <v>0</v>
      </c>
      <c r="L177" s="7">
        <f>'XFMR Data'!C72</f>
        <v>0</v>
      </c>
      <c r="M177" s="7">
        <f>'XFMR Data'!H72</f>
        <v>0</v>
      </c>
      <c r="N177" s="7">
        <f>'XFMR Data'!M72</f>
        <v>0</v>
      </c>
      <c r="O177" s="1341" t="e">
        <f t="shared" si="154"/>
        <v>#DIV/0!</v>
      </c>
      <c r="P177" s="116">
        <f t="shared" si="155"/>
        <v>0</v>
      </c>
      <c r="Q177" s="7">
        <f>'XFMR Data'!D72</f>
        <v>0</v>
      </c>
      <c r="R177" s="7">
        <f>'XFMR Data'!I72</f>
        <v>0</v>
      </c>
      <c r="S177" s="7">
        <f>'XFMR Data'!N72</f>
        <v>0</v>
      </c>
      <c r="T177" s="1341" t="e">
        <f t="shared" si="156"/>
        <v>#DIV/0!</v>
      </c>
      <c r="U177" s="116">
        <f t="shared" si="157"/>
        <v>0</v>
      </c>
      <c r="V177" s="7">
        <f>'XFMR Data'!E72</f>
        <v>0</v>
      </c>
      <c r="W177" s="7">
        <f>'XFMR Data'!J72</f>
        <v>0</v>
      </c>
      <c r="X177" s="7">
        <f>'XFMR Data'!O72</f>
        <v>0</v>
      </c>
      <c r="Y177" s="1341" t="e">
        <f t="shared" si="158"/>
        <v>#DIV/0!</v>
      </c>
      <c r="Z177" s="116">
        <f t="shared" si="159"/>
        <v>0</v>
      </c>
      <c r="AA177" s="7">
        <f>'XFMR Data'!F72</f>
        <v>0</v>
      </c>
      <c r="AB177" s="43">
        <f>'XFMR Data'!K72</f>
        <v>0</v>
      </c>
      <c r="AC177" s="7">
        <f>'XFMR Data'!P72</f>
        <v>0</v>
      </c>
      <c r="AD177" s="1341" t="e">
        <f t="shared" si="160"/>
        <v>#DIV/0!</v>
      </c>
      <c r="AE177" s="116">
        <f t="shared" si="161"/>
        <v>0</v>
      </c>
    </row>
    <row r="178" spans="2:31" hidden="1" outlineLevel="1" x14ac:dyDescent="0.25">
      <c r="B178" s="7">
        <f>'XFMR Data'!T73*('XFMR Data'!Q73/100)</f>
        <v>0</v>
      </c>
      <c r="C178" s="7">
        <f>'XFMR Data'!U73*('XFMR Data'!R73/100)</f>
        <v>0</v>
      </c>
      <c r="D178" s="7">
        <f>'XFMR Data'!V73*('XFMR Data'!S73/100)</f>
        <v>0</v>
      </c>
      <c r="E178" s="116" t="e">
        <f t="shared" si="150"/>
        <v>#DIV/0!</v>
      </c>
      <c r="F178" s="116" t="e">
        <f t="shared" si="151"/>
        <v>#DIV/0!</v>
      </c>
      <c r="G178" s="14">
        <f>'XFMR Data'!B73</f>
        <v>0</v>
      </c>
      <c r="H178" s="43">
        <f>'XFMR Data'!G73</f>
        <v>0</v>
      </c>
      <c r="I178" s="7">
        <f>'XFMR Data'!L73</f>
        <v>0</v>
      </c>
      <c r="J178" s="116" t="e">
        <f t="shared" si="152"/>
        <v>#DIV/0!</v>
      </c>
      <c r="K178" s="116" t="e">
        <f t="shared" si="153"/>
        <v>#DIV/0!</v>
      </c>
      <c r="L178" s="7">
        <f>'XFMR Data'!C73</f>
        <v>0</v>
      </c>
      <c r="M178" s="7">
        <f>'XFMR Data'!H73</f>
        <v>0</v>
      </c>
      <c r="N178" s="7">
        <f>'XFMR Data'!M73</f>
        <v>0</v>
      </c>
      <c r="O178" s="1341" t="e">
        <f t="shared" si="154"/>
        <v>#DIV/0!</v>
      </c>
      <c r="P178" s="116" t="e">
        <f t="shared" si="155"/>
        <v>#DIV/0!</v>
      </c>
      <c r="Q178" s="7">
        <f>'XFMR Data'!D73</f>
        <v>0</v>
      </c>
      <c r="R178" s="7">
        <f>'XFMR Data'!I73</f>
        <v>0</v>
      </c>
      <c r="S178" s="7">
        <f>'XFMR Data'!N73</f>
        <v>0</v>
      </c>
      <c r="T178" s="1341" t="e">
        <f t="shared" si="156"/>
        <v>#DIV/0!</v>
      </c>
      <c r="U178" s="116" t="e">
        <f t="shared" si="157"/>
        <v>#DIV/0!</v>
      </c>
      <c r="V178" s="7">
        <f>'XFMR Data'!E73</f>
        <v>0</v>
      </c>
      <c r="W178" s="7">
        <f>'XFMR Data'!J73</f>
        <v>0</v>
      </c>
      <c r="X178" s="7">
        <f>'XFMR Data'!O73</f>
        <v>0</v>
      </c>
      <c r="Y178" s="1341" t="e">
        <f t="shared" si="158"/>
        <v>#DIV/0!</v>
      </c>
      <c r="Z178" s="116" t="e">
        <f t="shared" si="159"/>
        <v>#DIV/0!</v>
      </c>
      <c r="AA178" s="7">
        <f>'XFMR Data'!F73</f>
        <v>0</v>
      </c>
      <c r="AB178" s="43">
        <f>'XFMR Data'!K73</f>
        <v>0</v>
      </c>
      <c r="AC178" s="7">
        <f>'XFMR Data'!P73</f>
        <v>0</v>
      </c>
      <c r="AD178" s="1341" t="e">
        <f t="shared" si="160"/>
        <v>#DIV/0!</v>
      </c>
      <c r="AE178" s="116" t="e">
        <f t="shared" si="161"/>
        <v>#DIV/0!</v>
      </c>
    </row>
    <row r="179" spans="2:31" hidden="1" outlineLevel="1" x14ac:dyDescent="0.25">
      <c r="B179" s="7">
        <f>'XFMR Data'!T74*('XFMR Data'!Q74/100)</f>
        <v>0</v>
      </c>
      <c r="C179" s="7">
        <f>'XFMR Data'!U74*('XFMR Data'!R74/100)</f>
        <v>0</v>
      </c>
      <c r="D179" s="7">
        <f>'XFMR Data'!V74*('XFMR Data'!S74/100)</f>
        <v>0</v>
      </c>
      <c r="E179" s="116" t="e">
        <f t="shared" si="150"/>
        <v>#DIV/0!</v>
      </c>
      <c r="F179" s="116" t="e">
        <f t="shared" si="151"/>
        <v>#DIV/0!</v>
      </c>
      <c r="G179" s="14">
        <f>'XFMR Data'!B74</f>
        <v>0</v>
      </c>
      <c r="H179" s="43">
        <f>'XFMR Data'!G74</f>
        <v>0</v>
      </c>
      <c r="I179" s="7">
        <f>'XFMR Data'!L74</f>
        <v>0</v>
      </c>
      <c r="J179" s="116" t="e">
        <f t="shared" si="152"/>
        <v>#DIV/0!</v>
      </c>
      <c r="K179" s="116" t="e">
        <f t="shared" si="153"/>
        <v>#DIV/0!</v>
      </c>
      <c r="L179" s="7">
        <f>'XFMR Data'!C74</f>
        <v>0</v>
      </c>
      <c r="M179" s="7">
        <f>'XFMR Data'!H74</f>
        <v>0</v>
      </c>
      <c r="N179" s="7">
        <f>'XFMR Data'!M74</f>
        <v>0</v>
      </c>
      <c r="O179" s="1341" t="e">
        <f t="shared" si="154"/>
        <v>#DIV/0!</v>
      </c>
      <c r="P179" s="116" t="e">
        <f t="shared" si="155"/>
        <v>#DIV/0!</v>
      </c>
      <c r="Q179" s="7">
        <f>'XFMR Data'!D74</f>
        <v>0</v>
      </c>
      <c r="R179" s="7">
        <f>'XFMR Data'!I74</f>
        <v>0</v>
      </c>
      <c r="S179" s="7">
        <f>'XFMR Data'!N74</f>
        <v>0</v>
      </c>
      <c r="T179" s="1341" t="e">
        <f t="shared" si="156"/>
        <v>#DIV/0!</v>
      </c>
      <c r="U179" s="116" t="e">
        <f t="shared" si="157"/>
        <v>#DIV/0!</v>
      </c>
      <c r="V179" s="7">
        <f>'XFMR Data'!E74</f>
        <v>0</v>
      </c>
      <c r="W179" s="7">
        <f>'XFMR Data'!J74</f>
        <v>0</v>
      </c>
      <c r="X179" s="7">
        <f>'XFMR Data'!O74</f>
        <v>0</v>
      </c>
      <c r="Y179" s="1341" t="e">
        <f t="shared" si="158"/>
        <v>#DIV/0!</v>
      </c>
      <c r="Z179" s="116" t="e">
        <f t="shared" si="159"/>
        <v>#DIV/0!</v>
      </c>
      <c r="AA179" s="7">
        <f>'XFMR Data'!F74</f>
        <v>0</v>
      </c>
      <c r="AB179" s="43">
        <f>'XFMR Data'!K74</f>
        <v>0</v>
      </c>
      <c r="AC179" s="7">
        <f>'XFMR Data'!P74</f>
        <v>0</v>
      </c>
      <c r="AD179" s="1341" t="e">
        <f t="shared" si="160"/>
        <v>#DIV/0!</v>
      </c>
      <c r="AE179" s="116" t="e">
        <f t="shared" si="161"/>
        <v>#DIV/0!</v>
      </c>
    </row>
    <row r="180" spans="2:31" hidden="1" outlineLevel="1" x14ac:dyDescent="0.25">
      <c r="B180" s="7">
        <f>'XFMR Data'!T75*('XFMR Data'!Q75/100)</f>
        <v>0</v>
      </c>
      <c r="C180" s="7">
        <f>'XFMR Data'!U75*('XFMR Data'!R75/100)</f>
        <v>0</v>
      </c>
      <c r="D180" s="7">
        <f>'XFMR Data'!V75*('XFMR Data'!S75/100)</f>
        <v>0</v>
      </c>
      <c r="E180" s="116" t="e">
        <f t="shared" si="150"/>
        <v>#DIV/0!</v>
      </c>
      <c r="F180" s="116" t="e">
        <f t="shared" si="151"/>
        <v>#DIV/0!</v>
      </c>
      <c r="G180" s="14">
        <f>'XFMR Data'!B75</f>
        <v>0</v>
      </c>
      <c r="H180" s="43">
        <f>'XFMR Data'!G75</f>
        <v>0</v>
      </c>
      <c r="I180" s="7">
        <f>'XFMR Data'!L75</f>
        <v>0</v>
      </c>
      <c r="J180" s="116" t="e">
        <f t="shared" si="152"/>
        <v>#DIV/0!</v>
      </c>
      <c r="K180" s="116" t="e">
        <f t="shared" si="153"/>
        <v>#DIV/0!</v>
      </c>
      <c r="L180" s="7">
        <f>'XFMR Data'!C75</f>
        <v>0</v>
      </c>
      <c r="M180" s="7">
        <f>'XFMR Data'!H75</f>
        <v>0</v>
      </c>
      <c r="N180" s="7">
        <f>'XFMR Data'!M75</f>
        <v>0</v>
      </c>
      <c r="O180" s="1341" t="e">
        <f t="shared" si="154"/>
        <v>#DIV/0!</v>
      </c>
      <c r="P180" s="116" t="e">
        <f t="shared" si="155"/>
        <v>#DIV/0!</v>
      </c>
      <c r="Q180" s="7">
        <f>'XFMR Data'!D75</f>
        <v>0</v>
      </c>
      <c r="R180" s="7">
        <f>'XFMR Data'!I75</f>
        <v>0</v>
      </c>
      <c r="S180" s="7">
        <f>'XFMR Data'!N75</f>
        <v>0</v>
      </c>
      <c r="T180" s="1341" t="e">
        <f t="shared" si="156"/>
        <v>#DIV/0!</v>
      </c>
      <c r="U180" s="116" t="e">
        <f t="shared" si="157"/>
        <v>#DIV/0!</v>
      </c>
      <c r="V180" s="7">
        <f>'XFMR Data'!E75</f>
        <v>0</v>
      </c>
      <c r="W180" s="7">
        <f>'XFMR Data'!J75</f>
        <v>0</v>
      </c>
      <c r="X180" s="7">
        <f>'XFMR Data'!O75</f>
        <v>0</v>
      </c>
      <c r="Y180" s="1341" t="e">
        <f t="shared" si="158"/>
        <v>#DIV/0!</v>
      </c>
      <c r="Z180" s="116" t="e">
        <f t="shared" si="159"/>
        <v>#DIV/0!</v>
      </c>
      <c r="AA180" s="7">
        <f>'XFMR Data'!F75</f>
        <v>0</v>
      </c>
      <c r="AB180" s="43">
        <f>'XFMR Data'!K75</f>
        <v>0</v>
      </c>
      <c r="AC180" s="7">
        <f>'XFMR Data'!P75</f>
        <v>0</v>
      </c>
      <c r="AD180" s="1341" t="e">
        <f t="shared" si="160"/>
        <v>#DIV/0!</v>
      </c>
      <c r="AE180" s="116" t="e">
        <f t="shared" si="161"/>
        <v>#DIV/0!</v>
      </c>
    </row>
    <row r="181" spans="2:31" hidden="1" outlineLevel="1" x14ac:dyDescent="0.25">
      <c r="B181" s="7">
        <f>'XFMR Data'!T76*('XFMR Data'!Q76/100)</f>
        <v>0</v>
      </c>
      <c r="C181" s="7">
        <f>'XFMR Data'!U76*('XFMR Data'!R76/100)</f>
        <v>0</v>
      </c>
      <c r="D181" s="7">
        <f>'XFMR Data'!V76*('XFMR Data'!S76/100)</f>
        <v>0</v>
      </c>
      <c r="E181" s="116" t="e">
        <f t="shared" si="150"/>
        <v>#DIV/0!</v>
      </c>
      <c r="F181" s="116" t="e">
        <f t="shared" si="151"/>
        <v>#DIV/0!</v>
      </c>
      <c r="G181" s="14">
        <f>'XFMR Data'!B76</f>
        <v>0</v>
      </c>
      <c r="H181" s="43">
        <f>'XFMR Data'!G76</f>
        <v>0</v>
      </c>
      <c r="I181" s="7">
        <f>'XFMR Data'!L76</f>
        <v>0</v>
      </c>
      <c r="J181" s="116" t="e">
        <f t="shared" si="152"/>
        <v>#DIV/0!</v>
      </c>
      <c r="K181" s="116" t="e">
        <f t="shared" si="153"/>
        <v>#DIV/0!</v>
      </c>
      <c r="L181" s="7">
        <f>'XFMR Data'!C76</f>
        <v>0</v>
      </c>
      <c r="M181" s="7">
        <f>'XFMR Data'!H76</f>
        <v>0</v>
      </c>
      <c r="N181" s="7">
        <f>'XFMR Data'!M76</f>
        <v>0</v>
      </c>
      <c r="O181" s="1341" t="e">
        <f t="shared" si="154"/>
        <v>#DIV/0!</v>
      </c>
      <c r="P181" s="116" t="e">
        <f t="shared" si="155"/>
        <v>#DIV/0!</v>
      </c>
      <c r="Q181" s="7">
        <f>'XFMR Data'!D76</f>
        <v>0</v>
      </c>
      <c r="R181" s="7">
        <f>'XFMR Data'!I76</f>
        <v>0</v>
      </c>
      <c r="S181" s="7">
        <f>'XFMR Data'!N76</f>
        <v>0</v>
      </c>
      <c r="T181" s="1341" t="e">
        <f t="shared" si="156"/>
        <v>#DIV/0!</v>
      </c>
      <c r="U181" s="116" t="e">
        <f t="shared" si="157"/>
        <v>#DIV/0!</v>
      </c>
      <c r="V181" s="7">
        <f>'XFMR Data'!E76</f>
        <v>0</v>
      </c>
      <c r="W181" s="7">
        <f>'XFMR Data'!J76</f>
        <v>0</v>
      </c>
      <c r="X181" s="7">
        <f>'XFMR Data'!O76</f>
        <v>0</v>
      </c>
      <c r="Y181" s="1341" t="e">
        <f t="shared" si="158"/>
        <v>#DIV/0!</v>
      </c>
      <c r="Z181" s="116" t="e">
        <f t="shared" si="159"/>
        <v>#DIV/0!</v>
      </c>
      <c r="AA181" s="7">
        <f>'XFMR Data'!F76</f>
        <v>0</v>
      </c>
      <c r="AB181" s="43">
        <f>'XFMR Data'!K76</f>
        <v>0</v>
      </c>
      <c r="AC181" s="7">
        <f>'XFMR Data'!P76</f>
        <v>0</v>
      </c>
      <c r="AD181" s="1341" t="e">
        <f t="shared" si="160"/>
        <v>#DIV/0!</v>
      </c>
      <c r="AE181" s="116" t="e">
        <f t="shared" si="161"/>
        <v>#DIV/0!</v>
      </c>
    </row>
    <row r="182" spans="2:31" hidden="1" outlineLevel="1" x14ac:dyDescent="0.25">
      <c r="B182" s="7">
        <f>'XFMR Data'!T77*('XFMR Data'!Q77/100)</f>
        <v>0</v>
      </c>
      <c r="C182" s="7">
        <f>'XFMR Data'!U77*('XFMR Data'!R77/100)</f>
        <v>0</v>
      </c>
      <c r="D182" s="7">
        <f>'XFMR Data'!V77*('XFMR Data'!S77/100)</f>
        <v>0</v>
      </c>
      <c r="E182" s="116" t="e">
        <f t="shared" si="150"/>
        <v>#DIV/0!</v>
      </c>
      <c r="F182" s="116" t="e">
        <f t="shared" si="151"/>
        <v>#DIV/0!</v>
      </c>
      <c r="G182" s="14">
        <f>'XFMR Data'!B77</f>
        <v>0</v>
      </c>
      <c r="H182" s="43">
        <f>'XFMR Data'!G77</f>
        <v>0</v>
      </c>
      <c r="I182" s="7">
        <f>'XFMR Data'!L77</f>
        <v>0</v>
      </c>
      <c r="J182" s="116" t="e">
        <f t="shared" si="152"/>
        <v>#DIV/0!</v>
      </c>
      <c r="K182" s="116" t="e">
        <f t="shared" si="153"/>
        <v>#DIV/0!</v>
      </c>
      <c r="L182" s="7">
        <f>'XFMR Data'!C77</f>
        <v>0</v>
      </c>
      <c r="M182" s="7">
        <f>'XFMR Data'!H77</f>
        <v>0</v>
      </c>
      <c r="N182" s="7">
        <f>'XFMR Data'!M77</f>
        <v>0</v>
      </c>
      <c r="O182" s="1341" t="e">
        <f t="shared" si="154"/>
        <v>#DIV/0!</v>
      </c>
      <c r="P182" s="116" t="e">
        <f t="shared" si="155"/>
        <v>#DIV/0!</v>
      </c>
      <c r="Q182" s="7">
        <f>'XFMR Data'!D77</f>
        <v>0</v>
      </c>
      <c r="R182" s="7">
        <f>'XFMR Data'!I77</f>
        <v>0</v>
      </c>
      <c r="S182" s="7">
        <f>'XFMR Data'!N77</f>
        <v>0</v>
      </c>
      <c r="T182" s="1341" t="e">
        <f t="shared" si="156"/>
        <v>#DIV/0!</v>
      </c>
      <c r="U182" s="116" t="e">
        <f t="shared" si="157"/>
        <v>#DIV/0!</v>
      </c>
      <c r="V182" s="7">
        <f>'XFMR Data'!E77</f>
        <v>0</v>
      </c>
      <c r="W182" s="7">
        <f>'XFMR Data'!J77</f>
        <v>0</v>
      </c>
      <c r="X182" s="7">
        <f>'XFMR Data'!O77</f>
        <v>0</v>
      </c>
      <c r="Y182" s="1341" t="e">
        <f t="shared" si="158"/>
        <v>#DIV/0!</v>
      </c>
      <c r="Z182" s="116" t="e">
        <f t="shared" si="159"/>
        <v>#DIV/0!</v>
      </c>
      <c r="AA182" s="7">
        <f>'XFMR Data'!F77</f>
        <v>0</v>
      </c>
      <c r="AB182" s="43">
        <f>'XFMR Data'!K77</f>
        <v>0</v>
      </c>
      <c r="AC182" s="7">
        <f>'XFMR Data'!P77</f>
        <v>0</v>
      </c>
      <c r="AD182" s="1341" t="e">
        <f t="shared" si="160"/>
        <v>#DIV/0!</v>
      </c>
      <c r="AE182" s="116" t="e">
        <f t="shared" si="161"/>
        <v>#DIV/0!</v>
      </c>
    </row>
    <row r="183" spans="2:31" hidden="1" outlineLevel="1" x14ac:dyDescent="0.25">
      <c r="B183" s="7">
        <f>'XFMR Data'!T78*('XFMR Data'!Q78/100)</f>
        <v>0</v>
      </c>
      <c r="C183" s="7">
        <f>'XFMR Data'!U78*('XFMR Data'!R78/100)</f>
        <v>0</v>
      </c>
      <c r="D183" s="7">
        <f>'XFMR Data'!V78*('XFMR Data'!S78/100)</f>
        <v>0</v>
      </c>
      <c r="E183" s="116" t="e">
        <f t="shared" si="150"/>
        <v>#DIV/0!</v>
      </c>
      <c r="F183" s="116" t="e">
        <f t="shared" si="151"/>
        <v>#DIV/0!</v>
      </c>
      <c r="G183" s="14">
        <f>'XFMR Data'!B78</f>
        <v>0</v>
      </c>
      <c r="H183" s="43">
        <f>'XFMR Data'!G78</f>
        <v>0</v>
      </c>
      <c r="I183" s="7">
        <f>'XFMR Data'!L78</f>
        <v>0</v>
      </c>
      <c r="J183" s="116" t="e">
        <f t="shared" si="152"/>
        <v>#DIV/0!</v>
      </c>
      <c r="K183" s="116" t="e">
        <f t="shared" si="153"/>
        <v>#DIV/0!</v>
      </c>
      <c r="L183" s="7">
        <f>'XFMR Data'!C78</f>
        <v>0</v>
      </c>
      <c r="M183" s="7">
        <f>'XFMR Data'!H78</f>
        <v>0</v>
      </c>
      <c r="N183" s="7">
        <f>'XFMR Data'!M78</f>
        <v>0</v>
      </c>
      <c r="O183" s="1341" t="e">
        <f t="shared" si="154"/>
        <v>#DIV/0!</v>
      </c>
      <c r="P183" s="116" t="e">
        <f t="shared" si="155"/>
        <v>#DIV/0!</v>
      </c>
      <c r="Q183" s="7">
        <f>'XFMR Data'!D78</f>
        <v>0</v>
      </c>
      <c r="R183" s="7">
        <f>'XFMR Data'!I78</f>
        <v>0</v>
      </c>
      <c r="S183" s="7">
        <f>'XFMR Data'!N78</f>
        <v>0</v>
      </c>
      <c r="T183" s="1341" t="e">
        <f t="shared" si="156"/>
        <v>#DIV/0!</v>
      </c>
      <c r="U183" s="116" t="e">
        <f t="shared" si="157"/>
        <v>#DIV/0!</v>
      </c>
      <c r="V183" s="7">
        <f>'XFMR Data'!E78</f>
        <v>0</v>
      </c>
      <c r="W183" s="7">
        <f>'XFMR Data'!J78</f>
        <v>0</v>
      </c>
      <c r="X183" s="7">
        <f>'XFMR Data'!O78</f>
        <v>0</v>
      </c>
      <c r="Y183" s="1341" t="e">
        <f t="shared" si="158"/>
        <v>#DIV/0!</v>
      </c>
      <c r="Z183" s="116" t="e">
        <f t="shared" si="159"/>
        <v>#DIV/0!</v>
      </c>
      <c r="AA183" s="7">
        <f>'XFMR Data'!F78</f>
        <v>0</v>
      </c>
      <c r="AB183" s="43">
        <f>'XFMR Data'!K78</f>
        <v>0</v>
      </c>
      <c r="AC183" s="7">
        <f>'XFMR Data'!P78</f>
        <v>0</v>
      </c>
      <c r="AD183" s="1341" t="e">
        <f t="shared" si="160"/>
        <v>#DIV/0!</v>
      </c>
      <c r="AE183" s="116" t="e">
        <f t="shared" si="161"/>
        <v>#DIV/0!</v>
      </c>
    </row>
    <row r="184" spans="2:31" hidden="1" outlineLevel="1" x14ac:dyDescent="0.25">
      <c r="B184" s="7">
        <f>'XFMR Data'!T79*('XFMR Data'!Q79/100)</f>
        <v>0</v>
      </c>
      <c r="C184" s="7">
        <f>'XFMR Data'!U79*('XFMR Data'!R79/100)</f>
        <v>0</v>
      </c>
      <c r="D184" s="7">
        <f>'XFMR Data'!V79*('XFMR Data'!S79/100)</f>
        <v>0</v>
      </c>
      <c r="E184" s="116" t="e">
        <f t="shared" si="150"/>
        <v>#DIV/0!</v>
      </c>
      <c r="F184" s="116" t="e">
        <f t="shared" si="151"/>
        <v>#DIV/0!</v>
      </c>
      <c r="G184" s="14">
        <f>'XFMR Data'!B79</f>
        <v>0</v>
      </c>
      <c r="H184" s="43">
        <f>'XFMR Data'!G79</f>
        <v>0</v>
      </c>
      <c r="I184" s="7">
        <f>'XFMR Data'!L79</f>
        <v>0</v>
      </c>
      <c r="J184" s="116" t="e">
        <f t="shared" si="152"/>
        <v>#DIV/0!</v>
      </c>
      <c r="K184" s="116" t="e">
        <f t="shared" si="153"/>
        <v>#DIV/0!</v>
      </c>
      <c r="L184" s="7">
        <f>'XFMR Data'!C79</f>
        <v>0</v>
      </c>
      <c r="M184" s="7">
        <f>'XFMR Data'!H79</f>
        <v>0</v>
      </c>
      <c r="N184" s="7">
        <f>'XFMR Data'!M79</f>
        <v>0</v>
      </c>
      <c r="O184" s="1341" t="e">
        <f t="shared" si="154"/>
        <v>#DIV/0!</v>
      </c>
      <c r="P184" s="116" t="e">
        <f t="shared" si="155"/>
        <v>#DIV/0!</v>
      </c>
      <c r="Q184" s="7">
        <f>'XFMR Data'!D79</f>
        <v>0</v>
      </c>
      <c r="R184" s="7">
        <f>'XFMR Data'!I79</f>
        <v>0</v>
      </c>
      <c r="S184" s="7">
        <f>'XFMR Data'!N79</f>
        <v>0</v>
      </c>
      <c r="T184" s="1341" t="e">
        <f t="shared" si="156"/>
        <v>#DIV/0!</v>
      </c>
      <c r="U184" s="116" t="e">
        <f t="shared" si="157"/>
        <v>#DIV/0!</v>
      </c>
      <c r="V184" s="7">
        <f>'XFMR Data'!E79</f>
        <v>0</v>
      </c>
      <c r="W184" s="7">
        <f>'XFMR Data'!J79</f>
        <v>0</v>
      </c>
      <c r="X184" s="7">
        <f>'XFMR Data'!O79</f>
        <v>0</v>
      </c>
      <c r="Y184" s="1341" t="e">
        <f t="shared" si="158"/>
        <v>#DIV/0!</v>
      </c>
      <c r="Z184" s="116" t="e">
        <f t="shared" si="159"/>
        <v>#DIV/0!</v>
      </c>
      <c r="AA184" s="7">
        <f>'XFMR Data'!F79</f>
        <v>0</v>
      </c>
      <c r="AB184" s="43">
        <f>'XFMR Data'!K79</f>
        <v>0</v>
      </c>
      <c r="AC184" s="7">
        <f>'XFMR Data'!P79</f>
        <v>0</v>
      </c>
      <c r="AD184" s="1341" t="e">
        <f t="shared" si="160"/>
        <v>#DIV/0!</v>
      </c>
      <c r="AE184" s="116" t="e">
        <f t="shared" si="161"/>
        <v>#DIV/0!</v>
      </c>
    </row>
    <row r="185" spans="2:31" hidden="1" outlineLevel="1" x14ac:dyDescent="0.25">
      <c r="B185" s="7">
        <f>'XFMR Data'!T80*('XFMR Data'!Q80/100)</f>
        <v>0</v>
      </c>
      <c r="C185" s="7">
        <f>'XFMR Data'!U80*('XFMR Data'!R80/100)</f>
        <v>0</v>
      </c>
      <c r="D185" s="7">
        <f>'XFMR Data'!V80*('XFMR Data'!S80/100)</f>
        <v>0</v>
      </c>
      <c r="E185" s="116" t="e">
        <f t="shared" si="150"/>
        <v>#DIV/0!</v>
      </c>
      <c r="F185" s="116" t="e">
        <f t="shared" si="151"/>
        <v>#DIV/0!</v>
      </c>
      <c r="G185" s="14">
        <f>'XFMR Data'!B80</f>
        <v>0</v>
      </c>
      <c r="H185" s="43">
        <f>'XFMR Data'!G80</f>
        <v>0</v>
      </c>
      <c r="I185" s="7">
        <f>'XFMR Data'!L80</f>
        <v>0</v>
      </c>
      <c r="J185" s="116" t="e">
        <f t="shared" si="152"/>
        <v>#DIV/0!</v>
      </c>
      <c r="K185" s="116" t="e">
        <f t="shared" si="153"/>
        <v>#DIV/0!</v>
      </c>
      <c r="L185" s="7">
        <f>'XFMR Data'!C80</f>
        <v>0</v>
      </c>
      <c r="M185" s="7">
        <f>'XFMR Data'!H80</f>
        <v>0</v>
      </c>
      <c r="N185" s="7">
        <f>'XFMR Data'!M80</f>
        <v>0</v>
      </c>
      <c r="O185" s="1341" t="e">
        <f t="shared" si="154"/>
        <v>#DIV/0!</v>
      </c>
      <c r="P185" s="116" t="e">
        <f t="shared" si="155"/>
        <v>#DIV/0!</v>
      </c>
      <c r="Q185" s="7">
        <f>'XFMR Data'!D80</f>
        <v>0</v>
      </c>
      <c r="R185" s="7">
        <f>'XFMR Data'!I80</f>
        <v>0</v>
      </c>
      <c r="S185" s="7">
        <f>'XFMR Data'!N80</f>
        <v>0</v>
      </c>
      <c r="T185" s="1341" t="e">
        <f t="shared" si="156"/>
        <v>#DIV/0!</v>
      </c>
      <c r="U185" s="116" t="e">
        <f t="shared" si="157"/>
        <v>#DIV/0!</v>
      </c>
      <c r="V185" s="7">
        <f>'XFMR Data'!E80</f>
        <v>0</v>
      </c>
      <c r="W185" s="7">
        <f>'XFMR Data'!J80</f>
        <v>0</v>
      </c>
      <c r="X185" s="7">
        <f>'XFMR Data'!O80</f>
        <v>0</v>
      </c>
      <c r="Y185" s="1341" t="e">
        <f t="shared" si="158"/>
        <v>#DIV/0!</v>
      </c>
      <c r="Z185" s="116" t="e">
        <f t="shared" si="159"/>
        <v>#DIV/0!</v>
      </c>
      <c r="AA185" s="7">
        <f>'XFMR Data'!F80</f>
        <v>0</v>
      </c>
      <c r="AB185" s="43">
        <f>'XFMR Data'!K80</f>
        <v>0</v>
      </c>
      <c r="AC185" s="7">
        <f>'XFMR Data'!P80</f>
        <v>0</v>
      </c>
      <c r="AD185" s="1341" t="e">
        <f t="shared" si="160"/>
        <v>#DIV/0!</v>
      </c>
      <c r="AE185" s="116" t="e">
        <f t="shared" si="161"/>
        <v>#DIV/0!</v>
      </c>
    </row>
    <row r="186" spans="2:31" hidden="1" outlineLevel="1" x14ac:dyDescent="0.25">
      <c r="B186" s="7">
        <f>'XFMR Data'!T81*('XFMR Data'!Q81/100)</f>
        <v>0</v>
      </c>
      <c r="C186" s="7">
        <f>'XFMR Data'!U81*('XFMR Data'!R81/100)</f>
        <v>0</v>
      </c>
      <c r="D186" s="7">
        <f>'XFMR Data'!V81*('XFMR Data'!S81/100)</f>
        <v>0</v>
      </c>
      <c r="E186" s="116" t="e">
        <f t="shared" si="150"/>
        <v>#DIV/0!</v>
      </c>
      <c r="F186" s="116" t="e">
        <f t="shared" si="151"/>
        <v>#DIV/0!</v>
      </c>
      <c r="G186" s="14">
        <f>'XFMR Data'!B81</f>
        <v>0</v>
      </c>
      <c r="H186" s="43">
        <f>'XFMR Data'!G81</f>
        <v>0</v>
      </c>
      <c r="I186" s="7">
        <f>'XFMR Data'!L81</f>
        <v>0</v>
      </c>
      <c r="J186" s="116" t="e">
        <f t="shared" si="152"/>
        <v>#DIV/0!</v>
      </c>
      <c r="K186" s="116" t="e">
        <f t="shared" si="153"/>
        <v>#DIV/0!</v>
      </c>
      <c r="L186" s="7">
        <f>'XFMR Data'!C81</f>
        <v>0</v>
      </c>
      <c r="M186" s="7">
        <f>'XFMR Data'!H81</f>
        <v>0</v>
      </c>
      <c r="N186" s="7">
        <f>'XFMR Data'!M81</f>
        <v>0</v>
      </c>
      <c r="O186" s="1341" t="e">
        <f t="shared" si="154"/>
        <v>#DIV/0!</v>
      </c>
      <c r="P186" s="116" t="e">
        <f t="shared" si="155"/>
        <v>#DIV/0!</v>
      </c>
      <c r="Q186" s="7">
        <f>'XFMR Data'!D81</f>
        <v>0</v>
      </c>
      <c r="R186" s="7">
        <f>'XFMR Data'!I81</f>
        <v>0</v>
      </c>
      <c r="S186" s="7">
        <f>'XFMR Data'!N81</f>
        <v>0</v>
      </c>
      <c r="T186" s="1341" t="e">
        <f t="shared" si="156"/>
        <v>#DIV/0!</v>
      </c>
      <c r="U186" s="116" t="e">
        <f t="shared" si="157"/>
        <v>#DIV/0!</v>
      </c>
      <c r="V186" s="7">
        <f>'XFMR Data'!E81</f>
        <v>0</v>
      </c>
      <c r="W186" s="7">
        <f>'XFMR Data'!J81</f>
        <v>0</v>
      </c>
      <c r="X186" s="7">
        <f>'XFMR Data'!O81</f>
        <v>0</v>
      </c>
      <c r="Y186" s="1341" t="e">
        <f t="shared" si="158"/>
        <v>#DIV/0!</v>
      </c>
      <c r="Z186" s="116" t="e">
        <f t="shared" si="159"/>
        <v>#DIV/0!</v>
      </c>
      <c r="AA186" s="7">
        <f>'XFMR Data'!F81</f>
        <v>0</v>
      </c>
      <c r="AB186" s="43">
        <f>'XFMR Data'!K81</f>
        <v>0</v>
      </c>
      <c r="AC186" s="7">
        <f>'XFMR Data'!P81</f>
        <v>0</v>
      </c>
      <c r="AD186" s="1341" t="e">
        <f t="shared" si="160"/>
        <v>#DIV/0!</v>
      </c>
      <c r="AE186" s="116" t="e">
        <f t="shared" si="161"/>
        <v>#DIV/0!</v>
      </c>
    </row>
    <row r="187" spans="2:31" hidden="1" outlineLevel="1" x14ac:dyDescent="0.25">
      <c r="B187" s="7">
        <f>'XFMR Data'!T82*('XFMR Data'!Q82/100)</f>
        <v>0</v>
      </c>
      <c r="C187" s="7">
        <f>'XFMR Data'!U82*('XFMR Data'!R82/100)</f>
        <v>0</v>
      </c>
      <c r="D187" s="7">
        <f>'XFMR Data'!V82*('XFMR Data'!S82/100)</f>
        <v>0</v>
      </c>
      <c r="E187" s="116" t="e">
        <f t="shared" si="150"/>
        <v>#DIV/0!</v>
      </c>
      <c r="F187" s="116" t="e">
        <f t="shared" si="151"/>
        <v>#DIV/0!</v>
      </c>
      <c r="G187" s="14">
        <f>'XFMR Data'!B82</f>
        <v>0</v>
      </c>
      <c r="H187" s="43">
        <f>'XFMR Data'!G82</f>
        <v>0</v>
      </c>
      <c r="I187" s="7">
        <f>'XFMR Data'!L82</f>
        <v>0</v>
      </c>
      <c r="J187" s="116" t="e">
        <f t="shared" si="152"/>
        <v>#DIV/0!</v>
      </c>
      <c r="K187" s="116" t="e">
        <f t="shared" si="153"/>
        <v>#DIV/0!</v>
      </c>
      <c r="L187" s="7">
        <f>'XFMR Data'!C82</f>
        <v>0</v>
      </c>
      <c r="M187" s="7">
        <f>'XFMR Data'!H82</f>
        <v>0</v>
      </c>
      <c r="N187" s="7">
        <f>'XFMR Data'!M82</f>
        <v>0</v>
      </c>
      <c r="O187" s="1341" t="e">
        <f t="shared" si="154"/>
        <v>#DIV/0!</v>
      </c>
      <c r="P187" s="116" t="e">
        <f t="shared" si="155"/>
        <v>#DIV/0!</v>
      </c>
      <c r="Q187" s="7">
        <f>'XFMR Data'!D82</f>
        <v>0</v>
      </c>
      <c r="R187" s="7">
        <f>'XFMR Data'!I82</f>
        <v>0</v>
      </c>
      <c r="S187" s="7">
        <f>'XFMR Data'!N82</f>
        <v>0</v>
      </c>
      <c r="T187" s="1341" t="e">
        <f t="shared" si="156"/>
        <v>#DIV/0!</v>
      </c>
      <c r="U187" s="116" t="e">
        <f t="shared" si="157"/>
        <v>#DIV/0!</v>
      </c>
      <c r="V187" s="7">
        <f>'XFMR Data'!E82</f>
        <v>0</v>
      </c>
      <c r="W187" s="7">
        <f>'XFMR Data'!J82</f>
        <v>0</v>
      </c>
      <c r="X187" s="7">
        <f>'XFMR Data'!O82</f>
        <v>0</v>
      </c>
      <c r="Y187" s="1341" t="e">
        <f t="shared" si="158"/>
        <v>#DIV/0!</v>
      </c>
      <c r="Z187" s="116" t="e">
        <f t="shared" si="159"/>
        <v>#DIV/0!</v>
      </c>
      <c r="AA187" s="7">
        <f>'XFMR Data'!F82</f>
        <v>0</v>
      </c>
      <c r="AB187" s="43">
        <f>'XFMR Data'!K82</f>
        <v>0</v>
      </c>
      <c r="AC187" s="7">
        <f>'XFMR Data'!P82</f>
        <v>0</v>
      </c>
      <c r="AD187" s="1341" t="e">
        <f t="shared" si="160"/>
        <v>#DIV/0!</v>
      </c>
      <c r="AE187" s="116" t="e">
        <f t="shared" si="161"/>
        <v>#DIV/0!</v>
      </c>
    </row>
    <row r="188" spans="2:31" hidden="1" outlineLevel="1" x14ac:dyDescent="0.25">
      <c r="B188" s="7">
        <f>'XFMR Data'!T83*('XFMR Data'!Q83/100)</f>
        <v>0</v>
      </c>
      <c r="C188" s="7">
        <f>'XFMR Data'!U83*('XFMR Data'!R83/100)</f>
        <v>0</v>
      </c>
      <c r="D188" s="7">
        <f>'XFMR Data'!V83*('XFMR Data'!S83/100)</f>
        <v>0</v>
      </c>
      <c r="E188" s="116" t="e">
        <f t="shared" si="150"/>
        <v>#DIV/0!</v>
      </c>
      <c r="F188" s="116" t="e">
        <f t="shared" si="151"/>
        <v>#DIV/0!</v>
      </c>
      <c r="G188" s="14">
        <f>'XFMR Data'!B83</f>
        <v>0</v>
      </c>
      <c r="H188" s="43">
        <f>'XFMR Data'!G83</f>
        <v>0</v>
      </c>
      <c r="I188" s="7">
        <f>'XFMR Data'!L83</f>
        <v>0</v>
      </c>
      <c r="J188" s="116" t="e">
        <f t="shared" si="152"/>
        <v>#DIV/0!</v>
      </c>
      <c r="K188" s="116" t="e">
        <f t="shared" si="153"/>
        <v>#DIV/0!</v>
      </c>
      <c r="L188" s="7">
        <f>'XFMR Data'!C83</f>
        <v>0</v>
      </c>
      <c r="M188" s="7">
        <f>'XFMR Data'!H83</f>
        <v>0</v>
      </c>
      <c r="N188" s="7">
        <f>'XFMR Data'!M83</f>
        <v>0</v>
      </c>
      <c r="O188" s="1341" t="e">
        <f t="shared" si="154"/>
        <v>#DIV/0!</v>
      </c>
      <c r="P188" s="116" t="e">
        <f t="shared" si="155"/>
        <v>#DIV/0!</v>
      </c>
      <c r="Q188" s="7">
        <f>'XFMR Data'!D83</f>
        <v>0</v>
      </c>
      <c r="R188" s="7">
        <f>'XFMR Data'!I83</f>
        <v>0</v>
      </c>
      <c r="S188" s="7">
        <f>'XFMR Data'!N83</f>
        <v>0</v>
      </c>
      <c r="T188" s="1341" t="e">
        <f t="shared" si="156"/>
        <v>#DIV/0!</v>
      </c>
      <c r="U188" s="116" t="e">
        <f t="shared" si="157"/>
        <v>#DIV/0!</v>
      </c>
      <c r="V188" s="7">
        <f>'XFMR Data'!E83</f>
        <v>0</v>
      </c>
      <c r="W188" s="7">
        <f>'XFMR Data'!J83</f>
        <v>0</v>
      </c>
      <c r="X188" s="7">
        <f>'XFMR Data'!O83</f>
        <v>0</v>
      </c>
      <c r="Y188" s="1341" t="e">
        <f t="shared" si="158"/>
        <v>#DIV/0!</v>
      </c>
      <c r="Z188" s="116" t="e">
        <f t="shared" si="159"/>
        <v>#DIV/0!</v>
      </c>
      <c r="AA188" s="7">
        <f>'XFMR Data'!F83</f>
        <v>0</v>
      </c>
      <c r="AB188" s="43">
        <f>'XFMR Data'!K83</f>
        <v>0</v>
      </c>
      <c r="AC188" s="7">
        <f>'XFMR Data'!P83</f>
        <v>0</v>
      </c>
      <c r="AD188" s="1341" t="e">
        <f t="shared" si="160"/>
        <v>#DIV/0!</v>
      </c>
      <c r="AE188" s="116" t="e">
        <f t="shared" si="161"/>
        <v>#DIV/0!</v>
      </c>
    </row>
    <row r="189" spans="2:31" hidden="1" outlineLevel="1" x14ac:dyDescent="0.25">
      <c r="B189" s="7">
        <f>'XFMR Data'!T84*('XFMR Data'!Q84/100)</f>
        <v>0</v>
      </c>
      <c r="C189" s="7">
        <f>'XFMR Data'!U84*('XFMR Data'!R84/100)</f>
        <v>0</v>
      </c>
      <c r="D189" s="7">
        <f>'XFMR Data'!V84*('XFMR Data'!S84/100)</f>
        <v>0</v>
      </c>
      <c r="E189" s="116" t="e">
        <f t="shared" si="150"/>
        <v>#DIV/0!</v>
      </c>
      <c r="F189" s="116" t="e">
        <f t="shared" si="151"/>
        <v>#DIV/0!</v>
      </c>
      <c r="G189" s="14">
        <f>'XFMR Data'!B84</f>
        <v>0</v>
      </c>
      <c r="H189" s="43">
        <f>'XFMR Data'!G84</f>
        <v>0</v>
      </c>
      <c r="I189" s="7">
        <f>'XFMR Data'!L84</f>
        <v>0</v>
      </c>
      <c r="J189" s="116" t="e">
        <f t="shared" si="152"/>
        <v>#DIV/0!</v>
      </c>
      <c r="K189" s="116" t="e">
        <f t="shared" si="153"/>
        <v>#DIV/0!</v>
      </c>
      <c r="L189" s="7">
        <f>'XFMR Data'!C84</f>
        <v>0</v>
      </c>
      <c r="M189" s="7">
        <f>'XFMR Data'!H84</f>
        <v>0</v>
      </c>
      <c r="N189" s="7">
        <f>'XFMR Data'!M84</f>
        <v>0</v>
      </c>
      <c r="O189" s="1341" t="e">
        <f t="shared" si="154"/>
        <v>#DIV/0!</v>
      </c>
      <c r="P189" s="116" t="e">
        <f t="shared" si="155"/>
        <v>#DIV/0!</v>
      </c>
      <c r="Q189" s="7">
        <f>'XFMR Data'!D84</f>
        <v>0</v>
      </c>
      <c r="R189" s="7">
        <f>'XFMR Data'!I84</f>
        <v>0</v>
      </c>
      <c r="S189" s="7">
        <f>'XFMR Data'!N84</f>
        <v>0</v>
      </c>
      <c r="T189" s="1341" t="e">
        <f t="shared" si="156"/>
        <v>#DIV/0!</v>
      </c>
      <c r="U189" s="116" t="e">
        <f t="shared" si="157"/>
        <v>#DIV/0!</v>
      </c>
      <c r="V189" s="7">
        <f>'XFMR Data'!E84</f>
        <v>0</v>
      </c>
      <c r="W189" s="7">
        <f>'XFMR Data'!J84</f>
        <v>0</v>
      </c>
      <c r="X189" s="7">
        <f>'XFMR Data'!O84</f>
        <v>0</v>
      </c>
      <c r="Y189" s="1341" t="e">
        <f t="shared" si="158"/>
        <v>#DIV/0!</v>
      </c>
      <c r="Z189" s="116" t="e">
        <f t="shared" si="159"/>
        <v>#DIV/0!</v>
      </c>
      <c r="AA189" s="7">
        <f>'XFMR Data'!F84</f>
        <v>0</v>
      </c>
      <c r="AB189" s="43">
        <f>'XFMR Data'!K84</f>
        <v>0</v>
      </c>
      <c r="AC189" s="7">
        <f>'XFMR Data'!P84</f>
        <v>0</v>
      </c>
      <c r="AD189" s="1341" t="e">
        <f t="shared" si="160"/>
        <v>#DIV/0!</v>
      </c>
      <c r="AE189" s="116" t="e">
        <f t="shared" si="161"/>
        <v>#DIV/0!</v>
      </c>
    </row>
    <row r="190" spans="2:31" hidden="1" outlineLevel="1" x14ac:dyDescent="0.25">
      <c r="B190" s="7">
        <f>'XFMR Data'!T85*('XFMR Data'!Q85/100)</f>
        <v>0</v>
      </c>
      <c r="C190" s="7">
        <f>'XFMR Data'!U85*('XFMR Data'!R85/100)</f>
        <v>0</v>
      </c>
      <c r="D190" s="7">
        <f>'XFMR Data'!V85*('XFMR Data'!S85/100)</f>
        <v>0</v>
      </c>
      <c r="E190" s="116" t="e">
        <f t="shared" si="150"/>
        <v>#DIV/0!</v>
      </c>
      <c r="F190" s="116" t="e">
        <f t="shared" si="151"/>
        <v>#DIV/0!</v>
      </c>
      <c r="G190" s="14">
        <f>'XFMR Data'!B85</f>
        <v>0</v>
      </c>
      <c r="H190" s="43">
        <f>'XFMR Data'!G85</f>
        <v>0</v>
      </c>
      <c r="I190" s="7">
        <f>'XFMR Data'!L85</f>
        <v>0</v>
      </c>
      <c r="J190" s="116" t="e">
        <f t="shared" si="152"/>
        <v>#DIV/0!</v>
      </c>
      <c r="K190" s="116" t="e">
        <f t="shared" si="153"/>
        <v>#DIV/0!</v>
      </c>
      <c r="L190" s="7">
        <f>'XFMR Data'!C85</f>
        <v>0</v>
      </c>
      <c r="M190" s="7">
        <f>'XFMR Data'!H85</f>
        <v>0</v>
      </c>
      <c r="N190" s="7">
        <f>'XFMR Data'!M85</f>
        <v>0</v>
      </c>
      <c r="O190" s="1341" t="e">
        <f t="shared" si="154"/>
        <v>#DIV/0!</v>
      </c>
      <c r="P190" s="116" t="e">
        <f t="shared" si="155"/>
        <v>#DIV/0!</v>
      </c>
      <c r="Q190" s="7">
        <f>'XFMR Data'!D85</f>
        <v>0</v>
      </c>
      <c r="R190" s="7">
        <f>'XFMR Data'!I85</f>
        <v>0</v>
      </c>
      <c r="S190" s="7">
        <f>'XFMR Data'!N85</f>
        <v>0</v>
      </c>
      <c r="T190" s="1341" t="e">
        <f t="shared" si="156"/>
        <v>#DIV/0!</v>
      </c>
      <c r="U190" s="116" t="e">
        <f t="shared" si="157"/>
        <v>#DIV/0!</v>
      </c>
      <c r="V190" s="7">
        <f>'XFMR Data'!E85</f>
        <v>0</v>
      </c>
      <c r="W190" s="7">
        <f>'XFMR Data'!J85</f>
        <v>0</v>
      </c>
      <c r="X190" s="7">
        <f>'XFMR Data'!O85</f>
        <v>0</v>
      </c>
      <c r="Y190" s="1341" t="e">
        <f t="shared" si="158"/>
        <v>#DIV/0!</v>
      </c>
      <c r="Z190" s="116" t="e">
        <f t="shared" si="159"/>
        <v>#DIV/0!</v>
      </c>
      <c r="AA190" s="7">
        <f>'XFMR Data'!F85</f>
        <v>0</v>
      </c>
      <c r="AB190" s="43">
        <f>'XFMR Data'!K85</f>
        <v>0</v>
      </c>
      <c r="AC190" s="7">
        <f>'XFMR Data'!P85</f>
        <v>0</v>
      </c>
      <c r="AD190" s="1341" t="e">
        <f t="shared" si="160"/>
        <v>#DIV/0!</v>
      </c>
      <c r="AE190" s="116" t="e">
        <f t="shared" si="161"/>
        <v>#DIV/0!</v>
      </c>
    </row>
    <row r="191" spans="2:31" hidden="1" outlineLevel="1" x14ac:dyDescent="0.25">
      <c r="B191" s="7">
        <f>'XFMR Data'!T86*('XFMR Data'!Q86/100)</f>
        <v>0</v>
      </c>
      <c r="C191" s="7">
        <f>'XFMR Data'!U86*('XFMR Data'!R86/100)</f>
        <v>0</v>
      </c>
      <c r="D191" s="7">
        <f>'XFMR Data'!V86*('XFMR Data'!S86/100)</f>
        <v>0</v>
      </c>
      <c r="E191" s="116" t="e">
        <f t="shared" si="150"/>
        <v>#DIV/0!</v>
      </c>
      <c r="F191" s="116" t="e">
        <f t="shared" si="151"/>
        <v>#DIV/0!</v>
      </c>
      <c r="G191" s="14">
        <f>'XFMR Data'!B86</f>
        <v>0</v>
      </c>
      <c r="H191" s="43">
        <f>'XFMR Data'!G86</f>
        <v>0</v>
      </c>
      <c r="I191" s="7">
        <f>'XFMR Data'!L86</f>
        <v>0</v>
      </c>
      <c r="J191" s="116" t="e">
        <f t="shared" si="152"/>
        <v>#DIV/0!</v>
      </c>
      <c r="K191" s="116" t="e">
        <f t="shared" si="153"/>
        <v>#DIV/0!</v>
      </c>
      <c r="L191" s="7">
        <f>'XFMR Data'!C86</f>
        <v>0</v>
      </c>
      <c r="M191" s="7">
        <f>'XFMR Data'!H86</f>
        <v>0</v>
      </c>
      <c r="N191" s="7">
        <f>'XFMR Data'!M86</f>
        <v>0</v>
      </c>
      <c r="O191" s="1341" t="e">
        <f t="shared" si="154"/>
        <v>#DIV/0!</v>
      </c>
      <c r="P191" s="116" t="e">
        <f t="shared" si="155"/>
        <v>#DIV/0!</v>
      </c>
      <c r="Q191" s="7">
        <f>'XFMR Data'!D86</f>
        <v>0</v>
      </c>
      <c r="R191" s="7">
        <f>'XFMR Data'!I86</f>
        <v>0</v>
      </c>
      <c r="S191" s="7">
        <f>'XFMR Data'!N86</f>
        <v>0</v>
      </c>
      <c r="T191" s="1341" t="e">
        <f t="shared" si="156"/>
        <v>#DIV/0!</v>
      </c>
      <c r="U191" s="116" t="e">
        <f t="shared" si="157"/>
        <v>#DIV/0!</v>
      </c>
      <c r="V191" s="7">
        <f>'XFMR Data'!E86</f>
        <v>0</v>
      </c>
      <c r="W191" s="7">
        <f>'XFMR Data'!J86</f>
        <v>0</v>
      </c>
      <c r="X191" s="7">
        <f>'XFMR Data'!O86</f>
        <v>0</v>
      </c>
      <c r="Y191" s="1341" t="e">
        <f t="shared" si="158"/>
        <v>#DIV/0!</v>
      </c>
      <c r="Z191" s="116" t="e">
        <f t="shared" si="159"/>
        <v>#DIV/0!</v>
      </c>
      <c r="AA191" s="7">
        <f>'XFMR Data'!F86</f>
        <v>0</v>
      </c>
      <c r="AB191" s="43">
        <f>'XFMR Data'!K86</f>
        <v>0</v>
      </c>
      <c r="AC191" s="7">
        <f>'XFMR Data'!P86</f>
        <v>0</v>
      </c>
      <c r="AD191" s="1341" t="e">
        <f t="shared" si="160"/>
        <v>#DIV/0!</v>
      </c>
      <c r="AE191" s="116" t="e">
        <f t="shared" si="161"/>
        <v>#DIV/0!</v>
      </c>
    </row>
    <row r="192" spans="2:31" hidden="1" outlineLevel="1" x14ac:dyDescent="0.25">
      <c r="B192" s="7">
        <f>'XFMR Data'!T87*('XFMR Data'!Q87/100)</f>
        <v>0</v>
      </c>
      <c r="C192" s="7">
        <f>'XFMR Data'!U87*('XFMR Data'!R87/100)</f>
        <v>0</v>
      </c>
      <c r="D192" s="7">
        <f>'XFMR Data'!V87*('XFMR Data'!S87/100)</f>
        <v>0</v>
      </c>
      <c r="E192" s="116" t="e">
        <f t="shared" si="150"/>
        <v>#DIV/0!</v>
      </c>
      <c r="F192" s="116" t="e">
        <f t="shared" si="151"/>
        <v>#DIV/0!</v>
      </c>
      <c r="G192" s="14">
        <f>'XFMR Data'!B87</f>
        <v>0</v>
      </c>
      <c r="H192" s="43">
        <f>'XFMR Data'!G87</f>
        <v>0</v>
      </c>
      <c r="I192" s="7">
        <f>'XFMR Data'!L87</f>
        <v>0</v>
      </c>
      <c r="J192" s="116" t="e">
        <f t="shared" si="152"/>
        <v>#DIV/0!</v>
      </c>
      <c r="K192" s="116" t="e">
        <f t="shared" si="153"/>
        <v>#DIV/0!</v>
      </c>
      <c r="L192" s="7">
        <f>'XFMR Data'!C87</f>
        <v>0</v>
      </c>
      <c r="M192" s="7">
        <f>'XFMR Data'!H87</f>
        <v>0</v>
      </c>
      <c r="N192" s="7">
        <f>'XFMR Data'!M87</f>
        <v>0</v>
      </c>
      <c r="O192" s="1341" t="e">
        <f t="shared" si="154"/>
        <v>#DIV/0!</v>
      </c>
      <c r="P192" s="116" t="e">
        <f t="shared" si="155"/>
        <v>#DIV/0!</v>
      </c>
      <c r="Q192" s="7">
        <f>'XFMR Data'!D87</f>
        <v>0</v>
      </c>
      <c r="R192" s="7">
        <f>'XFMR Data'!I87</f>
        <v>0</v>
      </c>
      <c r="S192" s="7">
        <f>'XFMR Data'!N87</f>
        <v>0</v>
      </c>
      <c r="T192" s="1341" t="e">
        <f t="shared" si="156"/>
        <v>#DIV/0!</v>
      </c>
      <c r="U192" s="116" t="e">
        <f t="shared" si="157"/>
        <v>#DIV/0!</v>
      </c>
      <c r="V192" s="7">
        <f>'XFMR Data'!E87</f>
        <v>0</v>
      </c>
      <c r="W192" s="7">
        <f>'XFMR Data'!J87</f>
        <v>0</v>
      </c>
      <c r="X192" s="7">
        <f>'XFMR Data'!O87</f>
        <v>0</v>
      </c>
      <c r="Y192" s="1341" t="e">
        <f t="shared" si="158"/>
        <v>#DIV/0!</v>
      </c>
      <c r="Z192" s="116" t="e">
        <f t="shared" si="159"/>
        <v>#DIV/0!</v>
      </c>
      <c r="AA192" s="7">
        <f>'XFMR Data'!F87</f>
        <v>0</v>
      </c>
      <c r="AB192" s="43">
        <f>'XFMR Data'!K87</f>
        <v>0</v>
      </c>
      <c r="AC192" s="7">
        <f>'XFMR Data'!P87</f>
        <v>0</v>
      </c>
      <c r="AD192" s="1341" t="e">
        <f t="shared" si="160"/>
        <v>#DIV/0!</v>
      </c>
      <c r="AE192" s="116" t="e">
        <f t="shared" si="161"/>
        <v>#DIV/0!</v>
      </c>
    </row>
    <row r="193" spans="1:53" hidden="1" outlineLevel="1" x14ac:dyDescent="0.25">
      <c r="B193" s="7">
        <f>'XFMR Data'!T88*('XFMR Data'!Q88/100)</f>
        <v>0</v>
      </c>
      <c r="C193" s="7">
        <f>'XFMR Data'!U88*('XFMR Data'!R88/100)</f>
        <v>0</v>
      </c>
      <c r="D193" s="7">
        <f>'XFMR Data'!V88*('XFMR Data'!S88/100)</f>
        <v>0</v>
      </c>
      <c r="E193" s="116" t="e">
        <f t="shared" si="150"/>
        <v>#DIV/0!</v>
      </c>
      <c r="F193" s="116" t="e">
        <f t="shared" si="151"/>
        <v>#DIV/0!</v>
      </c>
      <c r="G193" s="14">
        <f>'XFMR Data'!B88</f>
        <v>0</v>
      </c>
      <c r="H193" s="43">
        <f>'XFMR Data'!G88</f>
        <v>0</v>
      </c>
      <c r="I193" s="7">
        <f>'XFMR Data'!L88</f>
        <v>0</v>
      </c>
      <c r="J193" s="116" t="e">
        <f t="shared" si="152"/>
        <v>#DIV/0!</v>
      </c>
      <c r="K193" s="116" t="e">
        <f t="shared" si="153"/>
        <v>#DIV/0!</v>
      </c>
      <c r="L193" s="7">
        <f>'XFMR Data'!C88</f>
        <v>0</v>
      </c>
      <c r="M193" s="7">
        <f>'XFMR Data'!H88</f>
        <v>0</v>
      </c>
      <c r="N193" s="7">
        <f>'XFMR Data'!M88</f>
        <v>0</v>
      </c>
      <c r="O193" s="1341" t="e">
        <f t="shared" si="154"/>
        <v>#DIV/0!</v>
      </c>
      <c r="P193" s="116" t="e">
        <f t="shared" si="155"/>
        <v>#DIV/0!</v>
      </c>
      <c r="Q193" s="7">
        <f>'XFMR Data'!D88</f>
        <v>0</v>
      </c>
      <c r="R193" s="7">
        <f>'XFMR Data'!I88</f>
        <v>0</v>
      </c>
      <c r="S193" s="7">
        <f>'XFMR Data'!N88</f>
        <v>0</v>
      </c>
      <c r="T193" s="1341" t="e">
        <f t="shared" si="156"/>
        <v>#DIV/0!</v>
      </c>
      <c r="U193" s="116" t="e">
        <f t="shared" si="157"/>
        <v>#DIV/0!</v>
      </c>
      <c r="V193" s="7">
        <f>'XFMR Data'!E88</f>
        <v>0</v>
      </c>
      <c r="W193" s="7">
        <f>'XFMR Data'!J88</f>
        <v>0</v>
      </c>
      <c r="X193" s="7">
        <f>'XFMR Data'!O88</f>
        <v>0</v>
      </c>
      <c r="Y193" s="1341" t="e">
        <f t="shared" si="158"/>
        <v>#DIV/0!</v>
      </c>
      <c r="Z193" s="116" t="e">
        <f t="shared" si="159"/>
        <v>#DIV/0!</v>
      </c>
      <c r="AA193" s="7">
        <f>'XFMR Data'!F88</f>
        <v>0</v>
      </c>
      <c r="AB193" s="43">
        <f>'XFMR Data'!K88</f>
        <v>0</v>
      </c>
      <c r="AC193" s="7">
        <f>'XFMR Data'!P88</f>
        <v>0</v>
      </c>
      <c r="AD193" s="1341" t="e">
        <f t="shared" si="160"/>
        <v>#DIV/0!</v>
      </c>
      <c r="AE193" s="116" t="e">
        <f t="shared" si="161"/>
        <v>#DIV/0!</v>
      </c>
    </row>
    <row r="194" spans="1:53" hidden="1" outlineLevel="1" x14ac:dyDescent="0.25">
      <c r="B194" s="7">
        <f>'XFMR Data'!T89*('XFMR Data'!Q89/100)</f>
        <v>0</v>
      </c>
      <c r="C194" s="7">
        <f>'XFMR Data'!U89*('XFMR Data'!R89/100)</f>
        <v>0</v>
      </c>
      <c r="D194" s="7">
        <f>'XFMR Data'!V89*('XFMR Data'!S89/100)</f>
        <v>0</v>
      </c>
      <c r="E194" s="116" t="e">
        <f t="shared" si="150"/>
        <v>#DIV/0!</v>
      </c>
      <c r="F194" s="116" t="e">
        <f t="shared" si="151"/>
        <v>#DIV/0!</v>
      </c>
      <c r="G194" s="14">
        <f>'XFMR Data'!B89</f>
        <v>0</v>
      </c>
      <c r="H194" s="43">
        <f>'XFMR Data'!G89</f>
        <v>0</v>
      </c>
      <c r="I194" s="7">
        <f>'XFMR Data'!L89</f>
        <v>0</v>
      </c>
      <c r="J194" s="116" t="e">
        <f t="shared" si="152"/>
        <v>#DIV/0!</v>
      </c>
      <c r="K194" s="116" t="e">
        <f t="shared" si="153"/>
        <v>#DIV/0!</v>
      </c>
      <c r="L194" s="7">
        <f>'XFMR Data'!C89</f>
        <v>0</v>
      </c>
      <c r="M194" s="7">
        <f>'XFMR Data'!H89</f>
        <v>0</v>
      </c>
      <c r="N194" s="7">
        <f>'XFMR Data'!M89</f>
        <v>0</v>
      </c>
      <c r="O194" s="1341" t="e">
        <f t="shared" si="154"/>
        <v>#DIV/0!</v>
      </c>
      <c r="P194" s="116" t="e">
        <f t="shared" si="155"/>
        <v>#DIV/0!</v>
      </c>
      <c r="Q194" s="7">
        <f>'XFMR Data'!D89</f>
        <v>0</v>
      </c>
      <c r="R194" s="7">
        <f>'XFMR Data'!I89</f>
        <v>0</v>
      </c>
      <c r="S194" s="7">
        <f>'XFMR Data'!N89</f>
        <v>0</v>
      </c>
      <c r="T194" s="1341" t="e">
        <f t="shared" si="156"/>
        <v>#DIV/0!</v>
      </c>
      <c r="U194" s="116" t="e">
        <f t="shared" si="157"/>
        <v>#DIV/0!</v>
      </c>
      <c r="V194" s="7">
        <f>'XFMR Data'!E89</f>
        <v>0</v>
      </c>
      <c r="W194" s="7">
        <f>'XFMR Data'!J89</f>
        <v>0</v>
      </c>
      <c r="X194" s="7">
        <f>'XFMR Data'!O89</f>
        <v>0</v>
      </c>
      <c r="Y194" s="1341" t="e">
        <f t="shared" si="158"/>
        <v>#DIV/0!</v>
      </c>
      <c r="Z194" s="116" t="e">
        <f t="shared" si="159"/>
        <v>#DIV/0!</v>
      </c>
      <c r="AA194" s="7">
        <f>'XFMR Data'!F89</f>
        <v>0</v>
      </c>
      <c r="AB194" s="43">
        <f>'XFMR Data'!K89</f>
        <v>0</v>
      </c>
      <c r="AC194" s="7">
        <f>'XFMR Data'!P89</f>
        <v>0</v>
      </c>
      <c r="AD194" s="1341" t="e">
        <f t="shared" si="160"/>
        <v>#DIV/0!</v>
      </c>
      <c r="AE194" s="116" t="e">
        <f t="shared" si="161"/>
        <v>#DIV/0!</v>
      </c>
    </row>
    <row r="195" spans="1:53" hidden="1" outlineLevel="1" x14ac:dyDescent="0.25">
      <c r="B195" s="7">
        <f>'XFMR Data'!T90*('XFMR Data'!Q90/100)</f>
        <v>0</v>
      </c>
      <c r="C195" s="7">
        <f>'XFMR Data'!U90*('XFMR Data'!R90/100)</f>
        <v>0</v>
      </c>
      <c r="D195" s="7">
        <f>'XFMR Data'!V90*('XFMR Data'!S90/100)</f>
        <v>0</v>
      </c>
      <c r="E195" s="116" t="e">
        <f t="shared" si="150"/>
        <v>#DIV/0!</v>
      </c>
      <c r="F195" s="116" t="e">
        <f t="shared" si="151"/>
        <v>#DIV/0!</v>
      </c>
      <c r="G195" s="14">
        <f>'XFMR Data'!B90</f>
        <v>0</v>
      </c>
      <c r="H195" s="43">
        <f>'XFMR Data'!G90</f>
        <v>0</v>
      </c>
      <c r="I195" s="7">
        <f>'XFMR Data'!L90</f>
        <v>0</v>
      </c>
      <c r="J195" s="116" t="e">
        <f t="shared" si="152"/>
        <v>#DIV/0!</v>
      </c>
      <c r="K195" s="116" t="e">
        <f t="shared" si="153"/>
        <v>#DIV/0!</v>
      </c>
      <c r="L195" s="7">
        <f>'XFMR Data'!C90</f>
        <v>0</v>
      </c>
      <c r="M195" s="7">
        <f>'XFMR Data'!H90</f>
        <v>0</v>
      </c>
      <c r="N195" s="7">
        <f>'XFMR Data'!M90</f>
        <v>0</v>
      </c>
      <c r="O195" s="1341" t="e">
        <f t="shared" si="154"/>
        <v>#DIV/0!</v>
      </c>
      <c r="P195" s="116" t="e">
        <f t="shared" si="155"/>
        <v>#DIV/0!</v>
      </c>
      <c r="Q195" s="7">
        <f>'XFMR Data'!D90</f>
        <v>0</v>
      </c>
      <c r="R195" s="7">
        <f>'XFMR Data'!I90</f>
        <v>0</v>
      </c>
      <c r="S195" s="7">
        <f>'XFMR Data'!N90</f>
        <v>0</v>
      </c>
      <c r="T195" s="1341" t="e">
        <f t="shared" si="156"/>
        <v>#DIV/0!</v>
      </c>
      <c r="U195" s="116" t="e">
        <f t="shared" si="157"/>
        <v>#DIV/0!</v>
      </c>
      <c r="V195" s="7">
        <f>'XFMR Data'!E90</f>
        <v>0</v>
      </c>
      <c r="W195" s="7">
        <f>'XFMR Data'!J90</f>
        <v>0</v>
      </c>
      <c r="X195" s="7">
        <f>'XFMR Data'!O90</f>
        <v>0</v>
      </c>
      <c r="Y195" s="1341" t="e">
        <f t="shared" si="158"/>
        <v>#DIV/0!</v>
      </c>
      <c r="Z195" s="116" t="e">
        <f t="shared" si="159"/>
        <v>#DIV/0!</v>
      </c>
      <c r="AA195" s="7">
        <f>'XFMR Data'!F90</f>
        <v>0</v>
      </c>
      <c r="AB195" s="43">
        <f>'XFMR Data'!K90</f>
        <v>0</v>
      </c>
      <c r="AC195" s="7">
        <f>'XFMR Data'!P90</f>
        <v>0</v>
      </c>
      <c r="AD195" s="1341" t="e">
        <f t="shared" si="160"/>
        <v>#DIV/0!</v>
      </c>
      <c r="AE195" s="116" t="e">
        <f t="shared" si="161"/>
        <v>#DIV/0!</v>
      </c>
    </row>
    <row r="196" spans="1:53" hidden="1" outlineLevel="1" x14ac:dyDescent="0.25">
      <c r="B196" s="7">
        <f>'XFMR Data'!T91*('XFMR Data'!Q91/100)</f>
        <v>0</v>
      </c>
      <c r="C196" s="7">
        <f>'XFMR Data'!U91*('XFMR Data'!R91/100)</f>
        <v>0</v>
      </c>
      <c r="D196" s="7">
        <f>'XFMR Data'!V91*('XFMR Data'!S91/100)</f>
        <v>0</v>
      </c>
      <c r="E196" s="116" t="e">
        <f t="shared" si="150"/>
        <v>#DIV/0!</v>
      </c>
      <c r="F196" s="116" t="e">
        <f t="shared" si="151"/>
        <v>#DIV/0!</v>
      </c>
      <c r="G196" s="14">
        <f>'XFMR Data'!B91</f>
        <v>0</v>
      </c>
      <c r="H196" s="43">
        <f>'XFMR Data'!G91</f>
        <v>0</v>
      </c>
      <c r="I196" s="7">
        <f>'XFMR Data'!L91</f>
        <v>0</v>
      </c>
      <c r="J196" s="116" t="e">
        <f t="shared" si="152"/>
        <v>#DIV/0!</v>
      </c>
      <c r="K196" s="116" t="e">
        <f t="shared" si="153"/>
        <v>#DIV/0!</v>
      </c>
      <c r="L196" s="7">
        <f>'XFMR Data'!C91</f>
        <v>0</v>
      </c>
      <c r="M196" s="7">
        <f>'XFMR Data'!H91</f>
        <v>0</v>
      </c>
      <c r="N196" s="7">
        <f>'XFMR Data'!M91</f>
        <v>0</v>
      </c>
      <c r="O196" s="1341" t="e">
        <f t="shared" si="154"/>
        <v>#DIV/0!</v>
      </c>
      <c r="P196" s="116" t="e">
        <f t="shared" si="155"/>
        <v>#DIV/0!</v>
      </c>
      <c r="Q196" s="7">
        <f>'XFMR Data'!D91</f>
        <v>0</v>
      </c>
      <c r="R196" s="7">
        <f>'XFMR Data'!I91</f>
        <v>0</v>
      </c>
      <c r="S196" s="7">
        <f>'XFMR Data'!N91</f>
        <v>0</v>
      </c>
      <c r="T196" s="1341" t="e">
        <f t="shared" si="156"/>
        <v>#DIV/0!</v>
      </c>
      <c r="U196" s="116" t="e">
        <f t="shared" si="157"/>
        <v>#DIV/0!</v>
      </c>
      <c r="V196" s="7">
        <f>'XFMR Data'!E91</f>
        <v>0</v>
      </c>
      <c r="W196" s="7">
        <f>'XFMR Data'!J91</f>
        <v>0</v>
      </c>
      <c r="X196" s="7">
        <f>'XFMR Data'!O91</f>
        <v>0</v>
      </c>
      <c r="Y196" s="1341" t="e">
        <f t="shared" si="158"/>
        <v>#DIV/0!</v>
      </c>
      <c r="Z196" s="116" t="e">
        <f t="shared" si="159"/>
        <v>#DIV/0!</v>
      </c>
      <c r="AA196" s="7">
        <f>'XFMR Data'!F91</f>
        <v>0</v>
      </c>
      <c r="AB196" s="43">
        <f>'XFMR Data'!K91</f>
        <v>0</v>
      </c>
      <c r="AC196" s="7">
        <f>'XFMR Data'!P91</f>
        <v>0</v>
      </c>
      <c r="AD196" s="1341" t="e">
        <f t="shared" si="160"/>
        <v>#DIV/0!</v>
      </c>
      <c r="AE196" s="116" t="e">
        <f t="shared" si="161"/>
        <v>#DIV/0!</v>
      </c>
    </row>
    <row r="197" spans="1:53" hidden="1" outlineLevel="1" x14ac:dyDescent="0.25">
      <c r="B197" s="7">
        <f>'XFMR Data'!T92*('XFMR Data'!Q92/100)</f>
        <v>0</v>
      </c>
      <c r="C197" s="7">
        <f>'XFMR Data'!U92*('XFMR Data'!R92/100)</f>
        <v>0</v>
      </c>
      <c r="D197" s="7">
        <f>'XFMR Data'!V92*('XFMR Data'!S92/100)</f>
        <v>0</v>
      </c>
      <c r="E197" s="116" t="e">
        <f t="shared" si="150"/>
        <v>#DIV/0!</v>
      </c>
      <c r="F197" s="116" t="e">
        <f t="shared" si="151"/>
        <v>#DIV/0!</v>
      </c>
      <c r="G197" s="14">
        <f>'XFMR Data'!B92</f>
        <v>0</v>
      </c>
      <c r="H197" s="43">
        <f>'XFMR Data'!G92</f>
        <v>0</v>
      </c>
      <c r="I197" s="7">
        <f>'XFMR Data'!L92</f>
        <v>0</v>
      </c>
      <c r="J197" s="116" t="e">
        <f t="shared" si="152"/>
        <v>#DIV/0!</v>
      </c>
      <c r="K197" s="116" t="e">
        <f t="shared" si="153"/>
        <v>#DIV/0!</v>
      </c>
      <c r="L197" s="7">
        <f>'XFMR Data'!C92</f>
        <v>0</v>
      </c>
      <c r="M197" s="7">
        <f>'XFMR Data'!H92</f>
        <v>0</v>
      </c>
      <c r="N197" s="7">
        <f>'XFMR Data'!M92</f>
        <v>0</v>
      </c>
      <c r="O197" s="1341" t="e">
        <f t="shared" si="154"/>
        <v>#DIV/0!</v>
      </c>
      <c r="P197" s="116" t="e">
        <f t="shared" si="155"/>
        <v>#DIV/0!</v>
      </c>
      <c r="Q197" s="7">
        <f>'XFMR Data'!D92</f>
        <v>0</v>
      </c>
      <c r="R197" s="7">
        <f>'XFMR Data'!I92</f>
        <v>0</v>
      </c>
      <c r="S197" s="7">
        <f>'XFMR Data'!N92</f>
        <v>0</v>
      </c>
      <c r="T197" s="1341" t="e">
        <f t="shared" si="156"/>
        <v>#DIV/0!</v>
      </c>
      <c r="U197" s="116" t="e">
        <f t="shared" si="157"/>
        <v>#DIV/0!</v>
      </c>
      <c r="V197" s="7">
        <f>'XFMR Data'!E92</f>
        <v>0</v>
      </c>
      <c r="W197" s="7">
        <f>'XFMR Data'!J92</f>
        <v>0</v>
      </c>
      <c r="X197" s="7">
        <f>'XFMR Data'!O92</f>
        <v>0</v>
      </c>
      <c r="Y197" s="1341" t="e">
        <f t="shared" si="158"/>
        <v>#DIV/0!</v>
      </c>
      <c r="Z197" s="116" t="e">
        <f t="shared" si="159"/>
        <v>#DIV/0!</v>
      </c>
      <c r="AA197" s="7">
        <f>'XFMR Data'!F92</f>
        <v>0</v>
      </c>
      <c r="AB197" s="43">
        <f>'XFMR Data'!K92</f>
        <v>0</v>
      </c>
      <c r="AC197" s="7">
        <f>'XFMR Data'!P92</f>
        <v>0</v>
      </c>
      <c r="AD197" s="1341" t="e">
        <f t="shared" si="160"/>
        <v>#DIV/0!</v>
      </c>
      <c r="AE197" s="116" t="e">
        <f t="shared" si="161"/>
        <v>#DIV/0!</v>
      </c>
    </row>
    <row r="198" spans="1:53" hidden="1" outlineLevel="1" x14ac:dyDescent="0.25">
      <c r="B198" s="7">
        <f>'XFMR Data'!T93*('XFMR Data'!Q93/100)</f>
        <v>0</v>
      </c>
      <c r="C198" s="7">
        <f>'XFMR Data'!U93*('XFMR Data'!R93/100)</f>
        <v>0</v>
      </c>
      <c r="D198" s="7">
        <f>'XFMR Data'!V93*('XFMR Data'!S93/100)</f>
        <v>0</v>
      </c>
      <c r="E198" s="116" t="e">
        <f t="shared" si="150"/>
        <v>#DIV/0!</v>
      </c>
      <c r="F198" s="116" t="e">
        <f t="shared" si="151"/>
        <v>#DIV/0!</v>
      </c>
      <c r="G198" s="14">
        <f>'XFMR Data'!B93</f>
        <v>0</v>
      </c>
      <c r="H198" s="43">
        <f>'XFMR Data'!G93</f>
        <v>0</v>
      </c>
      <c r="I198" s="7">
        <f>'XFMR Data'!L93</f>
        <v>0</v>
      </c>
      <c r="J198" s="116" t="e">
        <f t="shared" si="152"/>
        <v>#DIV/0!</v>
      </c>
      <c r="K198" s="116" t="e">
        <f t="shared" si="153"/>
        <v>#DIV/0!</v>
      </c>
      <c r="L198" s="7">
        <f>'XFMR Data'!C93</f>
        <v>0</v>
      </c>
      <c r="M198" s="7">
        <f>'XFMR Data'!H93</f>
        <v>0</v>
      </c>
      <c r="N198" s="7">
        <f>'XFMR Data'!M93</f>
        <v>0</v>
      </c>
      <c r="O198" s="1341" t="e">
        <f t="shared" si="154"/>
        <v>#DIV/0!</v>
      </c>
      <c r="P198" s="116" t="e">
        <f t="shared" si="155"/>
        <v>#DIV/0!</v>
      </c>
      <c r="Q198" s="7">
        <f>'XFMR Data'!D93</f>
        <v>0</v>
      </c>
      <c r="R198" s="7">
        <f>'XFMR Data'!I93</f>
        <v>0</v>
      </c>
      <c r="S198" s="7">
        <f>'XFMR Data'!N93</f>
        <v>0</v>
      </c>
      <c r="T198" s="1341" t="e">
        <f t="shared" si="156"/>
        <v>#DIV/0!</v>
      </c>
      <c r="U198" s="116" t="e">
        <f t="shared" si="157"/>
        <v>#DIV/0!</v>
      </c>
      <c r="V198" s="7">
        <f>'XFMR Data'!E93</f>
        <v>0</v>
      </c>
      <c r="W198" s="7">
        <f>'XFMR Data'!J93</f>
        <v>0</v>
      </c>
      <c r="X198" s="7">
        <f>'XFMR Data'!O93</f>
        <v>0</v>
      </c>
      <c r="Y198" s="1341" t="e">
        <f t="shared" si="158"/>
        <v>#DIV/0!</v>
      </c>
      <c r="Z198" s="116" t="e">
        <f t="shared" si="159"/>
        <v>#DIV/0!</v>
      </c>
      <c r="AA198" s="7">
        <f>'XFMR Data'!F93</f>
        <v>0</v>
      </c>
      <c r="AB198" s="43">
        <f>'XFMR Data'!K93</f>
        <v>0</v>
      </c>
      <c r="AC198" s="7">
        <f>'XFMR Data'!P93</f>
        <v>0</v>
      </c>
      <c r="AD198" s="1341" t="e">
        <f t="shared" si="160"/>
        <v>#DIV/0!</v>
      </c>
      <c r="AE198" s="116" t="e">
        <f t="shared" si="161"/>
        <v>#DIV/0!</v>
      </c>
    </row>
    <row r="199" spans="1:53" hidden="1" outlineLevel="1" x14ac:dyDescent="0.25">
      <c r="B199" s="7">
        <f>'XFMR Data'!T94*('XFMR Data'!Q94/100)</f>
        <v>0</v>
      </c>
      <c r="C199" s="7">
        <f>'XFMR Data'!U94*('XFMR Data'!R94/100)</f>
        <v>0</v>
      </c>
      <c r="D199" s="7">
        <f>'XFMR Data'!V94*('XFMR Data'!S94/100)</f>
        <v>0</v>
      </c>
      <c r="E199" s="116" t="e">
        <f t="shared" si="150"/>
        <v>#DIV/0!</v>
      </c>
      <c r="F199" s="116" t="e">
        <f t="shared" si="151"/>
        <v>#DIV/0!</v>
      </c>
      <c r="G199" s="14">
        <f>'XFMR Data'!B94</f>
        <v>0</v>
      </c>
      <c r="H199" s="43">
        <f>'XFMR Data'!G94</f>
        <v>0</v>
      </c>
      <c r="I199" s="7">
        <f>'XFMR Data'!L94</f>
        <v>0</v>
      </c>
      <c r="J199" s="116" t="e">
        <f t="shared" si="152"/>
        <v>#DIV/0!</v>
      </c>
      <c r="K199" s="116" t="e">
        <f t="shared" si="153"/>
        <v>#DIV/0!</v>
      </c>
      <c r="L199" s="7">
        <f>'XFMR Data'!C94</f>
        <v>0</v>
      </c>
      <c r="M199" s="7">
        <f>'XFMR Data'!H94</f>
        <v>0</v>
      </c>
      <c r="N199" s="7">
        <f>'XFMR Data'!M94</f>
        <v>0</v>
      </c>
      <c r="O199" s="1341" t="e">
        <f t="shared" si="154"/>
        <v>#DIV/0!</v>
      </c>
      <c r="P199" s="116" t="e">
        <f t="shared" si="155"/>
        <v>#DIV/0!</v>
      </c>
      <c r="Q199" s="7">
        <f>'XFMR Data'!D94</f>
        <v>0</v>
      </c>
      <c r="R199" s="7">
        <f>'XFMR Data'!I94</f>
        <v>0</v>
      </c>
      <c r="S199" s="7">
        <f>'XFMR Data'!N94</f>
        <v>0</v>
      </c>
      <c r="T199" s="1341" t="e">
        <f t="shared" si="156"/>
        <v>#DIV/0!</v>
      </c>
      <c r="U199" s="116" t="e">
        <f t="shared" si="157"/>
        <v>#DIV/0!</v>
      </c>
      <c r="V199" s="7">
        <f>'XFMR Data'!E94</f>
        <v>0</v>
      </c>
      <c r="W199" s="7">
        <f>'XFMR Data'!J94</f>
        <v>0</v>
      </c>
      <c r="X199" s="7">
        <f>'XFMR Data'!O94</f>
        <v>0</v>
      </c>
      <c r="Y199" s="1341" t="e">
        <f t="shared" si="158"/>
        <v>#DIV/0!</v>
      </c>
      <c r="Z199" s="116" t="e">
        <f t="shared" si="159"/>
        <v>#DIV/0!</v>
      </c>
      <c r="AA199" s="7">
        <f>'XFMR Data'!F94</f>
        <v>0</v>
      </c>
      <c r="AB199" s="43">
        <f>'XFMR Data'!K94</f>
        <v>0</v>
      </c>
      <c r="AC199" s="7">
        <f>'XFMR Data'!P94</f>
        <v>0</v>
      </c>
      <c r="AD199" s="1341" t="e">
        <f t="shared" si="160"/>
        <v>#DIV/0!</v>
      </c>
      <c r="AE199" s="116" t="e">
        <f t="shared" si="161"/>
        <v>#DIV/0!</v>
      </c>
    </row>
    <row r="200" spans="1:53" hidden="1" outlineLevel="1" x14ac:dyDescent="0.25">
      <c r="B200" s="7">
        <f>'XFMR Data'!T95*('XFMR Data'!Q95/100)</f>
        <v>0</v>
      </c>
      <c r="C200" s="7">
        <f>'XFMR Data'!U95*('XFMR Data'!R95/100)</f>
        <v>0</v>
      </c>
      <c r="D200" s="7">
        <f>'XFMR Data'!V95*('XFMR Data'!S95/100)</f>
        <v>0</v>
      </c>
      <c r="E200" s="116" t="e">
        <f t="shared" si="150"/>
        <v>#DIV/0!</v>
      </c>
      <c r="F200" s="116" t="e">
        <f t="shared" si="151"/>
        <v>#DIV/0!</v>
      </c>
      <c r="G200" s="14">
        <f>'XFMR Data'!B95</f>
        <v>0</v>
      </c>
      <c r="H200" s="43">
        <f>'XFMR Data'!G95</f>
        <v>0</v>
      </c>
      <c r="I200" s="7">
        <f>'XFMR Data'!L95</f>
        <v>0</v>
      </c>
      <c r="J200" s="116" t="e">
        <f t="shared" si="152"/>
        <v>#DIV/0!</v>
      </c>
      <c r="K200" s="116" t="e">
        <f t="shared" si="153"/>
        <v>#DIV/0!</v>
      </c>
      <c r="L200" s="7">
        <f>'XFMR Data'!C95</f>
        <v>0</v>
      </c>
      <c r="M200" s="7">
        <f>'XFMR Data'!H95</f>
        <v>0</v>
      </c>
      <c r="N200" s="7">
        <f>'XFMR Data'!M95</f>
        <v>0</v>
      </c>
      <c r="O200" s="1341" t="e">
        <f t="shared" si="154"/>
        <v>#DIV/0!</v>
      </c>
      <c r="P200" s="116" t="e">
        <f t="shared" si="155"/>
        <v>#DIV/0!</v>
      </c>
      <c r="Q200" s="7">
        <f>'XFMR Data'!D95</f>
        <v>0</v>
      </c>
      <c r="R200" s="7">
        <f>'XFMR Data'!I95</f>
        <v>0</v>
      </c>
      <c r="S200" s="7">
        <f>'XFMR Data'!N95</f>
        <v>0</v>
      </c>
      <c r="T200" s="1341" t="e">
        <f t="shared" si="156"/>
        <v>#DIV/0!</v>
      </c>
      <c r="U200" s="116" t="e">
        <f t="shared" si="157"/>
        <v>#DIV/0!</v>
      </c>
      <c r="V200" s="7">
        <f>'XFMR Data'!E95</f>
        <v>0</v>
      </c>
      <c r="W200" s="7">
        <f>'XFMR Data'!J95</f>
        <v>0</v>
      </c>
      <c r="X200" s="7">
        <f>'XFMR Data'!O95</f>
        <v>0</v>
      </c>
      <c r="Y200" s="1341" t="e">
        <f t="shared" si="158"/>
        <v>#DIV/0!</v>
      </c>
      <c r="Z200" s="116" t="e">
        <f t="shared" si="159"/>
        <v>#DIV/0!</v>
      </c>
      <c r="AA200" s="7">
        <f>'XFMR Data'!F95</f>
        <v>0</v>
      </c>
      <c r="AB200" s="43">
        <f>'XFMR Data'!K95</f>
        <v>0</v>
      </c>
      <c r="AC200" s="7">
        <f>'XFMR Data'!P95</f>
        <v>0</v>
      </c>
      <c r="AD200" s="1341" t="e">
        <f t="shared" si="160"/>
        <v>#DIV/0!</v>
      </c>
      <c r="AE200" s="116" t="e">
        <f t="shared" si="161"/>
        <v>#DIV/0!</v>
      </c>
    </row>
    <row r="201" spans="1:53" hidden="1" outlineLevel="1" x14ac:dyDescent="0.25">
      <c r="B201" s="7">
        <f>'XFMR Data'!T96*('XFMR Data'!Q96/100)</f>
        <v>0</v>
      </c>
      <c r="C201" s="7">
        <f>'XFMR Data'!U96*('XFMR Data'!R96/100)</f>
        <v>0</v>
      </c>
      <c r="D201" s="7">
        <f>'XFMR Data'!V96*('XFMR Data'!S96/100)</f>
        <v>0</v>
      </c>
      <c r="E201" s="116" t="e">
        <f t="shared" si="150"/>
        <v>#DIV/0!</v>
      </c>
      <c r="F201" s="116" t="e">
        <f t="shared" si="151"/>
        <v>#DIV/0!</v>
      </c>
      <c r="G201" s="14">
        <f>'XFMR Data'!B96</f>
        <v>0</v>
      </c>
      <c r="H201" s="43">
        <f>'XFMR Data'!G96</f>
        <v>0</v>
      </c>
      <c r="I201" s="7">
        <f>'XFMR Data'!L96</f>
        <v>0</v>
      </c>
      <c r="J201" s="116" t="e">
        <f t="shared" si="152"/>
        <v>#DIV/0!</v>
      </c>
      <c r="K201" s="116" t="e">
        <f t="shared" si="153"/>
        <v>#DIV/0!</v>
      </c>
      <c r="L201" s="7">
        <f>'XFMR Data'!C96</f>
        <v>0</v>
      </c>
      <c r="M201" s="7">
        <f>'XFMR Data'!H96</f>
        <v>0</v>
      </c>
      <c r="N201" s="7">
        <f>'XFMR Data'!M96</f>
        <v>0</v>
      </c>
      <c r="O201" s="1341" t="e">
        <f t="shared" si="154"/>
        <v>#DIV/0!</v>
      </c>
      <c r="P201" s="116" t="e">
        <f t="shared" si="155"/>
        <v>#DIV/0!</v>
      </c>
      <c r="Q201" s="7">
        <f>'XFMR Data'!D96</f>
        <v>0</v>
      </c>
      <c r="R201" s="7">
        <f>'XFMR Data'!I96</f>
        <v>0</v>
      </c>
      <c r="S201" s="7">
        <f>'XFMR Data'!N96</f>
        <v>0</v>
      </c>
      <c r="T201" s="1341" t="e">
        <f t="shared" si="156"/>
        <v>#DIV/0!</v>
      </c>
      <c r="U201" s="116" t="e">
        <f t="shared" si="157"/>
        <v>#DIV/0!</v>
      </c>
      <c r="V201" s="7">
        <f>'XFMR Data'!E96</f>
        <v>0</v>
      </c>
      <c r="W201" s="7">
        <f>'XFMR Data'!J96</f>
        <v>0</v>
      </c>
      <c r="X201" s="7">
        <f>'XFMR Data'!O96</f>
        <v>0</v>
      </c>
      <c r="Y201" s="1341" t="e">
        <f t="shared" si="158"/>
        <v>#DIV/0!</v>
      </c>
      <c r="Z201" s="116" t="e">
        <f t="shared" si="159"/>
        <v>#DIV/0!</v>
      </c>
      <c r="AA201" s="7">
        <f>'XFMR Data'!F96</f>
        <v>0</v>
      </c>
      <c r="AB201" s="43">
        <f>'XFMR Data'!K96</f>
        <v>0</v>
      </c>
      <c r="AC201" s="7">
        <f>'XFMR Data'!P96</f>
        <v>0</v>
      </c>
      <c r="AD201" s="1341" t="e">
        <f t="shared" si="160"/>
        <v>#DIV/0!</v>
      </c>
      <c r="AE201" s="116" t="e">
        <f t="shared" si="161"/>
        <v>#DIV/0!</v>
      </c>
    </row>
    <row r="202" spans="1:53" hidden="1" outlineLevel="1" x14ac:dyDescent="0.25">
      <c r="B202" s="7">
        <f>'XFMR Data'!T97*('XFMR Data'!Q97/100)</f>
        <v>0</v>
      </c>
      <c r="C202" s="7">
        <f>'XFMR Data'!U97*('XFMR Data'!R97/100)</f>
        <v>0</v>
      </c>
      <c r="D202" s="7">
        <f>'XFMR Data'!V97*('XFMR Data'!S97/100)</f>
        <v>0</v>
      </c>
      <c r="E202" s="116" t="e">
        <f t="shared" si="150"/>
        <v>#DIV/0!</v>
      </c>
      <c r="F202" s="116" t="e">
        <f t="shared" si="151"/>
        <v>#DIV/0!</v>
      </c>
      <c r="G202" s="14">
        <f>'XFMR Data'!B97</f>
        <v>0</v>
      </c>
      <c r="H202" s="43">
        <f>'XFMR Data'!G97</f>
        <v>0</v>
      </c>
      <c r="I202" s="7">
        <f>'XFMR Data'!L97</f>
        <v>0</v>
      </c>
      <c r="J202" s="116" t="e">
        <f t="shared" si="152"/>
        <v>#DIV/0!</v>
      </c>
      <c r="K202" s="116" t="e">
        <f t="shared" si="153"/>
        <v>#DIV/0!</v>
      </c>
      <c r="L202" s="7">
        <f>'XFMR Data'!C97</f>
        <v>0</v>
      </c>
      <c r="M202" s="7">
        <f>'XFMR Data'!H97</f>
        <v>0</v>
      </c>
      <c r="N202" s="7">
        <f>'XFMR Data'!M97</f>
        <v>0</v>
      </c>
      <c r="O202" s="1341" t="e">
        <f t="shared" si="154"/>
        <v>#DIV/0!</v>
      </c>
      <c r="P202" s="116" t="e">
        <f t="shared" si="155"/>
        <v>#DIV/0!</v>
      </c>
      <c r="Q202" s="7">
        <f>'XFMR Data'!D97</f>
        <v>0</v>
      </c>
      <c r="R202" s="7">
        <f>'XFMR Data'!I97</f>
        <v>0</v>
      </c>
      <c r="S202" s="7">
        <f>'XFMR Data'!N97</f>
        <v>0</v>
      </c>
      <c r="T202" s="1341" t="e">
        <f t="shared" si="156"/>
        <v>#DIV/0!</v>
      </c>
      <c r="U202" s="116" t="e">
        <f t="shared" si="157"/>
        <v>#DIV/0!</v>
      </c>
      <c r="V202" s="7">
        <f>'XFMR Data'!E97</f>
        <v>0</v>
      </c>
      <c r="W202" s="7">
        <f>'XFMR Data'!J97</f>
        <v>0</v>
      </c>
      <c r="X202" s="7">
        <f>'XFMR Data'!O97</f>
        <v>0</v>
      </c>
      <c r="Y202" s="1341" t="e">
        <f t="shared" si="158"/>
        <v>#DIV/0!</v>
      </c>
      <c r="Z202" s="116" t="e">
        <f t="shared" si="159"/>
        <v>#DIV/0!</v>
      </c>
      <c r="AA202" s="7">
        <f>'XFMR Data'!F97</f>
        <v>0</v>
      </c>
      <c r="AB202" s="43">
        <f>'XFMR Data'!K97</f>
        <v>0</v>
      </c>
      <c r="AC202" s="7">
        <f>'XFMR Data'!P97</f>
        <v>0</v>
      </c>
      <c r="AD202" s="1341" t="e">
        <f t="shared" si="160"/>
        <v>#DIV/0!</v>
      </c>
      <c r="AE202" s="116" t="e">
        <f t="shared" si="161"/>
        <v>#DIV/0!</v>
      </c>
    </row>
    <row r="203" spans="1:53" hidden="1" outlineLevel="1" x14ac:dyDescent="0.25">
      <c r="B203" s="7">
        <f>'XFMR Data'!T98*('XFMR Data'!Q98/100)</f>
        <v>0</v>
      </c>
      <c r="C203" s="7">
        <f>'XFMR Data'!U98*('XFMR Data'!R98/100)</f>
        <v>0</v>
      </c>
      <c r="D203" s="7">
        <f>'XFMR Data'!V98*('XFMR Data'!S98/100)</f>
        <v>0</v>
      </c>
      <c r="E203" s="116" t="e">
        <f t="shared" si="150"/>
        <v>#DIV/0!</v>
      </c>
      <c r="F203" s="116" t="e">
        <f t="shared" si="151"/>
        <v>#DIV/0!</v>
      </c>
      <c r="G203" s="14">
        <f>'XFMR Data'!B98</f>
        <v>0</v>
      </c>
      <c r="H203" s="43">
        <f>'XFMR Data'!G98</f>
        <v>0</v>
      </c>
      <c r="I203" s="7">
        <f>'XFMR Data'!L98</f>
        <v>0</v>
      </c>
      <c r="J203" s="116" t="e">
        <f t="shared" si="152"/>
        <v>#DIV/0!</v>
      </c>
      <c r="K203" s="116" t="e">
        <f t="shared" si="153"/>
        <v>#DIV/0!</v>
      </c>
      <c r="L203" s="7">
        <f>'XFMR Data'!C98</f>
        <v>0</v>
      </c>
      <c r="M203" s="7">
        <f>'XFMR Data'!H98</f>
        <v>0</v>
      </c>
      <c r="N203" s="7">
        <f>'XFMR Data'!M98</f>
        <v>0</v>
      </c>
      <c r="O203" s="1341" t="e">
        <f t="shared" si="154"/>
        <v>#DIV/0!</v>
      </c>
      <c r="P203" s="116" t="e">
        <f t="shared" si="155"/>
        <v>#DIV/0!</v>
      </c>
      <c r="Q203" s="7">
        <f>'XFMR Data'!D98</f>
        <v>0</v>
      </c>
      <c r="R203" s="7">
        <f>'XFMR Data'!I98</f>
        <v>0</v>
      </c>
      <c r="S203" s="7">
        <f>'XFMR Data'!N98</f>
        <v>0</v>
      </c>
      <c r="T203" s="1341" t="e">
        <f t="shared" si="156"/>
        <v>#DIV/0!</v>
      </c>
      <c r="U203" s="116" t="e">
        <f t="shared" si="157"/>
        <v>#DIV/0!</v>
      </c>
      <c r="V203" s="7">
        <f>'XFMR Data'!E98</f>
        <v>0</v>
      </c>
      <c r="W203" s="7">
        <f>'XFMR Data'!J98</f>
        <v>0</v>
      </c>
      <c r="X203" s="7">
        <f>'XFMR Data'!O98</f>
        <v>0</v>
      </c>
      <c r="Y203" s="1341" t="e">
        <f t="shared" si="158"/>
        <v>#DIV/0!</v>
      </c>
      <c r="Z203" s="116" t="e">
        <f t="shared" si="159"/>
        <v>#DIV/0!</v>
      </c>
      <c r="AA203" s="7">
        <f>'XFMR Data'!F98</f>
        <v>0</v>
      </c>
      <c r="AB203" s="43">
        <f>'XFMR Data'!K98</f>
        <v>0</v>
      </c>
      <c r="AC203" s="7">
        <f>'XFMR Data'!P98</f>
        <v>0</v>
      </c>
      <c r="AD203" s="1341" t="e">
        <f t="shared" si="160"/>
        <v>#DIV/0!</v>
      </c>
      <c r="AE203" s="116" t="e">
        <f t="shared" si="161"/>
        <v>#DIV/0!</v>
      </c>
    </row>
    <row r="204" spans="1:53" ht="15.75" hidden="1" outlineLevel="1" thickBot="1" x14ac:dyDescent="0.3"/>
    <row r="205" spans="1:53" ht="15" customHeight="1" collapsed="1" x14ac:dyDescent="0.25">
      <c r="A205" s="1337"/>
      <c r="B205" s="1552" t="s">
        <v>13</v>
      </c>
      <c r="C205" s="1552"/>
      <c r="D205" s="1552"/>
      <c r="E205" s="1552" t="s">
        <v>12</v>
      </c>
      <c r="F205" s="1553"/>
      <c r="U205" s="1558" t="s">
        <v>32</v>
      </c>
      <c r="Z205" s="1562" t="s">
        <v>33</v>
      </c>
      <c r="AD205" s="67" t="s">
        <v>34</v>
      </c>
      <c r="AE205" s="81" t="s">
        <v>35</v>
      </c>
      <c r="AI205" s="1561" t="s">
        <v>36</v>
      </c>
      <c r="AJ205" s="1563" t="s">
        <v>37</v>
      </c>
      <c r="AN205" s="1550" t="s">
        <v>38</v>
      </c>
      <c r="AO205" s="1546" t="s">
        <v>39</v>
      </c>
      <c r="AS205" s="1550" t="s">
        <v>40</v>
      </c>
      <c r="AT205" s="1546" t="s">
        <v>41</v>
      </c>
      <c r="AX205" s="1545" t="s">
        <v>42</v>
      </c>
      <c r="AY205" s="1547" t="s">
        <v>43</v>
      </c>
      <c r="AZ205" s="1545" t="s">
        <v>44</v>
      </c>
      <c r="BA205" s="1545" t="s">
        <v>45</v>
      </c>
    </row>
    <row r="206" spans="1:53" x14ac:dyDescent="0.25">
      <c r="A206" s="87" t="s">
        <v>14</v>
      </c>
      <c r="B206" s="87"/>
      <c r="C206" s="87"/>
      <c r="D206" s="87"/>
      <c r="E206" s="1554" t="s">
        <v>46</v>
      </c>
      <c r="F206" s="1555"/>
      <c r="U206" s="1559"/>
      <c r="Z206" s="1562"/>
      <c r="AI206" s="1561"/>
      <c r="AJ206" s="1563"/>
      <c r="AN206" s="1551"/>
      <c r="AO206" s="1546"/>
      <c r="AS206" s="1551"/>
      <c r="AT206" s="1546"/>
      <c r="AX206" s="1545"/>
      <c r="AY206" s="1548"/>
      <c r="AZ206" s="1545"/>
      <c r="BA206" s="1545"/>
    </row>
    <row r="207" spans="1:53" x14ac:dyDescent="0.25">
      <c r="A207" s="87" t="s">
        <v>16</v>
      </c>
      <c r="B207" s="1335" t="s">
        <v>17</v>
      </c>
      <c r="C207" s="87" t="s">
        <v>18</v>
      </c>
      <c r="D207" s="87" t="s">
        <v>19</v>
      </c>
      <c r="E207" s="87" t="s">
        <v>20</v>
      </c>
      <c r="F207" s="1336" t="s">
        <v>21</v>
      </c>
      <c r="J207" s="66" t="s">
        <v>47</v>
      </c>
      <c r="K207" s="81" t="s">
        <v>48</v>
      </c>
      <c r="O207" s="1556" t="s">
        <v>49</v>
      </c>
      <c r="P207" s="1557"/>
      <c r="Q207" s="1557"/>
      <c r="R207" s="1557"/>
      <c r="S207" s="1557"/>
      <c r="T207" s="1557"/>
      <c r="U207" s="1559"/>
      <c r="Y207" s="1359" t="s">
        <v>50</v>
      </c>
      <c r="Z207" s="1562"/>
      <c r="AI207" s="1561"/>
      <c r="AJ207" s="1563"/>
      <c r="AN207" s="1551"/>
      <c r="AO207" s="1546"/>
      <c r="AS207" s="1551"/>
      <c r="AT207" s="1546"/>
      <c r="AX207" s="1545"/>
      <c r="AY207" s="1548"/>
      <c r="AZ207" s="1545"/>
      <c r="BA207" s="1545"/>
    </row>
    <row r="208" spans="1:53" ht="15.75" thickBot="1" x14ac:dyDescent="0.3">
      <c r="A208" s="87" t="s">
        <v>22</v>
      </c>
      <c r="B208" s="1335" t="s">
        <v>23</v>
      </c>
      <c r="C208" s="87" t="s">
        <v>24</v>
      </c>
      <c r="D208" s="87" t="s">
        <v>25</v>
      </c>
      <c r="E208" s="87" t="s">
        <v>26</v>
      </c>
      <c r="F208" s="1336" t="s">
        <v>27</v>
      </c>
      <c r="O208" s="1335" t="s">
        <v>23</v>
      </c>
      <c r="P208" s="87" t="s">
        <v>24</v>
      </c>
      <c r="T208" s="87" t="s">
        <v>25</v>
      </c>
      <c r="U208" s="1560"/>
      <c r="AI208" s="1561"/>
      <c r="AJ208" s="1563"/>
      <c r="AN208" s="1551"/>
      <c r="AO208" s="1546"/>
      <c r="AS208" s="1551"/>
      <c r="AT208" s="1546"/>
      <c r="AX208" s="1545" t="s">
        <v>42</v>
      </c>
      <c r="AY208" s="1549"/>
      <c r="AZ208" s="1545"/>
      <c r="BA208" s="1545"/>
    </row>
    <row r="209" spans="1:53" x14ac:dyDescent="0.25">
      <c r="A209" s="1333">
        <f>A8</f>
        <v>44593</v>
      </c>
      <c r="B209" s="30">
        <f>SUM(B157,B107,B57,B8)</f>
        <v>3500.78</v>
      </c>
      <c r="C209" s="30">
        <f t="shared" ref="C209:D209" si="162">SUM(C157,C107,C57,C8)</f>
        <v>1947.5800000000004</v>
      </c>
      <c r="D209" s="30">
        <f t="shared" si="162"/>
        <v>2726.73</v>
      </c>
      <c r="E209" s="191" t="s">
        <v>28</v>
      </c>
      <c r="F209" s="192" t="s">
        <v>28</v>
      </c>
      <c r="J209" s="1348">
        <v>62687774</v>
      </c>
      <c r="U209" s="1350">
        <f>J209/B209</f>
        <v>17906.801912716594</v>
      </c>
      <c r="Y209" s="1353">
        <v>29760000</v>
      </c>
      <c r="Z209" s="1349">
        <f>J209/Y209</f>
        <v>2.1064440188172044</v>
      </c>
      <c r="AD209" s="1351">
        <f>J209-Y209</f>
        <v>32927774</v>
      </c>
      <c r="AE209" s="241">
        <f>Y209/J209</f>
        <v>0.47473371761453836</v>
      </c>
      <c r="AI209" s="413"/>
      <c r="AN209" s="1362">
        <f>Y209/B209</f>
        <v>8500.9626426110754</v>
      </c>
      <c r="AO209" s="769">
        <v>9733117</v>
      </c>
      <c r="AS209" s="263">
        <f>AO209/Y209</f>
        <v>0.3270536626344086</v>
      </c>
      <c r="AT209" s="1360">
        <v>93500000</v>
      </c>
      <c r="AY209" s="1364">
        <f>AT209/B209</f>
        <v>26708.333571375522</v>
      </c>
      <c r="AZ209" s="1361">
        <f>Y209/AT209</f>
        <v>0.31828877005347594</v>
      </c>
      <c r="BA209" s="38">
        <f>Y209/AT209</f>
        <v>0.31828877005347594</v>
      </c>
    </row>
    <row r="210" spans="1:53" x14ac:dyDescent="0.25">
      <c r="A210" s="1332">
        <f t="shared" ref="A210:A217" si="163">A9</f>
        <v>44617</v>
      </c>
      <c r="B210" s="7">
        <f t="shared" ref="B210:D210" si="164">SUM(B158,B108,B58,B9)</f>
        <v>3375.8</v>
      </c>
      <c r="C210" s="7">
        <f t="shared" si="164"/>
        <v>2104.2799999999997</v>
      </c>
      <c r="D210" s="7">
        <f t="shared" si="164"/>
        <v>2450.4899999999998</v>
      </c>
      <c r="E210" s="43" t="s">
        <v>28</v>
      </c>
      <c r="F210" s="81" t="s">
        <v>28</v>
      </c>
      <c r="J210" s="1352">
        <v>63091644</v>
      </c>
      <c r="K210" s="1350">
        <f>J210-J209</f>
        <v>403870</v>
      </c>
      <c r="O210" s="14">
        <f>B210-B209</f>
        <v>-124.98000000000002</v>
      </c>
      <c r="P210" s="14">
        <f>C210-C209</f>
        <v>156.69999999999936</v>
      </c>
      <c r="T210" s="14">
        <f>D210-D209</f>
        <v>-276.24000000000024</v>
      </c>
      <c r="U210" s="1350">
        <f t="shared" ref="U210:U218" si="165">J210/B210</f>
        <v>18689.390366727886</v>
      </c>
      <c r="Y210" s="1353">
        <v>29760000</v>
      </c>
      <c r="Z210" s="1349">
        <f t="shared" ref="Z210:Z221" si="166">J210/Y210</f>
        <v>2.1200149193548388</v>
      </c>
      <c r="AD210" s="1351">
        <f t="shared" ref="AD210:AD221" si="167">J210-Y210</f>
        <v>33331644</v>
      </c>
      <c r="AE210" s="241">
        <f t="shared" ref="AE210:AE221" si="168">Y210/J210</f>
        <v>0.47169479368773465</v>
      </c>
      <c r="AI210" s="267"/>
      <c r="AN210" s="1362">
        <f>Y210/B210</f>
        <v>8815.6881331832446</v>
      </c>
      <c r="AO210" s="148">
        <v>10406780</v>
      </c>
      <c r="AS210" s="263">
        <f>AO210/Y210</f>
        <v>0.349690188172043</v>
      </c>
      <c r="AT210" s="1360">
        <v>93700000</v>
      </c>
      <c r="AX210" s="1363">
        <f>AT210-AT209</f>
        <v>200000</v>
      </c>
      <c r="AY210" s="1364">
        <f>AT210/B210</f>
        <v>27756.383672018485</v>
      </c>
      <c r="AZ210" s="1361">
        <f>Y210/AT210</f>
        <v>0.31760939167556029</v>
      </c>
      <c r="BA210" s="38">
        <f>Y210/AT210</f>
        <v>0.31760939167556029</v>
      </c>
    </row>
    <row r="211" spans="1:53" x14ac:dyDescent="0.25">
      <c r="A211" s="1332">
        <f t="shared" si="163"/>
        <v>44655</v>
      </c>
      <c r="B211" s="7">
        <f t="shared" ref="B211:D211" si="169">SUM(B159,B109,B59,B10)</f>
        <v>3081.95</v>
      </c>
      <c r="C211" s="7">
        <f t="shared" si="169"/>
        <v>2239.2799999999997</v>
      </c>
      <c r="D211" s="7">
        <f t="shared" si="169"/>
        <v>2496.69</v>
      </c>
      <c r="E211" s="116" t="s">
        <v>28</v>
      </c>
      <c r="F211" s="81" t="s">
        <v>28</v>
      </c>
      <c r="J211" s="1352">
        <v>63756398</v>
      </c>
      <c r="K211" s="1350">
        <f t="shared" ref="K211:K216" si="170">J211-J210</f>
        <v>664754</v>
      </c>
      <c r="O211" s="14">
        <f t="shared" ref="O211:P217" si="171">B211-B210</f>
        <v>-293.85000000000036</v>
      </c>
      <c r="P211" s="14">
        <f t="shared" si="171"/>
        <v>135</v>
      </c>
      <c r="T211" s="14">
        <f t="shared" ref="T211:T217" si="172">D211-D210</f>
        <v>46.200000000000273</v>
      </c>
      <c r="U211" s="1350">
        <f t="shared" si="165"/>
        <v>20687.031911614402</v>
      </c>
      <c r="Y211" s="1353">
        <v>36730000</v>
      </c>
      <c r="Z211" s="1349">
        <f t="shared" si="166"/>
        <v>1.7358126327252927</v>
      </c>
      <c r="AD211" s="1351">
        <f t="shared" si="167"/>
        <v>27026398</v>
      </c>
      <c r="AE211" s="241">
        <f t="shared" si="168"/>
        <v>0.57609904499310016</v>
      </c>
      <c r="AI211" s="1362">
        <f>SUM(Y209:Y211)/B211</f>
        <v>31230.227615632961</v>
      </c>
      <c r="AJ211" s="1354">
        <f>AVERAGE(Y209:Y211)</f>
        <v>32083333.333333332</v>
      </c>
      <c r="AN211" s="1362">
        <f t="shared" ref="AN211:AN221" si="173">Y211/B211</f>
        <v>11917.779328022843</v>
      </c>
      <c r="AO211" s="148">
        <v>10658832</v>
      </c>
      <c r="AS211" s="263">
        <f t="shared" ref="AS211:AS221" si="174">AO211/Y211</f>
        <v>0.2901941736999728</v>
      </c>
      <c r="AT211" s="1360">
        <v>96300000</v>
      </c>
      <c r="AX211" s="1363">
        <f t="shared" ref="AX211:AX220" si="175">AT211-AT210</f>
        <v>2600000</v>
      </c>
      <c r="AY211" s="1364">
        <f t="shared" ref="AY211:AY221" si="176">AT211/B211</f>
        <v>31246.451110498227</v>
      </c>
      <c r="AZ211" s="1361">
        <f t="shared" ref="AZ211:AZ221" si="177">Y211/AT211</f>
        <v>0.38141225337487022</v>
      </c>
      <c r="BA211" s="38">
        <f t="shared" ref="BA211:BA221" si="178">Y211/AT211</f>
        <v>0.38141225337487022</v>
      </c>
    </row>
    <row r="212" spans="1:53" x14ac:dyDescent="0.25">
      <c r="A212" s="1332">
        <f t="shared" si="163"/>
        <v>44691</v>
      </c>
      <c r="B212" s="7">
        <f t="shared" ref="B212:D212" si="179">SUM(B160,B110,B60,B11)</f>
        <v>2889.45</v>
      </c>
      <c r="C212" s="7">
        <f t="shared" si="179"/>
        <v>2471.5700000000002</v>
      </c>
      <c r="D212" s="7">
        <f t="shared" si="179"/>
        <v>2078.5</v>
      </c>
      <c r="E212" s="116">
        <f t="shared" ref="E212:E216" si="180">B212/C209</f>
        <v>1.483610429353351</v>
      </c>
      <c r="F212" s="81" t="s">
        <v>28</v>
      </c>
      <c r="J212" s="1352">
        <v>64441926</v>
      </c>
      <c r="K212" s="1350">
        <f t="shared" si="170"/>
        <v>685528</v>
      </c>
      <c r="O212" s="14">
        <f t="shared" si="171"/>
        <v>-192.5</v>
      </c>
      <c r="P212" s="14">
        <f t="shared" si="171"/>
        <v>232.29000000000042</v>
      </c>
      <c r="T212" s="14">
        <f t="shared" si="172"/>
        <v>-418.19000000000005</v>
      </c>
      <c r="U212" s="1350">
        <f t="shared" si="165"/>
        <v>22302.488708923844</v>
      </c>
      <c r="Y212" s="1353">
        <v>28110000</v>
      </c>
      <c r="Z212" s="1349">
        <f t="shared" si="166"/>
        <v>2.2924911419423695</v>
      </c>
      <c r="AD212" s="1351">
        <f t="shared" si="167"/>
        <v>36331926</v>
      </c>
      <c r="AE212" s="241">
        <f t="shared" si="168"/>
        <v>0.43620670182948906</v>
      </c>
      <c r="AI212" s="1362">
        <f t="shared" ref="AI212:AI220" si="181">SUM(Y210:Y212)/B212</f>
        <v>32739.794770631092</v>
      </c>
      <c r="AJ212" s="1354">
        <f t="shared" ref="AJ212:AJ221" si="182">AVERAGE(Y210:Y212)</f>
        <v>31533333.333333332</v>
      </c>
      <c r="AN212" s="1362">
        <f t="shared" si="173"/>
        <v>9728.4950423090904</v>
      </c>
      <c r="AO212" s="148">
        <v>8970290</v>
      </c>
      <c r="AS212" s="263">
        <f t="shared" si="174"/>
        <v>0.31911383849163999</v>
      </c>
      <c r="AT212" s="1360">
        <v>98400000</v>
      </c>
      <c r="AX212" s="1363">
        <f t="shared" si="175"/>
        <v>2100000</v>
      </c>
      <c r="AY212" s="1364">
        <f t="shared" si="176"/>
        <v>34054.923947464049</v>
      </c>
      <c r="AZ212" s="1361">
        <f t="shared" si="177"/>
        <v>0.28567073170731705</v>
      </c>
      <c r="BA212" s="38">
        <f t="shared" si="178"/>
        <v>0.28567073170731705</v>
      </c>
    </row>
    <row r="213" spans="1:53" x14ac:dyDescent="0.25">
      <c r="A213" s="1332">
        <f t="shared" si="163"/>
        <v>44714</v>
      </c>
      <c r="B213" s="7">
        <f t="shared" ref="B213:D213" si="183">SUM(B161,B111,B61,B12)</f>
        <v>2798.8799999999997</v>
      </c>
      <c r="C213" s="7">
        <f t="shared" si="183"/>
        <v>2412.21</v>
      </c>
      <c r="D213" s="7">
        <f t="shared" si="183"/>
        <v>1967.06</v>
      </c>
      <c r="E213" s="116">
        <f t="shared" si="180"/>
        <v>1.3300891516338129</v>
      </c>
      <c r="F213" s="81" t="s">
        <v>28</v>
      </c>
      <c r="J213" s="1352">
        <v>64253060</v>
      </c>
      <c r="K213" s="1350">
        <f t="shared" si="170"/>
        <v>-188866</v>
      </c>
      <c r="O213" s="14">
        <f t="shared" si="171"/>
        <v>-90.570000000000164</v>
      </c>
      <c r="P213" s="14">
        <f t="shared" si="171"/>
        <v>-59.360000000000127</v>
      </c>
      <c r="T213" s="14">
        <f t="shared" si="172"/>
        <v>-111.44000000000005</v>
      </c>
      <c r="U213" s="1350">
        <f t="shared" si="165"/>
        <v>22956.704110215516</v>
      </c>
      <c r="Y213" s="1353">
        <v>37110000</v>
      </c>
      <c r="Z213" s="1349">
        <f t="shared" si="166"/>
        <v>1.73142171921315</v>
      </c>
      <c r="AD213" s="1351">
        <f t="shared" si="167"/>
        <v>27143060</v>
      </c>
      <c r="AE213" s="241">
        <f t="shared" si="168"/>
        <v>0.57756004149841267</v>
      </c>
      <c r="AI213" s="1362">
        <f t="shared" si="181"/>
        <v>36425.284399474083</v>
      </c>
      <c r="AJ213" s="1354">
        <f t="shared" si="182"/>
        <v>33983333.333333336</v>
      </c>
      <c r="AN213" s="1362">
        <f t="shared" si="173"/>
        <v>13258.874978562855</v>
      </c>
      <c r="AO213" s="148">
        <v>9434352</v>
      </c>
      <c r="AS213" s="263">
        <f t="shared" si="174"/>
        <v>0.25422667744543248</v>
      </c>
      <c r="AT213" s="1360">
        <v>99300000</v>
      </c>
      <c r="AX213" s="1363">
        <f t="shared" si="175"/>
        <v>900000</v>
      </c>
      <c r="AY213" s="1364">
        <f t="shared" si="176"/>
        <v>35478.477105127771</v>
      </c>
      <c r="AZ213" s="1361">
        <f t="shared" si="177"/>
        <v>0.37371601208459215</v>
      </c>
      <c r="BA213" s="38">
        <f t="shared" si="178"/>
        <v>0.37371601208459215</v>
      </c>
    </row>
    <row r="214" spans="1:53" x14ac:dyDescent="0.25">
      <c r="A214" s="1332">
        <f t="shared" si="163"/>
        <v>44753</v>
      </c>
      <c r="B214" s="7">
        <f t="shared" ref="B214:D214" si="184">SUM(B162,B112,B62,B13)</f>
        <v>2887.1</v>
      </c>
      <c r="C214" s="7">
        <f t="shared" si="184"/>
        <v>2138.9499999999998</v>
      </c>
      <c r="D214" s="7">
        <f t="shared" si="184"/>
        <v>2082.1999999999998</v>
      </c>
      <c r="E214" s="116">
        <f t="shared" si="180"/>
        <v>1.2892983458968956</v>
      </c>
      <c r="F214" s="81" t="s">
        <v>28</v>
      </c>
      <c r="J214" s="1352">
        <v>65647792</v>
      </c>
      <c r="K214" s="1350">
        <f t="shared" si="170"/>
        <v>1394732</v>
      </c>
      <c r="O214" s="14">
        <f t="shared" si="171"/>
        <v>88.220000000000255</v>
      </c>
      <c r="P214" s="14">
        <f t="shared" si="171"/>
        <v>-273.26000000000022</v>
      </c>
      <c r="T214" s="14">
        <f t="shared" si="172"/>
        <v>115.13999999999987</v>
      </c>
      <c r="U214" s="1350">
        <f t="shared" si="165"/>
        <v>22738.315957188875</v>
      </c>
      <c r="Y214" s="1353">
        <v>44750000</v>
      </c>
      <c r="Z214" s="1349">
        <f t="shared" si="166"/>
        <v>1.4669897653631285</v>
      </c>
      <c r="AD214" s="1351">
        <f t="shared" si="167"/>
        <v>20897792</v>
      </c>
      <c r="AE214" s="241">
        <f t="shared" si="168"/>
        <v>0.68166801405902577</v>
      </c>
      <c r="AI214" s="1362">
        <f t="shared" si="181"/>
        <v>38090.125038966435</v>
      </c>
      <c r="AJ214" s="1354">
        <f t="shared" si="182"/>
        <v>36656666.666666664</v>
      </c>
      <c r="AN214" s="1362">
        <f t="shared" si="173"/>
        <v>15499.982681583597</v>
      </c>
      <c r="AO214" s="148">
        <v>9335502</v>
      </c>
      <c r="AS214" s="263">
        <f t="shared" si="174"/>
        <v>0.20861456983240223</v>
      </c>
      <c r="AT214" s="1360">
        <v>99000000</v>
      </c>
      <c r="AX214" s="1363">
        <f t="shared" si="175"/>
        <v>-300000</v>
      </c>
      <c r="AY214" s="1364">
        <f t="shared" si="176"/>
        <v>34290.464479927956</v>
      </c>
      <c r="AZ214" s="1361">
        <f t="shared" si="177"/>
        <v>0.45202020202020204</v>
      </c>
      <c r="BA214" s="38">
        <f t="shared" si="178"/>
        <v>0.45202020202020204</v>
      </c>
    </row>
    <row r="215" spans="1:53" x14ac:dyDescent="0.25">
      <c r="A215" s="1332">
        <f t="shared" si="163"/>
        <v>44774</v>
      </c>
      <c r="B215" s="7">
        <f t="shared" ref="B215:D215" si="185">SUM(B163,B113,B63,B14)</f>
        <v>2695.13</v>
      </c>
      <c r="C215" s="7">
        <f t="shared" si="185"/>
        <v>2173.38</v>
      </c>
      <c r="D215" s="7">
        <f t="shared" si="185"/>
        <v>2088.66</v>
      </c>
      <c r="E215" s="116">
        <f t="shared" si="180"/>
        <v>1.0904526272773984</v>
      </c>
      <c r="F215" s="116">
        <f t="shared" ref="F215:F221" si="186">B215/D209</f>
        <v>0.98841102712773177</v>
      </c>
      <c r="J215" s="1352">
        <v>67394077</v>
      </c>
      <c r="K215" s="1350">
        <f t="shared" si="170"/>
        <v>1746285</v>
      </c>
      <c r="O215" s="14">
        <f t="shared" si="171"/>
        <v>-191.9699999999998</v>
      </c>
      <c r="P215" s="14">
        <f t="shared" si="171"/>
        <v>34.430000000000291</v>
      </c>
      <c r="T215" s="14">
        <f t="shared" si="172"/>
        <v>6.4600000000000364</v>
      </c>
      <c r="U215" s="1350">
        <f t="shared" si="165"/>
        <v>25005.872444000845</v>
      </c>
      <c r="Y215" s="1353">
        <v>32480000</v>
      </c>
      <c r="Z215" s="1349">
        <f t="shared" si="166"/>
        <v>2.0749407943349754</v>
      </c>
      <c r="AD215" s="1351">
        <f t="shared" si="167"/>
        <v>34914077</v>
      </c>
      <c r="AE215" s="241">
        <f t="shared" si="168"/>
        <v>0.4819414620071138</v>
      </c>
      <c r="AI215" s="1362">
        <f t="shared" si="181"/>
        <v>42424.669681981941</v>
      </c>
      <c r="AJ215" s="1354">
        <f t="shared" si="182"/>
        <v>38113333.333333336</v>
      </c>
      <c r="AN215" s="1362">
        <f t="shared" si="173"/>
        <v>12051.366724425166</v>
      </c>
      <c r="AO215" s="148">
        <v>8608730</v>
      </c>
      <c r="AS215" s="263">
        <f t="shared" si="174"/>
        <v>0.26504710591133007</v>
      </c>
      <c r="AT215" s="1360">
        <v>105200000</v>
      </c>
      <c r="AX215" s="1363">
        <f t="shared" si="175"/>
        <v>6200000</v>
      </c>
      <c r="AY215" s="1364">
        <f t="shared" si="176"/>
        <v>39033.367592657865</v>
      </c>
      <c r="AZ215" s="1361">
        <f t="shared" si="177"/>
        <v>0.30874524714828899</v>
      </c>
      <c r="BA215" s="38">
        <f t="shared" si="178"/>
        <v>0.30874524714828899</v>
      </c>
    </row>
    <row r="216" spans="1:53" x14ac:dyDescent="0.25">
      <c r="A216" s="1332">
        <f t="shared" si="163"/>
        <v>44805</v>
      </c>
      <c r="B216" s="7">
        <f t="shared" ref="B216:D216" si="187">SUM(B164,B114,B64,B15)</f>
        <v>2708.62</v>
      </c>
      <c r="C216" s="7">
        <f t="shared" si="187"/>
        <v>2035.92</v>
      </c>
      <c r="D216" s="7">
        <f t="shared" si="187"/>
        <v>2181.8500000000004</v>
      </c>
      <c r="E216" s="116">
        <f t="shared" si="180"/>
        <v>1.122879019654176</v>
      </c>
      <c r="F216" s="116">
        <f t="shared" si="186"/>
        <v>1.1053381160502593</v>
      </c>
      <c r="J216" s="1352">
        <v>71057493</v>
      </c>
      <c r="K216" s="1350">
        <f t="shared" si="170"/>
        <v>3663416</v>
      </c>
      <c r="O216" s="14">
        <f t="shared" si="171"/>
        <v>13.489999999999782</v>
      </c>
      <c r="P216" s="14">
        <f t="shared" si="171"/>
        <v>-137.46000000000004</v>
      </c>
      <c r="T216" s="14">
        <f t="shared" si="172"/>
        <v>93.190000000000509</v>
      </c>
      <c r="U216" s="1350">
        <f t="shared" si="165"/>
        <v>26233.836049353547</v>
      </c>
      <c r="Y216" s="1353">
        <v>33150000</v>
      </c>
      <c r="Z216" s="1349">
        <f t="shared" si="166"/>
        <v>2.1435141176470589</v>
      </c>
      <c r="AD216" s="1351">
        <f t="shared" si="167"/>
        <v>37907493</v>
      </c>
      <c r="AE216" s="241">
        <f t="shared" si="168"/>
        <v>0.46652363600837987</v>
      </c>
      <c r="AI216" s="1362">
        <f t="shared" si="181"/>
        <v>40751.378930968538</v>
      </c>
      <c r="AJ216" s="1354">
        <f t="shared" si="182"/>
        <v>36793333.333333336</v>
      </c>
      <c r="AN216" s="1362">
        <f t="shared" si="173"/>
        <v>12238.704580192129</v>
      </c>
      <c r="AO216" s="148">
        <v>10343667</v>
      </c>
      <c r="AS216" s="263">
        <f t="shared" si="174"/>
        <v>0.31202615384615384</v>
      </c>
      <c r="AT216" s="1360">
        <v>112000000</v>
      </c>
      <c r="AX216" s="1363">
        <f t="shared" si="175"/>
        <v>6800000</v>
      </c>
      <c r="AY216" s="1364">
        <f t="shared" si="176"/>
        <v>41349.469471539014</v>
      </c>
      <c r="AZ216" s="1361">
        <f t="shared" si="177"/>
        <v>0.29598214285714286</v>
      </c>
      <c r="BA216" s="38">
        <f t="shared" si="178"/>
        <v>0.29598214285714286</v>
      </c>
    </row>
    <row r="217" spans="1:53" x14ac:dyDescent="0.25">
      <c r="A217" s="1332">
        <f t="shared" si="163"/>
        <v>44838</v>
      </c>
      <c r="B217" s="7">
        <f t="shared" ref="B217:D222" si="188">SUM(B165,B115,B65,B16)</f>
        <v>2390.42</v>
      </c>
      <c r="C217" s="7">
        <f t="shared" si="188"/>
        <v>2295.0199999999995</v>
      </c>
      <c r="D217" s="7">
        <f t="shared" si="188"/>
        <v>2148.0499999999997</v>
      </c>
      <c r="E217" s="116">
        <f t="shared" ref="E217:E222" si="189">B217/C214</f>
        <v>1.1175670305523739</v>
      </c>
      <c r="F217" s="116">
        <f t="shared" si="186"/>
        <v>0.95743564479370691</v>
      </c>
      <c r="J217" s="1352">
        <v>75153811</v>
      </c>
      <c r="K217" s="1350">
        <f>J217-J216</f>
        <v>4096318</v>
      </c>
      <c r="O217" s="14">
        <f t="shared" si="171"/>
        <v>-318.19999999999982</v>
      </c>
      <c r="P217" s="14">
        <f t="shared" si="171"/>
        <v>259.09999999999945</v>
      </c>
      <c r="T217" s="14">
        <f t="shared" si="172"/>
        <v>-33.800000000000637</v>
      </c>
      <c r="U217" s="1350">
        <f t="shared" si="165"/>
        <v>31439.58425715983</v>
      </c>
      <c r="Y217" s="1353">
        <v>27890000</v>
      </c>
      <c r="Z217" s="1349">
        <f t="shared" si="166"/>
        <v>2.6946508067407673</v>
      </c>
      <c r="AD217" s="1351">
        <f t="shared" si="167"/>
        <v>47263811</v>
      </c>
      <c r="AE217" s="241">
        <f t="shared" si="168"/>
        <v>0.37110559835748053</v>
      </c>
      <c r="AI217" s="1362">
        <f t="shared" si="181"/>
        <v>39122.831970950712</v>
      </c>
      <c r="AJ217" s="1354">
        <f t="shared" si="182"/>
        <v>31173333.333333332</v>
      </c>
      <c r="AN217" s="1362">
        <f t="shared" si="173"/>
        <v>11667.405727863723</v>
      </c>
      <c r="AO217" s="148">
        <v>10066416</v>
      </c>
      <c r="AS217" s="263">
        <f t="shared" si="174"/>
        <v>0.36093280745787021</v>
      </c>
      <c r="AT217" s="1360">
        <v>118600000</v>
      </c>
      <c r="AX217" s="1363">
        <f t="shared" si="175"/>
        <v>6600000</v>
      </c>
      <c r="AY217" s="1364">
        <f t="shared" si="176"/>
        <v>49614.712058968718</v>
      </c>
      <c r="AZ217" s="1361">
        <f t="shared" si="177"/>
        <v>0.2351602023608769</v>
      </c>
      <c r="BA217" s="38">
        <f t="shared" si="178"/>
        <v>0.2351602023608769</v>
      </c>
    </row>
    <row r="218" spans="1:53" ht="15.75" thickBot="1" x14ac:dyDescent="0.3">
      <c r="A218" s="1332">
        <v>44868</v>
      </c>
      <c r="B218" s="7">
        <f t="shared" si="188"/>
        <v>1912.66</v>
      </c>
      <c r="C218" s="7">
        <f t="shared" si="188"/>
        <v>1722.5300000000002</v>
      </c>
      <c r="D218" s="7">
        <f t="shared" si="188"/>
        <v>1861.88</v>
      </c>
      <c r="E218" s="116">
        <f t="shared" si="189"/>
        <v>0.88003938565736317</v>
      </c>
      <c r="F218" s="116">
        <f t="shared" si="186"/>
        <v>0.92021169112340639</v>
      </c>
      <c r="J218" s="1352">
        <v>82000000</v>
      </c>
      <c r="K218" s="1350">
        <f>J218-J217</f>
        <v>6846189</v>
      </c>
      <c r="O218" s="14">
        <f t="shared" ref="O218" si="190">B218-B217</f>
        <v>-477.76</v>
      </c>
      <c r="P218" s="14">
        <f t="shared" ref="P218" si="191">C218-C217</f>
        <v>-572.48999999999933</v>
      </c>
      <c r="T218" s="14">
        <f t="shared" ref="T218" si="192">D218-D217</f>
        <v>-286.16999999999962</v>
      </c>
      <c r="U218" s="1350">
        <f t="shared" si="165"/>
        <v>42872.230297073183</v>
      </c>
      <c r="Y218" s="1353">
        <v>29181000</v>
      </c>
      <c r="Z218" s="1349">
        <f t="shared" si="166"/>
        <v>2.8100476337342792</v>
      </c>
      <c r="AD218" s="1351">
        <f t="shared" si="167"/>
        <v>52819000</v>
      </c>
      <c r="AE218" s="241">
        <f t="shared" si="168"/>
        <v>0.35586585365853657</v>
      </c>
      <c r="AI218" s="1362">
        <f t="shared" si="181"/>
        <v>47170.432800393166</v>
      </c>
      <c r="AJ218" s="1354">
        <f t="shared" si="182"/>
        <v>30073666.666666668</v>
      </c>
      <c r="AN218" s="1362">
        <f t="shared" si="173"/>
        <v>15256.762832913324</v>
      </c>
      <c r="AO218" s="148">
        <v>9729746</v>
      </c>
      <c r="AS218" s="263">
        <f>AO218/Y218</f>
        <v>0.33342743566018984</v>
      </c>
      <c r="AT218" s="1360">
        <v>131900000</v>
      </c>
      <c r="AX218" s="1363">
        <f t="shared" si="175"/>
        <v>13300000</v>
      </c>
      <c r="AY218" s="1365">
        <f t="shared" si="176"/>
        <v>68961.550929072604</v>
      </c>
      <c r="AZ218" s="1361">
        <f t="shared" si="177"/>
        <v>0.2212357846853677</v>
      </c>
      <c r="BA218" s="38">
        <f t="shared" si="178"/>
        <v>0.2212357846853677</v>
      </c>
    </row>
    <row r="219" spans="1:53" ht="15.75" thickBot="1" x14ac:dyDescent="0.3">
      <c r="A219" s="1332">
        <v>44908</v>
      </c>
      <c r="B219" s="7">
        <f t="shared" si="188"/>
        <v>1475.02</v>
      </c>
      <c r="C219" s="7">
        <f t="shared" si="188"/>
        <v>1265.55</v>
      </c>
      <c r="D219" s="7">
        <f t="shared" si="188"/>
        <v>1686.58</v>
      </c>
      <c r="E219" s="116">
        <f t="shared" si="189"/>
        <v>0.72449801563912131</v>
      </c>
      <c r="F219" s="116">
        <f t="shared" si="186"/>
        <v>0.74986019745203503</v>
      </c>
      <c r="J219" s="1352">
        <v>92700000</v>
      </c>
      <c r="K219" s="1350">
        <f>J219-J218</f>
        <v>10700000</v>
      </c>
      <c r="O219" s="14">
        <f t="shared" ref="O219:O221" si="193">B219-B218</f>
        <v>-437.6400000000001</v>
      </c>
      <c r="P219" s="14">
        <f t="shared" ref="P219:P221" si="194">C219-C218</f>
        <v>-456.98000000000025</v>
      </c>
      <c r="T219" s="14">
        <f t="shared" ref="T219:T221" si="195">D219-D218</f>
        <v>-175.30000000000018</v>
      </c>
      <c r="U219" s="1350">
        <f>J219/B219</f>
        <v>62846.605469756345</v>
      </c>
      <c r="Y219" s="1353">
        <v>27006000</v>
      </c>
      <c r="Z219" s="1349">
        <f t="shared" si="166"/>
        <v>3.4325705398800266</v>
      </c>
      <c r="AD219" s="1351">
        <f t="shared" si="167"/>
        <v>65694000</v>
      </c>
      <c r="AE219" s="241">
        <f t="shared" si="168"/>
        <v>0.29132686084142395</v>
      </c>
      <c r="AI219" s="1362">
        <f t="shared" si="181"/>
        <v>57000.583042941791</v>
      </c>
      <c r="AJ219" s="1354">
        <f t="shared" si="182"/>
        <v>28025666.666666668</v>
      </c>
      <c r="AN219" s="1362">
        <f t="shared" si="173"/>
        <v>18308.90428604358</v>
      </c>
      <c r="AO219" s="147">
        <v>7428029</v>
      </c>
      <c r="AS219" s="263">
        <f t="shared" si="174"/>
        <v>0.27505106272680147</v>
      </c>
      <c r="AT219" s="1360">
        <v>140100000</v>
      </c>
      <c r="AX219" s="1363">
        <f t="shared" si="175"/>
        <v>8200000</v>
      </c>
      <c r="AY219" s="1365">
        <f t="shared" si="176"/>
        <v>94981.762959146319</v>
      </c>
      <c r="AZ219" s="1361">
        <f t="shared" si="177"/>
        <v>0.19276231263383298</v>
      </c>
      <c r="BA219" s="38">
        <f t="shared" si="178"/>
        <v>0.19276231263383298</v>
      </c>
    </row>
    <row r="220" spans="1:53" ht="15.75" thickBot="1" x14ac:dyDescent="0.3">
      <c r="A220" s="1332">
        <v>44965</v>
      </c>
      <c r="B220" s="7">
        <f t="shared" si="188"/>
        <v>1329.3899999999999</v>
      </c>
      <c r="C220" s="7">
        <f t="shared" si="188"/>
        <v>1252.83</v>
      </c>
      <c r="D220" s="7">
        <f t="shared" si="188"/>
        <v>2120.3199999999997</v>
      </c>
      <c r="E220" s="116">
        <f t="shared" si="189"/>
        <v>0.5792498540317732</v>
      </c>
      <c r="F220" s="116">
        <f t="shared" si="186"/>
        <v>0.63845451925847663</v>
      </c>
      <c r="J220" s="1352">
        <v>93800000</v>
      </c>
      <c r="K220" s="1350">
        <f>J220-J219</f>
        <v>1100000</v>
      </c>
      <c r="O220" s="14">
        <f t="shared" si="193"/>
        <v>-145.63000000000011</v>
      </c>
      <c r="P220" s="14">
        <f t="shared" si="194"/>
        <v>-12.720000000000027</v>
      </c>
      <c r="T220" s="14">
        <f t="shared" si="195"/>
        <v>433.73999999999978</v>
      </c>
      <c r="U220" s="1350">
        <f>J220/B220</f>
        <v>70558.677288079503</v>
      </c>
      <c r="Y220" s="1353">
        <v>21339000</v>
      </c>
      <c r="Z220" s="1349">
        <f t="shared" si="166"/>
        <v>4.3957073902244712</v>
      </c>
      <c r="AD220" s="1351">
        <f t="shared" si="167"/>
        <v>72461000</v>
      </c>
      <c r="AE220" s="241">
        <f t="shared" si="168"/>
        <v>0.22749466950959488</v>
      </c>
      <c r="AI220" s="1362">
        <f t="shared" si="181"/>
        <v>58316.97244600908</v>
      </c>
      <c r="AJ220" s="1354">
        <f t="shared" si="182"/>
        <v>25842000</v>
      </c>
      <c r="AN220" s="1362">
        <f t="shared" si="173"/>
        <v>16051.722970685805</v>
      </c>
      <c r="AO220" s="147">
        <v>4104662</v>
      </c>
      <c r="AS220" s="263">
        <f t="shared" si="174"/>
        <v>0.19235493696986738</v>
      </c>
      <c r="AT220" s="1360">
        <v>138400000</v>
      </c>
      <c r="AX220" s="1363">
        <f t="shared" si="175"/>
        <v>-1700000</v>
      </c>
      <c r="AY220" s="1365">
        <f t="shared" si="176"/>
        <v>104107.89911162264</v>
      </c>
      <c r="AZ220" s="1361">
        <f t="shared" si="177"/>
        <v>0.15418352601156068</v>
      </c>
      <c r="BA220" s="38">
        <f t="shared" si="178"/>
        <v>0.15418352601156068</v>
      </c>
    </row>
    <row r="221" spans="1:53" ht="15.75" thickBot="1" x14ac:dyDescent="0.3">
      <c r="A221" s="1332">
        <v>44992</v>
      </c>
      <c r="B221" s="7">
        <f t="shared" si="188"/>
        <v>1343.8600000000001</v>
      </c>
      <c r="C221" s="7">
        <f t="shared" si="188"/>
        <v>1181.2399999999998</v>
      </c>
      <c r="D221" s="7">
        <f t="shared" si="188"/>
        <v>2143.54</v>
      </c>
      <c r="E221" s="116">
        <f t="shared" si="189"/>
        <v>0.78016638316894338</v>
      </c>
      <c r="F221" s="116">
        <f t="shared" si="186"/>
        <v>0.64340773510288907</v>
      </c>
      <c r="J221" s="1352">
        <v>92700000</v>
      </c>
      <c r="K221" s="1350">
        <f>J221-J220</f>
        <v>-1100000</v>
      </c>
      <c r="O221" s="14">
        <f t="shared" si="193"/>
        <v>14.470000000000255</v>
      </c>
      <c r="P221" s="14">
        <f t="shared" si="194"/>
        <v>-71.590000000000146</v>
      </c>
      <c r="T221" s="14">
        <f t="shared" si="195"/>
        <v>23.220000000000255</v>
      </c>
      <c r="U221" s="1350">
        <f>J221/B221</f>
        <v>68980.39974402095</v>
      </c>
      <c r="Y221" s="1353">
        <v>27145000</v>
      </c>
      <c r="Z221" s="1349">
        <f t="shared" si="166"/>
        <v>3.4149935531405413</v>
      </c>
      <c r="AD221" s="1351">
        <f t="shared" si="167"/>
        <v>65555000</v>
      </c>
      <c r="AE221" s="241">
        <f t="shared" si="168"/>
        <v>0.29282632146709814</v>
      </c>
      <c r="AI221" s="1362">
        <f>SUM(Y219:Y221)/B221</f>
        <v>56174.006220886098</v>
      </c>
      <c r="AJ221" s="1354">
        <f t="shared" si="182"/>
        <v>25163333.333333332</v>
      </c>
      <c r="AN221" s="1362">
        <f t="shared" si="173"/>
        <v>20199.276710371614</v>
      </c>
      <c r="AO221" s="765">
        <v>2924488</v>
      </c>
      <c r="AS221" s="263">
        <f t="shared" si="174"/>
        <v>0.1077357892797937</v>
      </c>
      <c r="AT221" s="1360">
        <v>132700000</v>
      </c>
      <c r="AX221" s="1363">
        <f>AT221-AT220</f>
        <v>-5700000</v>
      </c>
      <c r="AY221" s="1365">
        <f t="shared" si="176"/>
        <v>98745.405027309389</v>
      </c>
      <c r="AZ221" s="1361">
        <f t="shared" si="177"/>
        <v>0.20455915599095706</v>
      </c>
      <c r="BA221" s="38">
        <f t="shared" si="178"/>
        <v>0.20455915599095706</v>
      </c>
    </row>
    <row r="222" spans="1:53" x14ac:dyDescent="0.25">
      <c r="A222" s="1332">
        <v>45020</v>
      </c>
      <c r="B222" s="7">
        <f t="shared" si="188"/>
        <v>1587.56</v>
      </c>
      <c r="C222" s="7">
        <f t="shared" si="188"/>
        <v>1683.91</v>
      </c>
      <c r="D222" s="7">
        <f t="shared" si="188"/>
        <v>1833.98</v>
      </c>
      <c r="E222" s="116">
        <f t="shared" si="189"/>
        <v>1.2544427324088341</v>
      </c>
      <c r="F222" s="116">
        <f t="shared" ref="F222" si="196">B222/D216</f>
        <v>0.72762105552627343</v>
      </c>
      <c r="U222" s="1350"/>
      <c r="Y222" s="1353">
        <v>35394000</v>
      </c>
    </row>
    <row r="223" spans="1:53" x14ac:dyDescent="0.25">
      <c r="AO223" s="147"/>
    </row>
    <row r="224" spans="1:53" x14ac:dyDescent="0.25">
      <c r="AO224" s="147"/>
    </row>
    <row r="225" spans="25:41" x14ac:dyDescent="0.25">
      <c r="AO225" s="147"/>
    </row>
    <row r="226" spans="25:41" x14ac:dyDescent="0.25">
      <c r="Y226" s="1353">
        <v>29760000</v>
      </c>
      <c r="AO226" s="147"/>
    </row>
    <row r="227" spans="25:41" x14ac:dyDescent="0.25">
      <c r="Y227" s="1353">
        <v>36730000</v>
      </c>
      <c r="AO227" s="765"/>
    </row>
    <row r="228" spans="25:41" x14ac:dyDescent="0.25">
      <c r="Y228" s="1353">
        <v>28110000</v>
      </c>
    </row>
    <row r="229" spans="25:41" x14ac:dyDescent="0.25">
      <c r="Y229" s="1353">
        <v>37110000</v>
      </c>
    </row>
    <row r="230" spans="25:41" x14ac:dyDescent="0.25">
      <c r="Y230" s="1353">
        <v>44750000</v>
      </c>
    </row>
    <row r="231" spans="25:41" x14ac:dyDescent="0.25">
      <c r="Y231" s="1353">
        <v>32480000</v>
      </c>
    </row>
    <row r="232" spans="25:41" x14ac:dyDescent="0.25">
      <c r="Y232" s="1353">
        <v>33150000</v>
      </c>
    </row>
    <row r="233" spans="25:41" x14ac:dyDescent="0.25">
      <c r="Y233" s="1353">
        <v>27890000</v>
      </c>
    </row>
    <row r="234" spans="25:41" x14ac:dyDescent="0.25">
      <c r="Y234" s="1353">
        <v>29181000</v>
      </c>
    </row>
    <row r="235" spans="25:41" x14ac:dyDescent="0.25">
      <c r="Y235" s="1353">
        <v>27006000</v>
      </c>
    </row>
    <row r="236" spans="25:41" x14ac:dyDescent="0.25">
      <c r="Y236" s="1353">
        <v>21339000</v>
      </c>
    </row>
    <row r="237" spans="25:41" x14ac:dyDescent="0.25">
      <c r="Y237" s="1353">
        <v>27145000</v>
      </c>
    </row>
    <row r="238" spans="25:41" x14ac:dyDescent="0.25">
      <c r="Y238" s="1353">
        <v>35394000</v>
      </c>
    </row>
  </sheetData>
  <mergeCells count="76">
    <mergeCell ref="AO205:AO208"/>
    <mergeCell ref="AJ205:AJ208"/>
    <mergeCell ref="AN205:AN208"/>
    <mergeCell ref="E154:F154"/>
    <mergeCell ref="B205:D205"/>
    <mergeCell ref="E205:F205"/>
    <mergeCell ref="E206:F206"/>
    <mergeCell ref="B153:D153"/>
    <mergeCell ref="E153:F153"/>
    <mergeCell ref="G153:I153"/>
    <mergeCell ref="J153:K153"/>
    <mergeCell ref="L153:N153"/>
    <mergeCell ref="E54:F54"/>
    <mergeCell ref="E104:F104"/>
    <mergeCell ref="E5:F5"/>
    <mergeCell ref="B4:D4"/>
    <mergeCell ref="E4:F4"/>
    <mergeCell ref="B53:D53"/>
    <mergeCell ref="E53:F53"/>
    <mergeCell ref="B103:D103"/>
    <mergeCell ref="E103:F103"/>
    <mergeCell ref="AD53:AE53"/>
    <mergeCell ref="G53:I53"/>
    <mergeCell ref="J53:K53"/>
    <mergeCell ref="Q153:S153"/>
    <mergeCell ref="AI205:AI208"/>
    <mergeCell ref="V153:X153"/>
    <mergeCell ref="Y153:Z153"/>
    <mergeCell ref="AA153:AC153"/>
    <mergeCell ref="AD153:AE153"/>
    <mergeCell ref="Z205:Z207"/>
    <mergeCell ref="T153:U153"/>
    <mergeCell ref="O153:P153"/>
    <mergeCell ref="T103:U103"/>
    <mergeCell ref="T53:U53"/>
    <mergeCell ref="V53:X53"/>
    <mergeCell ref="Y53:Z53"/>
    <mergeCell ref="AA53:AC53"/>
    <mergeCell ref="G103:I103"/>
    <mergeCell ref="J103:K103"/>
    <mergeCell ref="L103:N103"/>
    <mergeCell ref="O103:P103"/>
    <mergeCell ref="Q103:S103"/>
    <mergeCell ref="AX4:AY4"/>
    <mergeCell ref="V4:X4"/>
    <mergeCell ref="Y4:Z4"/>
    <mergeCell ref="AA4:AC4"/>
    <mergeCell ref="AD4:AE4"/>
    <mergeCell ref="AF4:AH4"/>
    <mergeCell ref="AI4:AJ4"/>
    <mergeCell ref="AK4:AM4"/>
    <mergeCell ref="AN4:AO4"/>
    <mergeCell ref="AP4:AR4"/>
    <mergeCell ref="AS4:AT4"/>
    <mergeCell ref="AU4:AW4"/>
    <mergeCell ref="AS205:AS208"/>
    <mergeCell ref="AI53:AJ53"/>
    <mergeCell ref="T4:U4"/>
    <mergeCell ref="G4:I4"/>
    <mergeCell ref="J4:K4"/>
    <mergeCell ref="L4:N4"/>
    <mergeCell ref="O4:P4"/>
    <mergeCell ref="Q4:S4"/>
    <mergeCell ref="L53:N53"/>
    <mergeCell ref="O53:P53"/>
    <mergeCell ref="Q53:S53"/>
    <mergeCell ref="O207:T207"/>
    <mergeCell ref="U205:U208"/>
    <mergeCell ref="AF53:AH53"/>
    <mergeCell ref="V103:X103"/>
    <mergeCell ref="Y103:Z103"/>
    <mergeCell ref="BA205:BA208"/>
    <mergeCell ref="AT205:AT208"/>
    <mergeCell ref="AX205:AX208"/>
    <mergeCell ref="AY205:AY208"/>
    <mergeCell ref="AZ205:AZ208"/>
  </mergeCells>
  <conditionalFormatting sqref="K1:K2 A1:F1 J223:K1048576 O207 T206 Y208:Z208 Y206:Y207 AD222:AE1048576 AN1:AO205 AN222:AO222 AS1:AT205 AX1:AY205 AI1:AJ205 AD1:AE208 O1:P206 T1:U205 Y1:Z205 J3:K208 K209:K222 O209:P1048576 T209:U1048576 Y223:Z225 AD209:AD221 AI209:AJ1048576 AO217:AO218 AN209:AN221 AS209:AT1048576 AX209:AY1048576 AN228:AO1048576 AN223:AN227 Y239:Z1048576 Z226:Z238 Y228:Y238 Z209:Z222 Y212:Y222">
    <cfRule type="cellIs" dxfId="1490" priority="121" operator="between">
      <formula>1.3</formula>
      <formula>9.9</formula>
    </cfRule>
    <cfRule type="cellIs" dxfId="1489" priority="122" operator="between">
      <formula>0.0001</formula>
      <formula>0.7</formula>
    </cfRule>
    <cfRule type="cellIs" dxfId="1488" priority="123" operator="between">
      <formula>1.1</formula>
      <formula>1.3</formula>
    </cfRule>
    <cfRule type="cellIs" dxfId="1487" priority="124" operator="between">
      <formula>0.7</formula>
      <formula>0.9</formula>
    </cfRule>
    <cfRule type="cellIs" dxfId="1486" priority="125" operator="between">
      <formula>0.9</formula>
      <formula>1.1</formula>
    </cfRule>
  </conditionalFormatting>
  <conditionalFormatting sqref="E4:F4">
    <cfRule type="cellIs" dxfId="1485" priority="112" operator="between">
      <formula>1.3</formula>
      <formula>9.9</formula>
    </cfRule>
    <cfRule type="cellIs" dxfId="1484" priority="113" operator="between">
      <formula>0.0001</formula>
      <formula>0.7</formula>
    </cfRule>
    <cfRule type="cellIs" dxfId="1483" priority="114" operator="between">
      <formula>1.1</formula>
      <formula>1.3</formula>
    </cfRule>
    <cfRule type="cellIs" dxfId="1482" priority="115" operator="between">
      <formula>0.7</formula>
      <formula>0.9</formula>
    </cfRule>
    <cfRule type="cellIs" dxfId="1481" priority="116" operator="between">
      <formula>0.9</formula>
      <formula>1.1</formula>
    </cfRule>
  </conditionalFormatting>
  <conditionalFormatting sqref="E6:F7">
    <cfRule type="cellIs" dxfId="1480" priority="107" operator="between">
      <formula>1.3</formula>
      <formula>9.9</formula>
    </cfRule>
    <cfRule type="cellIs" dxfId="1479" priority="108" operator="between">
      <formula>0.0001</formula>
      <formula>0.7</formula>
    </cfRule>
    <cfRule type="cellIs" dxfId="1478" priority="109" operator="between">
      <formula>1.1</formula>
      <formula>1.3</formula>
    </cfRule>
    <cfRule type="cellIs" dxfId="1477" priority="110" operator="between">
      <formula>0.7</formula>
      <formula>0.9</formula>
    </cfRule>
    <cfRule type="cellIs" dxfId="1476" priority="111" operator="between">
      <formula>0.9</formula>
      <formula>1.1</formula>
    </cfRule>
  </conditionalFormatting>
  <conditionalFormatting sqref="E53:F53">
    <cfRule type="cellIs" dxfId="1475" priority="102" operator="between">
      <formula>1.3</formula>
      <formula>9.9</formula>
    </cfRule>
    <cfRule type="cellIs" dxfId="1474" priority="103" operator="between">
      <formula>0.0001</formula>
      <formula>0.7</formula>
    </cfRule>
    <cfRule type="cellIs" dxfId="1473" priority="104" operator="between">
      <formula>1.1</formula>
      <formula>1.3</formula>
    </cfRule>
    <cfRule type="cellIs" dxfId="1472" priority="105" operator="between">
      <formula>0.7</formula>
      <formula>0.9</formula>
    </cfRule>
    <cfRule type="cellIs" dxfId="1471" priority="106" operator="between">
      <formula>0.9</formula>
      <formula>1.1</formula>
    </cfRule>
  </conditionalFormatting>
  <conditionalFormatting sqref="E55:F56">
    <cfRule type="cellIs" dxfId="1470" priority="97" operator="between">
      <formula>1.3</formula>
      <formula>9.9</formula>
    </cfRule>
    <cfRule type="cellIs" dxfId="1469" priority="98" operator="between">
      <formula>0.0001</formula>
      <formula>0.7</formula>
    </cfRule>
    <cfRule type="cellIs" dxfId="1468" priority="99" operator="between">
      <formula>1.1</formula>
      <formula>1.3</formula>
    </cfRule>
    <cfRule type="cellIs" dxfId="1467" priority="100" operator="between">
      <formula>0.7</formula>
      <formula>0.9</formula>
    </cfRule>
    <cfRule type="cellIs" dxfId="1466" priority="101" operator="between">
      <formula>0.9</formula>
      <formula>1.1</formula>
    </cfRule>
  </conditionalFormatting>
  <conditionalFormatting sqref="E103:F103">
    <cfRule type="cellIs" dxfId="1465" priority="92" operator="between">
      <formula>1.3</formula>
      <formula>9.9</formula>
    </cfRule>
    <cfRule type="cellIs" dxfId="1464" priority="93" operator="between">
      <formula>0.0001</formula>
      <formula>0.7</formula>
    </cfRule>
    <cfRule type="cellIs" dxfId="1463" priority="94" operator="between">
      <formula>1.1</formula>
      <formula>1.3</formula>
    </cfRule>
    <cfRule type="cellIs" dxfId="1462" priority="95" operator="between">
      <formula>0.7</formula>
      <formula>0.9</formula>
    </cfRule>
    <cfRule type="cellIs" dxfId="1461" priority="96" operator="between">
      <formula>0.9</formula>
      <formula>1.1</formula>
    </cfRule>
  </conditionalFormatting>
  <conditionalFormatting sqref="E105:F106">
    <cfRule type="cellIs" dxfId="1460" priority="87" operator="between">
      <formula>1.3</formula>
      <formula>9.9</formula>
    </cfRule>
    <cfRule type="cellIs" dxfId="1459" priority="88" operator="between">
      <formula>0.0001</formula>
      <formula>0.7</formula>
    </cfRule>
    <cfRule type="cellIs" dxfId="1458" priority="89" operator="between">
      <formula>1.1</formula>
      <formula>1.3</formula>
    </cfRule>
    <cfRule type="cellIs" dxfId="1457" priority="90" operator="between">
      <formula>0.7</formula>
      <formula>0.9</formula>
    </cfRule>
    <cfRule type="cellIs" dxfId="1456" priority="91" operator="between">
      <formula>0.9</formula>
      <formula>1.1</formula>
    </cfRule>
  </conditionalFormatting>
  <conditionalFormatting sqref="E153:F153">
    <cfRule type="cellIs" dxfId="1455" priority="82" operator="between">
      <formula>1.3</formula>
      <formula>9.9</formula>
    </cfRule>
    <cfRule type="cellIs" dxfId="1454" priority="83" operator="between">
      <formula>0.0001</formula>
      <formula>0.7</formula>
    </cfRule>
    <cfRule type="cellIs" dxfId="1453" priority="84" operator="between">
      <formula>1.1</formula>
      <formula>1.3</formula>
    </cfRule>
    <cfRule type="cellIs" dxfId="1452" priority="85" operator="between">
      <formula>0.7</formula>
      <formula>0.9</formula>
    </cfRule>
    <cfRule type="cellIs" dxfId="1451" priority="86" operator="between">
      <formula>0.9</formula>
      <formula>1.1</formula>
    </cfRule>
  </conditionalFormatting>
  <conditionalFormatting sqref="E155:F156">
    <cfRule type="cellIs" dxfId="1450" priority="77" operator="between">
      <formula>1.3</formula>
      <formula>9.9</formula>
    </cfRule>
    <cfRule type="cellIs" dxfId="1449" priority="78" operator="between">
      <formula>0.0001</formula>
      <formula>0.7</formula>
    </cfRule>
    <cfRule type="cellIs" dxfId="1448" priority="79" operator="between">
      <formula>1.1</formula>
      <formula>1.3</formula>
    </cfRule>
    <cfRule type="cellIs" dxfId="1447" priority="80" operator="between">
      <formula>0.7</formula>
      <formula>0.9</formula>
    </cfRule>
    <cfRule type="cellIs" dxfId="1446" priority="81" operator="between">
      <formula>0.9</formula>
      <formula>1.1</formula>
    </cfRule>
  </conditionalFormatting>
  <conditionalFormatting sqref="E8:F52">
    <cfRule type="cellIs" dxfId="1445" priority="72" operator="between">
      <formula>1.3</formula>
      <formula>9.9</formula>
    </cfRule>
    <cfRule type="cellIs" dxfId="1444" priority="73" operator="between">
      <formula>0.0001</formula>
      <formula>0.7</formula>
    </cfRule>
    <cfRule type="cellIs" dxfId="1443" priority="74" operator="between">
      <formula>1.1</formula>
      <formula>1.3</formula>
    </cfRule>
    <cfRule type="cellIs" dxfId="1442" priority="75" operator="between">
      <formula>0.7</formula>
      <formula>0.9</formula>
    </cfRule>
    <cfRule type="cellIs" dxfId="1441" priority="76" operator="between">
      <formula>0.9</formula>
      <formula>1.1</formula>
    </cfRule>
  </conditionalFormatting>
  <conditionalFormatting sqref="E57:F101">
    <cfRule type="cellIs" dxfId="1440" priority="67" operator="between">
      <formula>1.3</formula>
      <formula>9.9</formula>
    </cfRule>
    <cfRule type="cellIs" dxfId="1439" priority="68" operator="between">
      <formula>0.0001</formula>
      <formula>0.7</formula>
    </cfRule>
    <cfRule type="cellIs" dxfId="1438" priority="69" operator="between">
      <formula>1.1</formula>
      <formula>1.3</formula>
    </cfRule>
    <cfRule type="cellIs" dxfId="1437" priority="70" operator="between">
      <formula>0.7</formula>
      <formula>0.9</formula>
    </cfRule>
    <cfRule type="cellIs" dxfId="1436" priority="71" operator="between">
      <formula>0.9</formula>
      <formula>1.1</formula>
    </cfRule>
  </conditionalFormatting>
  <conditionalFormatting sqref="E107:F151">
    <cfRule type="cellIs" dxfId="1435" priority="62" operator="between">
      <formula>1.3</formula>
      <formula>9.9</formula>
    </cfRule>
    <cfRule type="cellIs" dxfId="1434" priority="63" operator="between">
      <formula>0.0001</formula>
      <formula>0.7</formula>
    </cfRule>
    <cfRule type="cellIs" dxfId="1433" priority="64" operator="between">
      <formula>1.1</formula>
      <formula>1.3</formula>
    </cfRule>
    <cfRule type="cellIs" dxfId="1432" priority="65" operator="between">
      <formula>0.7</formula>
      <formula>0.9</formula>
    </cfRule>
    <cfRule type="cellIs" dxfId="1431" priority="66" operator="between">
      <formula>0.9</formula>
      <formula>1.1</formula>
    </cfRule>
  </conditionalFormatting>
  <conditionalFormatting sqref="E157:F203">
    <cfRule type="cellIs" dxfId="1430" priority="57" operator="between">
      <formula>1.3</formula>
      <formula>9.9</formula>
    </cfRule>
    <cfRule type="cellIs" dxfId="1429" priority="58" operator="between">
      <formula>0.0001</formula>
      <formula>0.7</formula>
    </cfRule>
    <cfRule type="cellIs" dxfId="1428" priority="59" operator="between">
      <formula>1.1</formula>
      <formula>1.3</formula>
    </cfRule>
    <cfRule type="cellIs" dxfId="1427" priority="60" operator="between">
      <formula>0.7</formula>
      <formula>0.9</formula>
    </cfRule>
    <cfRule type="cellIs" dxfId="1426" priority="61" operator="between">
      <formula>0.9</formula>
      <formula>1.1</formula>
    </cfRule>
  </conditionalFormatting>
  <conditionalFormatting sqref="E205:F205">
    <cfRule type="cellIs" dxfId="1425" priority="52" operator="between">
      <formula>1.3</formula>
      <formula>9.9</formula>
    </cfRule>
    <cfRule type="cellIs" dxfId="1424" priority="53" operator="between">
      <formula>0.0001</formula>
      <formula>0.7</formula>
    </cfRule>
    <cfRule type="cellIs" dxfId="1423" priority="54" operator="between">
      <formula>1.1</formula>
      <formula>1.3</formula>
    </cfRule>
    <cfRule type="cellIs" dxfId="1422" priority="55" operator="between">
      <formula>0.7</formula>
      <formula>0.9</formula>
    </cfRule>
    <cfRule type="cellIs" dxfId="1421" priority="56" operator="between">
      <formula>0.9</formula>
      <formula>1.1</formula>
    </cfRule>
  </conditionalFormatting>
  <conditionalFormatting sqref="E207:F208">
    <cfRule type="cellIs" dxfId="1420" priority="47" operator="between">
      <formula>1.3</formula>
      <formula>9.9</formula>
    </cfRule>
    <cfRule type="cellIs" dxfId="1419" priority="48" operator="between">
      <formula>0.0001</formula>
      <formula>0.7</formula>
    </cfRule>
    <cfRule type="cellIs" dxfId="1418" priority="49" operator="between">
      <formula>1.1</formula>
      <formula>1.3</formula>
    </cfRule>
    <cfRule type="cellIs" dxfId="1417" priority="50" operator="between">
      <formula>0.7</formula>
      <formula>0.9</formula>
    </cfRule>
    <cfRule type="cellIs" dxfId="1416" priority="51" operator="between">
      <formula>0.9</formula>
      <formula>1.1</formula>
    </cfRule>
  </conditionalFormatting>
  <conditionalFormatting sqref="E209:F222">
    <cfRule type="cellIs" dxfId="1415" priority="42" operator="between">
      <formula>1.3</formula>
      <formula>9.9</formula>
    </cfRule>
    <cfRule type="cellIs" dxfId="1414" priority="43" operator="between">
      <formula>0.0001</formula>
      <formula>0.7</formula>
    </cfRule>
    <cfRule type="cellIs" dxfId="1413" priority="44" operator="between">
      <formula>1.1</formula>
      <formula>1.3</formula>
    </cfRule>
    <cfRule type="cellIs" dxfId="1412" priority="45" operator="between">
      <formula>0.7</formula>
      <formula>0.9</formula>
    </cfRule>
    <cfRule type="cellIs" dxfId="1411" priority="46" operator="between">
      <formula>0.9</formula>
      <formula>1.1</formula>
    </cfRule>
  </conditionalFormatting>
  <conditionalFormatting sqref="B209:B22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09:C22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09:D22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9:J220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0:K22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9:U22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09:Z2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09:AD22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9:AE22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11:AJ22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1:AI22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09:AN22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10:AO21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0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09:AS2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10:AX22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9:AY22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205">
    <cfRule type="cellIs" dxfId="1410" priority="10" operator="between">
      <formula>1.3</formula>
      <formula>9.9</formula>
    </cfRule>
    <cfRule type="cellIs" dxfId="1409" priority="11" operator="between">
      <formula>0.0001</formula>
      <formula>0.7</formula>
    </cfRule>
    <cfRule type="cellIs" dxfId="1408" priority="12" operator="between">
      <formula>1.1</formula>
      <formula>1.3</formula>
    </cfRule>
    <cfRule type="cellIs" dxfId="1407" priority="13" operator="between">
      <formula>0.7</formula>
      <formula>0.9</formula>
    </cfRule>
    <cfRule type="cellIs" dxfId="1406" priority="14" operator="between">
      <formula>0.9</formula>
      <formula>1.1</formula>
    </cfRule>
  </conditionalFormatting>
  <conditionalFormatting sqref="AZ209:AZ2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09:BA2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09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3:AO2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19:AO2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26:Y2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10:Y2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9:D222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8" scale="3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9" operator="containsText" id="{FB663681-157B-4242-8930-0A35E299F80E}">
            <xm:f>NOT(ISERROR(SEARCH($A$1,A1)))</xm:f>
            <xm:f>$A$1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A1:F1</xm:sqref>
        </x14:conditionalFormatting>
        <x14:conditionalFormatting xmlns:xm="http://schemas.microsoft.com/office/excel/2006/main">
          <x14:cfRule type="containsText" priority="118" operator="containsText" id="{DBA74EB0-AC4E-4C6B-AB87-4E285731A2A2}">
            <xm:f>NOT(ISERROR(SEARCH($A$2,A2)))</xm:f>
            <xm:f>$A$2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A2:F2</xm:sqref>
        </x14:conditionalFormatting>
        <x14:conditionalFormatting xmlns:xm="http://schemas.microsoft.com/office/excel/2006/main">
          <x14:cfRule type="containsText" priority="117" operator="containsText" id="{D40BF65E-789C-4E40-85A5-79EAC2FADE8B}">
            <xm:f>NOT(ISERROR(SEARCH($A$3,A3)))</xm:f>
            <xm:f>$A$3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A3:F3</xm:sqref>
        </x14:conditionalFormatting>
        <x14:conditionalFormatting xmlns:xm="http://schemas.microsoft.com/office/excel/2006/main">
          <x14:cfRule type="iconSet" priority="40" id="{8F1AC223-1854-4F99-A1AD-C8BC85BEC7A6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B209:B222</xm:sqref>
        </x14:conditionalFormatting>
        <x14:conditionalFormatting xmlns:xm="http://schemas.microsoft.com/office/excel/2006/main">
          <x14:cfRule type="iconSet" priority="38" id="{FDC6E932-0183-4C85-B215-033857DF77E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C209:C222</xm:sqref>
        </x14:conditionalFormatting>
        <x14:conditionalFormatting xmlns:xm="http://schemas.microsoft.com/office/excel/2006/main">
          <x14:cfRule type="iconSet" priority="36" id="{6DC33C2A-815E-4160-A3A3-C4BD33B9ADC0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D209:D222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30E14-81B6-4BC3-84E5-72EAF53AF036}">
  <sheetPr>
    <tabColor rgb="FF00B050"/>
  </sheetPr>
  <dimension ref="A1:FI66"/>
  <sheetViews>
    <sheetView zoomScale="130" zoomScaleNormal="130" workbookViewId="0">
      <pane ySplit="4" topLeftCell="A49" activePane="bottomLeft" state="frozen"/>
      <selection pane="bottomLeft" activeCell="AB67" sqref="AB67"/>
    </sheetView>
  </sheetViews>
  <sheetFormatPr defaultRowHeight="15" outlineLevelCol="1" x14ac:dyDescent="0.25"/>
  <cols>
    <col min="1" max="1" width="11.85546875" bestFit="1" customWidth="1"/>
    <col min="2" max="3" width="6.7109375" customWidth="1"/>
    <col min="4" max="4" width="7" customWidth="1"/>
    <col min="5" max="5" width="8.42578125" bestFit="1" customWidth="1"/>
    <col min="6" max="7" width="6.7109375" hidden="1" customWidth="1" outlineLevel="1"/>
    <col min="8" max="8" width="6.7109375" customWidth="1" collapsed="1"/>
    <col min="9" max="10" width="6.7109375" customWidth="1"/>
    <col min="11" max="11" width="7.42578125" bestFit="1" customWidth="1"/>
    <col min="12" max="12" width="6.7109375" style="223" customWidth="1"/>
    <col min="13" max="15" width="6.7109375" customWidth="1"/>
    <col min="16" max="17" width="6.7109375" hidden="1" customWidth="1" outlineLevel="1"/>
    <col min="18" max="18" width="6.7109375" customWidth="1" collapsed="1"/>
    <col min="19" max="20" width="6.7109375" customWidth="1"/>
    <col min="21" max="21" width="7.42578125" style="4" bestFit="1" customWidth="1"/>
    <col min="22" max="29" width="7.42578125" customWidth="1"/>
    <col min="30" max="40" width="6.7109375" customWidth="1"/>
    <col min="41" max="44" width="10.85546875" customWidth="1"/>
    <col min="45" max="47" width="6.7109375" customWidth="1"/>
    <col min="48" max="50" width="11.28515625" customWidth="1"/>
    <col min="53" max="56" width="6.7109375" customWidth="1" outlineLevel="1"/>
    <col min="57" max="58" width="6.7109375" customWidth="1"/>
    <col min="59" max="62" width="6.7109375" hidden="1" customWidth="1" outlineLevel="1"/>
    <col min="63" max="63" width="6.7109375" customWidth="1" collapsed="1"/>
    <col min="64" max="64" width="6.7109375" customWidth="1"/>
    <col min="65" max="68" width="6.7109375" hidden="1" customWidth="1" outlineLevel="1"/>
    <col min="69" max="69" width="6.7109375" customWidth="1" collapsed="1"/>
    <col min="70" max="70" width="6.7109375" customWidth="1"/>
    <col min="71" max="74" width="6.7109375" hidden="1" customWidth="1" outlineLevel="1"/>
    <col min="75" max="75" width="6.7109375" customWidth="1" collapsed="1"/>
    <col min="76" max="76" width="6.7109375" customWidth="1"/>
    <col min="77" max="80" width="6.7109375" hidden="1" customWidth="1" outlineLevel="1"/>
    <col min="81" max="81" width="6.7109375" customWidth="1" collapsed="1"/>
    <col min="82" max="82" width="6.7109375" customWidth="1"/>
    <col min="83" max="86" width="6.7109375" hidden="1" customWidth="1" outlineLevel="1"/>
    <col min="87" max="87" width="6.7109375" customWidth="1" collapsed="1"/>
    <col min="88" max="88" width="6.7109375" customWidth="1"/>
    <col min="89" max="92" width="6.7109375" hidden="1" customWidth="1" outlineLevel="1"/>
    <col min="93" max="93" width="9.140625" collapsed="1"/>
    <col min="95" max="98" width="6.7109375" customWidth="1" outlineLevel="1"/>
    <col min="101" max="104" width="6.7109375" customWidth="1" outlineLevel="1"/>
    <col min="105" max="106" width="6.7109375" customWidth="1"/>
    <col min="107" max="110" width="6.7109375" hidden="1" customWidth="1" outlineLevel="1"/>
    <col min="111" max="111" width="6.7109375" customWidth="1" collapsed="1"/>
    <col min="112" max="112" width="6.7109375" customWidth="1"/>
    <col min="113" max="116" width="6.7109375" hidden="1" customWidth="1" outlineLevel="1"/>
    <col min="117" max="117" width="9.140625" collapsed="1"/>
    <col min="119" max="122" width="6.7109375" hidden="1" customWidth="1" outlineLevel="1"/>
    <col min="123" max="123" width="9.140625" collapsed="1"/>
    <col min="125" max="128" width="6.7109375" hidden="1" customWidth="1" outlineLevel="1"/>
    <col min="129" max="129" width="9.140625" collapsed="1"/>
    <col min="131" max="134" width="6.7109375" customWidth="1" outlineLevel="1"/>
    <col min="137" max="140" width="6.7109375" customWidth="1" outlineLevel="1"/>
    <col min="143" max="147" width="6.7109375" customWidth="1" outlineLevel="1"/>
  </cols>
  <sheetData>
    <row r="1" spans="1:165" ht="15.75" thickBot="1" x14ac:dyDescent="0.3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FI1" s="9"/>
    </row>
    <row r="2" spans="1:165" ht="15" customHeight="1" x14ac:dyDescent="0.25">
      <c r="B2" s="47" t="s">
        <v>51</v>
      </c>
      <c r="C2" s="9" t="s">
        <v>52</v>
      </c>
      <c r="D2" s="9" t="s">
        <v>53</v>
      </c>
      <c r="E2" s="9" t="s">
        <v>54</v>
      </c>
      <c r="F2" s="9" t="s">
        <v>55</v>
      </c>
      <c r="G2" s="9" t="s">
        <v>56</v>
      </c>
      <c r="H2" s="9" t="s">
        <v>57</v>
      </c>
      <c r="I2" s="9" t="s">
        <v>58</v>
      </c>
      <c r="K2" t="s">
        <v>59</v>
      </c>
      <c r="L2" s="214" t="s">
        <v>51</v>
      </c>
      <c r="M2" s="47" t="s">
        <v>52</v>
      </c>
      <c r="N2" s="47" t="s">
        <v>53</v>
      </c>
      <c r="O2" s="47" t="s">
        <v>54</v>
      </c>
      <c r="P2" s="47" t="s">
        <v>55</v>
      </c>
      <c r="Q2" s="47" t="s">
        <v>56</v>
      </c>
      <c r="R2" s="47" t="s">
        <v>57</v>
      </c>
      <c r="S2" s="47" t="s">
        <v>58</v>
      </c>
      <c r="T2" s="48"/>
      <c r="U2" s="215" t="s">
        <v>59</v>
      </c>
      <c r="V2" s="214" t="s">
        <v>51</v>
      </c>
      <c r="W2" s="47" t="s">
        <v>52</v>
      </c>
      <c r="X2" s="47" t="s">
        <v>53</v>
      </c>
      <c r="Y2" s="47" t="s">
        <v>54</v>
      </c>
      <c r="Z2" s="47" t="s">
        <v>57</v>
      </c>
      <c r="AA2" s="47" t="s">
        <v>58</v>
      </c>
      <c r="AB2" s="48"/>
      <c r="AC2" s="215" t="s">
        <v>59</v>
      </c>
      <c r="AD2" s="1568" t="s">
        <v>60</v>
      </c>
      <c r="AE2" s="1557"/>
      <c r="AF2" s="1569"/>
      <c r="AG2" s="1556" t="s">
        <v>61</v>
      </c>
      <c r="AH2" s="1557"/>
      <c r="AI2" s="1569"/>
      <c r="AJ2" s="1570" t="s">
        <v>62</v>
      </c>
      <c r="AK2" s="1571"/>
      <c r="AL2" s="1571"/>
      <c r="AM2" s="43"/>
      <c r="AN2" s="1565" t="s">
        <v>63</v>
      </c>
      <c r="AO2" s="1566"/>
      <c r="AP2" s="1566"/>
      <c r="AQ2" s="1567"/>
      <c r="AR2" s="184"/>
      <c r="AS2" s="1565" t="s">
        <v>64</v>
      </c>
      <c r="AT2" s="1566"/>
      <c r="AU2" s="1566"/>
      <c r="AV2" s="1566"/>
      <c r="AW2" s="1566"/>
      <c r="AX2" s="1567"/>
      <c r="BA2" s="47" t="s">
        <v>51</v>
      </c>
      <c r="BB2" s="47" t="s">
        <v>51</v>
      </c>
      <c r="BC2" s="47" t="s">
        <v>51</v>
      </c>
      <c r="BD2" s="47" t="s">
        <v>51</v>
      </c>
      <c r="BE2" s="48" t="s">
        <v>65</v>
      </c>
      <c r="BF2" s="48" t="s">
        <v>65</v>
      </c>
      <c r="BG2" s="48" t="s">
        <v>65</v>
      </c>
      <c r="BH2" s="48" t="s">
        <v>65</v>
      </c>
      <c r="BI2" s="48" t="s">
        <v>65</v>
      </c>
      <c r="BJ2" s="48" t="s">
        <v>65</v>
      </c>
      <c r="BK2" s="47" t="s">
        <v>66</v>
      </c>
      <c r="BL2" s="47" t="s">
        <v>66</v>
      </c>
      <c r="BM2" s="47" t="s">
        <v>66</v>
      </c>
      <c r="BN2" s="47" t="s">
        <v>66</v>
      </c>
      <c r="BO2" s="47" t="s">
        <v>66</v>
      </c>
      <c r="BP2" s="47" t="s">
        <v>66</v>
      </c>
      <c r="BQ2" s="47" t="s">
        <v>67</v>
      </c>
      <c r="BR2" s="47" t="s">
        <v>67</v>
      </c>
      <c r="BS2" s="47" t="s">
        <v>67</v>
      </c>
      <c r="BT2" s="47" t="s">
        <v>67</v>
      </c>
      <c r="BU2" s="47" t="s">
        <v>67</v>
      </c>
      <c r="BV2" s="47" t="s">
        <v>67</v>
      </c>
      <c r="BW2" s="47" t="s">
        <v>68</v>
      </c>
      <c r="BX2" s="47" t="s">
        <v>68</v>
      </c>
      <c r="BY2" s="47" t="s">
        <v>68</v>
      </c>
      <c r="BZ2" s="47" t="s">
        <v>68</v>
      </c>
      <c r="CA2" s="47" t="s">
        <v>68</v>
      </c>
      <c r="CB2" s="47" t="s">
        <v>68</v>
      </c>
      <c r="CC2" s="47" t="s">
        <v>69</v>
      </c>
      <c r="CD2" s="47" t="s">
        <v>69</v>
      </c>
      <c r="CE2" s="47" t="s">
        <v>69</v>
      </c>
      <c r="CF2" s="47" t="s">
        <v>69</v>
      </c>
      <c r="CG2" s="47" t="s">
        <v>69</v>
      </c>
      <c r="CH2" s="47" t="s">
        <v>69</v>
      </c>
      <c r="CI2" s="47" t="s">
        <v>70</v>
      </c>
      <c r="CJ2" s="47" t="s">
        <v>70</v>
      </c>
      <c r="CK2" s="47" t="s">
        <v>70</v>
      </c>
      <c r="CL2" s="47" t="s">
        <v>70</v>
      </c>
      <c r="CM2" s="47" t="s">
        <v>70</v>
      </c>
      <c r="CN2" s="47" t="s">
        <v>70</v>
      </c>
      <c r="CQ2" s="9" t="s">
        <v>52</v>
      </c>
      <c r="CR2" s="9" t="s">
        <v>52</v>
      </c>
      <c r="CS2" s="9" t="s">
        <v>52</v>
      </c>
      <c r="CT2" s="9" t="s">
        <v>52</v>
      </c>
      <c r="CW2" s="9" t="s">
        <v>53</v>
      </c>
      <c r="CX2" s="9" t="s">
        <v>53</v>
      </c>
      <c r="CY2" s="9" t="s">
        <v>53</v>
      </c>
      <c r="CZ2" s="9" t="s">
        <v>53</v>
      </c>
      <c r="DA2" s="9" t="s">
        <v>71</v>
      </c>
      <c r="DF2" s="49"/>
      <c r="DG2" s="9" t="s">
        <v>72</v>
      </c>
      <c r="DH2" s="9" t="s">
        <v>72</v>
      </c>
      <c r="DI2" s="9" t="s">
        <v>72</v>
      </c>
      <c r="DJ2" s="9" t="s">
        <v>72</v>
      </c>
      <c r="DK2" s="9" t="s">
        <v>72</v>
      </c>
      <c r="DL2" s="9" t="s">
        <v>72</v>
      </c>
      <c r="DO2" s="9" t="s">
        <v>55</v>
      </c>
      <c r="DP2" s="9" t="s">
        <v>55</v>
      </c>
      <c r="DQ2" s="9" t="s">
        <v>55</v>
      </c>
      <c r="DR2" s="9" t="s">
        <v>55</v>
      </c>
      <c r="DU2" s="9" t="s">
        <v>56</v>
      </c>
      <c r="DV2" s="9" t="s">
        <v>56</v>
      </c>
      <c r="DW2" s="9" t="s">
        <v>56</v>
      </c>
      <c r="DX2" s="9" t="s">
        <v>56</v>
      </c>
      <c r="EA2" s="9" t="s">
        <v>57</v>
      </c>
      <c r="EB2" s="9" t="s">
        <v>57</v>
      </c>
      <c r="EC2" s="9" t="s">
        <v>57</v>
      </c>
      <c r="ED2" s="9" t="s">
        <v>57</v>
      </c>
      <c r="EG2" s="9" t="s">
        <v>58</v>
      </c>
      <c r="EH2" s="9" t="s">
        <v>58</v>
      </c>
      <c r="EI2" s="9" t="s">
        <v>58</v>
      </c>
      <c r="EJ2" s="9" t="s">
        <v>58</v>
      </c>
      <c r="EM2" s="9" t="s">
        <v>29</v>
      </c>
      <c r="EN2" s="9" t="s">
        <v>29</v>
      </c>
      <c r="EO2" s="9" t="s">
        <v>29</v>
      </c>
      <c r="EP2" s="9" t="s">
        <v>29</v>
      </c>
      <c r="EQ2" s="9" t="s">
        <v>29</v>
      </c>
      <c r="ER2" s="1564" t="s">
        <v>73</v>
      </c>
      <c r="ES2" s="1545"/>
      <c r="ET2" s="1545"/>
      <c r="EU2" s="1545"/>
      <c r="EV2" s="1545"/>
      <c r="EW2" s="1545"/>
      <c r="EX2" s="1564" t="s">
        <v>74</v>
      </c>
      <c r="EY2" s="1545"/>
      <c r="EZ2" s="1545"/>
      <c r="FA2" s="1545"/>
      <c r="FB2" s="1545"/>
      <c r="FC2" s="1545"/>
    </row>
    <row r="3" spans="1:165" ht="48" customHeight="1" x14ac:dyDescent="0.25">
      <c r="A3" s="4" t="s">
        <v>22</v>
      </c>
      <c r="B3" s="181" t="s">
        <v>75</v>
      </c>
      <c r="C3" s="181" t="s">
        <v>75</v>
      </c>
      <c r="D3" s="181" t="s">
        <v>75</v>
      </c>
      <c r="E3" s="181" t="s">
        <v>76</v>
      </c>
      <c r="F3" s="181" t="s">
        <v>75</v>
      </c>
      <c r="G3" s="181" t="s">
        <v>75</v>
      </c>
      <c r="H3" s="181" t="s">
        <v>75</v>
      </c>
      <c r="I3" s="181" t="s">
        <v>75</v>
      </c>
      <c r="J3" s="181" t="s">
        <v>75</v>
      </c>
      <c r="K3" s="183" t="s">
        <v>75</v>
      </c>
      <c r="L3" s="216" t="s">
        <v>24</v>
      </c>
      <c r="M3" s="183" t="s">
        <v>24</v>
      </c>
      <c r="N3" s="183" t="s">
        <v>24</v>
      </c>
      <c r="O3" s="183" t="s">
        <v>24</v>
      </c>
      <c r="P3" s="183" t="s">
        <v>24</v>
      </c>
      <c r="Q3" s="183" t="s">
        <v>24</v>
      </c>
      <c r="R3" s="183" t="s">
        <v>24</v>
      </c>
      <c r="S3" s="183" t="s">
        <v>24</v>
      </c>
      <c r="T3" s="183" t="s">
        <v>24</v>
      </c>
      <c r="U3" s="217" t="s">
        <v>24</v>
      </c>
      <c r="V3" s="183" t="s">
        <v>25</v>
      </c>
      <c r="W3" s="183" t="s">
        <v>25</v>
      </c>
      <c r="X3" s="183" t="s">
        <v>25</v>
      </c>
      <c r="Y3" s="183" t="s">
        <v>25</v>
      </c>
      <c r="Z3" s="183" t="s">
        <v>25</v>
      </c>
      <c r="AA3" s="183" t="s">
        <v>25</v>
      </c>
      <c r="AB3" s="183" t="s">
        <v>77</v>
      </c>
      <c r="AC3" s="183" t="s">
        <v>25</v>
      </c>
      <c r="AD3" s="183" t="s">
        <v>75</v>
      </c>
      <c r="AE3" s="183" t="s">
        <v>24</v>
      </c>
      <c r="AF3" s="183" t="s">
        <v>25</v>
      </c>
      <c r="AG3" s="181" t="s">
        <v>75</v>
      </c>
      <c r="AH3" s="183" t="s">
        <v>24</v>
      </c>
      <c r="AI3" s="183" t="s">
        <v>25</v>
      </c>
      <c r="AJ3" s="181" t="s">
        <v>75</v>
      </c>
      <c r="AK3" s="183" t="s">
        <v>24</v>
      </c>
      <c r="AL3" s="183" t="s">
        <v>25</v>
      </c>
      <c r="AM3" s="183"/>
      <c r="AN3" s="183" t="s">
        <v>78</v>
      </c>
      <c r="AO3" s="183" t="s">
        <v>79</v>
      </c>
      <c r="AP3" s="183" t="s">
        <v>80</v>
      </c>
      <c r="AQ3" s="183" t="s">
        <v>81</v>
      </c>
      <c r="AR3" s="183" t="s">
        <v>82</v>
      </c>
      <c r="AS3" s="19" t="s">
        <v>75</v>
      </c>
      <c r="AT3" s="183" t="s">
        <v>24</v>
      </c>
      <c r="AU3" s="183" t="s">
        <v>78</v>
      </c>
      <c r="AV3" s="183" t="s">
        <v>79</v>
      </c>
      <c r="AW3" s="183" t="s">
        <v>80</v>
      </c>
      <c r="AX3" s="183" t="s">
        <v>81</v>
      </c>
      <c r="BA3" s="183" t="s">
        <v>78</v>
      </c>
      <c r="BB3" s="183" t="s">
        <v>79</v>
      </c>
      <c r="BC3" s="183" t="s">
        <v>80</v>
      </c>
      <c r="BD3" s="183" t="s">
        <v>81</v>
      </c>
      <c r="BE3" s="181" t="s">
        <v>75</v>
      </c>
      <c r="BF3" s="182" t="s">
        <v>24</v>
      </c>
      <c r="BG3" s="183" t="s">
        <v>78</v>
      </c>
      <c r="BH3" s="183" t="s">
        <v>79</v>
      </c>
      <c r="BI3" s="183" t="s">
        <v>80</v>
      </c>
      <c r="BJ3" s="183" t="s">
        <v>81</v>
      </c>
      <c r="BK3" s="181" t="s">
        <v>75</v>
      </c>
      <c r="BL3" s="183" t="s">
        <v>24</v>
      </c>
      <c r="BM3" s="183" t="s">
        <v>78</v>
      </c>
      <c r="BN3" s="183" t="s">
        <v>79</v>
      </c>
      <c r="BO3" s="183" t="s">
        <v>80</v>
      </c>
      <c r="BP3" s="183" t="s">
        <v>81</v>
      </c>
      <c r="BQ3" s="181" t="s">
        <v>75</v>
      </c>
      <c r="BR3" s="183" t="s">
        <v>24</v>
      </c>
      <c r="BS3" s="183" t="s">
        <v>78</v>
      </c>
      <c r="BT3" s="183" t="s">
        <v>79</v>
      </c>
      <c r="BU3" s="183" t="s">
        <v>80</v>
      </c>
      <c r="BV3" s="182" t="s">
        <v>81</v>
      </c>
      <c r="BW3" s="181" t="s">
        <v>75</v>
      </c>
      <c r="BX3" s="183" t="s">
        <v>24</v>
      </c>
      <c r="BY3" s="183" t="s">
        <v>78</v>
      </c>
      <c r="BZ3" s="183" t="s">
        <v>79</v>
      </c>
      <c r="CA3" s="183" t="s">
        <v>80</v>
      </c>
      <c r="CB3" s="182" t="s">
        <v>81</v>
      </c>
      <c r="CC3" s="181" t="s">
        <v>75</v>
      </c>
      <c r="CD3" s="183" t="s">
        <v>24</v>
      </c>
      <c r="CE3" s="183" t="s">
        <v>78</v>
      </c>
      <c r="CF3" s="183" t="s">
        <v>79</v>
      </c>
      <c r="CG3" s="183" t="s">
        <v>80</v>
      </c>
      <c r="CH3" s="182" t="s">
        <v>81</v>
      </c>
      <c r="CI3" s="181" t="s">
        <v>75</v>
      </c>
      <c r="CJ3" s="183" t="s">
        <v>24</v>
      </c>
      <c r="CK3" s="183" t="s">
        <v>78</v>
      </c>
      <c r="CL3" s="183" t="s">
        <v>79</v>
      </c>
      <c r="CM3" s="183" t="s">
        <v>80</v>
      </c>
      <c r="CN3" s="182" t="s">
        <v>81</v>
      </c>
      <c r="CQ3" s="183" t="s">
        <v>78</v>
      </c>
      <c r="CR3" s="183" t="s">
        <v>79</v>
      </c>
      <c r="CS3" s="183" t="s">
        <v>80</v>
      </c>
      <c r="CT3" s="182" t="s">
        <v>81</v>
      </c>
      <c r="CW3" s="183" t="s">
        <v>78</v>
      </c>
      <c r="CX3" s="183" t="s">
        <v>79</v>
      </c>
      <c r="CY3" s="183" t="s">
        <v>80</v>
      </c>
      <c r="CZ3" s="182" t="s">
        <v>81</v>
      </c>
      <c r="DA3" s="181" t="s">
        <v>75</v>
      </c>
      <c r="DB3" s="183" t="s">
        <v>24</v>
      </c>
      <c r="DC3" s="183" t="s">
        <v>78</v>
      </c>
      <c r="DD3" s="183" t="s">
        <v>79</v>
      </c>
      <c r="DE3" s="183" t="s">
        <v>80</v>
      </c>
      <c r="DF3" s="182" t="s">
        <v>81</v>
      </c>
      <c r="DG3" s="181" t="s">
        <v>75</v>
      </c>
      <c r="DH3" s="183" t="s">
        <v>24</v>
      </c>
      <c r="DI3" s="183" t="s">
        <v>78</v>
      </c>
      <c r="DJ3" s="183" t="s">
        <v>79</v>
      </c>
      <c r="DK3" s="183" t="s">
        <v>80</v>
      </c>
      <c r="DL3" s="182" t="s">
        <v>81</v>
      </c>
      <c r="DO3" s="183" t="s">
        <v>78</v>
      </c>
      <c r="DP3" s="183" t="s">
        <v>79</v>
      </c>
      <c r="DQ3" s="183" t="s">
        <v>80</v>
      </c>
      <c r="DR3" s="182" t="s">
        <v>81</v>
      </c>
      <c r="DU3" s="183" t="s">
        <v>78</v>
      </c>
      <c r="DV3" s="183" t="s">
        <v>79</v>
      </c>
      <c r="DW3" s="183" t="s">
        <v>80</v>
      </c>
      <c r="DX3" s="182" t="s">
        <v>81</v>
      </c>
      <c r="EA3" s="183" t="s">
        <v>78</v>
      </c>
      <c r="EB3" s="183" t="s">
        <v>79</v>
      </c>
      <c r="EC3" s="183" t="s">
        <v>80</v>
      </c>
      <c r="ED3" s="182" t="s">
        <v>81</v>
      </c>
      <c r="EG3" s="183" t="s">
        <v>78</v>
      </c>
      <c r="EH3" s="183" t="s">
        <v>79</v>
      </c>
      <c r="EI3" s="183" t="s">
        <v>80</v>
      </c>
      <c r="EJ3" s="182" t="s">
        <v>81</v>
      </c>
      <c r="EM3" s="183" t="s">
        <v>78</v>
      </c>
      <c r="EN3" s="183" t="s">
        <v>79</v>
      </c>
      <c r="EO3" s="183" t="s">
        <v>80</v>
      </c>
      <c r="EP3" s="183" t="s">
        <v>81</v>
      </c>
      <c r="EQ3" s="183" t="s">
        <v>83</v>
      </c>
      <c r="ER3" s="181" t="s">
        <v>75</v>
      </c>
      <c r="ES3" s="183" t="s">
        <v>24</v>
      </c>
      <c r="ET3" s="183" t="s">
        <v>78</v>
      </c>
      <c r="EU3" s="183" t="s">
        <v>79</v>
      </c>
      <c r="EV3" s="183" t="s">
        <v>80</v>
      </c>
      <c r="EW3" s="183" t="s">
        <v>81</v>
      </c>
      <c r="EX3" s="181" t="s">
        <v>75</v>
      </c>
      <c r="EY3" s="183" t="s">
        <v>24</v>
      </c>
      <c r="EZ3" s="183" t="s">
        <v>78</v>
      </c>
      <c r="FA3" s="183" t="s">
        <v>79</v>
      </c>
      <c r="FB3" s="183" t="s">
        <v>80</v>
      </c>
      <c r="FC3" s="183" t="s">
        <v>81</v>
      </c>
    </row>
    <row r="4" spans="1:165" x14ac:dyDescent="0.25">
      <c r="A4" s="10">
        <v>45047</v>
      </c>
      <c r="B4" s="7">
        <f t="shared" ref="B4:AW4" si="0">VLOOKUP($A$4,$A$5:$BB$100,B1,FALSE)</f>
        <v>90</v>
      </c>
      <c r="C4" s="7">
        <f t="shared" si="0"/>
        <v>37</v>
      </c>
      <c r="D4" s="7">
        <f t="shared" si="0"/>
        <v>31</v>
      </c>
      <c r="E4" s="7">
        <f t="shared" si="0"/>
        <v>63.5</v>
      </c>
      <c r="F4" s="7">
        <f t="shared" si="0"/>
        <v>0</v>
      </c>
      <c r="G4" s="7">
        <f t="shared" si="0"/>
        <v>0</v>
      </c>
      <c r="H4" s="7">
        <f t="shared" si="0"/>
        <v>39</v>
      </c>
      <c r="I4" s="7">
        <f t="shared" si="0"/>
        <v>46</v>
      </c>
      <c r="J4" s="7">
        <f t="shared" si="0"/>
        <v>5</v>
      </c>
      <c r="K4" s="7">
        <f t="shared" si="0"/>
        <v>43</v>
      </c>
      <c r="L4" s="7">
        <f t="shared" si="0"/>
        <v>83</v>
      </c>
      <c r="M4" s="7">
        <f t="shared" si="0"/>
        <v>42</v>
      </c>
      <c r="N4" s="7">
        <f t="shared" si="0"/>
        <v>35</v>
      </c>
      <c r="O4" s="7">
        <f t="shared" si="0"/>
        <v>62.5</v>
      </c>
      <c r="P4" s="7">
        <f t="shared" si="0"/>
        <v>0</v>
      </c>
      <c r="Q4" s="7">
        <f t="shared" si="0"/>
        <v>0</v>
      </c>
      <c r="R4" s="7">
        <f t="shared" si="0"/>
        <v>32</v>
      </c>
      <c r="S4" s="7">
        <f t="shared" si="0"/>
        <v>40</v>
      </c>
      <c r="T4" s="7">
        <f t="shared" si="0"/>
        <v>21</v>
      </c>
      <c r="U4" s="7">
        <f t="shared" si="0"/>
        <v>38</v>
      </c>
      <c r="V4" s="7">
        <f t="shared" si="0"/>
        <v>92</v>
      </c>
      <c r="W4" s="7">
        <f t="shared" si="0"/>
        <v>37</v>
      </c>
      <c r="X4" s="7">
        <f t="shared" si="0"/>
        <v>30</v>
      </c>
      <c r="Y4" s="7">
        <f t="shared" si="0"/>
        <v>64.5</v>
      </c>
      <c r="Z4" s="7">
        <f t="shared" si="0"/>
        <v>27</v>
      </c>
      <c r="AA4" s="7">
        <f t="shared" si="0"/>
        <v>34</v>
      </c>
      <c r="AB4" s="7">
        <f t="shared" si="0"/>
        <v>47</v>
      </c>
      <c r="AC4" s="7">
        <f t="shared" si="0"/>
        <v>40</v>
      </c>
      <c r="AD4" s="7">
        <f t="shared" si="0"/>
        <v>107</v>
      </c>
      <c r="AE4" s="7">
        <f t="shared" si="0"/>
        <v>102</v>
      </c>
      <c r="AF4" s="7">
        <f t="shared" si="0"/>
        <v>111</v>
      </c>
      <c r="AG4" s="7">
        <f t="shared" si="0"/>
        <v>726</v>
      </c>
      <c r="AH4" s="7">
        <f t="shared" si="0"/>
        <v>785</v>
      </c>
      <c r="AI4" s="7">
        <f t="shared" si="0"/>
        <v>764</v>
      </c>
      <c r="AJ4" s="7">
        <f t="shared" si="0"/>
        <v>24.370823529411766</v>
      </c>
      <c r="AK4" s="7">
        <f t="shared" si="0"/>
        <v>25.12</v>
      </c>
      <c r="AL4" s="7">
        <f t="shared" si="0"/>
        <v>26.605176470588241</v>
      </c>
      <c r="AM4" s="7">
        <f t="shared" si="0"/>
        <v>0</v>
      </c>
      <c r="AN4" s="7">
        <f t="shared" si="0"/>
        <v>0</v>
      </c>
      <c r="AO4" s="7">
        <f t="shared" si="0"/>
        <v>0</v>
      </c>
      <c r="AP4" s="7">
        <f t="shared" si="0"/>
        <v>0</v>
      </c>
      <c r="AQ4" s="7">
        <f t="shared" si="0"/>
        <v>0</v>
      </c>
      <c r="AR4" s="7">
        <f t="shared" si="0"/>
        <v>0</v>
      </c>
      <c r="AS4" s="7">
        <f t="shared" si="0"/>
        <v>0</v>
      </c>
      <c r="AT4" s="7">
        <f t="shared" si="0"/>
        <v>0</v>
      </c>
      <c r="AU4" s="7">
        <f t="shared" si="0"/>
        <v>0</v>
      </c>
      <c r="AV4" s="7">
        <f t="shared" si="0"/>
        <v>0</v>
      </c>
      <c r="AW4" s="7">
        <f t="shared" si="0"/>
        <v>0</v>
      </c>
      <c r="AX4" s="7"/>
      <c r="BD4" s="7"/>
    </row>
    <row r="5" spans="1:165" ht="15.75" x14ac:dyDescent="0.25">
      <c r="A5" s="1">
        <v>43367</v>
      </c>
      <c r="B5" s="43">
        <v>77</v>
      </c>
      <c r="C5" s="67">
        <v>43</v>
      </c>
      <c r="D5" s="67">
        <v>33</v>
      </c>
      <c r="E5" s="7">
        <f t="shared" ref="E5:E51" si="1">AVERAGE(B5:C5)</f>
        <v>60</v>
      </c>
      <c r="F5" s="67">
        <v>2</v>
      </c>
      <c r="G5" s="67">
        <v>45</v>
      </c>
      <c r="H5" s="67">
        <v>26</v>
      </c>
      <c r="I5" s="67">
        <v>46</v>
      </c>
      <c r="J5" s="67"/>
      <c r="K5" s="5">
        <f t="shared" ref="K5:K25" si="2">AVERAGE(BE5,BK5,BQ5,BW5,CC5,CI5,DA5,DG5)</f>
        <v>26.375</v>
      </c>
      <c r="L5" s="218"/>
      <c r="M5" s="43"/>
      <c r="N5" s="43"/>
      <c r="O5" s="43"/>
      <c r="P5" s="43"/>
      <c r="Q5" s="43"/>
      <c r="R5" s="43"/>
      <c r="S5" s="43"/>
      <c r="T5" s="43"/>
      <c r="U5" s="219"/>
      <c r="V5" s="13"/>
      <c r="W5" s="13"/>
      <c r="X5" s="13"/>
      <c r="Y5" s="13"/>
      <c r="Z5" s="13"/>
      <c r="AA5" s="13"/>
      <c r="AB5" s="13"/>
      <c r="AC5" s="1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13"/>
      <c r="AO5" s="7">
        <f>((AVERAGE(K5,AN5)*('Summary Page'!$C$2+1))*('Summary Page'!$C$2+1))*('Summary Page'!$C$2+1)</f>
        <v>41.168631999999988</v>
      </c>
      <c r="AP5" s="7">
        <f>((AVERAGE(K5,AN5)*('Summary Page'!$C$3+1))*('Summary Page'!$C$3+1))*('Summary Page'!$C$3+1)</f>
        <v>51.513671875</v>
      </c>
      <c r="AQ5" s="7">
        <f>((AVERAGE(K5,AN5)*('Summary Page'!$C$4+1))*('Summary Page'!$C$4+1))*('Summary Page'!$C$4+1)</f>
        <v>45.575999999999993</v>
      </c>
      <c r="AR5" s="7">
        <v>80</v>
      </c>
      <c r="AS5" s="5">
        <f t="shared" ref="AS5:AS29" si="3">AVERAGE(MAX(C5,D5),MAX(F5,G5),MAX(H5,I5))</f>
        <v>44.666666666666664</v>
      </c>
      <c r="AT5" s="13"/>
      <c r="AU5" s="13"/>
      <c r="AV5" s="7">
        <f>((AVERAGE(AS5,AU5)*('Summary Page'!$C$2+1))*('Summary Page'!$C$2+1))*('Summary Page'!$C$2+1)</f>
        <v>69.720021333333321</v>
      </c>
      <c r="AW5" s="7">
        <f>((AVERAGE(AS5,AU5)*('Summary Page'!$C$3+1))*('Summary Page'!$C$3+1))*('Summary Page'!$C$3+1)</f>
        <v>87.239583333333314</v>
      </c>
      <c r="AX5" s="8">
        <f>((AVERAGE(AS5,AU5)*('Summary Page'!$C$4+1))*('Summary Page'!$C$4+1))*('Summary Page'!$C$4+1)</f>
        <v>77.183999999999983</v>
      </c>
      <c r="BA5" s="43"/>
      <c r="BB5" s="7">
        <f>((AVERAGE(B5,BA5)*('Summary Page'!$C$2+1))*('Summary Page'!$C$2+1))*('Summary Page'!$C$2+1)</f>
        <v>120.18899199999997</v>
      </c>
      <c r="BC5" s="7">
        <f>((AVERAGE(B5,BA5)*('Summary Page'!$C$3+1))*('Summary Page'!$C$3+1))*('Summary Page'!$C$3+1)</f>
        <v>150.390625</v>
      </c>
      <c r="BD5" s="7">
        <f>((AVERAGE(B5,BA5)*('Summary Page'!$C$4+1))*('Summary Page'!$C$4+1))*('Summary Page'!$C$4+1)</f>
        <v>133.05599999999998</v>
      </c>
      <c r="BE5" s="67">
        <v>33</v>
      </c>
      <c r="BF5" s="81"/>
      <c r="BG5" s="43"/>
      <c r="BH5" s="7">
        <f>((AVERAGE(BE5,BG5)*('Summary Page'!$C$2+1))*('Summary Page'!$C$2+1))*('Summary Page'!$C$2+1)</f>
        <v>51.50956799999998</v>
      </c>
      <c r="BI5" s="7">
        <f>((AVERAGE(BE5,BG5)*('Summary Page'!$C$3+1))*('Summary Page'!$C$3+1))*('Summary Page'!$C$3+1)</f>
        <v>64.453125</v>
      </c>
      <c r="BJ5" s="7">
        <f>((AVERAGE(BE5,BG5)*('Summary Page'!$C$4+1))*('Summary Page'!$C$4+1))*('Summary Page'!$C$4+1)</f>
        <v>57.024000000000001</v>
      </c>
      <c r="BK5" s="67">
        <v>28</v>
      </c>
      <c r="BL5" s="43"/>
      <c r="BM5" s="43"/>
      <c r="BN5" s="7">
        <f>((AVERAGE(BK5,BM5)*('Summary Page'!$C$2+1))*('Summary Page'!$C$2+1))*('Summary Page'!$C$2+1)</f>
        <v>43.705087999999989</v>
      </c>
      <c r="BO5" s="7">
        <f>((AVERAGE(BK5,BM5)*('Summary Page'!$C$3+1))*('Summary Page'!$C$3+1))*('Summary Page'!$C$3+1)</f>
        <v>54.6875</v>
      </c>
      <c r="BP5" s="7">
        <f>((AVERAGE(BK5,BM5)*('Summary Page'!$C$4+1))*('Summary Page'!$C$4+1))*('Summary Page'!$C$4+1)</f>
        <v>48.384</v>
      </c>
      <c r="BQ5" s="67">
        <v>28</v>
      </c>
      <c r="BR5" s="43"/>
      <c r="BS5" s="43"/>
      <c r="BT5" s="7">
        <f>((AVERAGE(BQ5,BS5)*('Summary Page'!$C$2+1))*('Summary Page'!$C$2+1))*('Summary Page'!$C$2+1)</f>
        <v>43.705087999999989</v>
      </c>
      <c r="BU5" s="7">
        <f>((AVERAGE(BQ5,BS5)*('Summary Page'!$C$3+1))*('Summary Page'!$C$3+1))*('Summary Page'!$C$3+1)</f>
        <v>54.6875</v>
      </c>
      <c r="BV5" s="8">
        <f>((AVERAGE(BQ5,BS5)*('Summary Page'!$C$4+1))*('Summary Page'!$C$4+1))*('Summary Page'!$C$4+1)</f>
        <v>48.384</v>
      </c>
      <c r="BW5" s="67">
        <v>31</v>
      </c>
      <c r="BX5" s="43"/>
      <c r="BY5" s="43"/>
      <c r="BZ5" s="7">
        <f>((AVERAGE(BW5,BY5)*('Summary Page'!$C$2+1))*('Summary Page'!$C$2+1))*('Summary Page'!$C$2+1)</f>
        <v>48.387775999999995</v>
      </c>
      <c r="CA5" s="7">
        <f>((AVERAGE(BW5,BY5)*('Summary Page'!$C$3+1))*('Summary Page'!$C$3+1))*('Summary Page'!$C$3+1)</f>
        <v>60.546875</v>
      </c>
      <c r="CB5" s="8">
        <f>((AVERAGE(BW5,BY5)*('Summary Page'!$C$4+1))*('Summary Page'!$C$4+1))*('Summary Page'!$C$4+1)</f>
        <v>53.567999999999991</v>
      </c>
      <c r="CC5" s="67">
        <v>28</v>
      </c>
      <c r="CD5" s="43"/>
      <c r="CE5" s="43"/>
      <c r="CF5" s="7">
        <f>((AVERAGE(CC5,CE5)*('Summary Page'!$C$2+1))*('Summary Page'!$C$2+1))*('Summary Page'!$C$2+1)</f>
        <v>43.705087999999989</v>
      </c>
      <c r="CG5" s="7">
        <f>((AVERAGE(CC5,CE5)*('Summary Page'!$C$3+1))*('Summary Page'!$C$3+1))*('Summary Page'!$C$3+1)</f>
        <v>54.6875</v>
      </c>
      <c r="CH5" s="8">
        <f>((AVERAGE(CC5,CE5)*('Summary Page'!$C$4+1))*('Summary Page'!$C$4+1))*('Summary Page'!$C$4+1)</f>
        <v>48.384</v>
      </c>
      <c r="CI5" s="67">
        <v>20</v>
      </c>
      <c r="CJ5" s="43"/>
      <c r="CK5" s="43"/>
      <c r="CL5" s="7">
        <f>((AVERAGE(CI5,CK5)*('Summary Page'!$C$2+1))*('Summary Page'!$C$2+1))*('Summary Page'!$C$2+1)</f>
        <v>31.217919999999996</v>
      </c>
      <c r="CM5" s="7">
        <f>((AVERAGE(CI5,CK5)*('Summary Page'!$C$3+1))*('Summary Page'!$C$3+1))*('Summary Page'!$C$3+1)</f>
        <v>39.0625</v>
      </c>
      <c r="CN5" s="8">
        <f>((AVERAGE(CI5,CK5)*('Summary Page'!$C$4+1))*('Summary Page'!$C$4+1))*('Summary Page'!$C$4+1)</f>
        <v>34.559999999999995</v>
      </c>
      <c r="CQ5" s="43"/>
      <c r="CR5" s="7">
        <f>((AVERAGE(C5,CQ5)*('Summary Page'!$C$2+1))*('Summary Page'!$C$2+1))*('Summary Page'!$C$2+1)</f>
        <v>67.118527999999984</v>
      </c>
      <c r="CS5" s="7">
        <f>((AVERAGE(C5,CQ5)*('Summary Page'!$C$3+1))*('Summary Page'!$C$3+1))*('Summary Page'!$C$3+1)</f>
        <v>83.984375</v>
      </c>
      <c r="CT5" s="8">
        <f>((AVERAGE(C5,CQ5)*('Summary Page'!$C$4+1))*('Summary Page'!$C$4+1))*('Summary Page'!$C$4+1)</f>
        <v>74.304000000000002</v>
      </c>
      <c r="CW5" s="43"/>
      <c r="CX5" s="7">
        <f>((AVERAGE(D5,CW5)*('Summary Page'!$C$2+1))*('Summary Page'!$C$2+1))*('Summary Page'!$C$2+1)</f>
        <v>51.50956799999998</v>
      </c>
      <c r="CY5" s="7">
        <f>((AVERAGE(D5,CW5)*('Summary Page'!$C$3+1))*('Summary Page'!$C$3+1))*('Summary Page'!$C$3+1)</f>
        <v>64.453125</v>
      </c>
      <c r="CZ5" s="8">
        <f>((AVERAGE(D5,CW5)*('Summary Page'!$C$4+1))*('Summary Page'!$C$4+1))*('Summary Page'!$C$4+1)</f>
        <v>57.024000000000001</v>
      </c>
      <c r="DA5" s="67">
        <v>20</v>
      </c>
      <c r="DB5" s="43"/>
      <c r="DC5" s="43"/>
      <c r="DD5" s="7">
        <f>((AVERAGE(DA5,DC5)*('Summary Page'!$C$2+1))*('Summary Page'!$C$2+1))*('Summary Page'!$C$2+1)</f>
        <v>31.217919999999996</v>
      </c>
      <c r="DE5" s="7">
        <f>((AVERAGE(DA5,DC5)*('Summary Page'!$C$3+1))*('Summary Page'!$C$3+1))*('Summary Page'!$C$3+1)</f>
        <v>39.0625</v>
      </c>
      <c r="DF5" s="8">
        <f>((AVERAGE(DA5,DC5)*('Summary Page'!$C$4+1))*('Summary Page'!$C$4+1))*('Summary Page'!$C$4+1)</f>
        <v>34.559999999999995</v>
      </c>
      <c r="DG5" s="67">
        <v>23</v>
      </c>
      <c r="DH5" s="43"/>
      <c r="DI5" s="43"/>
      <c r="DJ5" s="7">
        <f>((AVERAGE(DG5,DI5)*('Summary Page'!$C$2+1))*('Summary Page'!$C$2+1))*('Summary Page'!$C$2+1)</f>
        <v>35.900607999999998</v>
      </c>
      <c r="DK5" s="7">
        <f>((AVERAGE(DG5,DI5)*('Summary Page'!$C$3+1))*('Summary Page'!$C$3+1))*('Summary Page'!$C$3+1)</f>
        <v>44.921875</v>
      </c>
      <c r="DL5" s="8">
        <f>((AVERAGE(DG5,DI5)*('Summary Page'!$C$4+1))*('Summary Page'!$C$4+1))*('Summary Page'!$C$4+1)</f>
        <v>39.743999999999993</v>
      </c>
      <c r="DO5" s="43"/>
      <c r="DP5" s="7">
        <f>((AVERAGE(F5,DO5)*('Summary Page'!$C$2+1))*('Summary Page'!$C$2+1))*('Summary Page'!$C$2+1)</f>
        <v>3.1217919999999997</v>
      </c>
      <c r="DQ5" s="7">
        <f>((AVERAGE(F5,DO5)*('Summary Page'!$C$3+1))*('Summary Page'!$C$3+1))*('Summary Page'!$C$3+1)</f>
        <v>3.90625</v>
      </c>
      <c r="DR5" s="8">
        <f>((AVERAGE(F5,DO5)*('Summary Page'!$C$4+1))*('Summary Page'!$C$4+1))*('Summary Page'!$C$4+1)</f>
        <v>3.456</v>
      </c>
      <c r="DU5" s="43"/>
      <c r="DV5" s="7">
        <f>((AVERAGE(G5,DU5)*('Summary Page'!$C$2+1))*('Summary Page'!$C$2+1))*('Summary Page'!$C$2+1)</f>
        <v>70.240319999999983</v>
      </c>
      <c r="DW5" s="7">
        <f>((AVERAGE(G5,DU5)*('Summary Page'!$C$3+1))*('Summary Page'!$C$3+1))*('Summary Page'!$C$3+1)</f>
        <v>87.890625</v>
      </c>
      <c r="DX5" s="8">
        <f>((AVERAGE(G5,DU5)*('Summary Page'!$C$4+1))*('Summary Page'!$C$4+1))*('Summary Page'!$C$4+1)</f>
        <v>77.759999999999991</v>
      </c>
      <c r="EA5" s="43"/>
      <c r="EB5" s="7">
        <f>((AVERAGE(H5,EA5)*('Summary Page'!$C$2+1))*('Summary Page'!$C$2+1))*('Summary Page'!$C$2+1)</f>
        <v>40.58329599999999</v>
      </c>
      <c r="EC5" s="7">
        <f>((AVERAGE(H5,EA5)*('Summary Page'!$C$3+1))*('Summary Page'!$C$3+1))*('Summary Page'!$C$3+1)</f>
        <v>50.78125</v>
      </c>
      <c r="ED5" s="8">
        <f>((AVERAGE(H5,EA5)*('Summary Page'!$C$4+1))*('Summary Page'!$C$4+1))*('Summary Page'!$C$4+1)</f>
        <v>44.927999999999997</v>
      </c>
      <c r="EG5" s="43"/>
      <c r="EH5" s="7">
        <f>((AVERAGE(I5,EG5)*('Summary Page'!$C$2+1))*('Summary Page'!$C$2+1))*('Summary Page'!$C$2+1)</f>
        <v>71.801215999999997</v>
      </c>
      <c r="EI5" s="7">
        <f>((AVERAGE(I5,EG5)*('Summary Page'!$C$3+1))*('Summary Page'!$C$3+1))*('Summary Page'!$C$3+1)</f>
        <v>89.84375</v>
      </c>
      <c r="EJ5" s="8">
        <f>((AVERAGE(I5,EG5)*('Summary Page'!$C$4+1))*('Summary Page'!$C$4+1))*('Summary Page'!$C$4+1)</f>
        <v>79.487999999999985</v>
      </c>
      <c r="EM5" s="43"/>
      <c r="EN5" s="7" t="e">
        <f>((AVERAGE(AD5,EM5)*('Summary Page'!$C$2+1))*('Summary Page'!$C$2+1))*('Summary Page'!$C$2+1)</f>
        <v>#DIV/0!</v>
      </c>
      <c r="EO5" s="7" t="e">
        <f>((AVERAGE(AD5,EM5)*('Summary Page'!$C$3+1))*('Summary Page'!$C$3+1))*('Summary Page'!$C$3+1)</f>
        <v>#DIV/0!</v>
      </c>
      <c r="EP5" s="7" t="e">
        <f>((AVERAGE(AD5,EM5)*('Summary Page'!$C$4+1))*('Summary Page'!$C$4+1))*('Summary Page'!$C$4+1)</f>
        <v>#DIV/0!</v>
      </c>
      <c r="EQ5" s="7">
        <v>100</v>
      </c>
      <c r="ER5" s="9"/>
    </row>
    <row r="6" spans="1:165" ht="15.75" x14ac:dyDescent="0.25">
      <c r="A6" s="1">
        <v>43381</v>
      </c>
      <c r="B6" s="43">
        <v>79</v>
      </c>
      <c r="C6" s="67">
        <v>44</v>
      </c>
      <c r="D6" s="67">
        <v>33</v>
      </c>
      <c r="E6" s="7">
        <f t="shared" si="1"/>
        <v>61.5</v>
      </c>
      <c r="F6" s="67">
        <v>2</v>
      </c>
      <c r="G6" s="67">
        <v>39</v>
      </c>
      <c r="H6" s="67">
        <v>21</v>
      </c>
      <c r="I6" s="67">
        <v>45</v>
      </c>
      <c r="J6" s="67"/>
      <c r="K6" s="5">
        <f t="shared" si="2"/>
        <v>29.75</v>
      </c>
      <c r="L6" s="218"/>
      <c r="M6" s="43"/>
      <c r="N6" s="43"/>
      <c r="O6" s="43"/>
      <c r="P6" s="43"/>
      <c r="Q6" s="43"/>
      <c r="R6" s="43"/>
      <c r="S6" s="43"/>
      <c r="T6" s="43"/>
      <c r="U6" s="219"/>
      <c r="V6" s="13"/>
      <c r="W6" s="13"/>
      <c r="X6" s="13"/>
      <c r="Y6" s="13"/>
      <c r="Z6" s="13"/>
      <c r="AA6" s="13"/>
      <c r="AB6" s="13"/>
      <c r="AC6" s="1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13"/>
      <c r="AO6" s="7">
        <f>((AVERAGE(K6,AN6)*('Summary Page'!$C$2+1))*('Summary Page'!$C$2+1))*('Summary Page'!$C$2+1)</f>
        <v>46.436655999999992</v>
      </c>
      <c r="AP6" s="7">
        <f>((AVERAGE(K6,AN6)*('Summary Page'!$C$3+1))*('Summary Page'!$C$3+1))*('Summary Page'!$C$3+1)</f>
        <v>58.10546875</v>
      </c>
      <c r="AQ6" s="7">
        <f>((AVERAGE(K6,AN6)*('Summary Page'!$C$4+1))*('Summary Page'!$C$4+1))*('Summary Page'!$C$4+1)</f>
        <v>51.407999999999994</v>
      </c>
      <c r="AR6" s="7">
        <v>80</v>
      </c>
      <c r="AS6" s="5">
        <f t="shared" si="3"/>
        <v>42.666666666666664</v>
      </c>
      <c r="AT6" s="13"/>
      <c r="AU6" s="13"/>
      <c r="AV6" s="7">
        <f>((AVERAGE(AS6,AU6)*('Summary Page'!$C$2+1))*('Summary Page'!$C$2+1))*('Summary Page'!$C$2+1)</f>
        <v>66.598229333333308</v>
      </c>
      <c r="AW6" s="7">
        <f>((AVERAGE(AS6,AU6)*('Summary Page'!$C$3+1))*('Summary Page'!$C$3+1))*('Summary Page'!$C$3+1)</f>
        <v>83.333333333333314</v>
      </c>
      <c r="AX6" s="8">
        <f>((AVERAGE(AS6,AU6)*('Summary Page'!$C$4+1))*('Summary Page'!$C$4+1))*('Summary Page'!$C$4+1)</f>
        <v>73.72799999999998</v>
      </c>
      <c r="BA6" s="43"/>
      <c r="BB6" s="7">
        <f>((AVERAGE(B6,BA6)*('Summary Page'!$C$2+1))*('Summary Page'!$C$2+1))*('Summary Page'!$C$2+1)</f>
        <v>123.31078399999998</v>
      </c>
      <c r="BC6" s="7">
        <f>((AVERAGE(B6,BA6)*('Summary Page'!$C$3+1))*('Summary Page'!$C$3+1))*('Summary Page'!$C$3+1)</f>
        <v>154.296875</v>
      </c>
      <c r="BD6" s="7">
        <f>((AVERAGE(B6,BA6)*('Summary Page'!$C$4+1))*('Summary Page'!$C$4+1))*('Summary Page'!$C$4+1)</f>
        <v>136.51199999999997</v>
      </c>
      <c r="BE6" s="67">
        <v>37</v>
      </c>
      <c r="BF6" s="81"/>
      <c r="BG6" s="43"/>
      <c r="BH6" s="7">
        <f>((AVERAGE(BE6,BG6)*('Summary Page'!$C$2+1))*('Summary Page'!$C$2+1))*('Summary Page'!$C$2+1)</f>
        <v>57.753151999999986</v>
      </c>
      <c r="BI6" s="7">
        <f>((AVERAGE(BE6,BG6)*('Summary Page'!$C$3+1))*('Summary Page'!$C$3+1))*('Summary Page'!$C$3+1)</f>
        <v>72.265625</v>
      </c>
      <c r="BJ6" s="7">
        <f>((AVERAGE(BE6,BG6)*('Summary Page'!$C$4+1))*('Summary Page'!$C$4+1))*('Summary Page'!$C$4+1)</f>
        <v>63.935999999999993</v>
      </c>
      <c r="BK6" s="67">
        <v>32</v>
      </c>
      <c r="BL6" s="43"/>
      <c r="BM6" s="43"/>
      <c r="BN6" s="7">
        <f>((AVERAGE(BK6,BM6)*('Summary Page'!$C$2+1))*('Summary Page'!$C$2+1))*('Summary Page'!$C$2+1)</f>
        <v>49.948671999999995</v>
      </c>
      <c r="BO6" s="7">
        <f>((AVERAGE(BK6,BM6)*('Summary Page'!$C$3+1))*('Summary Page'!$C$3+1))*('Summary Page'!$C$3+1)</f>
        <v>62.5</v>
      </c>
      <c r="BP6" s="7">
        <f>((AVERAGE(BK6,BM6)*('Summary Page'!$C$4+1))*('Summary Page'!$C$4+1))*('Summary Page'!$C$4+1)</f>
        <v>55.295999999999999</v>
      </c>
      <c r="BQ6" s="67">
        <v>32</v>
      </c>
      <c r="BR6" s="43"/>
      <c r="BS6" s="43"/>
      <c r="BT6" s="7">
        <f>((AVERAGE(BQ6,BS6)*('Summary Page'!$C$2+1))*('Summary Page'!$C$2+1))*('Summary Page'!$C$2+1)</f>
        <v>49.948671999999995</v>
      </c>
      <c r="BU6" s="7">
        <f>((AVERAGE(BQ6,BS6)*('Summary Page'!$C$3+1))*('Summary Page'!$C$3+1))*('Summary Page'!$C$3+1)</f>
        <v>62.5</v>
      </c>
      <c r="BV6" s="8">
        <f>((AVERAGE(BQ6,BS6)*('Summary Page'!$C$4+1))*('Summary Page'!$C$4+1))*('Summary Page'!$C$4+1)</f>
        <v>55.295999999999999</v>
      </c>
      <c r="BW6" s="67">
        <v>27</v>
      </c>
      <c r="BX6" s="43"/>
      <c r="BY6" s="43"/>
      <c r="BZ6" s="7">
        <f>((AVERAGE(BW6,BY6)*('Summary Page'!$C$2+1))*('Summary Page'!$C$2+1))*('Summary Page'!$C$2+1)</f>
        <v>42.14419199999999</v>
      </c>
      <c r="CA6" s="7">
        <f>((AVERAGE(BW6,BY6)*('Summary Page'!$C$3+1))*('Summary Page'!$C$3+1))*('Summary Page'!$C$3+1)</f>
        <v>52.734375</v>
      </c>
      <c r="CB6" s="8">
        <f>((AVERAGE(BW6,BY6)*('Summary Page'!$C$4+1))*('Summary Page'!$C$4+1))*('Summary Page'!$C$4+1)</f>
        <v>46.655999999999992</v>
      </c>
      <c r="CC6" s="67">
        <v>29</v>
      </c>
      <c r="CD6" s="43"/>
      <c r="CE6" s="43"/>
      <c r="CF6" s="7">
        <f>((AVERAGE(CC6,CE6)*('Summary Page'!$C$2+1))*('Summary Page'!$C$2+1))*('Summary Page'!$C$2+1)</f>
        <v>45.265983999999996</v>
      </c>
      <c r="CG6" s="7">
        <f>((AVERAGE(CC6,CE6)*('Summary Page'!$C$3+1))*('Summary Page'!$C$3+1))*('Summary Page'!$C$3+1)</f>
        <v>56.640625</v>
      </c>
      <c r="CH6" s="8">
        <f>((AVERAGE(CC6,CE6)*('Summary Page'!$C$4+1))*('Summary Page'!$C$4+1))*('Summary Page'!$C$4+1)</f>
        <v>50.111999999999995</v>
      </c>
      <c r="CI6" s="67">
        <v>22</v>
      </c>
      <c r="CJ6" s="43"/>
      <c r="CK6" s="43"/>
      <c r="CL6" s="7">
        <f>((AVERAGE(CI6,CK6)*('Summary Page'!$C$2+1))*('Summary Page'!$C$2+1))*('Summary Page'!$C$2+1)</f>
        <v>34.339711999999992</v>
      </c>
      <c r="CM6" s="7">
        <f>((AVERAGE(CI6,CK6)*('Summary Page'!$C$3+1))*('Summary Page'!$C$3+1))*('Summary Page'!$C$3+1)</f>
        <v>42.96875</v>
      </c>
      <c r="CN6" s="8">
        <f>((AVERAGE(CI6,CK6)*('Summary Page'!$C$4+1))*('Summary Page'!$C$4+1))*('Summary Page'!$C$4+1)</f>
        <v>38.015999999999991</v>
      </c>
      <c r="CQ6" s="43"/>
      <c r="CR6" s="7">
        <f>((AVERAGE(C6,CQ6)*('Summary Page'!$C$2+1))*('Summary Page'!$C$2+1))*('Summary Page'!$C$2+1)</f>
        <v>68.679423999999983</v>
      </c>
      <c r="CS6" s="7">
        <f>((AVERAGE(C6,CQ6)*('Summary Page'!$C$3+1))*('Summary Page'!$C$3+1))*('Summary Page'!$C$3+1)</f>
        <v>85.9375</v>
      </c>
      <c r="CT6" s="8">
        <f>((AVERAGE(C6,CQ6)*('Summary Page'!$C$4+1))*('Summary Page'!$C$4+1))*('Summary Page'!$C$4+1)</f>
        <v>76.031999999999982</v>
      </c>
      <c r="CW6" s="43"/>
      <c r="CX6" s="7">
        <f>((AVERAGE(D6,CW6)*('Summary Page'!$C$2+1))*('Summary Page'!$C$2+1))*('Summary Page'!$C$2+1)</f>
        <v>51.50956799999998</v>
      </c>
      <c r="CY6" s="7">
        <f>((AVERAGE(D6,CW6)*('Summary Page'!$C$3+1))*('Summary Page'!$C$3+1))*('Summary Page'!$C$3+1)</f>
        <v>64.453125</v>
      </c>
      <c r="CZ6" s="8">
        <f>((AVERAGE(D6,CW6)*('Summary Page'!$C$4+1))*('Summary Page'!$C$4+1))*('Summary Page'!$C$4+1)</f>
        <v>57.024000000000001</v>
      </c>
      <c r="DA6" s="67">
        <v>29</v>
      </c>
      <c r="DB6" s="43"/>
      <c r="DC6" s="43"/>
      <c r="DD6" s="7">
        <f>((AVERAGE(DA6,DC6)*('Summary Page'!$C$2+1))*('Summary Page'!$C$2+1))*('Summary Page'!$C$2+1)</f>
        <v>45.265983999999996</v>
      </c>
      <c r="DE6" s="7">
        <f>((AVERAGE(DA6,DC6)*('Summary Page'!$C$3+1))*('Summary Page'!$C$3+1))*('Summary Page'!$C$3+1)</f>
        <v>56.640625</v>
      </c>
      <c r="DF6" s="8">
        <f>((AVERAGE(DA6,DC6)*('Summary Page'!$C$4+1))*('Summary Page'!$C$4+1))*('Summary Page'!$C$4+1)</f>
        <v>50.111999999999995</v>
      </c>
      <c r="DG6" s="67">
        <v>30</v>
      </c>
      <c r="DH6" s="43"/>
      <c r="DI6" s="43"/>
      <c r="DJ6" s="7">
        <f>((AVERAGE(DG6,DI6)*('Summary Page'!$C$2+1))*('Summary Page'!$C$2+1))*('Summary Page'!$C$2+1)</f>
        <v>46.826879999999989</v>
      </c>
      <c r="DK6" s="7">
        <f>((AVERAGE(DG6,DI6)*('Summary Page'!$C$3+1))*('Summary Page'!$C$3+1))*('Summary Page'!$C$3+1)</f>
        <v>58.59375</v>
      </c>
      <c r="DL6" s="8">
        <f>((AVERAGE(DG6,DI6)*('Summary Page'!$C$4+1))*('Summary Page'!$C$4+1))*('Summary Page'!$C$4+1)</f>
        <v>51.839999999999996</v>
      </c>
      <c r="DO6" s="43"/>
      <c r="DP6" s="7">
        <f>((AVERAGE(F6,DO6)*('Summary Page'!$C$2+1))*('Summary Page'!$C$2+1))*('Summary Page'!$C$2+1)</f>
        <v>3.1217919999999997</v>
      </c>
      <c r="DQ6" s="7">
        <f>((AVERAGE(F6,DO6)*('Summary Page'!$C$3+1))*('Summary Page'!$C$3+1))*('Summary Page'!$C$3+1)</f>
        <v>3.90625</v>
      </c>
      <c r="DR6" s="8">
        <f>((AVERAGE(F6,DO6)*('Summary Page'!$C$4+1))*('Summary Page'!$C$4+1))*('Summary Page'!$C$4+1)</f>
        <v>3.456</v>
      </c>
      <c r="DU6" s="43"/>
      <c r="DV6" s="7">
        <f>((AVERAGE(G6,DU6)*('Summary Page'!$C$2+1))*('Summary Page'!$C$2+1))*('Summary Page'!$C$2+1)</f>
        <v>60.874943999999985</v>
      </c>
      <c r="DW6" s="7">
        <f>((AVERAGE(G6,DU6)*('Summary Page'!$C$3+1))*('Summary Page'!$C$3+1))*('Summary Page'!$C$3+1)</f>
        <v>76.171875</v>
      </c>
      <c r="DX6" s="8">
        <f>((AVERAGE(G6,DU6)*('Summary Page'!$C$4+1))*('Summary Page'!$C$4+1))*('Summary Page'!$C$4+1)</f>
        <v>67.391999999999996</v>
      </c>
      <c r="EA6" s="43"/>
      <c r="EB6" s="7">
        <f>((AVERAGE(H6,EA6)*('Summary Page'!$C$2+1))*('Summary Page'!$C$2+1))*('Summary Page'!$C$2+1)</f>
        <v>32.778815999999992</v>
      </c>
      <c r="EC6" s="7">
        <f>((AVERAGE(H6,EA6)*('Summary Page'!$C$3+1))*('Summary Page'!$C$3+1))*('Summary Page'!$C$3+1)</f>
        <v>41.015625</v>
      </c>
      <c r="ED6" s="8">
        <f>((AVERAGE(H6,EA6)*('Summary Page'!$C$4+1))*('Summary Page'!$C$4+1))*('Summary Page'!$C$4+1)</f>
        <v>36.287999999999997</v>
      </c>
      <c r="EG6" s="43"/>
      <c r="EH6" s="7">
        <f>((AVERAGE(I6,EG6)*('Summary Page'!$C$2+1))*('Summary Page'!$C$2+1))*('Summary Page'!$C$2+1)</f>
        <v>70.240319999999983</v>
      </c>
      <c r="EI6" s="7">
        <f>((AVERAGE(I6,EG6)*('Summary Page'!$C$3+1))*('Summary Page'!$C$3+1))*('Summary Page'!$C$3+1)</f>
        <v>87.890625</v>
      </c>
      <c r="EJ6" s="8">
        <f>((AVERAGE(I6,EG6)*('Summary Page'!$C$4+1))*('Summary Page'!$C$4+1))*('Summary Page'!$C$4+1)</f>
        <v>77.759999999999991</v>
      </c>
      <c r="EM6" s="43"/>
      <c r="EN6" s="7" t="e">
        <f>((AVERAGE(AD6,EM6)*('Summary Page'!$C$2+1))*('Summary Page'!$C$2+1))*('Summary Page'!$C$2+1)</f>
        <v>#DIV/0!</v>
      </c>
      <c r="EO6" s="7" t="e">
        <f>((AVERAGE(AD6,EM6)*('Summary Page'!$C$3+1))*('Summary Page'!$C$3+1))*('Summary Page'!$C$3+1)</f>
        <v>#DIV/0!</v>
      </c>
      <c r="EP6" s="7" t="e">
        <f>((AVERAGE(AD6,EM6)*('Summary Page'!$C$4+1))*('Summary Page'!$C$4+1))*('Summary Page'!$C$4+1)</f>
        <v>#DIV/0!</v>
      </c>
      <c r="EQ6" s="7">
        <v>100</v>
      </c>
      <c r="ER6" s="9"/>
    </row>
    <row r="7" spans="1:165" ht="15.75" x14ac:dyDescent="0.25">
      <c r="A7" s="1">
        <v>43402</v>
      </c>
      <c r="B7" s="43">
        <v>87</v>
      </c>
      <c r="C7" s="67">
        <v>41</v>
      </c>
      <c r="D7" s="67">
        <v>33</v>
      </c>
      <c r="E7" s="7">
        <f t="shared" si="1"/>
        <v>64</v>
      </c>
      <c r="F7" s="67">
        <v>2</v>
      </c>
      <c r="G7" s="67">
        <v>24</v>
      </c>
      <c r="H7" s="67">
        <v>18</v>
      </c>
      <c r="I7" s="67">
        <v>47</v>
      </c>
      <c r="J7" s="67"/>
      <c r="K7" s="5">
        <f t="shared" si="2"/>
        <v>30</v>
      </c>
      <c r="L7" s="220"/>
      <c r="M7" s="6"/>
      <c r="N7" s="43"/>
      <c r="O7" s="43"/>
      <c r="P7" s="43"/>
      <c r="Q7" s="43"/>
      <c r="R7" s="43"/>
      <c r="S7" s="43"/>
      <c r="T7" s="43"/>
      <c r="U7" s="219"/>
      <c r="V7" s="13"/>
      <c r="W7" s="13"/>
      <c r="X7" s="13"/>
      <c r="Y7" s="13"/>
      <c r="Z7" s="13"/>
      <c r="AA7" s="13"/>
      <c r="AB7" s="13"/>
      <c r="AC7" s="1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13"/>
      <c r="AO7" s="7">
        <f>((AVERAGE(K7,AN7)*('Summary Page'!$C$2+1))*('Summary Page'!$C$2+1))*('Summary Page'!$C$2+1)</f>
        <v>46.826879999999989</v>
      </c>
      <c r="AP7" s="7">
        <f>((AVERAGE(K7,AN7)*('Summary Page'!$C$3+1))*('Summary Page'!$C$3+1))*('Summary Page'!$C$3+1)</f>
        <v>58.59375</v>
      </c>
      <c r="AQ7" s="7">
        <f>((AVERAGE(K7,AN7)*('Summary Page'!$C$4+1))*('Summary Page'!$C$4+1))*('Summary Page'!$C$4+1)</f>
        <v>51.839999999999996</v>
      </c>
      <c r="AR7" s="7">
        <v>80</v>
      </c>
      <c r="AS7" s="5">
        <f t="shared" si="3"/>
        <v>37.333333333333336</v>
      </c>
      <c r="AT7" s="13"/>
      <c r="AU7" s="13"/>
      <c r="AV7" s="7">
        <f>((AVERAGE(AS7,AU7)*('Summary Page'!$C$2+1))*('Summary Page'!$C$2+1))*('Summary Page'!$C$2+1)</f>
        <v>58.273450666666655</v>
      </c>
      <c r="AW7" s="7">
        <f>((AVERAGE(AS7,AU7)*('Summary Page'!$C$3+1))*('Summary Page'!$C$3+1))*('Summary Page'!$C$3+1)</f>
        <v>72.916666666666686</v>
      </c>
      <c r="AX7" s="8">
        <f>((AVERAGE(AS7,AU7)*('Summary Page'!$C$4+1))*('Summary Page'!$C$4+1))*('Summary Page'!$C$4+1)</f>
        <v>64.512</v>
      </c>
      <c r="BA7" s="6"/>
      <c r="BB7" s="7">
        <f>((AVERAGE(B7,BA7)*('Summary Page'!$C$2+1))*('Summary Page'!$C$2+1))*('Summary Page'!$C$2+1)</f>
        <v>135.79795199999995</v>
      </c>
      <c r="BC7" s="7">
        <f>((AVERAGE(B7,BA7)*('Summary Page'!$C$3+1))*('Summary Page'!$C$3+1))*('Summary Page'!$C$3+1)</f>
        <v>169.921875</v>
      </c>
      <c r="BD7" s="7">
        <f>((AVERAGE(B7,BA7)*('Summary Page'!$C$4+1))*('Summary Page'!$C$4+1))*('Summary Page'!$C$4+1)</f>
        <v>150.33599999999998</v>
      </c>
      <c r="BE7" s="67">
        <v>32</v>
      </c>
      <c r="BF7" s="40"/>
      <c r="BG7" s="6"/>
      <c r="BH7" s="7">
        <f>((AVERAGE(BE7,BG7)*('Summary Page'!$C$2+1))*('Summary Page'!$C$2+1))*('Summary Page'!$C$2+1)</f>
        <v>49.948671999999995</v>
      </c>
      <c r="BI7" s="7">
        <f>((AVERAGE(BE7,BG7)*('Summary Page'!$C$3+1))*('Summary Page'!$C$3+1))*('Summary Page'!$C$3+1)</f>
        <v>62.5</v>
      </c>
      <c r="BJ7" s="7">
        <f>((AVERAGE(BE7,BG7)*('Summary Page'!$C$4+1))*('Summary Page'!$C$4+1))*('Summary Page'!$C$4+1)</f>
        <v>55.295999999999999</v>
      </c>
      <c r="BK7" s="67">
        <v>27</v>
      </c>
      <c r="BL7" s="6"/>
      <c r="BM7" s="6"/>
      <c r="BN7" s="7">
        <f>((AVERAGE(BK7,BM7)*('Summary Page'!$C$2+1))*('Summary Page'!$C$2+1))*('Summary Page'!$C$2+1)</f>
        <v>42.14419199999999</v>
      </c>
      <c r="BO7" s="7">
        <f>((AVERAGE(BK7,BM7)*('Summary Page'!$C$3+1))*('Summary Page'!$C$3+1))*('Summary Page'!$C$3+1)</f>
        <v>52.734375</v>
      </c>
      <c r="BP7" s="7">
        <f>((AVERAGE(BK7,BM7)*('Summary Page'!$C$4+1))*('Summary Page'!$C$4+1))*('Summary Page'!$C$4+1)</f>
        <v>46.655999999999992</v>
      </c>
      <c r="BQ7" s="67">
        <v>48</v>
      </c>
      <c r="BR7" s="6"/>
      <c r="BS7" s="6"/>
      <c r="BT7" s="7">
        <f>((AVERAGE(BQ7,BS7)*('Summary Page'!$C$2+1))*('Summary Page'!$C$2+1))*('Summary Page'!$C$2+1)</f>
        <v>74.923007999999982</v>
      </c>
      <c r="BU7" s="7">
        <f>((AVERAGE(BQ7,BS7)*('Summary Page'!$C$3+1))*('Summary Page'!$C$3+1))*('Summary Page'!$C$3+1)</f>
        <v>93.75</v>
      </c>
      <c r="BV7" s="8">
        <f>((AVERAGE(BQ7,BS7)*('Summary Page'!$C$4+1))*('Summary Page'!$C$4+1))*('Summary Page'!$C$4+1)</f>
        <v>82.943999999999988</v>
      </c>
      <c r="BW7" s="67">
        <v>36</v>
      </c>
      <c r="BX7" s="6"/>
      <c r="BY7" s="6"/>
      <c r="BZ7" s="7">
        <f>((AVERAGE(BW7,BY7)*('Summary Page'!$C$2+1))*('Summary Page'!$C$2+1))*('Summary Page'!$C$2+1)</f>
        <v>56.192255999999986</v>
      </c>
      <c r="CA7" s="7">
        <f>((AVERAGE(BW7,BY7)*('Summary Page'!$C$3+1))*('Summary Page'!$C$3+1))*('Summary Page'!$C$3+1)</f>
        <v>70.3125</v>
      </c>
      <c r="CB7" s="8">
        <f>((AVERAGE(BW7,BY7)*('Summary Page'!$C$4+1))*('Summary Page'!$C$4+1))*('Summary Page'!$C$4+1)</f>
        <v>62.207999999999991</v>
      </c>
      <c r="CC7" s="67">
        <v>26</v>
      </c>
      <c r="CD7" s="6"/>
      <c r="CE7" s="6"/>
      <c r="CF7" s="7">
        <f>((AVERAGE(CC7,CE7)*('Summary Page'!$C$2+1))*('Summary Page'!$C$2+1))*('Summary Page'!$C$2+1)</f>
        <v>40.58329599999999</v>
      </c>
      <c r="CG7" s="7">
        <f>((AVERAGE(CC7,CE7)*('Summary Page'!$C$3+1))*('Summary Page'!$C$3+1))*('Summary Page'!$C$3+1)</f>
        <v>50.78125</v>
      </c>
      <c r="CH7" s="8">
        <f>((AVERAGE(CC7,CE7)*('Summary Page'!$C$4+1))*('Summary Page'!$C$4+1))*('Summary Page'!$C$4+1)</f>
        <v>44.927999999999997</v>
      </c>
      <c r="CI7" s="67">
        <v>19</v>
      </c>
      <c r="CJ7" s="6"/>
      <c r="CK7" s="6"/>
      <c r="CL7" s="7">
        <f>((AVERAGE(CI7,CK7)*('Summary Page'!$C$2+1))*('Summary Page'!$C$2+1))*('Summary Page'!$C$2+1)</f>
        <v>29.657023999999996</v>
      </c>
      <c r="CM7" s="7">
        <f>((AVERAGE(CI7,CK7)*('Summary Page'!$C$3+1))*('Summary Page'!$C$3+1))*('Summary Page'!$C$3+1)</f>
        <v>37.109375</v>
      </c>
      <c r="CN7" s="8">
        <f>((AVERAGE(CI7,CK7)*('Summary Page'!$C$4+1))*('Summary Page'!$C$4+1))*('Summary Page'!$C$4+1)</f>
        <v>32.832000000000001</v>
      </c>
      <c r="CQ7" s="6"/>
      <c r="CR7" s="7">
        <f>((AVERAGE(C7,CQ7)*('Summary Page'!$C$2+1))*('Summary Page'!$C$2+1))*('Summary Page'!$C$2+1)</f>
        <v>63.996735999999984</v>
      </c>
      <c r="CS7" s="7">
        <f>((AVERAGE(C7,CQ7)*('Summary Page'!$C$3+1))*('Summary Page'!$C$3+1))*('Summary Page'!$C$3+1)</f>
        <v>80.078125</v>
      </c>
      <c r="CT7" s="8">
        <f>((AVERAGE(C7,CQ7)*('Summary Page'!$C$4+1))*('Summary Page'!$C$4+1))*('Summary Page'!$C$4+1)</f>
        <v>70.847999999999985</v>
      </c>
      <c r="CW7" s="43"/>
      <c r="CX7" s="7">
        <f>((AVERAGE(D7,CW7)*('Summary Page'!$C$2+1))*('Summary Page'!$C$2+1))*('Summary Page'!$C$2+1)</f>
        <v>51.50956799999998</v>
      </c>
      <c r="CY7" s="7">
        <f>((AVERAGE(D7,CW7)*('Summary Page'!$C$3+1))*('Summary Page'!$C$3+1))*('Summary Page'!$C$3+1)</f>
        <v>64.453125</v>
      </c>
      <c r="CZ7" s="8">
        <f>((AVERAGE(D7,CW7)*('Summary Page'!$C$4+1))*('Summary Page'!$C$4+1))*('Summary Page'!$C$4+1)</f>
        <v>57.024000000000001</v>
      </c>
      <c r="DA7" s="67">
        <v>25</v>
      </c>
      <c r="DB7" s="43"/>
      <c r="DC7" s="43"/>
      <c r="DD7" s="7">
        <f>((AVERAGE(DA7,DC7)*('Summary Page'!$C$2+1))*('Summary Page'!$C$2+1))*('Summary Page'!$C$2+1)</f>
        <v>39.02239999999999</v>
      </c>
      <c r="DE7" s="7">
        <f>((AVERAGE(DA7,DC7)*('Summary Page'!$C$3+1))*('Summary Page'!$C$3+1))*('Summary Page'!$C$3+1)</f>
        <v>48.828125</v>
      </c>
      <c r="DF7" s="8">
        <f>((AVERAGE(DA7,DC7)*('Summary Page'!$C$4+1))*('Summary Page'!$C$4+1))*('Summary Page'!$C$4+1)</f>
        <v>43.199999999999996</v>
      </c>
      <c r="DG7" s="67">
        <v>27</v>
      </c>
      <c r="DH7" s="43"/>
      <c r="DI7" s="43"/>
      <c r="DJ7" s="7">
        <f>((AVERAGE(DG7,DI7)*('Summary Page'!$C$2+1))*('Summary Page'!$C$2+1))*('Summary Page'!$C$2+1)</f>
        <v>42.14419199999999</v>
      </c>
      <c r="DK7" s="7">
        <f>((AVERAGE(DG7,DI7)*('Summary Page'!$C$3+1))*('Summary Page'!$C$3+1))*('Summary Page'!$C$3+1)</f>
        <v>52.734375</v>
      </c>
      <c r="DL7" s="8">
        <f>((AVERAGE(DG7,DI7)*('Summary Page'!$C$4+1))*('Summary Page'!$C$4+1))*('Summary Page'!$C$4+1)</f>
        <v>46.655999999999992</v>
      </c>
      <c r="DO7" s="43"/>
      <c r="DP7" s="7">
        <f>((AVERAGE(F7,DO7)*('Summary Page'!$C$2+1))*('Summary Page'!$C$2+1))*('Summary Page'!$C$2+1)</f>
        <v>3.1217919999999997</v>
      </c>
      <c r="DQ7" s="7">
        <f>((AVERAGE(F7,DO7)*('Summary Page'!$C$3+1))*('Summary Page'!$C$3+1))*('Summary Page'!$C$3+1)</f>
        <v>3.90625</v>
      </c>
      <c r="DR7" s="8">
        <f>((AVERAGE(F7,DO7)*('Summary Page'!$C$4+1))*('Summary Page'!$C$4+1))*('Summary Page'!$C$4+1)</f>
        <v>3.456</v>
      </c>
      <c r="DU7" s="43"/>
      <c r="DV7" s="7">
        <f>((AVERAGE(G7,DU7)*('Summary Page'!$C$2+1))*('Summary Page'!$C$2+1))*('Summary Page'!$C$2+1)</f>
        <v>37.461503999999991</v>
      </c>
      <c r="DW7" s="7">
        <f>((AVERAGE(G7,DU7)*('Summary Page'!$C$3+1))*('Summary Page'!$C$3+1))*('Summary Page'!$C$3+1)</f>
        <v>46.875</v>
      </c>
      <c r="DX7" s="8">
        <f>((AVERAGE(G7,DU7)*('Summary Page'!$C$4+1))*('Summary Page'!$C$4+1))*('Summary Page'!$C$4+1)</f>
        <v>41.471999999999994</v>
      </c>
      <c r="EA7" s="43"/>
      <c r="EB7" s="7">
        <f>((AVERAGE(H7,EA7)*('Summary Page'!$C$2+1))*('Summary Page'!$C$2+1))*('Summary Page'!$C$2+1)</f>
        <v>28.096127999999993</v>
      </c>
      <c r="EC7" s="7">
        <f>((AVERAGE(H7,EA7)*('Summary Page'!$C$3+1))*('Summary Page'!$C$3+1))*('Summary Page'!$C$3+1)</f>
        <v>35.15625</v>
      </c>
      <c r="ED7" s="8">
        <f>((AVERAGE(H7,EA7)*('Summary Page'!$C$4+1))*('Summary Page'!$C$4+1))*('Summary Page'!$C$4+1)</f>
        <v>31.103999999999996</v>
      </c>
      <c r="EG7" s="43"/>
      <c r="EH7" s="7">
        <f>((AVERAGE(I7,EG7)*('Summary Page'!$C$2+1))*('Summary Page'!$C$2+1))*('Summary Page'!$C$2+1)</f>
        <v>73.362111999999982</v>
      </c>
      <c r="EI7" s="7">
        <f>((AVERAGE(I7,EG7)*('Summary Page'!$C$3+1))*('Summary Page'!$C$3+1))*('Summary Page'!$C$3+1)</f>
        <v>91.796875</v>
      </c>
      <c r="EJ7" s="8">
        <f>((AVERAGE(I7,EG7)*('Summary Page'!$C$4+1))*('Summary Page'!$C$4+1))*('Summary Page'!$C$4+1)</f>
        <v>81.215999999999994</v>
      </c>
      <c r="EM7" s="43"/>
      <c r="EN7" s="7" t="e">
        <f>((AVERAGE(AD7,EM7)*('Summary Page'!$C$2+1))*('Summary Page'!$C$2+1))*('Summary Page'!$C$2+1)</f>
        <v>#DIV/0!</v>
      </c>
      <c r="EO7" s="7" t="e">
        <f>((AVERAGE(AD7,EM7)*('Summary Page'!$C$3+1))*('Summary Page'!$C$3+1))*('Summary Page'!$C$3+1)</f>
        <v>#DIV/0!</v>
      </c>
      <c r="EP7" s="7" t="e">
        <f>((AVERAGE(AD7,EM7)*('Summary Page'!$C$4+1))*('Summary Page'!$C$4+1))*('Summary Page'!$C$4+1)</f>
        <v>#DIV/0!</v>
      </c>
      <c r="EQ7" s="7">
        <v>100</v>
      </c>
      <c r="ER7" s="9"/>
    </row>
    <row r="8" spans="1:165" ht="15.75" x14ac:dyDescent="0.25">
      <c r="A8" s="1">
        <v>43409</v>
      </c>
      <c r="B8" s="43">
        <v>92</v>
      </c>
      <c r="C8" s="67">
        <v>42</v>
      </c>
      <c r="D8" s="67">
        <v>35</v>
      </c>
      <c r="E8" s="7">
        <f t="shared" si="1"/>
        <v>67</v>
      </c>
      <c r="F8" s="67">
        <v>1</v>
      </c>
      <c r="G8" s="67">
        <v>20</v>
      </c>
      <c r="H8" s="67">
        <v>16</v>
      </c>
      <c r="I8" s="67">
        <v>49</v>
      </c>
      <c r="J8" s="67"/>
      <c r="K8" s="5">
        <f t="shared" si="2"/>
        <v>33.125</v>
      </c>
      <c r="L8" s="218"/>
      <c r="M8" s="43"/>
      <c r="N8" s="43"/>
      <c r="O8" s="43"/>
      <c r="P8" s="43"/>
      <c r="Q8" s="43"/>
      <c r="R8" s="43"/>
      <c r="S8" s="43"/>
      <c r="T8" s="43"/>
      <c r="U8" s="219"/>
      <c r="V8" s="13"/>
      <c r="W8" s="13"/>
      <c r="X8" s="13"/>
      <c r="Y8" s="13"/>
      <c r="Z8" s="13"/>
      <c r="AA8" s="13"/>
      <c r="AB8" s="13"/>
      <c r="AC8" s="1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13"/>
      <c r="AO8" s="7">
        <f>((AVERAGE(K8,AN8)*('Summary Page'!$C$2+1))*('Summary Page'!$C$2+1))*('Summary Page'!$C$2+1)</f>
        <v>51.704679999999989</v>
      </c>
      <c r="AP8" s="7">
        <f>((AVERAGE(K8,AN8)*('Summary Page'!$C$3+1))*('Summary Page'!$C$3+1))*('Summary Page'!$C$3+1)</f>
        <v>64.697265625</v>
      </c>
      <c r="AQ8" s="7">
        <f>((AVERAGE(K8,AN8)*('Summary Page'!$C$4+1))*('Summary Page'!$C$4+1))*('Summary Page'!$C$4+1)</f>
        <v>57.239999999999995</v>
      </c>
      <c r="AR8" s="7">
        <v>80</v>
      </c>
      <c r="AS8" s="5">
        <f t="shared" si="3"/>
        <v>37</v>
      </c>
      <c r="AT8" s="13"/>
      <c r="AU8" s="13"/>
      <c r="AV8" s="7">
        <f>((AVERAGE(AS8,AU8)*('Summary Page'!$C$2+1))*('Summary Page'!$C$2+1))*('Summary Page'!$C$2+1)</f>
        <v>57.753151999999986</v>
      </c>
      <c r="AW8" s="7">
        <f>((AVERAGE(AS8,AU8)*('Summary Page'!$C$3+1))*('Summary Page'!$C$3+1))*('Summary Page'!$C$3+1)</f>
        <v>72.265625</v>
      </c>
      <c r="AX8" s="8">
        <f>((AVERAGE(AS8,AU8)*('Summary Page'!$C$4+1))*('Summary Page'!$C$4+1))*('Summary Page'!$C$4+1)</f>
        <v>63.935999999999993</v>
      </c>
      <c r="BA8" s="43"/>
      <c r="BB8" s="7">
        <f>((AVERAGE(B8,BA8)*('Summary Page'!$C$2+1))*('Summary Page'!$C$2+1))*('Summary Page'!$C$2+1)</f>
        <v>143.60243199999999</v>
      </c>
      <c r="BC8" s="7">
        <f>((AVERAGE(B8,BA8)*('Summary Page'!$C$3+1))*('Summary Page'!$C$3+1))*('Summary Page'!$C$3+1)</f>
        <v>179.6875</v>
      </c>
      <c r="BD8" s="7">
        <f>((AVERAGE(B8,BA8)*('Summary Page'!$C$4+1))*('Summary Page'!$C$4+1))*('Summary Page'!$C$4+1)</f>
        <v>158.97599999999997</v>
      </c>
      <c r="BE8" s="67">
        <v>36</v>
      </c>
      <c r="BF8" s="81"/>
      <c r="BG8" s="43"/>
      <c r="BH8" s="7">
        <f>((AVERAGE(BE8,BG8)*('Summary Page'!$C$2+1))*('Summary Page'!$C$2+1))*('Summary Page'!$C$2+1)</f>
        <v>56.192255999999986</v>
      </c>
      <c r="BI8" s="7">
        <f>((AVERAGE(BE8,BG8)*('Summary Page'!$C$3+1))*('Summary Page'!$C$3+1))*('Summary Page'!$C$3+1)</f>
        <v>70.3125</v>
      </c>
      <c r="BJ8" s="7">
        <f>((AVERAGE(BE8,BG8)*('Summary Page'!$C$4+1))*('Summary Page'!$C$4+1))*('Summary Page'!$C$4+1)</f>
        <v>62.207999999999991</v>
      </c>
      <c r="BK8" s="67">
        <v>31</v>
      </c>
      <c r="BL8" s="43"/>
      <c r="BM8" s="43"/>
      <c r="BN8" s="7">
        <f>((AVERAGE(BK8,BM8)*('Summary Page'!$C$2+1))*('Summary Page'!$C$2+1))*('Summary Page'!$C$2+1)</f>
        <v>48.387775999999995</v>
      </c>
      <c r="BO8" s="7">
        <f>((AVERAGE(BK8,BM8)*('Summary Page'!$C$3+1))*('Summary Page'!$C$3+1))*('Summary Page'!$C$3+1)</f>
        <v>60.546875</v>
      </c>
      <c r="BP8" s="7">
        <f>((AVERAGE(BK8,BM8)*('Summary Page'!$C$4+1))*('Summary Page'!$C$4+1))*('Summary Page'!$C$4+1)</f>
        <v>53.567999999999991</v>
      </c>
      <c r="BQ8" s="67">
        <v>55</v>
      </c>
      <c r="BR8" s="43"/>
      <c r="BS8" s="43"/>
      <c r="BT8" s="7">
        <f>((AVERAGE(BQ8,BS8)*('Summary Page'!$C$2+1))*('Summary Page'!$C$2+1))*('Summary Page'!$C$2+1)</f>
        <v>85.849279999999993</v>
      </c>
      <c r="BU8" s="7">
        <f>((AVERAGE(BQ8,BS8)*('Summary Page'!$C$3+1))*('Summary Page'!$C$3+1))*('Summary Page'!$C$3+1)</f>
        <v>107.421875</v>
      </c>
      <c r="BV8" s="8">
        <f>((AVERAGE(BQ8,BS8)*('Summary Page'!$C$4+1))*('Summary Page'!$C$4+1))*('Summary Page'!$C$4+1)</f>
        <v>95.04</v>
      </c>
      <c r="BW8" s="67">
        <v>42</v>
      </c>
      <c r="BX8" s="43"/>
      <c r="BY8" s="43"/>
      <c r="BZ8" s="7">
        <f>((AVERAGE(BW8,BY8)*('Summary Page'!$C$2+1))*('Summary Page'!$C$2+1))*('Summary Page'!$C$2+1)</f>
        <v>65.557631999999984</v>
      </c>
      <c r="CA8" s="7">
        <f>((AVERAGE(BW8,BY8)*('Summary Page'!$C$3+1))*('Summary Page'!$C$3+1))*('Summary Page'!$C$3+1)</f>
        <v>82.03125</v>
      </c>
      <c r="CB8" s="8">
        <f>((AVERAGE(BW8,BY8)*('Summary Page'!$C$4+1))*('Summary Page'!$C$4+1))*('Summary Page'!$C$4+1)</f>
        <v>72.575999999999993</v>
      </c>
      <c r="CC8" s="67">
        <v>28</v>
      </c>
      <c r="CD8" s="43"/>
      <c r="CE8" s="43"/>
      <c r="CF8" s="7">
        <f>((AVERAGE(CC8,CE8)*('Summary Page'!$C$2+1))*('Summary Page'!$C$2+1))*('Summary Page'!$C$2+1)</f>
        <v>43.705087999999989</v>
      </c>
      <c r="CG8" s="7">
        <f>((AVERAGE(CC8,CE8)*('Summary Page'!$C$3+1))*('Summary Page'!$C$3+1))*('Summary Page'!$C$3+1)</f>
        <v>54.6875</v>
      </c>
      <c r="CH8" s="8">
        <f>((AVERAGE(CC8,CE8)*('Summary Page'!$C$4+1))*('Summary Page'!$C$4+1))*('Summary Page'!$C$4+1)</f>
        <v>48.384</v>
      </c>
      <c r="CI8" s="67">
        <v>20</v>
      </c>
      <c r="CJ8" s="43"/>
      <c r="CK8" s="43"/>
      <c r="CL8" s="7">
        <f>((AVERAGE(CI8,CK8)*('Summary Page'!$C$2+1))*('Summary Page'!$C$2+1))*('Summary Page'!$C$2+1)</f>
        <v>31.217919999999996</v>
      </c>
      <c r="CM8" s="7">
        <f>((AVERAGE(CI8,CK8)*('Summary Page'!$C$3+1))*('Summary Page'!$C$3+1))*('Summary Page'!$C$3+1)</f>
        <v>39.0625</v>
      </c>
      <c r="CN8" s="8">
        <f>((AVERAGE(CI8,CK8)*('Summary Page'!$C$4+1))*('Summary Page'!$C$4+1))*('Summary Page'!$C$4+1)</f>
        <v>34.559999999999995</v>
      </c>
      <c r="CQ8" s="43"/>
      <c r="CR8" s="7">
        <f>((AVERAGE(C8,CQ8)*('Summary Page'!$C$2+1))*('Summary Page'!$C$2+1))*('Summary Page'!$C$2+1)</f>
        <v>65.557631999999984</v>
      </c>
      <c r="CS8" s="7">
        <f>((AVERAGE(C8,CQ8)*('Summary Page'!$C$3+1))*('Summary Page'!$C$3+1))*('Summary Page'!$C$3+1)</f>
        <v>82.03125</v>
      </c>
      <c r="CT8" s="8">
        <f>((AVERAGE(C8,CQ8)*('Summary Page'!$C$4+1))*('Summary Page'!$C$4+1))*('Summary Page'!$C$4+1)</f>
        <v>72.575999999999993</v>
      </c>
      <c r="CW8" s="43"/>
      <c r="CX8" s="7">
        <f>((AVERAGE(D8,CW8)*('Summary Page'!$C$2+1))*('Summary Page'!$C$2+1))*('Summary Page'!$C$2+1)</f>
        <v>54.631359999999987</v>
      </c>
      <c r="CY8" s="7">
        <f>((AVERAGE(D8,CW8)*('Summary Page'!$C$3+1))*('Summary Page'!$C$3+1))*('Summary Page'!$C$3+1)</f>
        <v>68.359375</v>
      </c>
      <c r="CZ8" s="8">
        <f>((AVERAGE(D8,CW8)*('Summary Page'!$C$4+1))*('Summary Page'!$C$4+1))*('Summary Page'!$C$4+1)</f>
        <v>60.48</v>
      </c>
      <c r="DA8" s="67">
        <v>25</v>
      </c>
      <c r="DB8" s="43"/>
      <c r="DC8" s="43"/>
      <c r="DD8" s="7">
        <f>((AVERAGE(DA8,DC8)*('Summary Page'!$C$2+1))*('Summary Page'!$C$2+1))*('Summary Page'!$C$2+1)</f>
        <v>39.02239999999999</v>
      </c>
      <c r="DE8" s="7">
        <f>((AVERAGE(DA8,DC8)*('Summary Page'!$C$3+1))*('Summary Page'!$C$3+1))*('Summary Page'!$C$3+1)</f>
        <v>48.828125</v>
      </c>
      <c r="DF8" s="8">
        <f>((AVERAGE(DA8,DC8)*('Summary Page'!$C$4+1))*('Summary Page'!$C$4+1))*('Summary Page'!$C$4+1)</f>
        <v>43.199999999999996</v>
      </c>
      <c r="DG8" s="67">
        <v>28</v>
      </c>
      <c r="DH8" s="43"/>
      <c r="DI8" s="43"/>
      <c r="DJ8" s="7">
        <f>((AVERAGE(DG8,DI8)*('Summary Page'!$C$2+1))*('Summary Page'!$C$2+1))*('Summary Page'!$C$2+1)</f>
        <v>43.705087999999989</v>
      </c>
      <c r="DK8" s="7">
        <f>((AVERAGE(DG8,DI8)*('Summary Page'!$C$3+1))*('Summary Page'!$C$3+1))*('Summary Page'!$C$3+1)</f>
        <v>54.6875</v>
      </c>
      <c r="DL8" s="8">
        <f>((AVERAGE(DG8,DI8)*('Summary Page'!$C$4+1))*('Summary Page'!$C$4+1))*('Summary Page'!$C$4+1)</f>
        <v>48.384</v>
      </c>
      <c r="DO8" s="43"/>
      <c r="DP8" s="7">
        <f>((AVERAGE(F8,DO8)*('Summary Page'!$C$2+1))*('Summary Page'!$C$2+1))*('Summary Page'!$C$2+1)</f>
        <v>1.5608959999999998</v>
      </c>
      <c r="DQ8" s="7">
        <f>((AVERAGE(F8,DO8)*('Summary Page'!$C$3+1))*('Summary Page'!$C$3+1))*('Summary Page'!$C$3+1)</f>
        <v>1.953125</v>
      </c>
      <c r="DR8" s="8">
        <f>((AVERAGE(F8,DO8)*('Summary Page'!$C$4+1))*('Summary Page'!$C$4+1))*('Summary Page'!$C$4+1)</f>
        <v>1.728</v>
      </c>
      <c r="DU8" s="43"/>
      <c r="DV8" s="7">
        <f>((AVERAGE(G8,DU8)*('Summary Page'!$C$2+1))*('Summary Page'!$C$2+1))*('Summary Page'!$C$2+1)</f>
        <v>31.217919999999996</v>
      </c>
      <c r="DW8" s="7">
        <f>((AVERAGE(G8,DU8)*('Summary Page'!$C$3+1))*('Summary Page'!$C$3+1))*('Summary Page'!$C$3+1)</f>
        <v>39.0625</v>
      </c>
      <c r="DX8" s="8">
        <f>((AVERAGE(G8,DU8)*('Summary Page'!$C$4+1))*('Summary Page'!$C$4+1))*('Summary Page'!$C$4+1)</f>
        <v>34.559999999999995</v>
      </c>
      <c r="EA8" s="43"/>
      <c r="EB8" s="7">
        <f>((AVERAGE(H8,EA8)*('Summary Page'!$C$2+1))*('Summary Page'!$C$2+1))*('Summary Page'!$C$2+1)</f>
        <v>24.974335999999997</v>
      </c>
      <c r="EC8" s="7">
        <f>((AVERAGE(H8,EA8)*('Summary Page'!$C$3+1))*('Summary Page'!$C$3+1))*('Summary Page'!$C$3+1)</f>
        <v>31.25</v>
      </c>
      <c r="ED8" s="8">
        <f>((AVERAGE(H8,EA8)*('Summary Page'!$C$4+1))*('Summary Page'!$C$4+1))*('Summary Page'!$C$4+1)</f>
        <v>27.648</v>
      </c>
      <c r="EG8" s="43"/>
      <c r="EH8" s="7">
        <f>((AVERAGE(I8,EG8)*('Summary Page'!$C$2+1))*('Summary Page'!$C$2+1))*('Summary Page'!$C$2+1)</f>
        <v>76.483903999999995</v>
      </c>
      <c r="EI8" s="7">
        <f>((AVERAGE(I8,EG8)*('Summary Page'!$C$3+1))*('Summary Page'!$C$3+1))*('Summary Page'!$C$3+1)</f>
        <v>95.703125</v>
      </c>
      <c r="EJ8" s="8">
        <f>((AVERAGE(I8,EG8)*('Summary Page'!$C$4+1))*('Summary Page'!$C$4+1))*('Summary Page'!$C$4+1)</f>
        <v>84.671999999999983</v>
      </c>
      <c r="EM8" s="43"/>
      <c r="EN8" s="7" t="e">
        <f>((AVERAGE(AD8,EM8)*('Summary Page'!$C$2+1))*('Summary Page'!$C$2+1))*('Summary Page'!$C$2+1)</f>
        <v>#DIV/0!</v>
      </c>
      <c r="EO8" s="7" t="e">
        <f>((AVERAGE(AD8,EM8)*('Summary Page'!$C$3+1))*('Summary Page'!$C$3+1))*('Summary Page'!$C$3+1)</f>
        <v>#DIV/0!</v>
      </c>
      <c r="EP8" s="7" t="e">
        <f>((AVERAGE(AD8,EM8)*('Summary Page'!$C$4+1))*('Summary Page'!$C$4+1))*('Summary Page'!$C$4+1)</f>
        <v>#DIV/0!</v>
      </c>
      <c r="EQ8" s="7">
        <v>100</v>
      </c>
      <c r="ER8" s="9"/>
    </row>
    <row r="9" spans="1:165" ht="15.75" x14ac:dyDescent="0.25">
      <c r="A9" s="1">
        <v>43423</v>
      </c>
      <c r="B9" s="43">
        <v>85</v>
      </c>
      <c r="C9" s="67">
        <v>36</v>
      </c>
      <c r="D9" s="67">
        <v>29</v>
      </c>
      <c r="E9" s="7">
        <f t="shared" si="1"/>
        <v>60.5</v>
      </c>
      <c r="F9" s="67">
        <v>2</v>
      </c>
      <c r="G9" s="67">
        <v>12</v>
      </c>
      <c r="H9" s="67">
        <v>13</v>
      </c>
      <c r="I9" s="67">
        <v>43</v>
      </c>
      <c r="J9" s="67"/>
      <c r="K9" s="5">
        <f t="shared" si="2"/>
        <v>30.25</v>
      </c>
      <c r="L9" s="218"/>
      <c r="M9" s="43"/>
      <c r="N9" s="43"/>
      <c r="O9" s="43"/>
      <c r="P9" s="43"/>
      <c r="Q9" s="43"/>
      <c r="R9" s="43"/>
      <c r="S9" s="43"/>
      <c r="T9" s="43"/>
      <c r="U9" s="219"/>
      <c r="V9" s="13"/>
      <c r="W9" s="13"/>
      <c r="X9" s="13"/>
      <c r="Y9" s="13"/>
      <c r="Z9" s="13"/>
      <c r="AA9" s="13"/>
      <c r="AB9" s="13"/>
      <c r="AC9" s="1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13"/>
      <c r="AO9" s="7">
        <f>((AVERAGE(K9,AN9)*('Summary Page'!$C$2+1))*('Summary Page'!$C$2+1))*('Summary Page'!$C$2+1)</f>
        <v>47.217103999999985</v>
      </c>
      <c r="AP9" s="7">
        <f>((AVERAGE(K9,AN9)*('Summary Page'!$C$3+1))*('Summary Page'!$C$3+1))*('Summary Page'!$C$3+1)</f>
        <v>59.08203125</v>
      </c>
      <c r="AQ9" s="7">
        <f>((AVERAGE(K9,AN9)*('Summary Page'!$C$4+1))*('Summary Page'!$C$4+1))*('Summary Page'!$C$4+1)</f>
        <v>52.271999999999991</v>
      </c>
      <c r="AR9" s="7">
        <v>80</v>
      </c>
      <c r="AS9" s="5">
        <f t="shared" si="3"/>
        <v>30.333333333333332</v>
      </c>
      <c r="AT9" s="13"/>
      <c r="AU9" s="13"/>
      <c r="AV9" s="7">
        <f>((AVERAGE(AS9,AU9)*('Summary Page'!$C$2+1))*('Summary Page'!$C$2+1))*('Summary Page'!$C$2+1)</f>
        <v>47.347178666666657</v>
      </c>
      <c r="AW9" s="7">
        <f>((AVERAGE(AS9,AU9)*('Summary Page'!$C$3+1))*('Summary Page'!$C$3+1))*('Summary Page'!$C$3+1)</f>
        <v>59.244791666666657</v>
      </c>
      <c r="AX9" s="8">
        <f>((AVERAGE(AS9,AU9)*('Summary Page'!$C$4+1))*('Summary Page'!$C$4+1))*('Summary Page'!$C$4+1)</f>
        <v>52.415999999999997</v>
      </c>
      <c r="BA9" s="43"/>
      <c r="BB9" s="7">
        <f>((AVERAGE(B9,BA9)*('Summary Page'!$C$2+1))*('Summary Page'!$C$2+1))*('Summary Page'!$C$2+1)</f>
        <v>132.67615999999998</v>
      </c>
      <c r="BC9" s="7">
        <f>((AVERAGE(B9,BA9)*('Summary Page'!$C$3+1))*('Summary Page'!$C$3+1))*('Summary Page'!$C$3+1)</f>
        <v>166.015625</v>
      </c>
      <c r="BD9" s="7">
        <f>((AVERAGE(B9,BA9)*('Summary Page'!$C$4+1))*('Summary Page'!$C$4+1))*('Summary Page'!$C$4+1)</f>
        <v>146.88</v>
      </c>
      <c r="BE9" s="67">
        <v>33</v>
      </c>
      <c r="BF9" s="81"/>
      <c r="BG9" s="43"/>
      <c r="BH9" s="7">
        <f>((AVERAGE(BE9,BG9)*('Summary Page'!$C$2+1))*('Summary Page'!$C$2+1))*('Summary Page'!$C$2+1)</f>
        <v>51.50956799999998</v>
      </c>
      <c r="BI9" s="7">
        <f>((AVERAGE(BE9,BG9)*('Summary Page'!$C$3+1))*('Summary Page'!$C$3+1))*('Summary Page'!$C$3+1)</f>
        <v>64.453125</v>
      </c>
      <c r="BJ9" s="7">
        <f>((AVERAGE(BE9,BG9)*('Summary Page'!$C$4+1))*('Summary Page'!$C$4+1))*('Summary Page'!$C$4+1)</f>
        <v>57.024000000000001</v>
      </c>
      <c r="BK9" s="67">
        <v>28</v>
      </c>
      <c r="BL9" s="43"/>
      <c r="BM9" s="43"/>
      <c r="BN9" s="7">
        <f>((AVERAGE(BK9,BM9)*('Summary Page'!$C$2+1))*('Summary Page'!$C$2+1))*('Summary Page'!$C$2+1)</f>
        <v>43.705087999999989</v>
      </c>
      <c r="BO9" s="7">
        <f>((AVERAGE(BK9,BM9)*('Summary Page'!$C$3+1))*('Summary Page'!$C$3+1))*('Summary Page'!$C$3+1)</f>
        <v>54.6875</v>
      </c>
      <c r="BP9" s="7">
        <f>((AVERAGE(BK9,BM9)*('Summary Page'!$C$4+1))*('Summary Page'!$C$4+1))*('Summary Page'!$C$4+1)</f>
        <v>48.384</v>
      </c>
      <c r="BQ9" s="67">
        <v>51</v>
      </c>
      <c r="BR9" s="43"/>
      <c r="BS9" s="43"/>
      <c r="BT9" s="7">
        <f>((AVERAGE(BQ9,BS9)*('Summary Page'!$C$2+1))*('Summary Page'!$C$2+1))*('Summary Page'!$C$2+1)</f>
        <v>79.60569599999998</v>
      </c>
      <c r="BU9" s="7">
        <f>((AVERAGE(BQ9,BS9)*('Summary Page'!$C$3+1))*('Summary Page'!$C$3+1))*('Summary Page'!$C$3+1)</f>
        <v>99.609375</v>
      </c>
      <c r="BV9" s="8">
        <f>((AVERAGE(BQ9,BS9)*('Summary Page'!$C$4+1))*('Summary Page'!$C$4+1))*('Summary Page'!$C$4+1)</f>
        <v>88.128</v>
      </c>
      <c r="BW9" s="67">
        <v>45</v>
      </c>
      <c r="BX9" s="43"/>
      <c r="BY9" s="43"/>
      <c r="BZ9" s="7">
        <f>((AVERAGE(BW9,BY9)*('Summary Page'!$C$2+1))*('Summary Page'!$C$2+1))*('Summary Page'!$C$2+1)</f>
        <v>70.240319999999983</v>
      </c>
      <c r="CA9" s="7">
        <f>((AVERAGE(BW9,BY9)*('Summary Page'!$C$3+1))*('Summary Page'!$C$3+1))*('Summary Page'!$C$3+1)</f>
        <v>87.890625</v>
      </c>
      <c r="CB9" s="8">
        <f>((AVERAGE(BW9,BY9)*('Summary Page'!$C$4+1))*('Summary Page'!$C$4+1))*('Summary Page'!$C$4+1)</f>
        <v>77.759999999999991</v>
      </c>
      <c r="CC9" s="67">
        <v>23</v>
      </c>
      <c r="CD9" s="43"/>
      <c r="CE9" s="43"/>
      <c r="CF9" s="7">
        <f>((AVERAGE(CC9,CE9)*('Summary Page'!$C$2+1))*('Summary Page'!$C$2+1))*('Summary Page'!$C$2+1)</f>
        <v>35.900607999999998</v>
      </c>
      <c r="CG9" s="7">
        <f>((AVERAGE(CC9,CE9)*('Summary Page'!$C$3+1))*('Summary Page'!$C$3+1))*('Summary Page'!$C$3+1)</f>
        <v>44.921875</v>
      </c>
      <c r="CH9" s="8">
        <f>((AVERAGE(CC9,CE9)*('Summary Page'!$C$4+1))*('Summary Page'!$C$4+1))*('Summary Page'!$C$4+1)</f>
        <v>39.743999999999993</v>
      </c>
      <c r="CI9" s="67">
        <v>17</v>
      </c>
      <c r="CJ9" s="43"/>
      <c r="CK9" s="43"/>
      <c r="CL9" s="7">
        <f>((AVERAGE(CI9,CK9)*('Summary Page'!$C$2+1))*('Summary Page'!$C$2+1))*('Summary Page'!$C$2+1)</f>
        <v>26.535231999999993</v>
      </c>
      <c r="CM9" s="7">
        <f>((AVERAGE(CI9,CK9)*('Summary Page'!$C$3+1))*('Summary Page'!$C$3+1))*('Summary Page'!$C$3+1)</f>
        <v>33.203125</v>
      </c>
      <c r="CN9" s="8">
        <f>((AVERAGE(CI9,CK9)*('Summary Page'!$C$4+1))*('Summary Page'!$C$4+1))*('Summary Page'!$C$4+1)</f>
        <v>29.375999999999994</v>
      </c>
      <c r="CQ9" s="43"/>
      <c r="CR9" s="7">
        <f>((AVERAGE(C9,CQ9)*('Summary Page'!$C$2+1))*('Summary Page'!$C$2+1))*('Summary Page'!$C$2+1)</f>
        <v>56.192255999999986</v>
      </c>
      <c r="CS9" s="7">
        <f>((AVERAGE(C9,CQ9)*('Summary Page'!$C$3+1))*('Summary Page'!$C$3+1))*('Summary Page'!$C$3+1)</f>
        <v>70.3125</v>
      </c>
      <c r="CT9" s="8">
        <f>((AVERAGE(C9,CQ9)*('Summary Page'!$C$4+1))*('Summary Page'!$C$4+1))*('Summary Page'!$C$4+1)</f>
        <v>62.207999999999991</v>
      </c>
      <c r="CW9" s="43"/>
      <c r="CX9" s="7">
        <f>((AVERAGE(D9,CW9)*('Summary Page'!$C$2+1))*('Summary Page'!$C$2+1))*('Summary Page'!$C$2+1)</f>
        <v>45.265983999999996</v>
      </c>
      <c r="CY9" s="7">
        <f>((AVERAGE(D9,CW9)*('Summary Page'!$C$3+1))*('Summary Page'!$C$3+1))*('Summary Page'!$C$3+1)</f>
        <v>56.640625</v>
      </c>
      <c r="CZ9" s="8">
        <f>((AVERAGE(D9,CW9)*('Summary Page'!$C$4+1))*('Summary Page'!$C$4+1))*('Summary Page'!$C$4+1)</f>
        <v>50.111999999999995</v>
      </c>
      <c r="DA9" s="67">
        <v>21</v>
      </c>
      <c r="DB9" s="43"/>
      <c r="DC9" s="43"/>
      <c r="DD9" s="7">
        <f>((AVERAGE(DA9,DC9)*('Summary Page'!$C$2+1))*('Summary Page'!$C$2+1))*('Summary Page'!$C$2+1)</f>
        <v>32.778815999999992</v>
      </c>
      <c r="DE9" s="7">
        <f>((AVERAGE(DA9,DC9)*('Summary Page'!$C$3+1))*('Summary Page'!$C$3+1))*('Summary Page'!$C$3+1)</f>
        <v>41.015625</v>
      </c>
      <c r="DF9" s="8">
        <f>((AVERAGE(DA9,DC9)*('Summary Page'!$C$4+1))*('Summary Page'!$C$4+1))*('Summary Page'!$C$4+1)</f>
        <v>36.287999999999997</v>
      </c>
      <c r="DG9" s="67">
        <v>24</v>
      </c>
      <c r="DH9" s="43"/>
      <c r="DI9" s="43"/>
      <c r="DJ9" s="7">
        <f>((AVERAGE(DG9,DI9)*('Summary Page'!$C$2+1))*('Summary Page'!$C$2+1))*('Summary Page'!$C$2+1)</f>
        <v>37.461503999999991</v>
      </c>
      <c r="DK9" s="7">
        <f>((AVERAGE(DG9,DI9)*('Summary Page'!$C$3+1))*('Summary Page'!$C$3+1))*('Summary Page'!$C$3+1)</f>
        <v>46.875</v>
      </c>
      <c r="DL9" s="8">
        <f>((AVERAGE(DG9,DI9)*('Summary Page'!$C$4+1))*('Summary Page'!$C$4+1))*('Summary Page'!$C$4+1)</f>
        <v>41.471999999999994</v>
      </c>
      <c r="DO9" s="43"/>
      <c r="DP9" s="7">
        <f>((AVERAGE(F9,DO9)*('Summary Page'!$C$2+1))*('Summary Page'!$C$2+1))*('Summary Page'!$C$2+1)</f>
        <v>3.1217919999999997</v>
      </c>
      <c r="DQ9" s="7">
        <f>((AVERAGE(F9,DO9)*('Summary Page'!$C$3+1))*('Summary Page'!$C$3+1))*('Summary Page'!$C$3+1)</f>
        <v>3.90625</v>
      </c>
      <c r="DR9" s="8">
        <f>((AVERAGE(F9,DO9)*('Summary Page'!$C$4+1))*('Summary Page'!$C$4+1))*('Summary Page'!$C$4+1)</f>
        <v>3.456</v>
      </c>
      <c r="DU9" s="43"/>
      <c r="DV9" s="7">
        <f>((AVERAGE(G9,DU9)*('Summary Page'!$C$2+1))*('Summary Page'!$C$2+1))*('Summary Page'!$C$2+1)</f>
        <v>18.730751999999995</v>
      </c>
      <c r="DW9" s="7">
        <f>((AVERAGE(G9,DU9)*('Summary Page'!$C$3+1))*('Summary Page'!$C$3+1))*('Summary Page'!$C$3+1)</f>
        <v>23.4375</v>
      </c>
      <c r="DX9" s="8">
        <f>((AVERAGE(G9,DU9)*('Summary Page'!$C$4+1))*('Summary Page'!$C$4+1))*('Summary Page'!$C$4+1)</f>
        <v>20.735999999999997</v>
      </c>
      <c r="EA9" s="43"/>
      <c r="EB9" s="7">
        <f>((AVERAGE(H9,EA9)*('Summary Page'!$C$2+1))*('Summary Page'!$C$2+1))*('Summary Page'!$C$2+1)</f>
        <v>20.291647999999995</v>
      </c>
      <c r="EC9" s="7">
        <f>((AVERAGE(H9,EA9)*('Summary Page'!$C$3+1))*('Summary Page'!$C$3+1))*('Summary Page'!$C$3+1)</f>
        <v>25.390625</v>
      </c>
      <c r="ED9" s="8">
        <f>((AVERAGE(H9,EA9)*('Summary Page'!$C$4+1))*('Summary Page'!$C$4+1))*('Summary Page'!$C$4+1)</f>
        <v>22.463999999999999</v>
      </c>
      <c r="EG9" s="43"/>
      <c r="EH9" s="7">
        <f>((AVERAGE(I9,EG9)*('Summary Page'!$C$2+1))*('Summary Page'!$C$2+1))*('Summary Page'!$C$2+1)</f>
        <v>67.118527999999984</v>
      </c>
      <c r="EI9" s="7">
        <f>((AVERAGE(I9,EG9)*('Summary Page'!$C$3+1))*('Summary Page'!$C$3+1))*('Summary Page'!$C$3+1)</f>
        <v>83.984375</v>
      </c>
      <c r="EJ9" s="8">
        <f>((AVERAGE(I9,EG9)*('Summary Page'!$C$4+1))*('Summary Page'!$C$4+1))*('Summary Page'!$C$4+1)</f>
        <v>74.304000000000002</v>
      </c>
      <c r="EM9" s="43"/>
      <c r="EN9" s="7" t="e">
        <f>((AVERAGE(AD9,EM9)*('Summary Page'!$C$2+1))*('Summary Page'!$C$2+1))*('Summary Page'!$C$2+1)</f>
        <v>#DIV/0!</v>
      </c>
      <c r="EO9" s="7" t="e">
        <f>((AVERAGE(AD9,EM9)*('Summary Page'!$C$3+1))*('Summary Page'!$C$3+1))*('Summary Page'!$C$3+1)</f>
        <v>#DIV/0!</v>
      </c>
      <c r="EP9" s="7" t="e">
        <f>((AVERAGE(AD9,EM9)*('Summary Page'!$C$4+1))*('Summary Page'!$C$4+1))*('Summary Page'!$C$4+1)</f>
        <v>#DIV/0!</v>
      </c>
      <c r="EQ9" s="7">
        <v>100</v>
      </c>
      <c r="ER9" s="9"/>
    </row>
    <row r="10" spans="1:165" ht="15.75" x14ac:dyDescent="0.25">
      <c r="A10" s="1">
        <v>43437</v>
      </c>
      <c r="B10" s="43">
        <v>85</v>
      </c>
      <c r="C10" s="67">
        <v>39</v>
      </c>
      <c r="D10" s="67">
        <v>32</v>
      </c>
      <c r="E10" s="7">
        <f t="shared" si="1"/>
        <v>62</v>
      </c>
      <c r="F10" s="67">
        <v>0</v>
      </c>
      <c r="G10" s="67">
        <v>9</v>
      </c>
      <c r="H10" s="67">
        <v>12</v>
      </c>
      <c r="I10" s="67">
        <v>53</v>
      </c>
      <c r="J10" s="67"/>
      <c r="K10" s="5">
        <f t="shared" si="2"/>
        <v>31</v>
      </c>
      <c r="L10" s="218"/>
      <c r="M10" s="43"/>
      <c r="N10" s="43"/>
      <c r="O10" s="43"/>
      <c r="P10" s="43"/>
      <c r="Q10" s="43"/>
      <c r="R10" s="43"/>
      <c r="S10" s="43"/>
      <c r="T10" s="43"/>
      <c r="U10" s="219"/>
      <c r="V10" s="13"/>
      <c r="W10" s="13"/>
      <c r="X10" s="13"/>
      <c r="Y10" s="13"/>
      <c r="Z10" s="13"/>
      <c r="AA10" s="13"/>
      <c r="AB10" s="13"/>
      <c r="AC10" s="1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13"/>
      <c r="AO10" s="7">
        <f>((AVERAGE(K10,AN10)*('Summary Page'!$C$2+1))*('Summary Page'!$C$2+1))*('Summary Page'!$C$2+1)</f>
        <v>48.387775999999995</v>
      </c>
      <c r="AP10" s="7">
        <f>((AVERAGE(K10,AN10)*('Summary Page'!$C$3+1))*('Summary Page'!$C$3+1))*('Summary Page'!$C$3+1)</f>
        <v>60.546875</v>
      </c>
      <c r="AQ10" s="7">
        <f>((AVERAGE(K10,AN10)*('Summary Page'!$C$4+1))*('Summary Page'!$C$4+1))*('Summary Page'!$C$4+1)</f>
        <v>53.567999999999991</v>
      </c>
      <c r="AR10" s="7">
        <v>80</v>
      </c>
      <c r="AS10" s="5">
        <f t="shared" si="3"/>
        <v>33.666666666666664</v>
      </c>
      <c r="AT10" s="13"/>
      <c r="AU10" s="13"/>
      <c r="AV10" s="7">
        <f>((AVERAGE(AS10,AU10)*('Summary Page'!$C$2+1))*('Summary Page'!$C$2+1))*('Summary Page'!$C$2+1)</f>
        <v>52.550165333333318</v>
      </c>
      <c r="AW10" s="7">
        <f>((AVERAGE(AS10,AU10)*('Summary Page'!$C$3+1))*('Summary Page'!$C$3+1))*('Summary Page'!$C$3+1)</f>
        <v>65.755208333333314</v>
      </c>
      <c r="AX10" s="8">
        <f>((AVERAGE(AS10,AU10)*('Summary Page'!$C$4+1))*('Summary Page'!$C$4+1))*('Summary Page'!$C$4+1)</f>
        <v>58.175999999999995</v>
      </c>
      <c r="BA10" s="43"/>
      <c r="BB10" s="7">
        <f>((AVERAGE(B10,BA10)*('Summary Page'!$C$2+1))*('Summary Page'!$C$2+1))*('Summary Page'!$C$2+1)</f>
        <v>132.67615999999998</v>
      </c>
      <c r="BC10" s="7">
        <f>((AVERAGE(B10,BA10)*('Summary Page'!$C$3+1))*('Summary Page'!$C$3+1))*('Summary Page'!$C$3+1)</f>
        <v>166.015625</v>
      </c>
      <c r="BD10" s="7">
        <f>((AVERAGE(B10,BA10)*('Summary Page'!$C$4+1))*('Summary Page'!$C$4+1))*('Summary Page'!$C$4+1)</f>
        <v>146.88</v>
      </c>
      <c r="BE10" s="67">
        <v>28</v>
      </c>
      <c r="BF10" s="81"/>
      <c r="BG10" s="43"/>
      <c r="BH10" s="7">
        <f>((AVERAGE(BE10,BG10)*('Summary Page'!$C$2+1))*('Summary Page'!$C$2+1))*('Summary Page'!$C$2+1)</f>
        <v>43.705087999999989</v>
      </c>
      <c r="BI10" s="7">
        <f>((AVERAGE(BE10,BG10)*('Summary Page'!$C$3+1))*('Summary Page'!$C$3+1))*('Summary Page'!$C$3+1)</f>
        <v>54.6875</v>
      </c>
      <c r="BJ10" s="7">
        <f>((AVERAGE(BE10,BG10)*('Summary Page'!$C$4+1))*('Summary Page'!$C$4+1))*('Summary Page'!$C$4+1)</f>
        <v>48.384</v>
      </c>
      <c r="BK10" s="67">
        <v>25</v>
      </c>
      <c r="BL10" s="43"/>
      <c r="BM10" s="43"/>
      <c r="BN10" s="7">
        <f>((AVERAGE(BK10,BM10)*('Summary Page'!$C$2+1))*('Summary Page'!$C$2+1))*('Summary Page'!$C$2+1)</f>
        <v>39.02239999999999</v>
      </c>
      <c r="BO10" s="7">
        <f>((AVERAGE(BK10,BM10)*('Summary Page'!$C$3+1))*('Summary Page'!$C$3+1))*('Summary Page'!$C$3+1)</f>
        <v>48.828125</v>
      </c>
      <c r="BP10" s="7">
        <f>((AVERAGE(BK10,BM10)*('Summary Page'!$C$4+1))*('Summary Page'!$C$4+1))*('Summary Page'!$C$4+1)</f>
        <v>43.199999999999996</v>
      </c>
      <c r="BQ10" s="67">
        <v>56</v>
      </c>
      <c r="BR10" s="43"/>
      <c r="BS10" s="43"/>
      <c r="BT10" s="7">
        <f>((AVERAGE(BQ10,BS10)*('Summary Page'!$C$2+1))*('Summary Page'!$C$2+1))*('Summary Page'!$C$2+1)</f>
        <v>87.410175999999979</v>
      </c>
      <c r="BU10" s="7">
        <f>((AVERAGE(BQ10,BS10)*('Summary Page'!$C$3+1))*('Summary Page'!$C$3+1))*('Summary Page'!$C$3+1)</f>
        <v>109.375</v>
      </c>
      <c r="BV10" s="8">
        <f>((AVERAGE(BQ10,BS10)*('Summary Page'!$C$4+1))*('Summary Page'!$C$4+1))*('Summary Page'!$C$4+1)</f>
        <v>96.768000000000001</v>
      </c>
      <c r="BW10" s="67">
        <v>51</v>
      </c>
      <c r="BX10" s="43"/>
      <c r="BY10" s="43"/>
      <c r="BZ10" s="7">
        <f>((AVERAGE(BW10,BY10)*('Summary Page'!$C$2+1))*('Summary Page'!$C$2+1))*('Summary Page'!$C$2+1)</f>
        <v>79.60569599999998</v>
      </c>
      <c r="CA10" s="7">
        <f>((AVERAGE(BW10,BY10)*('Summary Page'!$C$3+1))*('Summary Page'!$C$3+1))*('Summary Page'!$C$3+1)</f>
        <v>99.609375</v>
      </c>
      <c r="CB10" s="8">
        <f>((AVERAGE(BW10,BY10)*('Summary Page'!$C$4+1))*('Summary Page'!$C$4+1))*('Summary Page'!$C$4+1)</f>
        <v>88.128</v>
      </c>
      <c r="CC10" s="67">
        <v>28</v>
      </c>
      <c r="CD10" s="43"/>
      <c r="CE10" s="43"/>
      <c r="CF10" s="7">
        <f>((AVERAGE(CC10,CE10)*('Summary Page'!$C$2+1))*('Summary Page'!$C$2+1))*('Summary Page'!$C$2+1)</f>
        <v>43.705087999999989</v>
      </c>
      <c r="CG10" s="7">
        <f>((AVERAGE(CC10,CE10)*('Summary Page'!$C$3+1))*('Summary Page'!$C$3+1))*('Summary Page'!$C$3+1)</f>
        <v>54.6875</v>
      </c>
      <c r="CH10" s="8">
        <f>((AVERAGE(CC10,CE10)*('Summary Page'!$C$4+1))*('Summary Page'!$C$4+1))*('Summary Page'!$C$4+1)</f>
        <v>48.384</v>
      </c>
      <c r="CI10" s="67">
        <v>18</v>
      </c>
      <c r="CJ10" s="43"/>
      <c r="CK10" s="43"/>
      <c r="CL10" s="7">
        <f>((AVERAGE(CI10,CK10)*('Summary Page'!$C$2+1))*('Summary Page'!$C$2+1))*('Summary Page'!$C$2+1)</f>
        <v>28.096127999999993</v>
      </c>
      <c r="CM10" s="7">
        <f>((AVERAGE(CI10,CK10)*('Summary Page'!$C$3+1))*('Summary Page'!$C$3+1))*('Summary Page'!$C$3+1)</f>
        <v>35.15625</v>
      </c>
      <c r="CN10" s="8">
        <f>((AVERAGE(CI10,CK10)*('Summary Page'!$C$4+1))*('Summary Page'!$C$4+1))*('Summary Page'!$C$4+1)</f>
        <v>31.103999999999996</v>
      </c>
      <c r="CQ10" s="43"/>
      <c r="CR10" s="7">
        <f>((AVERAGE(C10,CQ10)*('Summary Page'!$C$2+1))*('Summary Page'!$C$2+1))*('Summary Page'!$C$2+1)</f>
        <v>60.874943999999985</v>
      </c>
      <c r="CS10" s="7">
        <f>((AVERAGE(C10,CQ10)*('Summary Page'!$C$3+1))*('Summary Page'!$C$3+1))*('Summary Page'!$C$3+1)</f>
        <v>76.171875</v>
      </c>
      <c r="CT10" s="8">
        <f>((AVERAGE(C10,CQ10)*('Summary Page'!$C$4+1))*('Summary Page'!$C$4+1))*('Summary Page'!$C$4+1)</f>
        <v>67.391999999999996</v>
      </c>
      <c r="CW10" s="43"/>
      <c r="CX10" s="7">
        <f>((AVERAGE(D10,CW10)*('Summary Page'!$C$2+1))*('Summary Page'!$C$2+1))*('Summary Page'!$C$2+1)</f>
        <v>49.948671999999995</v>
      </c>
      <c r="CY10" s="7">
        <f>((AVERAGE(D10,CW10)*('Summary Page'!$C$3+1))*('Summary Page'!$C$3+1))*('Summary Page'!$C$3+1)</f>
        <v>62.5</v>
      </c>
      <c r="CZ10" s="8">
        <f>((AVERAGE(D10,CW10)*('Summary Page'!$C$4+1))*('Summary Page'!$C$4+1))*('Summary Page'!$C$4+1)</f>
        <v>55.295999999999999</v>
      </c>
      <c r="DA10" s="67">
        <v>20</v>
      </c>
      <c r="DB10" s="43"/>
      <c r="DC10" s="43"/>
      <c r="DD10" s="7">
        <f>((AVERAGE(DA10,DC10)*('Summary Page'!$C$2+1))*('Summary Page'!$C$2+1))*('Summary Page'!$C$2+1)</f>
        <v>31.217919999999996</v>
      </c>
      <c r="DE10" s="7">
        <f>((AVERAGE(DA10,DC10)*('Summary Page'!$C$3+1))*('Summary Page'!$C$3+1))*('Summary Page'!$C$3+1)</f>
        <v>39.0625</v>
      </c>
      <c r="DF10" s="8">
        <f>((AVERAGE(DA10,DC10)*('Summary Page'!$C$4+1))*('Summary Page'!$C$4+1))*('Summary Page'!$C$4+1)</f>
        <v>34.559999999999995</v>
      </c>
      <c r="DG10" s="67">
        <v>22</v>
      </c>
      <c r="DH10" s="43"/>
      <c r="DI10" s="43"/>
      <c r="DJ10" s="7">
        <f>((AVERAGE(DG10,DI10)*('Summary Page'!$C$2+1))*('Summary Page'!$C$2+1))*('Summary Page'!$C$2+1)</f>
        <v>34.339711999999992</v>
      </c>
      <c r="DK10" s="7">
        <f>((AVERAGE(DG10,DI10)*('Summary Page'!$C$3+1))*('Summary Page'!$C$3+1))*('Summary Page'!$C$3+1)</f>
        <v>42.96875</v>
      </c>
      <c r="DL10" s="8">
        <f>((AVERAGE(DG10,DI10)*('Summary Page'!$C$4+1))*('Summary Page'!$C$4+1))*('Summary Page'!$C$4+1)</f>
        <v>38.015999999999991</v>
      </c>
      <c r="DO10" s="43"/>
      <c r="DP10" s="7">
        <f>((AVERAGE(F10,DO10)*('Summary Page'!$C$2+1))*('Summary Page'!$C$2+1))*('Summary Page'!$C$2+1)</f>
        <v>0</v>
      </c>
      <c r="DQ10" s="7">
        <f>((AVERAGE(F10,DO10)*('Summary Page'!$C$3+1))*('Summary Page'!$C$3+1))*('Summary Page'!$C$3+1)</f>
        <v>0</v>
      </c>
      <c r="DR10" s="8">
        <f>((AVERAGE(F10,DO10)*('Summary Page'!$C$4+1))*('Summary Page'!$C$4+1))*('Summary Page'!$C$4+1)</f>
        <v>0</v>
      </c>
      <c r="DU10" s="43"/>
      <c r="DV10" s="7">
        <f>((AVERAGE(G10,DU10)*('Summary Page'!$C$2+1))*('Summary Page'!$C$2+1))*('Summary Page'!$C$2+1)</f>
        <v>14.048063999999997</v>
      </c>
      <c r="DW10" s="7">
        <f>((AVERAGE(G10,DU10)*('Summary Page'!$C$3+1))*('Summary Page'!$C$3+1))*('Summary Page'!$C$3+1)</f>
        <v>17.578125</v>
      </c>
      <c r="DX10" s="8">
        <f>((AVERAGE(G10,DU10)*('Summary Page'!$C$4+1))*('Summary Page'!$C$4+1))*('Summary Page'!$C$4+1)</f>
        <v>15.551999999999998</v>
      </c>
      <c r="EA10" s="43"/>
      <c r="EB10" s="7">
        <f>((AVERAGE(H10,EA10)*('Summary Page'!$C$2+1))*('Summary Page'!$C$2+1))*('Summary Page'!$C$2+1)</f>
        <v>18.730751999999995</v>
      </c>
      <c r="EC10" s="7">
        <f>((AVERAGE(H10,EA10)*('Summary Page'!$C$3+1))*('Summary Page'!$C$3+1))*('Summary Page'!$C$3+1)</f>
        <v>23.4375</v>
      </c>
      <c r="ED10" s="8">
        <f>((AVERAGE(H10,EA10)*('Summary Page'!$C$4+1))*('Summary Page'!$C$4+1))*('Summary Page'!$C$4+1)</f>
        <v>20.735999999999997</v>
      </c>
      <c r="EG10" s="43"/>
      <c r="EH10" s="7">
        <f>((AVERAGE(I10,EG10)*('Summary Page'!$C$2+1))*('Summary Page'!$C$2+1))*('Summary Page'!$C$2+1)</f>
        <v>82.72748799999998</v>
      </c>
      <c r="EI10" s="7">
        <f>((AVERAGE(I10,EG10)*('Summary Page'!$C$3+1))*('Summary Page'!$C$3+1))*('Summary Page'!$C$3+1)</f>
        <v>103.515625</v>
      </c>
      <c r="EJ10" s="8">
        <f>((AVERAGE(I10,EG10)*('Summary Page'!$C$4+1))*('Summary Page'!$C$4+1))*('Summary Page'!$C$4+1)</f>
        <v>91.583999999999989</v>
      </c>
      <c r="EM10" s="43"/>
      <c r="EN10" s="7" t="e">
        <f>((AVERAGE(AD10,EM10)*('Summary Page'!$C$2+1))*('Summary Page'!$C$2+1))*('Summary Page'!$C$2+1)</f>
        <v>#DIV/0!</v>
      </c>
      <c r="EO10" s="7" t="e">
        <f>((AVERAGE(AD10,EM10)*('Summary Page'!$C$3+1))*('Summary Page'!$C$3+1))*('Summary Page'!$C$3+1)</f>
        <v>#DIV/0!</v>
      </c>
      <c r="EP10" s="7" t="e">
        <f>((AVERAGE(AD10,EM10)*('Summary Page'!$C$4+1))*('Summary Page'!$C$4+1))*('Summary Page'!$C$4+1)</f>
        <v>#DIV/0!</v>
      </c>
      <c r="EQ10" s="7">
        <v>100</v>
      </c>
      <c r="ER10" s="9"/>
    </row>
    <row r="11" spans="1:165" ht="15.75" x14ac:dyDescent="0.25">
      <c r="A11" s="1">
        <v>43451</v>
      </c>
      <c r="B11" s="43">
        <v>81</v>
      </c>
      <c r="C11" s="67">
        <v>40</v>
      </c>
      <c r="D11" s="67">
        <v>34</v>
      </c>
      <c r="E11" s="7">
        <f t="shared" si="1"/>
        <v>60.5</v>
      </c>
      <c r="F11" s="67">
        <v>0</v>
      </c>
      <c r="G11" s="67">
        <v>10</v>
      </c>
      <c r="H11" s="67">
        <v>10</v>
      </c>
      <c r="I11" s="67">
        <v>42</v>
      </c>
      <c r="J11" s="67"/>
      <c r="K11" s="5">
        <f t="shared" si="2"/>
        <v>30.125</v>
      </c>
      <c r="L11" s="218"/>
      <c r="M11" s="43"/>
      <c r="N11" s="43"/>
      <c r="O11" s="43"/>
      <c r="P11" s="43"/>
      <c r="Q11" s="43"/>
      <c r="R11" s="43"/>
      <c r="S11" s="43"/>
      <c r="T11" s="43"/>
      <c r="U11" s="219"/>
      <c r="V11" s="13"/>
      <c r="W11" s="13"/>
      <c r="X11" s="13"/>
      <c r="Y11" s="13"/>
      <c r="Z11" s="13"/>
      <c r="AA11" s="13"/>
      <c r="AB11" s="13"/>
      <c r="AC11" s="1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13"/>
      <c r="AO11" s="7">
        <f>((AVERAGE(K6:K11)*('Summary Page'!$C$2+1))*('Summary Page'!$C$2+1))*('Summary Page'!$C$2+1)</f>
        <v>47.932514666666656</v>
      </c>
      <c r="AP11" s="7">
        <f>((AVERAGE(K6:K11)*('Summary Page'!$C$3+1))*('Summary Page'!$C$3+1))*('Summary Page'!$C$3+1)</f>
        <v>59.977213541666657</v>
      </c>
      <c r="AQ11" s="7">
        <f>((AVERAGE(K6:K11)*('Summary Page'!$C$4+1))*('Summary Page'!$C$4+1))*('Summary Page'!$C$4+1)</f>
        <v>53.063999999999986</v>
      </c>
      <c r="AR11" s="7">
        <v>80</v>
      </c>
      <c r="AS11" s="5">
        <f t="shared" si="3"/>
        <v>30.666666666666668</v>
      </c>
      <c r="AT11" s="13"/>
      <c r="AU11" s="13"/>
      <c r="AV11" s="7">
        <f>((AVERAGE(AS11,AU11)*('Summary Page'!$C$2+1))*('Summary Page'!$C$2+1))*('Summary Page'!$C$2+1)</f>
        <v>47.867477333333326</v>
      </c>
      <c r="AW11" s="7">
        <f>((AVERAGE(AS11,AU11)*('Summary Page'!$C$3+1))*('Summary Page'!$C$3+1))*('Summary Page'!$C$3+1)</f>
        <v>59.895833333333343</v>
      </c>
      <c r="AX11" s="8">
        <f>((AVERAGE(AS11,AU11)*('Summary Page'!$C$4+1))*('Summary Page'!$C$4+1))*('Summary Page'!$C$4+1)</f>
        <v>52.991999999999997</v>
      </c>
      <c r="BA11" s="43"/>
      <c r="BB11" s="7">
        <f>((AVERAGE(B6:B11)*(+'Summary Page'!$C$2+1))*('Summary Page'!$C$2+1))*('Summary Page'!$C$2+1)</f>
        <v>132.41601066666664</v>
      </c>
      <c r="BC11" s="7">
        <f>((AVERAGE(B6:B11)*('Summary Page'!$C$3+1))*('Summary Page'!$C$3+1))*('Summary Page'!$C$3+1)</f>
        <v>165.69010416666663</v>
      </c>
      <c r="BD11" s="7">
        <f>((AVERAGE(B6:B11)*('Summary Page'!$C$4+1))*('Summary Page'!$C$4+1))*('Summary Page'!$C$4+1)</f>
        <v>146.59199999999998</v>
      </c>
      <c r="BE11" s="67">
        <v>25</v>
      </c>
      <c r="BF11" s="81"/>
      <c r="BG11" s="43"/>
      <c r="BH11" s="7">
        <f>((AVERAGE(BE11,BG11)*('Summary Page'!$C$2+1))*('Summary Page'!$C$2+1))*('Summary Page'!$C$2+1)</f>
        <v>39.02239999999999</v>
      </c>
      <c r="BI11" s="7">
        <f>((AVERAGE(BE11,BG11)*('Summary Page'!$C$3+1))*('Summary Page'!$C$3+1))*('Summary Page'!$C$3+1)</f>
        <v>48.828125</v>
      </c>
      <c r="BJ11" s="7">
        <f>((AVERAGE(BE11,BG11)*('Summary Page'!$C$4+1))*('Summary Page'!$C$4+1))*('Summary Page'!$C$4+1)</f>
        <v>43.199999999999996</v>
      </c>
      <c r="BK11" s="67">
        <v>23</v>
      </c>
      <c r="BL11" s="43"/>
      <c r="BM11" s="43"/>
      <c r="BN11" s="7">
        <f>((AVERAGE(BK11,BM11)*('Summary Page'!$C$2+1))*('Summary Page'!$C$2+1))*('Summary Page'!$C$2+1)</f>
        <v>35.900607999999998</v>
      </c>
      <c r="BO11" s="7">
        <f>((AVERAGE(BK11,BM11)*('Summary Page'!$C$3+1))*('Summary Page'!$C$3+1))*('Summary Page'!$C$3+1)</f>
        <v>44.921875</v>
      </c>
      <c r="BP11" s="7">
        <f>((AVERAGE(BK11,BM11)*('Summary Page'!$C$4+1))*('Summary Page'!$C$4+1))*('Summary Page'!$C$4+1)</f>
        <v>39.743999999999993</v>
      </c>
      <c r="BQ11" s="67">
        <v>60</v>
      </c>
      <c r="BR11" s="43"/>
      <c r="BS11" s="43"/>
      <c r="BT11" s="7">
        <f>((AVERAGE(BQ11,BS11)*('Summary Page'!$C$2+1))*('Summary Page'!$C$2+1))*('Summary Page'!$C$2+1)</f>
        <v>93.653759999999977</v>
      </c>
      <c r="BU11" s="7">
        <f>((AVERAGE(BQ11,BS11)*('Summary Page'!$C$3+1))*('Summary Page'!$C$3+1))*('Summary Page'!$C$3+1)</f>
        <v>117.1875</v>
      </c>
      <c r="BV11" s="8">
        <f>((AVERAGE(BQ11,BS11)*('Summary Page'!$C$4+1))*('Summary Page'!$C$4+1))*('Summary Page'!$C$4+1)</f>
        <v>103.67999999999999</v>
      </c>
      <c r="BW11" s="67">
        <v>42</v>
      </c>
      <c r="BX11" s="43"/>
      <c r="BY11" s="43"/>
      <c r="BZ11" s="7">
        <f>((AVERAGE(BW11,BY11)*('Summary Page'!$C$2+1))*('Summary Page'!$C$2+1))*('Summary Page'!$C$2+1)</f>
        <v>65.557631999999984</v>
      </c>
      <c r="CA11" s="7">
        <f>((AVERAGE(BW11,BY11)*('Summary Page'!$C$3+1))*('Summary Page'!$C$3+1))*('Summary Page'!$C$3+1)</f>
        <v>82.03125</v>
      </c>
      <c r="CB11" s="8">
        <f>((AVERAGE(BW11,BY11)*('Summary Page'!$C$4+1))*('Summary Page'!$C$4+1))*('Summary Page'!$C$4+1)</f>
        <v>72.575999999999993</v>
      </c>
      <c r="CC11" s="67">
        <v>25</v>
      </c>
      <c r="CD11" s="43"/>
      <c r="CE11" s="43"/>
      <c r="CF11" s="7">
        <f>((AVERAGE(CC11,CE11)*('Summary Page'!$C$2+1))*('Summary Page'!$C$2+1))*('Summary Page'!$C$2+1)</f>
        <v>39.02239999999999</v>
      </c>
      <c r="CG11" s="7">
        <f>((AVERAGE(CC11,CE11)*('Summary Page'!$C$3+1))*('Summary Page'!$C$3+1))*('Summary Page'!$C$3+1)</f>
        <v>48.828125</v>
      </c>
      <c r="CH11" s="8">
        <f>((AVERAGE(CC11,CE11)*('Summary Page'!$C$4+1))*('Summary Page'!$C$4+1))*('Summary Page'!$C$4+1)</f>
        <v>43.199999999999996</v>
      </c>
      <c r="CI11" s="67">
        <v>19</v>
      </c>
      <c r="CJ11" s="43"/>
      <c r="CK11" s="43"/>
      <c r="CL11" s="7">
        <f>((AVERAGE(CI11,CK11)*('Summary Page'!$C$2+1))*('Summary Page'!$C$2+1))*('Summary Page'!$C$2+1)</f>
        <v>29.657023999999996</v>
      </c>
      <c r="CM11" s="7">
        <f>((AVERAGE(CI11,CK11)*('Summary Page'!$C$3+1))*('Summary Page'!$C$3+1))*('Summary Page'!$C$3+1)</f>
        <v>37.109375</v>
      </c>
      <c r="CN11" s="8">
        <f>((AVERAGE(CI11,CK11)*('Summary Page'!$C$4+1))*('Summary Page'!$C$4+1))*('Summary Page'!$C$4+1)</f>
        <v>32.832000000000001</v>
      </c>
      <c r="CQ11" s="43"/>
      <c r="CR11" s="7">
        <f>((AVERAGE(C6:C11)*('Summary Page'!$C$2+1))*('Summary Page'!$C$2+1))*('Summary Page'!$C$2+1)</f>
        <v>62.956138666666668</v>
      </c>
      <c r="CS11" s="7">
        <f>((AVERAGE(C6:C11)*('Summary Page'!$C$3+1))*('Summary Page'!$C$3+1))*('Summary Page'!$C$3+1)</f>
        <v>78.776041666666686</v>
      </c>
      <c r="CT11" s="8">
        <f>((AVERAGE(C6:C11)*('Summary Page'!$C$4+1))*('Summary Page'!$C$4+1))*('Summary Page'!$C$4+1)</f>
        <v>69.695999999999998</v>
      </c>
      <c r="CW11" s="43"/>
      <c r="CX11" s="7">
        <f>((AVERAGE(D6:D11)*('Summary Page'!$C$2+1))*('Summary Page'!$C$2+1))*('Summary Page'!$C$2+1)</f>
        <v>50.989269333333318</v>
      </c>
      <c r="CY11" s="7">
        <f>((AVERAGE(D6:D11)*('Summary Page'!$C$3+1))*('Summary Page'!$C$3+1))*('Summary Page'!$C$3+1)</f>
        <v>63.802083333333321</v>
      </c>
      <c r="CZ11" s="8">
        <f>((AVERAGE(D6:D11)*('Summary Page'!$C$4+1))*('Summary Page'!$C$4+1))*('Summary Page'!$C$4+1)</f>
        <v>56.447999999999986</v>
      </c>
      <c r="DA11" s="67">
        <v>22</v>
      </c>
      <c r="DB11" s="43"/>
      <c r="DC11" s="43"/>
      <c r="DD11" s="7">
        <f>((AVERAGE(DA11,DC11)*('Summary Page'!$C$2+1))*('Summary Page'!$C$2+1))*('Summary Page'!$C$2+1)</f>
        <v>34.339711999999992</v>
      </c>
      <c r="DE11" s="7">
        <f>((AVERAGE(DA11,DC11)*('Summary Page'!$C$3+1))*('Summary Page'!$C$3+1))*('Summary Page'!$C$3+1)</f>
        <v>42.96875</v>
      </c>
      <c r="DF11" s="8">
        <f>((AVERAGE(DA11,DC11)*('Summary Page'!$C$4+1))*('Summary Page'!$C$4+1))*('Summary Page'!$C$4+1)</f>
        <v>38.015999999999991</v>
      </c>
      <c r="DG11" s="67">
        <v>25</v>
      </c>
      <c r="DH11" s="43"/>
      <c r="DI11" s="43"/>
      <c r="DJ11" s="7">
        <f>((AVERAGE(DG11,DI11)*('Summary Page'!$C$2+1))*('Summary Page'!$C$2+1))*('Summary Page'!$C$2+1)</f>
        <v>39.02239999999999</v>
      </c>
      <c r="DK11" s="7">
        <f>((AVERAGE(DG11,DI11)*('Summary Page'!$C$3+1))*('Summary Page'!$C$3+1))*('Summary Page'!$C$3+1)</f>
        <v>48.828125</v>
      </c>
      <c r="DL11" s="8">
        <f>((AVERAGE(DG11,DI11)*('Summary Page'!$C$4+1))*('Summary Page'!$C$4+1))*('Summary Page'!$C$4+1)</f>
        <v>43.199999999999996</v>
      </c>
      <c r="DO11" s="43"/>
      <c r="DP11" s="7">
        <f>((AVERAGE(F11,DO11)*('Summary Page'!$C$2+1))*('Summary Page'!$C$2+1))*('Summary Page'!$C$2+1)</f>
        <v>0</v>
      </c>
      <c r="DQ11" s="7">
        <f>((AVERAGE(F11,DO11)*('Summary Page'!$C$3+1))*('Summary Page'!$C$3+1))*('Summary Page'!$C$3+1)</f>
        <v>0</v>
      </c>
      <c r="DR11" s="8">
        <f>((AVERAGE(F11,DO11)*('Summary Page'!$C$4+1))*('Summary Page'!$C$4+1))*('Summary Page'!$C$4+1)</f>
        <v>0</v>
      </c>
      <c r="DU11" s="43"/>
      <c r="DV11" s="7">
        <f>((AVERAGE(G11,DU11)*('Summary Page'!$C$2+1))*('Summary Page'!$C$2+1))*('Summary Page'!$C$2+1)</f>
        <v>15.608959999999998</v>
      </c>
      <c r="DW11" s="7">
        <f>((AVERAGE(G11,DU11)*('Summary Page'!$C$3+1))*('Summary Page'!$C$3+1))*('Summary Page'!$C$3+1)</f>
        <v>19.53125</v>
      </c>
      <c r="DX11" s="8">
        <f>((AVERAGE(G11,DU11)*('Summary Page'!$C$4+1))*('Summary Page'!$C$4+1))*('Summary Page'!$C$4+1)</f>
        <v>17.279999999999998</v>
      </c>
      <c r="EA11" s="43"/>
      <c r="EB11" s="7">
        <f>((AVERAGE(H6:H11)*('Summary Page'!$C$2+1))*('Summary Page'!$C$2+1))*('Summary Page'!$C$2+1)</f>
        <v>23.413439999999994</v>
      </c>
      <c r="EC11" s="7">
        <f>((AVERAGE(H6:H11)*('Summary Page'!$C$3+1))*('Summary Page'!$C$3+1))*('Summary Page'!$C$3+1)</f>
        <v>29.296875</v>
      </c>
      <c r="ED11" s="8">
        <f>((AVERAGE(H6:H11)*('Summary Page'!$C$4+1))*('Summary Page'!$C$4+1))*('Summary Page'!$C$4+1)</f>
        <v>25.919999999999998</v>
      </c>
      <c r="EG11" s="43"/>
      <c r="EH11" s="7">
        <f>((AVERAGE(I6:I11)*('Summary Page'!$C$2+1))*('Summary Page'!$C$2+1))*('Summary Page'!$C$2+1)</f>
        <v>72.581663999999989</v>
      </c>
      <c r="EI11" s="7">
        <f>((AVERAGE(I6:I11)*('Summary Page'!$C$3+1))*('Summary Page'!$C$3+1))*('Summary Page'!$C$3+1)</f>
        <v>90.8203125</v>
      </c>
      <c r="EJ11" s="8">
        <f>((AVERAGE(I6:I11)*('Summary Page'!$C$4+1))*('Summary Page'!$C$4+1))*('Summary Page'!$C$4+1)</f>
        <v>80.35199999999999</v>
      </c>
      <c r="EM11" s="43"/>
      <c r="EN11" s="7" t="e">
        <f>((AVERAGE(AD6:AD11)*('Summary Page'!$C$2+1))*('Summary Page'!$C$2+1))*('Summary Page'!$C$2+1)</f>
        <v>#DIV/0!</v>
      </c>
      <c r="EO11" s="7" t="e">
        <f>((AVERAGE(AD6:AD11)*('Summary Page'!$C$3+1))*('Summary Page'!$C$3+1))*('Summary Page'!$C$3+1)</f>
        <v>#DIV/0!</v>
      </c>
      <c r="EP11" s="7" t="e">
        <f>((AVERAGE(AD6:AD11)*('Summary Page'!$C$4+1))*('Summary Page'!$C$4+1))*('Summary Page'!$C$4+1)</f>
        <v>#DIV/0!</v>
      </c>
      <c r="EQ11" s="7">
        <v>100</v>
      </c>
      <c r="ER11" s="9"/>
    </row>
    <row r="12" spans="1:165" ht="15.75" x14ac:dyDescent="0.25">
      <c r="A12" s="1">
        <v>43465</v>
      </c>
      <c r="B12" s="43">
        <v>81</v>
      </c>
      <c r="C12" s="67">
        <v>40</v>
      </c>
      <c r="D12" s="67">
        <v>34</v>
      </c>
      <c r="E12" s="7">
        <f t="shared" si="1"/>
        <v>60.5</v>
      </c>
      <c r="F12" s="67">
        <v>0</v>
      </c>
      <c r="G12" s="67">
        <v>10</v>
      </c>
      <c r="H12" s="67">
        <v>10</v>
      </c>
      <c r="I12" s="67">
        <v>42</v>
      </c>
      <c r="J12" s="67"/>
      <c r="K12" s="5">
        <f t="shared" si="2"/>
        <v>30.125</v>
      </c>
      <c r="L12" s="218"/>
      <c r="M12" s="43"/>
      <c r="N12" s="43"/>
      <c r="O12" s="43"/>
      <c r="P12" s="43"/>
      <c r="Q12" s="43"/>
      <c r="R12" s="43"/>
      <c r="S12" s="43"/>
      <c r="T12" s="43"/>
      <c r="U12" s="219"/>
      <c r="V12" s="13"/>
      <c r="W12" s="13"/>
      <c r="X12" s="13"/>
      <c r="Y12" s="13"/>
      <c r="Z12" s="13"/>
      <c r="AA12" s="13"/>
      <c r="AB12" s="13"/>
      <c r="AC12" s="1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13"/>
      <c r="AO12" s="7">
        <f>((AVERAGE(K7:K12)*('Summary Page'!$C$2+1))*('Summary Page'!$C$2+1))*('Summary Page'!$C$2+1)</f>
        <v>48.030070666666646</v>
      </c>
      <c r="AP12" s="7">
        <f>((AVERAGE(K7:K12)*('Summary Page'!$C$3+1))*('Summary Page'!$C$3+1))*('Summary Page'!$C$3+1)</f>
        <v>60.099283854166657</v>
      </c>
      <c r="AQ12" s="7">
        <f>((AVERAGE(K7:K12)*('Summary Page'!$C$4+1))*('Summary Page'!$C$4+1))*('Summary Page'!$C$4+1)</f>
        <v>53.17199999999999</v>
      </c>
      <c r="AR12" s="7">
        <v>80</v>
      </c>
      <c r="AS12" s="5">
        <f t="shared" si="3"/>
        <v>30.666666666666668</v>
      </c>
      <c r="AT12" s="13"/>
      <c r="AU12" s="13"/>
      <c r="AV12" s="7">
        <f>((AVERAGE(AS12,AU12)*('Summary Page'!$C$2+1))*('Summary Page'!$C$2+1))*('Summary Page'!$C$2+1)</f>
        <v>47.867477333333326</v>
      </c>
      <c r="AW12" s="7">
        <f>((AVERAGE(AS12,AU12)*('Summary Page'!$C$3+1))*('Summary Page'!$C$3+1))*('Summary Page'!$C$3+1)</f>
        <v>59.895833333333343</v>
      </c>
      <c r="AX12" s="8">
        <f>((AVERAGE(AS12,AU12)*('Summary Page'!$C$4+1))*('Summary Page'!$C$4+1))*('Summary Page'!$C$4+1)</f>
        <v>52.991999999999997</v>
      </c>
      <c r="BA12" s="43"/>
      <c r="BB12" s="7">
        <f>((AVERAGE(B7:B12)*(+'Summary Page'!$C$2+1))*('Summary Page'!$C$2+1))*('Summary Page'!$C$2+1)</f>
        <v>132.9363093333333</v>
      </c>
      <c r="BC12" s="7">
        <f>((AVERAGE(B7:B12)*('Summary Page'!$C$3+1))*('Summary Page'!$C$3+1))*('Summary Page'!$C$3+1)</f>
        <v>166.34114583333337</v>
      </c>
      <c r="BD12" s="7">
        <f>((AVERAGE(B7:B12)*('Summary Page'!$C$4+1))*('Summary Page'!$C$4+1))*('Summary Page'!$C$4+1)</f>
        <v>147.16800000000001</v>
      </c>
      <c r="BE12" s="67">
        <v>25</v>
      </c>
      <c r="BF12" s="81"/>
      <c r="BG12" s="43"/>
      <c r="BH12" s="7">
        <f>((AVERAGE(BE12,BG12)*('Summary Page'!$C$2+1))*('Summary Page'!$C$2+1))*('Summary Page'!$C$2+1)</f>
        <v>39.02239999999999</v>
      </c>
      <c r="BI12" s="7">
        <f>((AVERAGE(BE12,BG12)*('Summary Page'!$C$3+1))*('Summary Page'!$C$3+1))*('Summary Page'!$C$3+1)</f>
        <v>48.828125</v>
      </c>
      <c r="BJ12" s="7">
        <f>((AVERAGE(BE12,BG12)*('Summary Page'!$C$4+1))*('Summary Page'!$C$4+1))*('Summary Page'!$C$4+1)</f>
        <v>43.199999999999996</v>
      </c>
      <c r="BK12" s="67">
        <v>23</v>
      </c>
      <c r="BL12" s="43"/>
      <c r="BM12" s="43"/>
      <c r="BN12" s="7">
        <f>((AVERAGE(BK12,BM12)*('Summary Page'!$C$2+1))*('Summary Page'!$C$2+1))*('Summary Page'!$C$2+1)</f>
        <v>35.900607999999998</v>
      </c>
      <c r="BO12" s="7">
        <f>((AVERAGE(BK12,BM12)*('Summary Page'!$C$3+1))*('Summary Page'!$C$3+1))*('Summary Page'!$C$3+1)</f>
        <v>44.921875</v>
      </c>
      <c r="BP12" s="7">
        <f>((AVERAGE(BK12,BM12)*('Summary Page'!$C$4+1))*('Summary Page'!$C$4+1))*('Summary Page'!$C$4+1)</f>
        <v>39.743999999999993</v>
      </c>
      <c r="BQ12" s="67">
        <v>60</v>
      </c>
      <c r="BR12" s="43"/>
      <c r="BS12" s="43"/>
      <c r="BT12" s="7">
        <f>((AVERAGE(BQ12,BS12)*('Summary Page'!$C$2+1))*('Summary Page'!$C$2+1))*('Summary Page'!$C$2+1)</f>
        <v>93.653759999999977</v>
      </c>
      <c r="BU12" s="7">
        <f>((AVERAGE(BQ12,BS12)*('Summary Page'!$C$3+1))*('Summary Page'!$C$3+1))*('Summary Page'!$C$3+1)</f>
        <v>117.1875</v>
      </c>
      <c r="BV12" s="8">
        <f>((AVERAGE(BQ12,BS12)*('Summary Page'!$C$4+1))*('Summary Page'!$C$4+1))*('Summary Page'!$C$4+1)</f>
        <v>103.67999999999999</v>
      </c>
      <c r="BW12" s="67">
        <v>42</v>
      </c>
      <c r="BX12" s="43"/>
      <c r="BY12" s="43"/>
      <c r="BZ12" s="7">
        <f>((AVERAGE(BW12,BY12)*('Summary Page'!$C$2+1))*('Summary Page'!$C$2+1))*('Summary Page'!$C$2+1)</f>
        <v>65.557631999999984</v>
      </c>
      <c r="CA12" s="7">
        <f>((AVERAGE(BW12,BY12)*('Summary Page'!$C$3+1))*('Summary Page'!$C$3+1))*('Summary Page'!$C$3+1)</f>
        <v>82.03125</v>
      </c>
      <c r="CB12" s="8">
        <f>((AVERAGE(BW12,BY12)*('Summary Page'!$C$4+1))*('Summary Page'!$C$4+1))*('Summary Page'!$C$4+1)</f>
        <v>72.575999999999993</v>
      </c>
      <c r="CC12" s="67">
        <v>25</v>
      </c>
      <c r="CD12" s="43"/>
      <c r="CE12" s="43"/>
      <c r="CF12" s="7">
        <f>((AVERAGE(CC12,CE12)*('Summary Page'!$C$2+1))*('Summary Page'!$C$2+1))*('Summary Page'!$C$2+1)</f>
        <v>39.02239999999999</v>
      </c>
      <c r="CG12" s="7">
        <f>((AVERAGE(CC12,CE12)*('Summary Page'!$C$3+1))*('Summary Page'!$C$3+1))*('Summary Page'!$C$3+1)</f>
        <v>48.828125</v>
      </c>
      <c r="CH12" s="8">
        <f>((AVERAGE(CC12,CE12)*('Summary Page'!$C$4+1))*('Summary Page'!$C$4+1))*('Summary Page'!$C$4+1)</f>
        <v>43.199999999999996</v>
      </c>
      <c r="CI12" s="67">
        <v>19</v>
      </c>
      <c r="CJ12" s="43"/>
      <c r="CK12" s="43"/>
      <c r="CL12" s="7">
        <f>((AVERAGE(CI12,CK12)*('Summary Page'!$C$2+1))*('Summary Page'!$C$2+1))*('Summary Page'!$C$2+1)</f>
        <v>29.657023999999996</v>
      </c>
      <c r="CM12" s="7">
        <f>((AVERAGE(CI12,CK12)*('Summary Page'!$C$3+1))*('Summary Page'!$C$3+1))*('Summary Page'!$C$3+1)</f>
        <v>37.109375</v>
      </c>
      <c r="CN12" s="8">
        <f>((AVERAGE(CI12,CK12)*('Summary Page'!$C$4+1))*('Summary Page'!$C$4+1))*('Summary Page'!$C$4+1)</f>
        <v>32.832000000000001</v>
      </c>
      <c r="CQ12" s="43"/>
      <c r="CR12" s="7">
        <f>((AVERAGE(C7:C12)*('Summary Page'!$C$2+1))*('Summary Page'!$C$2+1))*('Summary Page'!$C$2+1)</f>
        <v>61.915541333333316</v>
      </c>
      <c r="CS12" s="7">
        <f>((AVERAGE(C7:C12)*('Summary Page'!$C$3+1))*('Summary Page'!$C$3+1))*('Summary Page'!$C$3+1)</f>
        <v>77.473958333333314</v>
      </c>
      <c r="CT12" s="8">
        <f>((AVERAGE(C7:C12)*('Summary Page'!$C$4+1))*('Summary Page'!$C$4+1))*('Summary Page'!$C$4+1)</f>
        <v>68.543999999999983</v>
      </c>
      <c r="CW12" s="43"/>
      <c r="CX12" s="7">
        <f>((AVERAGE(D7:D12)*('Summary Page'!$C$2+1))*('Summary Page'!$C$2+1))*('Summary Page'!$C$2+1)</f>
        <v>51.249418666666656</v>
      </c>
      <c r="CY12" s="7">
        <f>((AVERAGE(D7:D12)*('Summary Page'!$C$3+1))*('Summary Page'!$C$3+1))*('Summary Page'!$C$3+1)</f>
        <v>64.127604166666686</v>
      </c>
      <c r="CZ12" s="8">
        <f>((AVERAGE(D7:D12)*('Summary Page'!$C$4+1))*('Summary Page'!$C$4+1))*('Summary Page'!$C$4+1)</f>
        <v>56.73599999999999</v>
      </c>
      <c r="DA12" s="67">
        <v>22</v>
      </c>
      <c r="DB12" s="43"/>
      <c r="DC12" s="43"/>
      <c r="DD12" s="7">
        <f>((AVERAGE(DA12,DC12)*('Summary Page'!$C$2+1))*('Summary Page'!$C$2+1))*('Summary Page'!$C$2+1)</f>
        <v>34.339711999999992</v>
      </c>
      <c r="DE12" s="7">
        <f>((AVERAGE(DA12,DC12)*('Summary Page'!$C$3+1))*('Summary Page'!$C$3+1))*('Summary Page'!$C$3+1)</f>
        <v>42.96875</v>
      </c>
      <c r="DF12" s="8">
        <f>((AVERAGE(DA12,DC12)*('Summary Page'!$C$4+1))*('Summary Page'!$C$4+1))*('Summary Page'!$C$4+1)</f>
        <v>38.015999999999991</v>
      </c>
      <c r="DG12" s="67">
        <v>25</v>
      </c>
      <c r="DH12" s="43"/>
      <c r="DI12" s="43"/>
      <c r="DJ12" s="7">
        <f>((AVERAGE(DG12,DI12)*('Summary Page'!$C$2+1))*('Summary Page'!$C$2+1))*('Summary Page'!$C$2+1)</f>
        <v>39.02239999999999</v>
      </c>
      <c r="DK12" s="7">
        <f>((AVERAGE(DG12,DI12)*('Summary Page'!$C$3+1))*('Summary Page'!$C$3+1))*('Summary Page'!$C$3+1)</f>
        <v>48.828125</v>
      </c>
      <c r="DL12" s="8">
        <f>((AVERAGE(DG12,DI12)*('Summary Page'!$C$4+1))*('Summary Page'!$C$4+1))*('Summary Page'!$C$4+1)</f>
        <v>43.199999999999996</v>
      </c>
      <c r="DO12" s="43"/>
      <c r="DP12" s="7">
        <f>((AVERAGE(F12,DO12)*('Summary Page'!$C$2+1))*('Summary Page'!$C$2+1))*('Summary Page'!$C$2+1)</f>
        <v>0</v>
      </c>
      <c r="DQ12" s="7">
        <f>((AVERAGE(F12,DO12)*('Summary Page'!$C$3+1))*('Summary Page'!$C$3+1))*('Summary Page'!$C$3+1)</f>
        <v>0</v>
      </c>
      <c r="DR12" s="8">
        <f>((AVERAGE(F12,DO12)*('Summary Page'!$C$4+1))*('Summary Page'!$C$4+1))*('Summary Page'!$C$4+1)</f>
        <v>0</v>
      </c>
      <c r="DU12" s="43"/>
      <c r="DV12" s="7">
        <f>((AVERAGE(G12,DU12)*('Summary Page'!$C$2+1))*('Summary Page'!$C$2+1))*('Summary Page'!$C$2+1)</f>
        <v>15.608959999999998</v>
      </c>
      <c r="DW12" s="7">
        <f>((AVERAGE(G12,DU12)*('Summary Page'!$C$3+1))*('Summary Page'!$C$3+1))*('Summary Page'!$C$3+1)</f>
        <v>19.53125</v>
      </c>
      <c r="DX12" s="8">
        <f>((AVERAGE(G12,DU12)*('Summary Page'!$C$4+1))*('Summary Page'!$C$4+1))*('Summary Page'!$C$4+1)</f>
        <v>17.279999999999998</v>
      </c>
      <c r="EA12" s="43"/>
      <c r="EB12" s="7">
        <f>((AVERAGE(H7:H12)*('Summary Page'!$C$2+1))*('Summary Page'!$C$2+1))*('Summary Page'!$C$2+1)</f>
        <v>20.551797333333329</v>
      </c>
      <c r="EC12" s="7">
        <f>((AVERAGE(H7:H12)*('Summary Page'!$C$3+1))*('Summary Page'!$C$3+1))*('Summary Page'!$C$3+1)</f>
        <v>25.716145833333329</v>
      </c>
      <c r="ED12" s="8">
        <f>((AVERAGE(H7:H12)*('Summary Page'!$C$4+1))*('Summary Page'!$C$4+1))*('Summary Page'!$C$4+1)</f>
        <v>22.751999999999995</v>
      </c>
      <c r="EG12" s="43"/>
      <c r="EH12" s="7">
        <f>((AVERAGE(I7:I12)*('Summary Page'!$C$2+1))*('Summary Page'!$C$2+1))*('Summary Page'!$C$2+1)</f>
        <v>71.801215999999997</v>
      </c>
      <c r="EI12" s="7">
        <f>((AVERAGE(I7:I12)*('Summary Page'!$C$3+1))*('Summary Page'!$C$3+1))*('Summary Page'!$C$3+1)</f>
        <v>89.84375</v>
      </c>
      <c r="EJ12" s="8">
        <f>((AVERAGE(I7:I12)*('Summary Page'!$C$4+1))*('Summary Page'!$C$4+1))*('Summary Page'!$C$4+1)</f>
        <v>79.487999999999985</v>
      </c>
      <c r="EM12" s="43"/>
      <c r="EN12" s="7" t="e">
        <f>((AVERAGE(AD7:AD12)*('Summary Page'!$C$2+1))*('Summary Page'!$C$2+1))*('Summary Page'!$C$2+1)</f>
        <v>#DIV/0!</v>
      </c>
      <c r="EO12" s="7" t="e">
        <f>((AVERAGE(AD7:AD12)*('Summary Page'!$C$3+1))*('Summary Page'!$C$3+1))*('Summary Page'!$C$3+1)</f>
        <v>#DIV/0!</v>
      </c>
      <c r="EP12" s="7" t="e">
        <f>((AVERAGE(AD7:AD12)*('Summary Page'!$C$4+1))*('Summary Page'!$C$4+1))*('Summary Page'!$C$4+1)</f>
        <v>#DIV/0!</v>
      </c>
      <c r="EQ12" s="7">
        <v>100</v>
      </c>
      <c r="ER12" s="9"/>
    </row>
    <row r="13" spans="1:165" ht="15.75" x14ac:dyDescent="0.25">
      <c r="A13" s="1">
        <v>43479</v>
      </c>
      <c r="B13" s="43">
        <v>77</v>
      </c>
      <c r="C13" s="67">
        <v>42</v>
      </c>
      <c r="D13" s="67">
        <v>36</v>
      </c>
      <c r="E13" s="7">
        <f t="shared" si="1"/>
        <v>59.5</v>
      </c>
      <c r="F13" s="67">
        <v>0</v>
      </c>
      <c r="G13" s="67">
        <v>19</v>
      </c>
      <c r="H13" s="67">
        <v>10</v>
      </c>
      <c r="I13" s="67">
        <v>43</v>
      </c>
      <c r="J13" s="67"/>
      <c r="K13" s="5">
        <f t="shared" si="2"/>
        <v>30.375</v>
      </c>
      <c r="L13" s="218"/>
      <c r="M13" s="43"/>
      <c r="N13" s="43"/>
      <c r="O13" s="43"/>
      <c r="P13" s="43"/>
      <c r="Q13" s="43"/>
      <c r="R13" s="43"/>
      <c r="S13" s="43"/>
      <c r="T13" s="43"/>
      <c r="U13" s="219"/>
      <c r="V13" s="13"/>
      <c r="W13" s="13"/>
      <c r="X13" s="13"/>
      <c r="Y13" s="13"/>
      <c r="Z13" s="13"/>
      <c r="AA13" s="13"/>
      <c r="AB13" s="13"/>
      <c r="AC13" s="1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13"/>
      <c r="AO13" s="7">
        <f>((AVERAGE(K8:K13)*('Summary Page'!$C$2+1))*('Summary Page'!$C$2+1))*('Summary Page'!$C$2+1)</f>
        <v>48.127626666666657</v>
      </c>
      <c r="AP13" s="7">
        <f>((AVERAGE(K8:K13)*('Summary Page'!$C$3+1))*('Summary Page'!$C$3+1))*('Summary Page'!$C$3+1)</f>
        <v>60.221354166666657</v>
      </c>
      <c r="AQ13" s="7">
        <f>((AVERAGE(K8:K13)*('Summary Page'!$C$4+1))*('Summary Page'!$C$4+1))*('Summary Page'!$C$4+1)</f>
        <v>53.279999999999994</v>
      </c>
      <c r="AR13" s="7">
        <v>80</v>
      </c>
      <c r="AS13" s="5">
        <f t="shared" si="3"/>
        <v>34.666666666666664</v>
      </c>
      <c r="AT13" s="13"/>
      <c r="AU13" s="13"/>
      <c r="AV13" s="7">
        <f>((AVERAGE(AS13,AU13)*('Summary Page'!$C$2+1))*('Summary Page'!$C$2+1))*('Summary Page'!$C$2+1)</f>
        <v>54.111061333333318</v>
      </c>
      <c r="AW13" s="7">
        <f>((AVERAGE(AS13,AU13)*('Summary Page'!$C$3+1))*('Summary Page'!$C$3+1))*('Summary Page'!$C$3+1)</f>
        <v>67.708333333333314</v>
      </c>
      <c r="AX13" s="8">
        <f>((AVERAGE(AS13,AU13)*('Summary Page'!$C$4+1))*('Summary Page'!$C$4+1))*('Summary Page'!$C$4+1)</f>
        <v>59.903999999999989</v>
      </c>
      <c r="BA13" s="43"/>
      <c r="BB13" s="7">
        <f>((AVERAGE(B8:B13)*(+'Summary Page'!$C$2+1))*('Summary Page'!$C$2+1))*('Summary Page'!$C$2+1)</f>
        <v>130.33481599999999</v>
      </c>
      <c r="BC13" s="7">
        <f>((AVERAGE(B8:B13)*('Summary Page'!$C$3+1))*('Summary Page'!$C$3+1))*('Summary Page'!$C$3+1)</f>
        <v>163.0859375</v>
      </c>
      <c r="BD13" s="7">
        <f>((AVERAGE(B8:B13)*('Summary Page'!$C$4+1))*('Summary Page'!$C$4+1))*('Summary Page'!$C$4+1)</f>
        <v>144.28799999999998</v>
      </c>
      <c r="BE13" s="67">
        <v>25</v>
      </c>
      <c r="BF13" s="81"/>
      <c r="BG13" s="43"/>
      <c r="BH13" s="7">
        <f>((AVERAGE(BE13,BG13)*('Summary Page'!$C$2+1))*('Summary Page'!$C$2+1))*('Summary Page'!$C$2+1)</f>
        <v>39.02239999999999</v>
      </c>
      <c r="BI13" s="7">
        <f>((AVERAGE(BE13,BG13)*('Summary Page'!$C$3+1))*('Summary Page'!$C$3+1))*('Summary Page'!$C$3+1)</f>
        <v>48.828125</v>
      </c>
      <c r="BJ13" s="7">
        <f>((AVERAGE(BE13,BG13)*('Summary Page'!$C$4+1))*('Summary Page'!$C$4+1))*('Summary Page'!$C$4+1)</f>
        <v>43.199999999999996</v>
      </c>
      <c r="BK13" s="67">
        <v>22</v>
      </c>
      <c r="BL13" s="43"/>
      <c r="BM13" s="43"/>
      <c r="BN13" s="7">
        <f>((AVERAGE(BK13,BM13)*('Summary Page'!$C$2+1))*('Summary Page'!$C$2+1))*('Summary Page'!$C$2+1)</f>
        <v>34.339711999999992</v>
      </c>
      <c r="BO13" s="7">
        <f>((AVERAGE(BK13,BM13)*('Summary Page'!$C$3+1))*('Summary Page'!$C$3+1))*('Summary Page'!$C$3+1)</f>
        <v>42.96875</v>
      </c>
      <c r="BP13" s="7">
        <f>((AVERAGE(BK13,BM13)*('Summary Page'!$C$4+1))*('Summary Page'!$C$4+1))*('Summary Page'!$C$4+1)</f>
        <v>38.015999999999991</v>
      </c>
      <c r="BQ13" s="67">
        <v>73</v>
      </c>
      <c r="BR13" s="43"/>
      <c r="BS13" s="43"/>
      <c r="BT13" s="7">
        <f>((AVERAGE(BQ13,BS13)*('Summary Page'!$C$2+1))*('Summary Page'!$C$2+1))*('Summary Page'!$C$2+1)</f>
        <v>113.94540799999997</v>
      </c>
      <c r="BU13" s="7">
        <f>((AVERAGE(BQ13,BS13)*('Summary Page'!$C$3+1))*('Summary Page'!$C$3+1))*('Summary Page'!$C$3+1)</f>
        <v>142.578125</v>
      </c>
      <c r="BV13" s="8">
        <f>((AVERAGE(BQ13,BS13)*('Summary Page'!$C$4+1))*('Summary Page'!$C$4+1))*('Summary Page'!$C$4+1)</f>
        <v>126.14399999999998</v>
      </c>
      <c r="BW13" s="67">
        <v>43</v>
      </c>
      <c r="BX13" s="43"/>
      <c r="BY13" s="43"/>
      <c r="BZ13" s="7">
        <f>((AVERAGE(BW13,BY13)*('Summary Page'!$C$2+1))*('Summary Page'!$C$2+1))*('Summary Page'!$C$2+1)</f>
        <v>67.118527999999984</v>
      </c>
      <c r="CA13" s="7">
        <f>((AVERAGE(BW13,BY13)*('Summary Page'!$C$3+1))*('Summary Page'!$C$3+1))*('Summary Page'!$C$3+1)</f>
        <v>83.984375</v>
      </c>
      <c r="CB13" s="8">
        <f>((AVERAGE(BW13,BY13)*('Summary Page'!$C$4+1))*('Summary Page'!$C$4+1))*('Summary Page'!$C$4+1)</f>
        <v>74.304000000000002</v>
      </c>
      <c r="CC13" s="67">
        <v>23</v>
      </c>
      <c r="CD13" s="43"/>
      <c r="CE13" s="43"/>
      <c r="CF13" s="7">
        <f>((AVERAGE(CC13,CE13)*('Summary Page'!$C$2+1))*('Summary Page'!$C$2+1))*('Summary Page'!$C$2+1)</f>
        <v>35.900607999999998</v>
      </c>
      <c r="CG13" s="7">
        <f>((AVERAGE(CC13,CE13)*('Summary Page'!$C$3+1))*('Summary Page'!$C$3+1))*('Summary Page'!$C$3+1)</f>
        <v>44.921875</v>
      </c>
      <c r="CH13" s="8">
        <f>((AVERAGE(CC13,CE13)*('Summary Page'!$C$4+1))*('Summary Page'!$C$4+1))*('Summary Page'!$C$4+1)</f>
        <v>39.743999999999993</v>
      </c>
      <c r="CI13" s="67">
        <v>18</v>
      </c>
      <c r="CJ13" s="43"/>
      <c r="CK13" s="43"/>
      <c r="CL13" s="7">
        <f>((AVERAGE(CI13,CK13)*('Summary Page'!$C$2+1))*('Summary Page'!$C$2+1))*('Summary Page'!$C$2+1)</f>
        <v>28.096127999999993</v>
      </c>
      <c r="CM13" s="7">
        <f>((AVERAGE(CI13,CK13)*('Summary Page'!$C$3+1))*('Summary Page'!$C$3+1))*('Summary Page'!$C$3+1)</f>
        <v>35.15625</v>
      </c>
      <c r="CN13" s="8">
        <f>((AVERAGE(CI13,CK13)*('Summary Page'!$C$4+1))*('Summary Page'!$C$4+1))*('Summary Page'!$C$4+1)</f>
        <v>31.103999999999996</v>
      </c>
      <c r="CQ13" s="43"/>
      <c r="CR13" s="7">
        <f>((AVERAGE(C8:C13)*('Summary Page'!$C$2+1))*('Summary Page'!$C$2+1))*('Summary Page'!$C$2+1)</f>
        <v>62.175690666666654</v>
      </c>
      <c r="CS13" s="7">
        <f>((AVERAGE(C8:C13)*('Summary Page'!$C$3+1))*('Summary Page'!$C$3+1))*('Summary Page'!$C$3+1)</f>
        <v>77.799479166666686</v>
      </c>
      <c r="CT13" s="8">
        <f>((AVERAGE(C8:C13)*('Summary Page'!$C$4+1))*('Summary Page'!$C$4+1))*('Summary Page'!$C$4+1)</f>
        <v>68.832000000000008</v>
      </c>
      <c r="CW13" s="43"/>
      <c r="CX13" s="7">
        <f>((AVERAGE(D8:D13)*('Summary Page'!$C$2+1))*('Summary Page'!$C$2+1))*('Summary Page'!$C$2+1)</f>
        <v>52.029866666666656</v>
      </c>
      <c r="CY13" s="7">
        <f>((AVERAGE(D8:D13)*('Summary Page'!$C$3+1))*('Summary Page'!$C$3+1))*('Summary Page'!$C$3+1)</f>
        <v>65.104166666666686</v>
      </c>
      <c r="CZ13" s="8">
        <f>((AVERAGE(D8:D13)*('Summary Page'!$C$4+1))*('Summary Page'!$C$4+1))*('Summary Page'!$C$4+1)</f>
        <v>57.599999999999994</v>
      </c>
      <c r="DA13" s="67">
        <v>18</v>
      </c>
      <c r="DB13" s="43"/>
      <c r="DC13" s="43"/>
      <c r="DD13" s="7">
        <f>((AVERAGE(DA13,DC13)*('Summary Page'!$C$2+1))*('Summary Page'!$C$2+1))*('Summary Page'!$C$2+1)</f>
        <v>28.096127999999993</v>
      </c>
      <c r="DE13" s="7">
        <f>((AVERAGE(DA13,DC13)*('Summary Page'!$C$3+1))*('Summary Page'!$C$3+1))*('Summary Page'!$C$3+1)</f>
        <v>35.15625</v>
      </c>
      <c r="DF13" s="8">
        <f>((AVERAGE(DA13,DC13)*('Summary Page'!$C$4+1))*('Summary Page'!$C$4+1))*('Summary Page'!$C$4+1)</f>
        <v>31.103999999999996</v>
      </c>
      <c r="DG13" s="67">
        <v>21</v>
      </c>
      <c r="DH13" s="43"/>
      <c r="DI13" s="43"/>
      <c r="DJ13" s="7">
        <f>((AVERAGE(DG13,DI13)*('Summary Page'!$C$2+1))*('Summary Page'!$C$2+1))*('Summary Page'!$C$2+1)</f>
        <v>32.778815999999992</v>
      </c>
      <c r="DK13" s="7">
        <f>((AVERAGE(DG13,DI13)*('Summary Page'!$C$3+1))*('Summary Page'!$C$3+1))*('Summary Page'!$C$3+1)</f>
        <v>41.015625</v>
      </c>
      <c r="DL13" s="8">
        <f>((AVERAGE(DG13,DI13)*('Summary Page'!$C$4+1))*('Summary Page'!$C$4+1))*('Summary Page'!$C$4+1)</f>
        <v>36.287999999999997</v>
      </c>
      <c r="DO13" s="43"/>
      <c r="DP13" s="7">
        <f>((AVERAGE(F13,DO13)*('Summary Page'!$C$2+1))*('Summary Page'!$C$2+1))*('Summary Page'!$C$2+1)</f>
        <v>0</v>
      </c>
      <c r="DQ13" s="7">
        <f>((AVERAGE(F13,DO13)*('Summary Page'!$C$3+1))*('Summary Page'!$C$3+1))*('Summary Page'!$C$3+1)</f>
        <v>0</v>
      </c>
      <c r="DR13" s="8">
        <f>((AVERAGE(F13,DO13)*('Summary Page'!$C$4+1))*('Summary Page'!$C$4+1))*('Summary Page'!$C$4+1)</f>
        <v>0</v>
      </c>
      <c r="DU13" s="43"/>
      <c r="DV13" s="7">
        <f>((AVERAGE(G13,DU13)*('Summary Page'!$C$2+1))*('Summary Page'!$C$2+1))*('Summary Page'!$C$2+1)</f>
        <v>29.657023999999996</v>
      </c>
      <c r="DW13" s="7">
        <f>((AVERAGE(G13,DU13)*('Summary Page'!$C$3+1))*('Summary Page'!$C$3+1))*('Summary Page'!$C$3+1)</f>
        <v>37.109375</v>
      </c>
      <c r="DX13" s="8">
        <f>((AVERAGE(G13,DU13)*('Summary Page'!$C$4+1))*('Summary Page'!$C$4+1))*('Summary Page'!$C$4+1)</f>
        <v>32.832000000000001</v>
      </c>
      <c r="EA13" s="43"/>
      <c r="EB13" s="7">
        <f>((AVERAGE(H8:H13)*('Summary Page'!$C$2+1))*('Summary Page'!$C$2+1))*('Summary Page'!$C$2+1)</f>
        <v>18.470602666666665</v>
      </c>
      <c r="EC13" s="7">
        <f>((AVERAGE(H8:H13)*('Summary Page'!$C$3+1))*('Summary Page'!$C$3+1))*('Summary Page'!$C$3+1)</f>
        <v>23.111979166666671</v>
      </c>
      <c r="ED13" s="8">
        <f>((AVERAGE(H8:H13)*('Summary Page'!$C$4+1))*('Summary Page'!$C$4+1))*('Summary Page'!$C$4+1)</f>
        <v>20.447999999999997</v>
      </c>
      <c r="EG13" s="43"/>
      <c r="EH13" s="7">
        <f>((AVERAGE(I8:I13)*('Summary Page'!$C$2+1))*('Summary Page'!$C$2+1))*('Summary Page'!$C$2+1)</f>
        <v>70.760618666666659</v>
      </c>
      <c r="EI13" s="7">
        <f>((AVERAGE(I8:I13)*('Summary Page'!$C$3+1))*('Summary Page'!$C$3+1))*('Summary Page'!$C$3+1)</f>
        <v>88.541666666666686</v>
      </c>
      <c r="EJ13" s="8">
        <f>((AVERAGE(I8:I13)*('Summary Page'!$C$4+1))*('Summary Page'!$C$4+1))*('Summary Page'!$C$4+1)</f>
        <v>78.335999999999999</v>
      </c>
      <c r="EM13" s="43"/>
      <c r="EN13" s="7" t="e">
        <f>((AVERAGE(AD8:AD13)*('Summary Page'!$C$2+1))*('Summary Page'!$C$2+1))*('Summary Page'!$C$2+1)</f>
        <v>#DIV/0!</v>
      </c>
      <c r="EO13" s="7" t="e">
        <f>((AVERAGE(AD8:AD13)*('Summary Page'!$C$3+1))*('Summary Page'!$C$3+1))*('Summary Page'!$C$3+1)</f>
        <v>#DIV/0!</v>
      </c>
      <c r="EP13" s="7" t="e">
        <f>((AVERAGE(AD8:AD13)*('Summary Page'!$C$4+1))*('Summary Page'!$C$4+1))*('Summary Page'!$C$4+1)</f>
        <v>#DIV/0!</v>
      </c>
      <c r="EQ13" s="7">
        <v>100</v>
      </c>
      <c r="ER13" s="9"/>
    </row>
    <row r="14" spans="1:165" ht="15.75" x14ac:dyDescent="0.25">
      <c r="A14" s="1">
        <v>43493</v>
      </c>
      <c r="B14" s="43">
        <v>76</v>
      </c>
      <c r="C14" s="67">
        <v>42</v>
      </c>
      <c r="D14" s="67">
        <v>36</v>
      </c>
      <c r="E14" s="7">
        <f t="shared" si="1"/>
        <v>59</v>
      </c>
      <c r="F14" s="67">
        <v>0</v>
      </c>
      <c r="G14" s="67">
        <v>17</v>
      </c>
      <c r="H14" s="67">
        <v>10</v>
      </c>
      <c r="I14" s="67">
        <v>59</v>
      </c>
      <c r="J14" s="67"/>
      <c r="K14" s="5">
        <f t="shared" si="2"/>
        <v>32.375</v>
      </c>
      <c r="L14" s="218"/>
      <c r="M14" s="43"/>
      <c r="N14" s="43"/>
      <c r="O14" s="43"/>
      <c r="P14" s="43"/>
      <c r="Q14" s="43"/>
      <c r="R14" s="43"/>
      <c r="S14" s="43"/>
      <c r="T14" s="43"/>
      <c r="U14" s="219"/>
      <c r="V14" s="13"/>
      <c r="W14" s="13"/>
      <c r="X14" s="13"/>
      <c r="Y14" s="13"/>
      <c r="Z14" s="13"/>
      <c r="AA14" s="13"/>
      <c r="AB14" s="13"/>
      <c r="AC14" s="1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13"/>
      <c r="AO14" s="7">
        <f>((AVERAGE(K9:K14)*('Summary Page'!$C$2+1))*('Summary Page'!$C$2+1))*('Summary Page'!$C$2+1)</f>
        <v>47.932514666666656</v>
      </c>
      <c r="AP14" s="7">
        <f>((AVERAGE(K9:K14)*('Summary Page'!$C$3+1))*('Summary Page'!$C$3+1))*('Summary Page'!$C$3+1)</f>
        <v>59.977213541666657</v>
      </c>
      <c r="AQ14" s="7">
        <f>((AVERAGE(K9:K14)*('Summary Page'!$C$4+1))*('Summary Page'!$C$4+1))*('Summary Page'!$C$4+1)</f>
        <v>53.063999999999986</v>
      </c>
      <c r="AR14" s="7">
        <v>80</v>
      </c>
      <c r="AS14" s="5">
        <f t="shared" si="3"/>
        <v>39.333333333333336</v>
      </c>
      <c r="AT14" s="13"/>
      <c r="AU14" s="13"/>
      <c r="AV14" s="7">
        <f>((AVERAGE(AS14,AU14)*('Summary Page'!$C$2+1))*('Summary Page'!$C$2+1))*('Summary Page'!$C$2+1)</f>
        <v>61.395242666666661</v>
      </c>
      <c r="AW14" s="7">
        <f>((AVERAGE(AS14,AU14)*('Summary Page'!$C$3+1))*('Summary Page'!$C$3+1))*('Summary Page'!$C$3+1)</f>
        <v>76.822916666666686</v>
      </c>
      <c r="AX14" s="8">
        <f>((AVERAGE(AS14,AU14)*('Summary Page'!$C$4+1))*('Summary Page'!$C$4+1))*('Summary Page'!$C$4+1)</f>
        <v>67.968000000000004</v>
      </c>
      <c r="BA14" s="43"/>
      <c r="BB14" s="7">
        <f>((AVERAGE(B9:B14)*(+'Summary Page'!$C$2+1))*('Summary Page'!$C$2+1))*('Summary Page'!$C$2+1)</f>
        <v>126.17242666666662</v>
      </c>
      <c r="BC14" s="7">
        <f>((AVERAGE(B9:B14)*('Summary Page'!$C$3+1))*('Summary Page'!$C$3+1))*('Summary Page'!$C$3+1)</f>
        <v>157.87760416666663</v>
      </c>
      <c r="BD14" s="7">
        <f>((AVERAGE(B9:B14)*('Summary Page'!$C$4+1))*('Summary Page'!$C$4+1))*('Summary Page'!$C$4+1)</f>
        <v>139.67999999999998</v>
      </c>
      <c r="BE14" s="67">
        <v>26</v>
      </c>
      <c r="BF14" s="81"/>
      <c r="BG14" s="43"/>
      <c r="BH14" s="7">
        <f>((AVERAGE(BE14,BG14)*('Summary Page'!$C$2+1))*('Summary Page'!$C$2+1))*('Summary Page'!$C$2+1)</f>
        <v>40.58329599999999</v>
      </c>
      <c r="BI14" s="7">
        <f>((AVERAGE(BE14,BG14)*('Summary Page'!$C$3+1))*('Summary Page'!$C$3+1))*('Summary Page'!$C$3+1)</f>
        <v>50.78125</v>
      </c>
      <c r="BJ14" s="7">
        <f>((AVERAGE(BE14,BG14)*('Summary Page'!$C$4+1))*('Summary Page'!$C$4+1))*('Summary Page'!$C$4+1)</f>
        <v>44.927999999999997</v>
      </c>
      <c r="BK14" s="67">
        <v>22</v>
      </c>
      <c r="BL14" s="43"/>
      <c r="BM14" s="43"/>
      <c r="BN14" s="7">
        <f>((AVERAGE(BK14,BM14)*('Summary Page'!$C$2+1))*('Summary Page'!$C$2+1))*('Summary Page'!$C$2+1)</f>
        <v>34.339711999999992</v>
      </c>
      <c r="BO14" s="7">
        <f>((AVERAGE(BK14,BM14)*('Summary Page'!$C$3+1))*('Summary Page'!$C$3+1))*('Summary Page'!$C$3+1)</f>
        <v>42.96875</v>
      </c>
      <c r="BP14" s="7">
        <f>((AVERAGE(BK14,BM14)*('Summary Page'!$C$4+1))*('Summary Page'!$C$4+1))*('Summary Page'!$C$4+1)</f>
        <v>38.015999999999991</v>
      </c>
      <c r="BQ14" s="67">
        <v>69</v>
      </c>
      <c r="BR14" s="43"/>
      <c r="BS14" s="43"/>
      <c r="BT14" s="7">
        <f>((AVERAGE(BQ14,BS14)*('Summary Page'!$C$2+1))*('Summary Page'!$C$2+1))*('Summary Page'!$C$2+1)</f>
        <v>107.70182399999997</v>
      </c>
      <c r="BU14" s="7">
        <f>((AVERAGE(BQ14,BS14)*('Summary Page'!$C$3+1))*('Summary Page'!$C$3+1))*('Summary Page'!$C$3+1)</f>
        <v>134.765625</v>
      </c>
      <c r="BV14" s="8">
        <f>((AVERAGE(BQ14,BS14)*('Summary Page'!$C$4+1))*('Summary Page'!$C$4+1))*('Summary Page'!$C$4+1)</f>
        <v>119.232</v>
      </c>
      <c r="BW14" s="67">
        <v>41</v>
      </c>
      <c r="BX14" s="43"/>
      <c r="BY14" s="43"/>
      <c r="BZ14" s="7">
        <f>((AVERAGE(BW14,BY14)*('Summary Page'!$C$2+1))*('Summary Page'!$C$2+1))*('Summary Page'!$C$2+1)</f>
        <v>63.996735999999984</v>
      </c>
      <c r="CA14" s="7">
        <f>((AVERAGE(BW14,BY14)*('Summary Page'!$C$3+1))*('Summary Page'!$C$3+1))*('Summary Page'!$C$3+1)</f>
        <v>80.078125</v>
      </c>
      <c r="CB14" s="8">
        <f>((AVERAGE(BW14,BY14)*('Summary Page'!$C$4+1))*('Summary Page'!$C$4+1))*('Summary Page'!$C$4+1)</f>
        <v>70.847999999999985</v>
      </c>
      <c r="CC14" s="67">
        <v>31</v>
      </c>
      <c r="CD14" s="43"/>
      <c r="CE14" s="43"/>
      <c r="CF14" s="7">
        <f>((AVERAGE(CC14,CE14)*('Summary Page'!$C$2+1))*('Summary Page'!$C$2+1))*('Summary Page'!$C$2+1)</f>
        <v>48.387775999999995</v>
      </c>
      <c r="CG14" s="7">
        <f>((AVERAGE(CC14,CE14)*('Summary Page'!$C$3+1))*('Summary Page'!$C$3+1))*('Summary Page'!$C$3+1)</f>
        <v>60.546875</v>
      </c>
      <c r="CH14" s="8">
        <f>((AVERAGE(CC14,CE14)*('Summary Page'!$C$4+1))*('Summary Page'!$C$4+1))*('Summary Page'!$C$4+1)</f>
        <v>53.567999999999991</v>
      </c>
      <c r="CI14" s="67">
        <v>23</v>
      </c>
      <c r="CJ14" s="43"/>
      <c r="CK14" s="43"/>
      <c r="CL14" s="7">
        <f>((AVERAGE(CI14,CK14)*('Summary Page'!$C$2+1))*('Summary Page'!$C$2+1))*('Summary Page'!$C$2+1)</f>
        <v>35.900607999999998</v>
      </c>
      <c r="CM14" s="7">
        <f>((AVERAGE(CI14,CK14)*('Summary Page'!$C$3+1))*('Summary Page'!$C$3+1))*('Summary Page'!$C$3+1)</f>
        <v>44.921875</v>
      </c>
      <c r="CN14" s="8">
        <f>((AVERAGE(CI14,CK14)*('Summary Page'!$C$4+1))*('Summary Page'!$C$4+1))*('Summary Page'!$C$4+1)</f>
        <v>39.743999999999993</v>
      </c>
      <c r="CQ14" s="43"/>
      <c r="CR14" s="7">
        <f>((AVERAGE(C9:C14)*('Summary Page'!$C$2+1))*('Summary Page'!$C$2+1))*('Summary Page'!$C$2+1)</f>
        <v>62.175690666666654</v>
      </c>
      <c r="CS14" s="7">
        <f>((AVERAGE(C9:C14)*('Summary Page'!$C$3+1))*('Summary Page'!$C$3+1))*('Summary Page'!$C$3+1)</f>
        <v>77.799479166666686</v>
      </c>
      <c r="CT14" s="8">
        <f>((AVERAGE(C9:C14)*('Summary Page'!$C$4+1))*('Summary Page'!$C$4+1))*('Summary Page'!$C$4+1)</f>
        <v>68.832000000000008</v>
      </c>
      <c r="CW14" s="43"/>
      <c r="CX14" s="7">
        <f>((AVERAGE(D9:D14)*('Summary Page'!$C$2+1))*('Summary Page'!$C$2+1))*('Summary Page'!$C$2+1)</f>
        <v>52.290015999999994</v>
      </c>
      <c r="CY14" s="7">
        <f>((AVERAGE(D9:D14)*('Summary Page'!$C$3+1))*('Summary Page'!$C$3+1))*('Summary Page'!$C$3+1)</f>
        <v>65.4296875</v>
      </c>
      <c r="CZ14" s="8">
        <f>((AVERAGE(D9:D14)*('Summary Page'!$C$4+1))*('Summary Page'!$C$4+1))*('Summary Page'!$C$4+1)</f>
        <v>57.887999999999991</v>
      </c>
      <c r="DA14" s="67">
        <v>21</v>
      </c>
      <c r="DB14" s="43"/>
      <c r="DC14" s="43"/>
      <c r="DD14" s="7">
        <f>((AVERAGE(DA14,DC14)*('Summary Page'!$C$2+1))*('Summary Page'!$C$2+1))*('Summary Page'!$C$2+1)</f>
        <v>32.778815999999992</v>
      </c>
      <c r="DE14" s="7">
        <f>((AVERAGE(DA14,DC14)*('Summary Page'!$C$3+1))*('Summary Page'!$C$3+1))*('Summary Page'!$C$3+1)</f>
        <v>41.015625</v>
      </c>
      <c r="DF14" s="8">
        <f>((AVERAGE(DA14,DC14)*('Summary Page'!$C$4+1))*('Summary Page'!$C$4+1))*('Summary Page'!$C$4+1)</f>
        <v>36.287999999999997</v>
      </c>
      <c r="DG14" s="67">
        <v>26</v>
      </c>
      <c r="DH14" s="43"/>
      <c r="DI14" s="43"/>
      <c r="DJ14" s="7">
        <f>((AVERAGE(DG14,DI14)*('Summary Page'!$C$2+1))*('Summary Page'!$C$2+1))*('Summary Page'!$C$2+1)</f>
        <v>40.58329599999999</v>
      </c>
      <c r="DK14" s="7">
        <f>((AVERAGE(DG14,DI14)*('Summary Page'!$C$3+1))*('Summary Page'!$C$3+1))*('Summary Page'!$C$3+1)</f>
        <v>50.78125</v>
      </c>
      <c r="DL14" s="8">
        <f>((AVERAGE(DG14,DI14)*('Summary Page'!$C$4+1))*('Summary Page'!$C$4+1))*('Summary Page'!$C$4+1)</f>
        <v>44.927999999999997</v>
      </c>
      <c r="DO14" s="43"/>
      <c r="DP14" s="7">
        <f>((AVERAGE(F14,DO14)*('Summary Page'!$C$2+1))*('Summary Page'!$C$2+1))*('Summary Page'!$C$2+1)</f>
        <v>0</v>
      </c>
      <c r="DQ14" s="7">
        <f>((AVERAGE(F14,DO14)*('Summary Page'!$C$3+1))*('Summary Page'!$C$3+1))*('Summary Page'!$C$3+1)</f>
        <v>0</v>
      </c>
      <c r="DR14" s="8">
        <f>((AVERAGE(F14,DO14)*('Summary Page'!$C$4+1))*('Summary Page'!$C$4+1))*('Summary Page'!$C$4+1)</f>
        <v>0</v>
      </c>
      <c r="DU14" s="43"/>
      <c r="DV14" s="7">
        <f>((AVERAGE(G14,DU14)*('Summary Page'!$C$2+1))*('Summary Page'!$C$2+1))*('Summary Page'!$C$2+1)</f>
        <v>26.535231999999993</v>
      </c>
      <c r="DW14" s="7">
        <f>((AVERAGE(G14,DU14)*('Summary Page'!$C$3+1))*('Summary Page'!$C$3+1))*('Summary Page'!$C$3+1)</f>
        <v>33.203125</v>
      </c>
      <c r="DX14" s="8">
        <f>((AVERAGE(G14,DU14)*('Summary Page'!$C$4+1))*('Summary Page'!$C$4+1))*('Summary Page'!$C$4+1)</f>
        <v>29.375999999999994</v>
      </c>
      <c r="EA14" s="43"/>
      <c r="EB14" s="7">
        <f>((AVERAGE(H9:H14)*('Summary Page'!$C$2+1))*('Summary Page'!$C$2+1))*('Summary Page'!$C$2+1)</f>
        <v>16.909706666666665</v>
      </c>
      <c r="EC14" s="7">
        <f>((AVERAGE(H9:H14)*('Summary Page'!$C$3+1))*('Summary Page'!$C$3+1))*('Summary Page'!$C$3+1)</f>
        <v>21.158854166666671</v>
      </c>
      <c r="ED14" s="8">
        <f>((AVERAGE(H9:H14)*('Summary Page'!$C$4+1))*('Summary Page'!$C$4+1))*('Summary Page'!$C$4+1)</f>
        <v>18.72</v>
      </c>
      <c r="EG14" s="43"/>
      <c r="EH14" s="7">
        <f>((AVERAGE(I9:I14)*('Summary Page'!$C$2+1))*('Summary Page'!$C$2+1))*('Summary Page'!$C$2+1)</f>
        <v>73.362111999999982</v>
      </c>
      <c r="EI14" s="7">
        <f>((AVERAGE(I9:I14)*('Summary Page'!$C$3+1))*('Summary Page'!$C$3+1))*('Summary Page'!$C$3+1)</f>
        <v>91.796875</v>
      </c>
      <c r="EJ14" s="8">
        <f>((AVERAGE(I9:I14)*('Summary Page'!$C$4+1))*('Summary Page'!$C$4+1))*('Summary Page'!$C$4+1)</f>
        <v>81.215999999999994</v>
      </c>
      <c r="EM14" s="43"/>
      <c r="EN14" s="7" t="e">
        <f>((AVERAGE(AD9:AD14)*('Summary Page'!$C$2+1))*('Summary Page'!$C$2+1))*('Summary Page'!$C$2+1)</f>
        <v>#DIV/0!</v>
      </c>
      <c r="EO14" s="7" t="e">
        <f>((AVERAGE(AD9:AD14)*('Summary Page'!$C$3+1))*('Summary Page'!$C$3+1))*('Summary Page'!$C$3+1)</f>
        <v>#DIV/0!</v>
      </c>
      <c r="EP14" s="7" t="e">
        <f>((AVERAGE(AD9:AD14)*('Summary Page'!$C$4+1))*('Summary Page'!$C$4+1))*('Summary Page'!$C$4+1)</f>
        <v>#DIV/0!</v>
      </c>
      <c r="EQ14" s="7">
        <v>100</v>
      </c>
      <c r="ER14" s="9"/>
    </row>
    <row r="15" spans="1:165" ht="15.75" x14ac:dyDescent="0.25">
      <c r="A15" s="1">
        <v>43510</v>
      </c>
      <c r="B15" s="43">
        <v>78</v>
      </c>
      <c r="C15" s="67">
        <v>42</v>
      </c>
      <c r="D15" s="67">
        <v>33</v>
      </c>
      <c r="E15" s="7">
        <f t="shared" si="1"/>
        <v>60</v>
      </c>
      <c r="F15" s="67">
        <v>0</v>
      </c>
      <c r="G15" s="67">
        <v>22</v>
      </c>
      <c r="H15" s="67">
        <v>13</v>
      </c>
      <c r="I15" s="67">
        <v>56</v>
      </c>
      <c r="J15" s="67"/>
      <c r="K15" s="5">
        <f t="shared" si="2"/>
        <v>33</v>
      </c>
      <c r="L15" s="218"/>
      <c r="M15" s="43"/>
      <c r="N15" s="43"/>
      <c r="O15" s="43"/>
      <c r="P15" s="43"/>
      <c r="Q15" s="43"/>
      <c r="R15" s="43"/>
      <c r="S15" s="43"/>
      <c r="T15" s="43"/>
      <c r="U15" s="219"/>
      <c r="V15" s="13"/>
      <c r="W15" s="13"/>
      <c r="X15" s="13"/>
      <c r="Y15" s="13"/>
      <c r="Z15" s="13"/>
      <c r="AA15" s="13"/>
      <c r="AB15" s="13"/>
      <c r="AC15" s="1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13"/>
      <c r="AO15" s="7">
        <f>((AVERAGE(K10:K15)*('Summary Page'!$C$2+1))*('Summary Page'!$C$2+1))*('Summary Page'!$C$2+1)</f>
        <v>48.647925333333319</v>
      </c>
      <c r="AP15" s="7">
        <f>((AVERAGE(K10:K15)*('Summary Page'!$C$3+1))*('Summary Page'!$C$3+1))*('Summary Page'!$C$3+1)</f>
        <v>60.872395833333343</v>
      </c>
      <c r="AQ15" s="7">
        <f>((AVERAGE(K10:K15)*('Summary Page'!$C$4+1))*('Summary Page'!$C$4+1))*('Summary Page'!$C$4+1)</f>
        <v>53.855999999999995</v>
      </c>
      <c r="AR15" s="7">
        <v>80</v>
      </c>
      <c r="AS15" s="5">
        <f t="shared" si="3"/>
        <v>40</v>
      </c>
      <c r="AT15" s="13"/>
      <c r="AU15" s="13"/>
      <c r="AV15" s="7">
        <f>((AVERAGE(AS15,AU15)*('Summary Page'!$C$2+1))*('Summary Page'!$C$2+1))*('Summary Page'!$C$2+1)</f>
        <v>62.435839999999992</v>
      </c>
      <c r="AW15" s="7">
        <f>((AVERAGE(AS15,AU15)*('Summary Page'!$C$3+1))*('Summary Page'!$C$3+1))*('Summary Page'!$C$3+1)</f>
        <v>78.125</v>
      </c>
      <c r="AX15" s="8">
        <f>((AVERAGE(AS15,AU15)*('Summary Page'!$C$4+1))*('Summary Page'!$C$4+1))*('Summary Page'!$C$4+1)</f>
        <v>69.11999999999999</v>
      </c>
      <c r="BA15" s="43"/>
      <c r="BB15" s="7">
        <f>((AVERAGE(B10:B15)*(+'Summary Page'!$C$2+1))*('Summary Page'!$C$2+1))*('Summary Page'!$C$2+1)</f>
        <v>124.35138133333331</v>
      </c>
      <c r="BC15" s="7">
        <f>((AVERAGE(B10:B15)*('Summary Page'!$C$3+1))*('Summary Page'!$C$3+1))*('Summary Page'!$C$3+1)</f>
        <v>155.59895833333337</v>
      </c>
      <c r="BD15" s="7">
        <f>((AVERAGE(B10:B15)*('Summary Page'!$C$4+1))*('Summary Page'!$C$4+1))*('Summary Page'!$C$4+1)</f>
        <v>137.66400000000002</v>
      </c>
      <c r="BE15" s="67">
        <v>28</v>
      </c>
      <c r="BF15" s="81"/>
      <c r="BG15" s="43"/>
      <c r="BH15" s="7">
        <f>((AVERAGE(BE15,BG15)*('Summary Page'!$C$2+1))*('Summary Page'!$C$2+1))*('Summary Page'!$C$2+1)</f>
        <v>43.705087999999989</v>
      </c>
      <c r="BI15" s="7">
        <f>((AVERAGE(BE15,BG15)*('Summary Page'!$C$3+1))*('Summary Page'!$C$3+1))*('Summary Page'!$C$3+1)</f>
        <v>54.6875</v>
      </c>
      <c r="BJ15" s="7">
        <f>((AVERAGE(BE15,BG15)*('Summary Page'!$C$4+1))*('Summary Page'!$C$4+1))*('Summary Page'!$C$4+1)</f>
        <v>48.384</v>
      </c>
      <c r="BK15" s="43">
        <v>24</v>
      </c>
      <c r="BL15" s="43"/>
      <c r="BM15" s="43"/>
      <c r="BN15" s="7">
        <f>((AVERAGE(BK15,BM15)*('Summary Page'!$C$2+1))*('Summary Page'!$C$2+1))*('Summary Page'!$C$2+1)</f>
        <v>37.461503999999991</v>
      </c>
      <c r="BO15" s="7">
        <f>((AVERAGE(BK15,BM15)*('Summary Page'!$C$3+1))*('Summary Page'!$C$3+1))*('Summary Page'!$C$3+1)</f>
        <v>46.875</v>
      </c>
      <c r="BP15" s="7">
        <f>((AVERAGE(BK15,BM15)*('Summary Page'!$C$4+1))*('Summary Page'!$C$4+1))*('Summary Page'!$C$4+1)</f>
        <v>41.471999999999994</v>
      </c>
      <c r="BQ15" s="67">
        <v>64</v>
      </c>
      <c r="BR15" s="43"/>
      <c r="BS15" s="43"/>
      <c r="BT15" s="7">
        <f>((AVERAGE(BQ15,BS15)*('Summary Page'!$C$2+1))*('Summary Page'!$C$2+1))*('Summary Page'!$C$2+1)</f>
        <v>99.89734399999999</v>
      </c>
      <c r="BU15" s="7">
        <f>((AVERAGE(BQ15,BS15)*('Summary Page'!$C$3+1))*('Summary Page'!$C$3+1))*('Summary Page'!$C$3+1)</f>
        <v>125</v>
      </c>
      <c r="BV15" s="8">
        <f>((AVERAGE(BQ15,BS15)*('Summary Page'!$C$4+1))*('Summary Page'!$C$4+1))*('Summary Page'!$C$4+1)</f>
        <v>110.592</v>
      </c>
      <c r="BW15" s="67">
        <v>34</v>
      </c>
      <c r="BX15" s="43"/>
      <c r="BY15" s="43"/>
      <c r="BZ15" s="7">
        <f>((AVERAGE(BW15,BY15)*('Summary Page'!$C$2+1))*('Summary Page'!$C$2+1))*('Summary Page'!$C$2+1)</f>
        <v>53.070463999999987</v>
      </c>
      <c r="CA15" s="7">
        <f>((AVERAGE(BW15,BY15)*('Summary Page'!$C$3+1))*('Summary Page'!$C$3+1))*('Summary Page'!$C$3+1)</f>
        <v>66.40625</v>
      </c>
      <c r="CB15" s="8">
        <f>((AVERAGE(BW15,BY15)*('Summary Page'!$C$4+1))*('Summary Page'!$C$4+1))*('Summary Page'!$C$4+1)</f>
        <v>58.751999999999988</v>
      </c>
      <c r="CC15" s="67">
        <v>32</v>
      </c>
      <c r="CD15" s="43"/>
      <c r="CE15" s="43"/>
      <c r="CF15" s="7">
        <f>((AVERAGE(CC15,CE15)*('Summary Page'!$C$2+1))*('Summary Page'!$C$2+1))*('Summary Page'!$C$2+1)</f>
        <v>49.948671999999995</v>
      </c>
      <c r="CG15" s="7">
        <f>((AVERAGE(CC15,CE15)*('Summary Page'!$C$3+1))*('Summary Page'!$C$3+1))*('Summary Page'!$C$3+1)</f>
        <v>62.5</v>
      </c>
      <c r="CH15" s="8">
        <f>((AVERAGE(CC15,CE15)*('Summary Page'!$C$4+1))*('Summary Page'!$C$4+1))*('Summary Page'!$C$4+1)</f>
        <v>55.295999999999999</v>
      </c>
      <c r="CI15" s="67">
        <v>25</v>
      </c>
      <c r="CJ15" s="43"/>
      <c r="CK15" s="43"/>
      <c r="CL15" s="7">
        <f>((AVERAGE(CI15,CK15)*('Summary Page'!$C$2+1))*('Summary Page'!$C$2+1))*('Summary Page'!$C$2+1)</f>
        <v>39.02239999999999</v>
      </c>
      <c r="CM15" s="7">
        <f>((AVERAGE(CI15,CK15)*('Summary Page'!$C$3+1))*('Summary Page'!$C$3+1))*('Summary Page'!$C$3+1)</f>
        <v>48.828125</v>
      </c>
      <c r="CN15" s="8">
        <f>((AVERAGE(CI15,CK15)*('Summary Page'!$C$4+1))*('Summary Page'!$C$4+1))*('Summary Page'!$C$4+1)</f>
        <v>43.199999999999996</v>
      </c>
      <c r="CQ15" s="43"/>
      <c r="CR15" s="7">
        <f>((AVERAGE(C10:C15)*('Summary Page'!$C$2+1))*('Summary Page'!$C$2+1))*('Summary Page'!$C$2+1)</f>
        <v>63.736586666666661</v>
      </c>
      <c r="CS15" s="7">
        <f>((AVERAGE(C10:C15)*('Summary Page'!$C$3+1))*('Summary Page'!$C$3+1))*('Summary Page'!$C$3+1)</f>
        <v>79.752604166666686</v>
      </c>
      <c r="CT15" s="8">
        <f>((AVERAGE(C10:C15)*('Summary Page'!$C$4+1))*('Summary Page'!$C$4+1))*('Summary Page'!$C$4+1)</f>
        <v>70.559999999999988</v>
      </c>
      <c r="CW15" s="43"/>
      <c r="CX15" s="7">
        <f>((AVERAGE(D10:D15)*('Summary Page'!$C$2+1))*('Summary Page'!$C$2+1))*('Summary Page'!$C$2+1)</f>
        <v>53.330613333333318</v>
      </c>
      <c r="CY15" s="7">
        <f>((AVERAGE(D10:D15)*('Summary Page'!$C$3+1))*('Summary Page'!$C$3+1))*('Summary Page'!$C$3+1)</f>
        <v>66.731770833333314</v>
      </c>
      <c r="CZ15" s="8">
        <f>((AVERAGE(D10:D15)*('Summary Page'!$C$4+1))*('Summary Page'!$C$4+1))*('Summary Page'!$C$4+1)</f>
        <v>59.039999999999985</v>
      </c>
      <c r="DA15" s="67">
        <v>26</v>
      </c>
      <c r="DB15" s="43"/>
      <c r="DC15" s="43"/>
      <c r="DD15" s="7">
        <f>((AVERAGE(DA15,DC15)*('Summary Page'!$C$2+1))*('Summary Page'!$C$2+1))*('Summary Page'!$C$2+1)</f>
        <v>40.58329599999999</v>
      </c>
      <c r="DE15" s="7">
        <f>((AVERAGE(DA15,DC15)*('Summary Page'!$C$3+1))*('Summary Page'!$C$3+1))*('Summary Page'!$C$3+1)</f>
        <v>50.78125</v>
      </c>
      <c r="DF15" s="8">
        <f>((AVERAGE(DA15,DC15)*('Summary Page'!$C$4+1))*('Summary Page'!$C$4+1))*('Summary Page'!$C$4+1)</f>
        <v>44.927999999999997</v>
      </c>
      <c r="DG15" s="67">
        <v>31</v>
      </c>
      <c r="DH15" s="43"/>
      <c r="DI15" s="43"/>
      <c r="DJ15" s="7">
        <f>((AVERAGE(DG15,DI15)*('Summary Page'!$C$2+1))*('Summary Page'!$C$2+1))*('Summary Page'!$C$2+1)</f>
        <v>48.387775999999995</v>
      </c>
      <c r="DK15" s="7">
        <f>((AVERAGE(DG15,DI15)*('Summary Page'!$C$3+1))*('Summary Page'!$C$3+1))*('Summary Page'!$C$3+1)</f>
        <v>60.546875</v>
      </c>
      <c r="DL15" s="8">
        <f>((AVERAGE(DG15,DI15)*('Summary Page'!$C$4+1))*('Summary Page'!$C$4+1))*('Summary Page'!$C$4+1)</f>
        <v>53.567999999999991</v>
      </c>
      <c r="DO15" s="43"/>
      <c r="DP15" s="7">
        <f>((AVERAGE(F15,DO15)*('Summary Page'!$C$2+1))*('Summary Page'!$C$2+1))*('Summary Page'!$C$2+1)</f>
        <v>0</v>
      </c>
      <c r="DQ15" s="7">
        <f>((AVERAGE(F15,DO15)*('Summary Page'!$C$3+1))*('Summary Page'!$C$3+1))*('Summary Page'!$C$3+1)</f>
        <v>0</v>
      </c>
      <c r="DR15" s="8">
        <f>((AVERAGE(F15,DO15)*('Summary Page'!$C$4+1))*('Summary Page'!$C$4+1))*('Summary Page'!$C$4+1)</f>
        <v>0</v>
      </c>
      <c r="DU15" s="43"/>
      <c r="DV15" s="7">
        <f>((AVERAGE(G15,DU15)*('Summary Page'!$C$2+1))*('Summary Page'!$C$2+1))*('Summary Page'!$C$2+1)</f>
        <v>34.339711999999992</v>
      </c>
      <c r="DW15" s="7">
        <f>((AVERAGE(G15,DU15)*('Summary Page'!$C$3+1))*('Summary Page'!$C$3+1))*('Summary Page'!$C$3+1)</f>
        <v>42.96875</v>
      </c>
      <c r="DX15" s="8">
        <f>((AVERAGE(G15,DU15)*('Summary Page'!$C$4+1))*('Summary Page'!$C$4+1))*('Summary Page'!$C$4+1)</f>
        <v>38.015999999999991</v>
      </c>
      <c r="EA15" s="43"/>
      <c r="EB15" s="7">
        <f>((AVERAGE(H10:H15)*('Summary Page'!$C$2+1))*('Summary Page'!$C$2+1))*('Summary Page'!$C$2+1)</f>
        <v>16.909706666666665</v>
      </c>
      <c r="EC15" s="7">
        <f>((AVERAGE(H10:H15)*('Summary Page'!$C$3+1))*('Summary Page'!$C$3+1))*('Summary Page'!$C$3+1)</f>
        <v>21.158854166666671</v>
      </c>
      <c r="ED15" s="8">
        <f>((AVERAGE(H10:H15)*('Summary Page'!$C$4+1))*('Summary Page'!$C$4+1))*('Summary Page'!$C$4+1)</f>
        <v>18.72</v>
      </c>
      <c r="EG15" s="43"/>
      <c r="EH15" s="7">
        <f>((AVERAGE(I10:I15)*('Summary Page'!$C$2+1))*('Summary Page'!$C$2+1))*('Summary Page'!$C$2+1)</f>
        <v>76.744053333333312</v>
      </c>
      <c r="EI15" s="7">
        <f>((AVERAGE(I10:I15)*('Summary Page'!$C$3+1))*('Summary Page'!$C$3+1))*('Summary Page'!$C$3+1)</f>
        <v>96.028645833333314</v>
      </c>
      <c r="EJ15" s="8">
        <f>((AVERAGE(I10:I15)*('Summary Page'!$C$4+1))*('Summary Page'!$C$4+1))*('Summary Page'!$C$4+1)</f>
        <v>84.95999999999998</v>
      </c>
      <c r="EM15" s="43"/>
      <c r="EN15" s="7" t="e">
        <f>((AVERAGE(AD10:AD15)*('Summary Page'!$C$2+1))*('Summary Page'!$C$2+1))*('Summary Page'!$C$2+1)</f>
        <v>#DIV/0!</v>
      </c>
      <c r="EO15" s="7" t="e">
        <f>((AVERAGE(AD10:AD15)*('Summary Page'!$C$3+1))*('Summary Page'!$C$3+1))*('Summary Page'!$C$3+1)</f>
        <v>#DIV/0!</v>
      </c>
      <c r="EP15" s="7" t="e">
        <f>((AVERAGE(AD10:AD15)*('Summary Page'!$C$4+1))*('Summary Page'!$C$4+1))*('Summary Page'!$C$4+1)</f>
        <v>#DIV/0!</v>
      </c>
      <c r="EQ15" s="7">
        <v>100</v>
      </c>
      <c r="ER15" s="9"/>
    </row>
    <row r="16" spans="1:165" s="31" customFormat="1" ht="15.75" x14ac:dyDescent="0.25">
      <c r="A16" s="1">
        <v>43525</v>
      </c>
      <c r="B16" s="43">
        <v>73</v>
      </c>
      <c r="C16" s="190">
        <v>45</v>
      </c>
      <c r="D16" s="190">
        <v>37</v>
      </c>
      <c r="E16" s="7">
        <f t="shared" si="1"/>
        <v>59</v>
      </c>
      <c r="F16" s="190">
        <v>0</v>
      </c>
      <c r="G16" s="190">
        <v>22</v>
      </c>
      <c r="H16" s="190">
        <v>10</v>
      </c>
      <c r="I16" s="190">
        <v>48</v>
      </c>
      <c r="J16" s="190"/>
      <c r="K16" s="28">
        <f t="shared" si="2"/>
        <v>29.375</v>
      </c>
      <c r="L16" s="221"/>
      <c r="M16" s="191"/>
      <c r="N16" s="191"/>
      <c r="O16" s="191"/>
      <c r="P16" s="191"/>
      <c r="Q16" s="191"/>
      <c r="R16" s="191"/>
      <c r="S16" s="191"/>
      <c r="T16" s="191"/>
      <c r="U16" s="222"/>
      <c r="V16" s="29"/>
      <c r="W16" s="29"/>
      <c r="X16" s="29"/>
      <c r="Y16" s="29"/>
      <c r="Z16" s="29"/>
      <c r="AA16" s="29"/>
      <c r="AB16" s="29"/>
      <c r="AC16" s="29"/>
      <c r="AD16" s="191"/>
      <c r="AE16" s="191"/>
      <c r="AF16" s="191"/>
      <c r="AG16" s="191"/>
      <c r="AH16" s="191"/>
      <c r="AI16" s="191"/>
      <c r="AJ16" s="191"/>
      <c r="AK16" s="191"/>
      <c r="AL16" s="191"/>
      <c r="AM16" s="191"/>
      <c r="AN16" s="29"/>
      <c r="AO16" s="7">
        <f>((AVERAGE(K11:K16)*('Summary Page'!$C$2+1))*('Summary Page'!$C$2+1))*('Summary Page'!$C$2+1)</f>
        <v>48.225182666666655</v>
      </c>
      <c r="AP16" s="7">
        <f>((AVERAGE(K11:K16)*('Summary Page'!$C$3+1))*('Summary Page'!$C$3+1))*('Summary Page'!$C$3+1)</f>
        <v>60.343424479166657</v>
      </c>
      <c r="AQ16" s="7">
        <f>((AVERAGE(K11:K16)*('Summary Page'!$C$4+1))*('Summary Page'!$C$4+1))*('Summary Page'!$C$4+1)</f>
        <v>53.387999999999991</v>
      </c>
      <c r="AR16" s="30">
        <v>80</v>
      </c>
      <c r="AS16" s="5">
        <f t="shared" si="3"/>
        <v>38.333333333333336</v>
      </c>
      <c r="AT16" s="29"/>
      <c r="AU16" s="29"/>
      <c r="AV16" s="7">
        <f>((AVERAGE(AS5:AS16,AU5:AU16)*('Summary Page'!$C$2+1))*('Summary Page'!$C$2+1))*('Summary Page'!$C$2+1)</f>
        <v>57.146136888888869</v>
      </c>
      <c r="AW16" s="7">
        <f>((AVERAGE(AS5:AS16,AU5:AU16)*('Summary Page'!$C$3+1))*('Summary Page'!$C$3+1))*('Summary Page'!$C$3+1)</f>
        <v>71.506076388888886</v>
      </c>
      <c r="AX16" s="7">
        <f>((AVERAGE(AS5:AS16,AU5:AU16)*('Summary Page'!$C$4+1))*('Summary Page'!$C$4+1))*('Summary Page'!$C$4+1)</f>
        <v>63.263999999999989</v>
      </c>
      <c r="BA16" s="191"/>
      <c r="BB16" s="7">
        <f>((AVERAGE(B11:B16)*(+'Summary Page'!$C$2+1))*('Summary Page'!$C$2+1))*('Summary Page'!$C$2+1)</f>
        <v>121.22958933333331</v>
      </c>
      <c r="BC16" s="7">
        <f>((AVERAGE(B11:B16)*('Summary Page'!$C$3+1))*('Summary Page'!$C$3+1))*('Summary Page'!$C$3+1)</f>
        <v>151.69270833333337</v>
      </c>
      <c r="BD16" s="7">
        <f>((AVERAGE(B11:B16)*('Summary Page'!$C$4+1))*('Summary Page'!$C$4+1))*('Summary Page'!$C$4+1)</f>
        <v>134.208</v>
      </c>
      <c r="BE16" s="190">
        <v>22</v>
      </c>
      <c r="BF16" s="192"/>
      <c r="BG16" s="191"/>
      <c r="BH16" s="7">
        <f>((AVERAGE(BE5:BE16,BG5:BG16)*('Summary Page'!$C$2+1))*('Summary Page'!$C$2+1))*('Summary Page'!$C$2+1)</f>
        <v>45.526133333333334</v>
      </c>
      <c r="BI16" s="7">
        <f>((AVERAGE(BE5:BE16,BG5:BG16)*('Summary Page'!$C$3+1))*('Summary Page'!$C$3+1))*('Summary Page'!$C$3+1)</f>
        <v>56.966145833333343</v>
      </c>
      <c r="BJ16" s="7">
        <f>((AVERAGE(BE5:BE16,BG5:BG16)*('Summary Page'!$C$4+1))*('Summary Page'!$C$4+1))*('Summary Page'!$C$4+1)</f>
        <v>50.4</v>
      </c>
      <c r="BK16" s="191">
        <v>19</v>
      </c>
      <c r="BL16" s="191"/>
      <c r="BM16" s="191"/>
      <c r="BN16" s="7">
        <f>((AVERAGE(BK5:BK16,BM5:BM16)*('Summary Page'!$C$2+1))*('Summary Page'!$C$2+1))*('Summary Page'!$C$2+1)</f>
        <v>39.542698666666652</v>
      </c>
      <c r="BO16" s="7">
        <f>((AVERAGE(BK5:BK16,BM5:BM16)*('Summary Page'!$C$3+1))*('Summary Page'!$C$3+1))*('Summary Page'!$C$3+1)</f>
        <v>49.479166666666657</v>
      </c>
      <c r="BP16" s="7">
        <f>((AVERAGE(BK5:BK16,BM5:BM16)*('Summary Page'!$C$4+1))*('Summary Page'!$C$4+1))*('Summary Page'!$C$4+1)</f>
        <v>43.775999999999996</v>
      </c>
      <c r="BQ16" s="190">
        <v>54</v>
      </c>
      <c r="BR16" s="191"/>
      <c r="BS16" s="191"/>
      <c r="BT16" s="7">
        <f>((AVERAGE(BQ5:BQ16,BS5:BS16)*('Summary Page'!$C$2+1))*('Summary Page'!$C$2+1))*('Summary Page'!$C$2+1)</f>
        <v>84.54853333333331</v>
      </c>
      <c r="BU16" s="7">
        <f>((AVERAGE(BQ5:BQ16,BS5:BS16)*('Summary Page'!$C$3+1))*('Summary Page'!$C$3+1))*('Summary Page'!$C$3+1)</f>
        <v>105.79427083333331</v>
      </c>
      <c r="BV16" s="8">
        <f>((AVERAGE(BQ5:BQ16,BS5:BS16)*('Summary Page'!$C$4+1))*('Summary Page'!$C$4+1))*('Summary Page'!$C$4+1)</f>
        <v>93.6</v>
      </c>
      <c r="BW16" s="190">
        <v>30</v>
      </c>
      <c r="BX16" s="191"/>
      <c r="BY16" s="191"/>
      <c r="BZ16" s="7">
        <f>((AVERAGE(BW5:BW16,BY5:BY16)*('Summary Page'!$C$2+1))*('Summary Page'!$C$2+1))*('Summary Page'!$C$2+1)</f>
        <v>60.354645333333316</v>
      </c>
      <c r="CA16" s="7">
        <f>((AVERAGE(BW5:BW16,BY5:BY16)*('Summary Page'!$C$3+1))*('Summary Page'!$C$3+1))*('Summary Page'!$C$3+1)</f>
        <v>75.520833333333314</v>
      </c>
      <c r="CB16" s="8">
        <f>((AVERAGE(BW5:BW16,BY5:BY16)*('Summary Page'!$C$4+1))*('Summary Page'!$C$4+1))*('Summary Page'!$C$4+1)</f>
        <v>66.816000000000003</v>
      </c>
      <c r="CC16" s="190">
        <v>31</v>
      </c>
      <c r="CD16" s="191"/>
      <c r="CE16" s="191"/>
      <c r="CF16" s="7">
        <f>((AVERAGE(CC5:CC16,CE5:CE16)*('Summary Page'!$C$2+1))*('Summary Page'!$C$2+1))*('Summary Page'!$C$2+1)</f>
        <v>42.794565333333324</v>
      </c>
      <c r="CG16" s="7">
        <f>((AVERAGE(CC5:CC16,CE5:CE16)*('Summary Page'!$C$3+1))*('Summary Page'!$C$3+1))*('Summary Page'!$C$3+1)</f>
        <v>53.548177083333343</v>
      </c>
      <c r="CH16" s="8">
        <f>((AVERAGE(CC5:CC16,CE5:CE16)*('Summary Page'!$C$4+1))*('Summary Page'!$C$4+1))*('Summary Page'!$C$4+1)</f>
        <v>47.375999999999998</v>
      </c>
      <c r="CI16" s="190">
        <v>24</v>
      </c>
      <c r="CJ16" s="191"/>
      <c r="CK16" s="191"/>
      <c r="CL16" s="7">
        <f>((AVERAGE(CI5:CI16,CK5:CK16)*('Summary Page'!$C$2+1))*('Summary Page'!$C$2+1))*('Summary Page'!$C$2+1)</f>
        <v>31.738218666666654</v>
      </c>
      <c r="CM16" s="7">
        <f>((AVERAGE(CI5:CI16,CK5:CK16)*('Summary Page'!$C$3+1))*('Summary Page'!$C$3+1))*('Summary Page'!$C$3+1)</f>
        <v>39.713541666666657</v>
      </c>
      <c r="CN16" s="8">
        <f>((AVERAGE(CI5:CI16,CK5:CK16)*('Summary Page'!$C$4+1))*('Summary Page'!$C$4+1))*('Summary Page'!$C$4+1)</f>
        <v>35.135999999999996</v>
      </c>
      <c r="CQ16" s="191"/>
      <c r="CR16" s="7">
        <f>((AVERAGE(C11:C16)*('Summary Page'!$C$2+1))*('Summary Page'!$C$2+1))*('Summary Page'!$C$2+1)</f>
        <v>65.297482666666653</v>
      </c>
      <c r="CS16" s="7">
        <f>((AVERAGE(C11:C16)*('Summary Page'!$C$3+1))*('Summary Page'!$C$3+1))*('Summary Page'!$C$3+1)</f>
        <v>81.705729166666686</v>
      </c>
      <c r="CT16" s="8">
        <f>((AVERAGE(C11:C16)*('Summary Page'!$C$4+1))*('Summary Page'!$C$4+1))*('Summary Page'!$C$4+1)</f>
        <v>72.287999999999997</v>
      </c>
      <c r="CW16" s="191"/>
      <c r="CX16" s="7">
        <f>((AVERAGE(D11:D16)*('Summary Page'!$C$2+1))*('Summary Page'!$C$2+1))*('Summary Page'!$C$2+1)</f>
        <v>54.631359999999987</v>
      </c>
      <c r="CY16" s="7">
        <f>((AVERAGE(D11:D16)*('Summary Page'!$C$3+1))*('Summary Page'!$C$3+1))*('Summary Page'!$C$3+1)</f>
        <v>68.359375</v>
      </c>
      <c r="CZ16" s="8">
        <f>((AVERAGE(D11:D16)*('Summary Page'!$C$4+1))*('Summary Page'!$C$4+1))*('Summary Page'!$C$4+1)</f>
        <v>60.48</v>
      </c>
      <c r="DA16" s="190">
        <v>24</v>
      </c>
      <c r="DB16" s="191"/>
      <c r="DC16" s="191"/>
      <c r="DD16" s="7">
        <f>((AVERAGE(DA5:DA16,DC5:DC16)*('Summary Page'!$C$2+1))*('Summary Page'!$C$2+1))*('Summary Page'!$C$2+1)</f>
        <v>35.510383999999988</v>
      </c>
      <c r="DE16" s="7">
        <f>((AVERAGE(DA5:DA16,DC5:DC16)*('Summary Page'!$C$3+1))*('Summary Page'!$C$3+1))*('Summary Page'!$C$3+1)</f>
        <v>44.43359375</v>
      </c>
      <c r="DF16" s="8">
        <f>((AVERAGE(DA5:DA16,DC5:DC16)*('Summary Page'!$C$4+1))*('Summary Page'!$C$4+1))*('Summary Page'!$C$4+1)</f>
        <v>39.311999999999998</v>
      </c>
      <c r="DG16" s="190">
        <v>31</v>
      </c>
      <c r="DH16" s="191"/>
      <c r="DI16" s="191"/>
      <c r="DJ16" s="7">
        <f>((AVERAGE(DG5:DG16,DI5:DI16)*('Summary Page'!$C$2+1))*('Summary Page'!$C$2+1))*('Summary Page'!$C$2+1)</f>
        <v>40.713370666666663</v>
      </c>
      <c r="DK16" s="7">
        <f>((AVERAGE(DG5:DG16,DI5:DI16)*('Summary Page'!$C$3+1))*('Summary Page'!$C$3+1))*('Summary Page'!$C$3+1)</f>
        <v>50.944010416666657</v>
      </c>
      <c r="DL16" s="8">
        <f>((AVERAGE(DG5:DG16,DI5:DI16)*('Summary Page'!$C$4+1))*('Summary Page'!$C$4+1))*('Summary Page'!$C$4+1)</f>
        <v>45.071999999999996</v>
      </c>
      <c r="DO16" s="191"/>
      <c r="DP16" s="7">
        <f>((AVERAGE(F5:F16,DO5:DO16)*('Summary Page'!$C$2+1))*('Summary Page'!$C$2+1))*('Summary Page'!$C$2+1)</f>
        <v>1.1706719999999997</v>
      </c>
      <c r="DQ16" s="7">
        <f>((AVERAGE(F5:F16,DO5:DO16)*('Summary Page'!$C$3+1))*('Summary Page'!$C$3+1))*('Summary Page'!$C$3+1)</f>
        <v>1.46484375</v>
      </c>
      <c r="DR16" s="8">
        <f>((AVERAGE(F5:F16,DO5:DO16)*('Summary Page'!$C$4+1))*('Summary Page'!$C$4+1))*('Summary Page'!$C$4+1)</f>
        <v>1.2959999999999998</v>
      </c>
      <c r="DU16" s="191"/>
      <c r="DV16" s="7">
        <f>((AVERAGE(G5:G16,DU5:DU16)*('Summary Page'!$C$2+1))*('Summary Page'!$C$2+1))*('Summary Page'!$C$2+1)</f>
        <v>32.388591999999996</v>
      </c>
      <c r="DW16" s="7">
        <f>((AVERAGE(G5:G16,DU5:DU16)*('Summary Page'!$C$3+1))*('Summary Page'!$C$3+1))*('Summary Page'!$C$3+1)</f>
        <v>40.52734375</v>
      </c>
      <c r="DX16" s="8">
        <f>((AVERAGE(G5:G16,DU5:DU16)*('Summary Page'!$C$4+1))*('Summary Page'!$C$4+1))*('Summary Page'!$C$4+1)</f>
        <v>35.855999999999995</v>
      </c>
      <c r="EA16" s="191"/>
      <c r="EB16" s="7">
        <f>((AVERAGE(H11:H16)*('Summary Page'!$C$2+1))*('Summary Page'!$C$2+1))*('Summary Page'!$C$2+1)</f>
        <v>16.389407999999996</v>
      </c>
      <c r="EC16" s="7">
        <f>((AVERAGE(H11:H16)*('Summary Page'!$C$3+1))*('Summary Page'!$C$3+1))*('Summary Page'!$C$3+1)</f>
        <v>20.5078125</v>
      </c>
      <c r="ED16" s="8">
        <f>((AVERAGE(H11:H16)*('Summary Page'!$C$4+1))*('Summary Page'!$C$4+1))*('Summary Page'!$C$4+1)</f>
        <v>18.143999999999998</v>
      </c>
      <c r="EG16" s="191"/>
      <c r="EH16" s="7">
        <f>((AVERAGE(I11:I16)*('Summary Page'!$C$2+1))*('Summary Page'!$C$2+1))*('Summary Page'!$C$2+1)</f>
        <v>75.443306666666643</v>
      </c>
      <c r="EI16" s="7">
        <f>((AVERAGE(I11:I16)*('Summary Page'!$C$3+1))*('Summary Page'!$C$3+1))*('Summary Page'!$C$3+1)</f>
        <v>94.401041666666686</v>
      </c>
      <c r="EJ16" s="8">
        <f>((AVERAGE(I11:I16)*('Summary Page'!$C$4+1))*('Summary Page'!$C$4+1))*('Summary Page'!$C$4+1)</f>
        <v>83.52</v>
      </c>
      <c r="EM16" s="191"/>
      <c r="EN16" s="7" t="e">
        <f>((AVERAGE(AD11:AD16)*('Summary Page'!$C$2+1))*('Summary Page'!$C$2+1))*('Summary Page'!$C$2+1)</f>
        <v>#DIV/0!</v>
      </c>
      <c r="EO16" s="7" t="e">
        <f>((AVERAGE(AD11:AD16)*('Summary Page'!$C$3+1))*('Summary Page'!$C$3+1))*('Summary Page'!$C$3+1)</f>
        <v>#DIV/0!</v>
      </c>
      <c r="EP16" s="7" t="e">
        <f>((AVERAGE(AD11:AD16)*('Summary Page'!$C$4+1))*('Summary Page'!$C$4+1))*('Summary Page'!$C$4+1)</f>
        <v>#DIV/0!</v>
      </c>
      <c r="EQ16" s="7">
        <v>100</v>
      </c>
      <c r="ER16"/>
      <c r="ES16"/>
      <c r="ET16"/>
      <c r="EU16"/>
      <c r="EV16"/>
      <c r="EW16"/>
    </row>
    <row r="17" spans="1:159" ht="15.75" x14ac:dyDescent="0.25">
      <c r="A17" s="1">
        <v>43538</v>
      </c>
      <c r="B17" s="43">
        <v>68</v>
      </c>
      <c r="C17" s="67">
        <v>42</v>
      </c>
      <c r="D17" s="67">
        <v>35</v>
      </c>
      <c r="E17" s="7">
        <f t="shared" si="1"/>
        <v>55</v>
      </c>
      <c r="F17" s="67">
        <v>1</v>
      </c>
      <c r="G17" s="67">
        <v>18</v>
      </c>
      <c r="H17" s="67">
        <v>12</v>
      </c>
      <c r="I17" s="67">
        <v>48</v>
      </c>
      <c r="J17" s="67"/>
      <c r="K17" s="5">
        <f t="shared" si="2"/>
        <v>28.125</v>
      </c>
      <c r="L17" s="218"/>
      <c r="M17" s="43"/>
      <c r="N17" s="43"/>
      <c r="O17" s="43"/>
      <c r="P17" s="43"/>
      <c r="Q17" s="43"/>
      <c r="R17" s="43"/>
      <c r="S17" s="43"/>
      <c r="T17" s="43"/>
      <c r="U17" s="219"/>
      <c r="V17" s="13"/>
      <c r="W17" s="13"/>
      <c r="X17" s="13"/>
      <c r="Y17" s="13"/>
      <c r="Z17" s="13"/>
      <c r="AA17" s="13"/>
      <c r="AB17" s="13"/>
      <c r="AC17" s="1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13"/>
      <c r="AO17" s="7">
        <f>((AVERAGE(K12:K17)*('Summary Page'!$C$2+1))*('Summary Page'!$C$2+1))*('Summary Page'!$C$2+1)</f>
        <v>47.704883999999993</v>
      </c>
      <c r="AP17" s="7">
        <f>((AVERAGE(K12:K17)*('Summary Page'!$C$3+1))*('Summary Page'!$C$3+1))*('Summary Page'!$C$3+1)</f>
        <v>59.6923828125</v>
      </c>
      <c r="AQ17" s="7">
        <f>((AVERAGE(K12:K17)*('Summary Page'!$C$4+1))*('Summary Page'!$C$4+1))*('Summary Page'!$C$4+1)</f>
        <v>52.811999999999998</v>
      </c>
      <c r="AR17" s="7">
        <v>80</v>
      </c>
      <c r="AS17" s="5">
        <f t="shared" si="3"/>
        <v>36</v>
      </c>
      <c r="AT17" s="13"/>
      <c r="AU17" s="13"/>
      <c r="AV17" s="7">
        <f>((AVERAGE(AS6:AS17,AU6:AU17)*('Summary Page'!$C$2+1))*('Summary Page'!$C$2+1))*('Summary Page'!$C$2+1)</f>
        <v>56.018823111111097</v>
      </c>
      <c r="AW17" s="7">
        <f>((AVERAGE(AS6:AS17,AU6:AU17)*('Summary Page'!$C$3+1))*('Summary Page'!$C$3+1))*('Summary Page'!$C$3+1)</f>
        <v>70.095486111111114</v>
      </c>
      <c r="AX17" s="7">
        <f>((AVERAGE(AS6:AS17,AU6:AU17)*('Summary Page'!$C$4+1))*('Summary Page'!$C$4+1))*('Summary Page'!$C$4+1)</f>
        <v>62.015999999999991</v>
      </c>
      <c r="BA17" s="43"/>
      <c r="BB17" s="7">
        <f>((AVERAGE(B12:B17)*(+'Summary Page'!$C$2+1))*('Summary Page'!$C$2+1))*('Summary Page'!$C$2+1)</f>
        <v>117.84764799999999</v>
      </c>
      <c r="BC17" s="7">
        <f>((AVERAGE(B12:B17)*('Summary Page'!$C$3+1))*('Summary Page'!$C$3+1))*('Summary Page'!$C$3+1)</f>
        <v>147.4609375</v>
      </c>
      <c r="BD17" s="7">
        <f>((AVERAGE(B12:B17)*('Summary Page'!$C$4+1))*('Summary Page'!$C$4+1))*('Summary Page'!$C$4+1)</f>
        <v>130.46399999999997</v>
      </c>
      <c r="BE17" s="67">
        <v>18</v>
      </c>
      <c r="BF17" s="81"/>
      <c r="BG17" s="43"/>
      <c r="BH17" s="7">
        <f>((AVERAGE(BE6:BE17,BG6:BG17)*('Summary Page'!$C$2+1))*('Summary Page'!$C$2+1))*('Summary Page'!$C$2+1)</f>
        <v>43.575013333333324</v>
      </c>
      <c r="BI17" s="7">
        <f>((AVERAGE(BE6:BE17,BG6:BG17)*('Summary Page'!$C$3+1))*('Summary Page'!$C$3+1))*('Summary Page'!$C$3+1)</f>
        <v>54.524739583333343</v>
      </c>
      <c r="BJ17" s="7">
        <f>((AVERAGE(BE6:BE17,BG6:BG17)*('Summary Page'!$C$4+1))*('Summary Page'!$C$4+1))*('Summary Page'!$C$4+1)</f>
        <v>48.239999999999995</v>
      </c>
      <c r="BK17" s="43">
        <v>16</v>
      </c>
      <c r="BL17" s="43"/>
      <c r="BM17" s="43"/>
      <c r="BN17" s="7">
        <f>((AVERAGE(BK6:BK17,BM6:BM17)*('Summary Page'!$C$2+1))*('Summary Page'!$C$2+1))*('Summary Page'!$C$2+1)</f>
        <v>37.981802666666653</v>
      </c>
      <c r="BO17" s="7">
        <f>((AVERAGE(BK6:BK17,BM6:BM17)*('Summary Page'!$C$3+1))*('Summary Page'!$C$3+1))*('Summary Page'!$C$3+1)</f>
        <v>47.526041666666657</v>
      </c>
      <c r="BP17" s="7">
        <f>((AVERAGE(BK6:BK17,BM6:BM17)*('Summary Page'!$C$4+1))*('Summary Page'!$C$4+1))*('Summary Page'!$C$4+1)</f>
        <v>42.047999999999988</v>
      </c>
      <c r="BQ17" s="67">
        <v>49</v>
      </c>
      <c r="BR17" s="43"/>
      <c r="BS17" s="43"/>
      <c r="BT17" s="7">
        <f>((AVERAGE(BQ6:BQ17,BS6:BS17)*('Summary Page'!$C$2+1))*('Summary Page'!$C$2+1))*('Summary Page'!$C$2+1)</f>
        <v>87.280101333333306</v>
      </c>
      <c r="BU17" s="7">
        <f>((AVERAGE(BQ6:BQ17,BS6:BS17)*('Summary Page'!$C$3+1))*('Summary Page'!$C$3+1))*('Summary Page'!$C$3+1)</f>
        <v>109.21223958333331</v>
      </c>
      <c r="BV17" s="8">
        <f>((AVERAGE(BQ6:BQ17,BS6:BS17)*('Summary Page'!$C$4+1))*('Summary Page'!$C$4+1))*('Summary Page'!$C$4+1)</f>
        <v>96.623999999999995</v>
      </c>
      <c r="BW17" s="67">
        <v>30</v>
      </c>
      <c r="BX17" s="43"/>
      <c r="BY17" s="43"/>
      <c r="BZ17" s="7">
        <f>((AVERAGE(BW6:BW17,BY6:BY17)*('Summary Page'!$C$2+1))*('Summary Page'!$C$2+1))*('Summary Page'!$C$2+1)</f>
        <v>60.224570666666658</v>
      </c>
      <c r="CA17" s="7">
        <f>((AVERAGE(BW6:BW17,BY6:BY17)*('Summary Page'!$C$3+1))*('Summary Page'!$C$3+1))*('Summary Page'!$C$3+1)</f>
        <v>75.358072916666686</v>
      </c>
      <c r="CB17" s="8">
        <f>((AVERAGE(BW6:BW17,BY6:BY17)*('Summary Page'!$C$4+1))*('Summary Page'!$C$4+1))*('Summary Page'!$C$4+1)</f>
        <v>66.671999999999997</v>
      </c>
      <c r="CC17" s="67">
        <v>32</v>
      </c>
      <c r="CD17" s="43"/>
      <c r="CE17" s="43"/>
      <c r="CF17" s="7">
        <f>((AVERAGE(CC6:CC17,CE6:CE17)*('Summary Page'!$C$2+1))*('Summary Page'!$C$2+1))*('Summary Page'!$C$2+1)</f>
        <v>43.314863999999993</v>
      </c>
      <c r="CG17" s="7">
        <f>((AVERAGE(CC6:CC17,CE6:CE17)*('Summary Page'!$C$3+1))*('Summary Page'!$C$3+1))*('Summary Page'!$C$3+1)</f>
        <v>54.19921875</v>
      </c>
      <c r="CH17" s="8">
        <f>((AVERAGE(CC6:CC17,CE6:CE17)*('Summary Page'!$C$4+1))*('Summary Page'!$C$4+1))*('Summary Page'!$C$4+1)</f>
        <v>47.951999999999991</v>
      </c>
      <c r="CI17" s="67">
        <v>25</v>
      </c>
      <c r="CJ17" s="43"/>
      <c r="CK17" s="43"/>
      <c r="CL17" s="7">
        <f>((AVERAGE(CI6:CI17,CK6:CK17)*('Summary Page'!$C$2+1))*('Summary Page'!$C$2+1))*('Summary Page'!$C$2+1)</f>
        <v>32.388591999999996</v>
      </c>
      <c r="CM17" s="7">
        <f>((AVERAGE(CI6:CI17,CK6:CK17)*('Summary Page'!$C$3+1))*('Summary Page'!$C$3+1))*('Summary Page'!$C$3+1)</f>
        <v>40.52734375</v>
      </c>
      <c r="CN17" s="8">
        <f>((AVERAGE(CI6:CI17,CK6:CK17)*('Summary Page'!$C$4+1))*('Summary Page'!$C$4+1))*('Summary Page'!$C$4+1)</f>
        <v>35.855999999999995</v>
      </c>
      <c r="CQ17" s="43"/>
      <c r="CR17" s="7">
        <f>((AVERAGE(C12:C17)*('Summary Page'!$C$2+1))*('Summary Page'!$C$2+1))*('Summary Page'!$C$2+1)</f>
        <v>65.817781333333315</v>
      </c>
      <c r="CS17" s="7">
        <f>((AVERAGE(C12:C17)*('Summary Page'!$C$3+1))*('Summary Page'!$C$3+1))*('Summary Page'!$C$3+1)</f>
        <v>82.356770833333314</v>
      </c>
      <c r="CT17" s="8">
        <f>((AVERAGE(C12:C17)*('Summary Page'!$C$4+1))*('Summary Page'!$C$4+1))*('Summary Page'!$C$4+1)</f>
        <v>72.86399999999999</v>
      </c>
      <c r="CW17" s="43"/>
      <c r="CX17" s="7">
        <f>((AVERAGE(D12:D17)*('Summary Page'!$C$2+1))*('Summary Page'!$C$2+1))*('Summary Page'!$C$2+1)</f>
        <v>54.891509333333325</v>
      </c>
      <c r="CY17" s="7">
        <f>((AVERAGE(D12:D17)*('Summary Page'!$C$3+1))*('Summary Page'!$C$3+1))*('Summary Page'!$C$3+1)</f>
        <v>68.684895833333314</v>
      </c>
      <c r="CZ17" s="8">
        <f>((AVERAGE(D12:D17)*('Summary Page'!$C$4+1))*('Summary Page'!$C$4+1))*('Summary Page'!$C$4+1)</f>
        <v>60.767999999999986</v>
      </c>
      <c r="DA17" s="67">
        <v>24</v>
      </c>
      <c r="DB17" s="43"/>
      <c r="DC17" s="43"/>
      <c r="DD17" s="7">
        <f>((AVERAGE(DA6:DA17,DC6:DC17)*('Summary Page'!$C$2+1))*('Summary Page'!$C$2+1))*('Summary Page'!$C$2+1)</f>
        <v>36.030682666666657</v>
      </c>
      <c r="DE17" s="7">
        <f>((AVERAGE(DA6:DA17,DC6:DC17)*('Summary Page'!$C$3+1))*('Summary Page'!$C$3+1))*('Summary Page'!$C$3+1)</f>
        <v>45.084635416666657</v>
      </c>
      <c r="DF17" s="8">
        <f>((AVERAGE(DA6:DA17,DC6:DC17)*('Summary Page'!$C$4+1))*('Summary Page'!$C$4+1))*('Summary Page'!$C$4+1)</f>
        <v>39.887999999999991</v>
      </c>
      <c r="DG17" s="67">
        <v>31</v>
      </c>
      <c r="DH17" s="43"/>
      <c r="DI17" s="43"/>
      <c r="DJ17" s="7">
        <f>((AVERAGE(DG6:DG17,DI6:DI17)*('Summary Page'!$C$2+1))*('Summary Page'!$C$2+1))*('Summary Page'!$C$2+1)</f>
        <v>41.753967999999993</v>
      </c>
      <c r="DK17" s="7">
        <f>((AVERAGE(DG6:DG17,DI6:DI17)*('Summary Page'!$C$3+1))*('Summary Page'!$C$3+1))*('Summary Page'!$C$3+1)</f>
        <v>52.24609375</v>
      </c>
      <c r="DL17" s="8">
        <f>((AVERAGE(DG6:DG17,DI6:DI17)*('Summary Page'!$C$4+1))*('Summary Page'!$C$4+1))*('Summary Page'!$C$4+1)</f>
        <v>46.224000000000004</v>
      </c>
      <c r="DO17" s="43"/>
      <c r="DP17" s="7">
        <f>((AVERAGE(F6:F17,DO6:DO17)*('Summary Page'!$C$2+1))*('Summary Page'!$C$2+1))*('Summary Page'!$C$2+1)</f>
        <v>1.0405973333333329</v>
      </c>
      <c r="DQ17" s="7">
        <f>((AVERAGE(F6:F17,DO6:DO17)*('Summary Page'!$C$3+1))*('Summary Page'!$C$3+1))*('Summary Page'!$C$3+1)</f>
        <v>1.302083333333333</v>
      </c>
      <c r="DR17" s="8">
        <f>((AVERAGE(F6:F17,DO6:DO17)*('Summary Page'!$C$4+1))*('Summary Page'!$C$4+1))*('Summary Page'!$C$4+1)</f>
        <v>1.1519999999999997</v>
      </c>
      <c r="DU17" s="43"/>
      <c r="DV17" s="7">
        <f>((AVERAGE(G6:G17,DU6:DU17)*('Summary Page'!$C$2+1))*('Summary Page'!$C$2+1))*('Summary Page'!$C$2+1)</f>
        <v>28.876575999999993</v>
      </c>
      <c r="DW17" s="7">
        <f>((AVERAGE(G6:G17,DU6:DU17)*('Summary Page'!$C$3+1))*('Summary Page'!$C$3+1))*('Summary Page'!$C$3+1)</f>
        <v>36.1328125</v>
      </c>
      <c r="DX17" s="8">
        <f>((AVERAGE(G6:G17,DU6:DU17)*('Summary Page'!$C$4+1))*('Summary Page'!$C$4+1))*('Summary Page'!$C$4+1)</f>
        <v>31.967999999999996</v>
      </c>
      <c r="EA17" s="43"/>
      <c r="EB17" s="7">
        <f>((AVERAGE(H12:H17)*('Summary Page'!$C$2+1))*('Summary Page'!$C$2+1))*('Summary Page'!$C$2+1)</f>
        <v>16.909706666666665</v>
      </c>
      <c r="EC17" s="7">
        <f>((AVERAGE(H12:H17)*('Summary Page'!$C$3+1))*('Summary Page'!$C$3+1))*('Summary Page'!$C$3+1)</f>
        <v>21.158854166666671</v>
      </c>
      <c r="ED17" s="8">
        <f>((AVERAGE(H12:H17)*('Summary Page'!$C$4+1))*('Summary Page'!$C$4+1))*('Summary Page'!$C$4+1)</f>
        <v>18.72</v>
      </c>
      <c r="EG17" s="43"/>
      <c r="EH17" s="7">
        <f>((AVERAGE(I12:I17)*('Summary Page'!$C$2+1))*('Summary Page'!$C$2+1))*('Summary Page'!$C$2+1)</f>
        <v>77.004202666666657</v>
      </c>
      <c r="EI17" s="7">
        <f>((AVERAGE(I12:I17)*('Summary Page'!$C$3+1))*('Summary Page'!$C$3+1))*('Summary Page'!$C$3+1)</f>
        <v>96.354166666666686</v>
      </c>
      <c r="EJ17" s="8">
        <f>((AVERAGE(I12:I17)*('Summary Page'!$C$4+1))*('Summary Page'!$C$4+1))*('Summary Page'!$C$4+1)</f>
        <v>85.248000000000005</v>
      </c>
      <c r="EM17" s="43"/>
      <c r="EN17" s="7" t="e">
        <f>((AVERAGE(AD12:AD17)*('Summary Page'!$C$2+1))*('Summary Page'!$C$2+1))*('Summary Page'!$C$2+1)</f>
        <v>#DIV/0!</v>
      </c>
      <c r="EO17" s="7" t="e">
        <f>((AVERAGE(AD12:AD17)*('Summary Page'!$C$3+1))*('Summary Page'!$C$3+1))*('Summary Page'!$C$3+1)</f>
        <v>#DIV/0!</v>
      </c>
      <c r="EP17" s="7" t="e">
        <f>((AVERAGE(AD12:AD17)*('Summary Page'!$C$4+1))*('Summary Page'!$C$4+1))*('Summary Page'!$C$4+1)</f>
        <v>#DIV/0!</v>
      </c>
      <c r="EQ17" s="7">
        <v>100</v>
      </c>
    </row>
    <row r="18" spans="1:159" ht="15.75" x14ac:dyDescent="0.25">
      <c r="A18" s="1">
        <v>43556</v>
      </c>
      <c r="B18" s="43">
        <v>76</v>
      </c>
      <c r="C18" s="67">
        <v>41</v>
      </c>
      <c r="D18" s="67">
        <v>33</v>
      </c>
      <c r="E18" s="7">
        <f t="shared" si="1"/>
        <v>58.5</v>
      </c>
      <c r="F18" s="67">
        <v>1</v>
      </c>
      <c r="G18" s="67">
        <v>19</v>
      </c>
      <c r="H18" s="67">
        <v>14</v>
      </c>
      <c r="I18" s="67">
        <v>46</v>
      </c>
      <c r="J18" s="67"/>
      <c r="K18" s="5">
        <f t="shared" si="2"/>
        <v>28.25</v>
      </c>
      <c r="L18" s="218"/>
      <c r="M18" s="43"/>
      <c r="N18" s="43"/>
      <c r="O18" s="43"/>
      <c r="P18" s="43"/>
      <c r="Q18" s="43"/>
      <c r="R18" s="43"/>
      <c r="S18" s="43"/>
      <c r="T18" s="43"/>
      <c r="U18" s="219"/>
      <c r="V18" s="13"/>
      <c r="W18" s="13"/>
      <c r="X18" s="13"/>
      <c r="Y18" s="13"/>
      <c r="Z18" s="13"/>
      <c r="AA18" s="13"/>
      <c r="AB18" s="13"/>
      <c r="AC18" s="1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13"/>
      <c r="AO18" s="7">
        <f>((AVERAGE(K13:K18)*('Summary Page'!$C$2+1))*('Summary Page'!$C$2+1))*('Summary Page'!$C$2+1)</f>
        <v>47.217103999999985</v>
      </c>
      <c r="AP18" s="7">
        <f>((AVERAGE(K13:K18)*('Summary Page'!$C$3+1))*('Summary Page'!$C$3+1))*('Summary Page'!$C$3+1)</f>
        <v>59.08203125</v>
      </c>
      <c r="AQ18" s="7">
        <f>((AVERAGE(K13:K18)*('Summary Page'!$C$4+1))*('Summary Page'!$C$4+1))*('Summary Page'!$C$4+1)</f>
        <v>52.271999999999991</v>
      </c>
      <c r="AR18" s="7">
        <v>80</v>
      </c>
      <c r="AS18" s="5">
        <f t="shared" si="3"/>
        <v>35.333333333333336</v>
      </c>
      <c r="AT18" s="13"/>
      <c r="AU18" s="13"/>
      <c r="AV18" s="7">
        <f>((AVERAGE(AS7:AS18,AU7:AU18)*('Summary Page'!$C$2+1))*('Summary Page'!$C$2+1))*('Summary Page'!$C$2+1)</f>
        <v>55.064942222222193</v>
      </c>
      <c r="AW18" s="7">
        <f>((AVERAGE(AS7:AS18,AU7:AU18)*('Summary Page'!$C$3+1))*('Summary Page'!$C$3+1))*('Summary Page'!$C$3+1)</f>
        <v>68.901909722222214</v>
      </c>
      <c r="AX18" s="7">
        <f>((AVERAGE(AS7:AS18,AU7:AU18)*('Summary Page'!$C$4+1))*('Summary Page'!$C$4+1))*('Summary Page'!$C$4+1)</f>
        <v>60.95999999999998</v>
      </c>
      <c r="BA18" s="43"/>
      <c r="BB18" s="7">
        <f>((AVERAGE(B13:B18)*(+'Summary Page'!$C$2+1))*('Summary Page'!$C$2+1))*('Summary Page'!$C$2+1)</f>
        <v>116.54690133333331</v>
      </c>
      <c r="BC18" s="7">
        <f>((AVERAGE(B13:B18)*('Summary Page'!$C$3+1))*('Summary Page'!$C$3+1))*('Summary Page'!$C$3+1)</f>
        <v>145.83333333333337</v>
      </c>
      <c r="BD18" s="7">
        <f>((AVERAGE(B13:B18)*('Summary Page'!$C$4+1))*('Summary Page'!$C$4+1))*('Summary Page'!$C$4+1)</f>
        <v>129.024</v>
      </c>
      <c r="BE18" s="67">
        <v>15</v>
      </c>
      <c r="BF18" s="81"/>
      <c r="BG18" s="43"/>
      <c r="BH18" s="7">
        <f>((AVERAGE(BE7:BE18,BG7:BG18)*('Summary Page'!$C$2+1))*('Summary Page'!$C$2+1))*('Summary Page'!$C$2+1)</f>
        <v>40.713370666666663</v>
      </c>
      <c r="BI18" s="7">
        <f>((AVERAGE(BE7:BE18,BG7:BG18)*('Summary Page'!$C$3+1))*('Summary Page'!$C$3+1))*('Summary Page'!$C$3+1)</f>
        <v>50.944010416666657</v>
      </c>
      <c r="BJ18" s="7">
        <f>((AVERAGE(BE7:BE18,BG7:BG18)*('Summary Page'!$C$4+1))*('Summary Page'!$C$4+1))*('Summary Page'!$C$4+1)</f>
        <v>45.071999999999996</v>
      </c>
      <c r="BK18" s="43">
        <v>12</v>
      </c>
      <c r="BL18" s="43"/>
      <c r="BM18" s="43"/>
      <c r="BN18" s="7">
        <f>((AVERAGE(BK7:BK18,BM7:BM18)*('Summary Page'!$C$2+1))*('Summary Page'!$C$2+1))*('Summary Page'!$C$2+1)</f>
        <v>35.380309333333329</v>
      </c>
      <c r="BO18" s="7">
        <f>((AVERAGE(BK7:BK18,BM7:BM18)*('Summary Page'!$C$3+1))*('Summary Page'!$C$3+1))*('Summary Page'!$C$3+1)</f>
        <v>44.270833333333343</v>
      </c>
      <c r="BP18" s="7">
        <f>((AVERAGE(BK7:BK18,BM7:BM18)*('Summary Page'!$C$4+1))*('Summary Page'!$C$4+1))*('Summary Page'!$C$4+1)</f>
        <v>39.167999999999999</v>
      </c>
      <c r="BQ18" s="67">
        <v>44</v>
      </c>
      <c r="BR18" s="43"/>
      <c r="BS18" s="43"/>
      <c r="BT18" s="7">
        <f>((AVERAGE(BQ7:BQ18,BS7:BS18)*('Summary Page'!$C$2+1))*('Summary Page'!$C$2+1))*('Summary Page'!$C$2+1)</f>
        <v>88.84099733333332</v>
      </c>
      <c r="BU18" s="7">
        <f>((AVERAGE(BQ7:BQ18,BS7:BS18)*('Summary Page'!$C$3+1))*('Summary Page'!$C$3+1))*('Summary Page'!$C$3+1)</f>
        <v>111.16536458333331</v>
      </c>
      <c r="BV18" s="8">
        <f>((AVERAGE(BQ7:BQ18,BS7:BS18)*('Summary Page'!$C$4+1))*('Summary Page'!$C$4+1))*('Summary Page'!$C$4+1)</f>
        <v>98.35199999999999</v>
      </c>
      <c r="BW18" s="67">
        <v>33</v>
      </c>
      <c r="BX18" s="43"/>
      <c r="BY18" s="43"/>
      <c r="BZ18" s="7">
        <f>((AVERAGE(BW7:BW18,BY7:BY18)*('Summary Page'!$C$2+1))*('Summary Page'!$C$2+1))*('Summary Page'!$C$2+1)</f>
        <v>61.005018666666651</v>
      </c>
      <c r="CA18" s="7">
        <f>((AVERAGE(BW7:BW18,BY7:BY18)*('Summary Page'!$C$3+1))*('Summary Page'!$C$3+1))*('Summary Page'!$C$3+1)</f>
        <v>76.334635416666686</v>
      </c>
      <c r="CB18" s="8">
        <f>((AVERAGE(BW7:BW18,BY7:BY18)*('Summary Page'!$C$4+1))*('Summary Page'!$C$4+1))*('Summary Page'!$C$4+1)</f>
        <v>67.535999999999987</v>
      </c>
      <c r="CC18" s="67">
        <v>37</v>
      </c>
      <c r="CD18" s="43"/>
      <c r="CE18" s="43"/>
      <c r="CF18" s="7">
        <f>((AVERAGE(CC7:CC18,CE7:CE18)*('Summary Page'!$C$2+1))*('Summary Page'!$C$2+1))*('Summary Page'!$C$2+1)</f>
        <v>44.355461333333324</v>
      </c>
      <c r="CG18" s="7">
        <f>((AVERAGE(CC7:CC18,CE7:CE18)*('Summary Page'!$C$3+1))*('Summary Page'!$C$3+1))*('Summary Page'!$C$3+1)</f>
        <v>55.501302083333343</v>
      </c>
      <c r="CH18" s="8">
        <f>((AVERAGE(CC7:CC18,CE7:CE18)*('Summary Page'!$C$4+1))*('Summary Page'!$C$4+1))*('Summary Page'!$C$4+1)</f>
        <v>49.103999999999999</v>
      </c>
      <c r="CI18" s="67">
        <v>28</v>
      </c>
      <c r="CJ18" s="43"/>
      <c r="CK18" s="43"/>
      <c r="CL18" s="7">
        <f>((AVERAGE(CI7:CI18,CK7:CK18)*('Summary Page'!$C$2+1))*('Summary Page'!$C$2+1))*('Summary Page'!$C$2+1)</f>
        <v>33.169039999999995</v>
      </c>
      <c r="CM18" s="7">
        <f>((AVERAGE(CI7:CI18,CK7:CK18)*('Summary Page'!$C$3+1))*('Summary Page'!$C$3+1))*('Summary Page'!$C$3+1)</f>
        <v>41.50390625</v>
      </c>
      <c r="CN18" s="8">
        <f>((AVERAGE(CI7:CI18,CK7:CK18)*('Summary Page'!$C$4+1))*('Summary Page'!$C$4+1))*('Summary Page'!$C$4+1)</f>
        <v>36.72</v>
      </c>
      <c r="CQ18" s="43"/>
      <c r="CR18" s="7">
        <f>((AVERAGE(C13:C18)*('Summary Page'!$C$2+1))*('Summary Page'!$C$2+1))*('Summary Page'!$C$2+1)</f>
        <v>66.07793066666666</v>
      </c>
      <c r="CS18" s="7">
        <f>((AVERAGE(C13:C18)*('Summary Page'!$C$3+1))*('Summary Page'!$C$3+1))*('Summary Page'!$C$3+1)</f>
        <v>82.682291666666686</v>
      </c>
      <c r="CT18" s="8">
        <f>((AVERAGE(C13:C18)*('Summary Page'!$C$4+1))*('Summary Page'!$C$4+1))*('Summary Page'!$C$4+1)</f>
        <v>73.152000000000001</v>
      </c>
      <c r="CW18" s="43"/>
      <c r="CX18" s="7">
        <f>((AVERAGE(D13:D18)*('Summary Page'!$C$2+1))*('Summary Page'!$C$2+1))*('Summary Page'!$C$2+1)</f>
        <v>54.631359999999987</v>
      </c>
      <c r="CY18" s="7">
        <f>((AVERAGE(D13:D18)*('Summary Page'!$C$3+1))*('Summary Page'!$C$3+1))*('Summary Page'!$C$3+1)</f>
        <v>68.359375</v>
      </c>
      <c r="CZ18" s="8">
        <f>((AVERAGE(D13:D18)*('Summary Page'!$C$4+1))*('Summary Page'!$C$4+1))*('Summary Page'!$C$4+1)</f>
        <v>60.48</v>
      </c>
      <c r="DA18" s="67">
        <v>25</v>
      </c>
      <c r="DB18" s="43"/>
      <c r="DC18" s="43"/>
      <c r="DD18" s="7">
        <f>((AVERAGE(DA7:DA18,DC7:DC18)*('Summary Page'!$C$2+1))*('Summary Page'!$C$2+1))*('Summary Page'!$C$2+1)</f>
        <v>35.510383999999988</v>
      </c>
      <c r="DE18" s="7">
        <f>((AVERAGE(DA7:DA18,DC7:DC18)*('Summary Page'!$C$3+1))*('Summary Page'!$C$3+1))*('Summary Page'!$C$3+1)</f>
        <v>44.43359375</v>
      </c>
      <c r="DF18" s="8">
        <f>((AVERAGE(DA7:DA18,DC7:DC18)*('Summary Page'!$C$4+1))*('Summary Page'!$C$4+1))*('Summary Page'!$C$4+1)</f>
        <v>39.311999999999998</v>
      </c>
      <c r="DG18" s="67">
        <v>32</v>
      </c>
      <c r="DH18" s="43"/>
      <c r="DI18" s="43"/>
      <c r="DJ18" s="7">
        <f>((AVERAGE(DG7:DG18,DI7:DI18)*('Summary Page'!$C$2+1))*('Summary Page'!$C$2+1))*('Summary Page'!$C$2+1)</f>
        <v>42.014117333333324</v>
      </c>
      <c r="DK18" s="7">
        <f>((AVERAGE(DG7:DG18,DI7:DI18)*('Summary Page'!$C$3+1))*('Summary Page'!$C$3+1))*('Summary Page'!$C$3+1)</f>
        <v>52.571614583333343</v>
      </c>
      <c r="DL18" s="8">
        <f>((AVERAGE(DG7:DG18,DI7:DI18)*('Summary Page'!$C$4+1))*('Summary Page'!$C$4+1))*('Summary Page'!$C$4+1)</f>
        <v>46.511999999999993</v>
      </c>
      <c r="DO18" s="43"/>
      <c r="DP18" s="7">
        <f>((AVERAGE(F7:F18,DO7:DO18)*('Summary Page'!$C$2+1))*('Summary Page'!$C$2+1))*('Summary Page'!$C$2+1)</f>
        <v>0.91052266666666648</v>
      </c>
      <c r="DQ18" s="7">
        <f>((AVERAGE(F7:F18,DO7:DO18)*('Summary Page'!$C$3+1))*('Summary Page'!$C$3+1))*('Summary Page'!$C$3+1)</f>
        <v>1.139322916666667</v>
      </c>
      <c r="DR18" s="8">
        <f>((AVERAGE(F7:F18,DO7:DO18)*('Summary Page'!$C$4+1))*('Summary Page'!$C$4+1))*('Summary Page'!$C$4+1)</f>
        <v>1.008</v>
      </c>
      <c r="DU18" s="43"/>
      <c r="DV18" s="7">
        <f>((AVERAGE(G7:G18,DU7:DU18)*('Summary Page'!$C$2+1))*('Summary Page'!$C$2+1))*('Summary Page'!$C$2+1)</f>
        <v>26.275082666666659</v>
      </c>
      <c r="DW18" s="7">
        <f>((AVERAGE(G7:G18,DU7:DU18)*('Summary Page'!$C$3+1))*('Summary Page'!$C$3+1))*('Summary Page'!$C$3+1)</f>
        <v>32.877604166666657</v>
      </c>
      <c r="DX18" s="8">
        <f>((AVERAGE(G7:G18,DU7:DU18)*('Summary Page'!$C$4+1))*('Summary Page'!$C$4+1))*('Summary Page'!$C$4+1)</f>
        <v>29.087999999999997</v>
      </c>
      <c r="EA18" s="43"/>
      <c r="EB18" s="7">
        <f>((AVERAGE(H13:H18)*('Summary Page'!$C$2+1))*('Summary Page'!$C$2+1))*('Summary Page'!$C$2+1)</f>
        <v>17.950303999999999</v>
      </c>
      <c r="EC18" s="7">
        <f>((AVERAGE(H13:H18)*('Summary Page'!$C$3+1))*('Summary Page'!$C$3+1))*('Summary Page'!$C$3+1)</f>
        <v>22.4609375</v>
      </c>
      <c r="ED18" s="8">
        <f>((AVERAGE(H13:H18)*('Summary Page'!$C$4+1))*('Summary Page'!$C$4+1))*('Summary Page'!$C$4+1)</f>
        <v>19.871999999999996</v>
      </c>
      <c r="EG18" s="43"/>
      <c r="EH18" s="7">
        <f>((AVERAGE(I13:I18)*('Summary Page'!$C$2+1))*('Summary Page'!$C$2+1))*('Summary Page'!$C$2+1)</f>
        <v>78.044799999999981</v>
      </c>
      <c r="EI18" s="7">
        <f>((AVERAGE(I13:I18)*('Summary Page'!$C$3+1))*('Summary Page'!$C$3+1))*('Summary Page'!$C$3+1)</f>
        <v>97.65625</v>
      </c>
      <c r="EJ18" s="8">
        <f>((AVERAGE(I13:I18)*('Summary Page'!$C$4+1))*('Summary Page'!$C$4+1))*('Summary Page'!$C$4+1)</f>
        <v>86.399999999999991</v>
      </c>
      <c r="EM18" s="43"/>
      <c r="EN18" s="7" t="e">
        <f>((AVERAGE(AD13:AD18)*('Summary Page'!$C$2+1))*('Summary Page'!$C$2+1))*('Summary Page'!$C$2+1)</f>
        <v>#DIV/0!</v>
      </c>
      <c r="EO18" s="7" t="e">
        <f>((AVERAGE(AD13:AD18)*('Summary Page'!$C$3+1))*('Summary Page'!$C$3+1))*('Summary Page'!$C$3+1)</f>
        <v>#DIV/0!</v>
      </c>
      <c r="EP18" s="7" t="e">
        <f>((AVERAGE(AD13:AD18)*('Summary Page'!$C$4+1))*('Summary Page'!$C$4+1))*('Summary Page'!$C$4+1)</f>
        <v>#DIV/0!</v>
      </c>
      <c r="EQ18" s="7">
        <v>100</v>
      </c>
    </row>
    <row r="19" spans="1:159" ht="15.75" x14ac:dyDescent="0.25">
      <c r="A19" s="1">
        <v>43570</v>
      </c>
      <c r="B19" s="43">
        <v>67</v>
      </c>
      <c r="C19" s="67">
        <v>40</v>
      </c>
      <c r="D19" s="67">
        <v>33</v>
      </c>
      <c r="E19" s="7">
        <f t="shared" si="1"/>
        <v>53.5</v>
      </c>
      <c r="F19" s="67">
        <v>1</v>
      </c>
      <c r="G19" s="67">
        <v>14</v>
      </c>
      <c r="H19" s="67">
        <v>12</v>
      </c>
      <c r="I19" s="67">
        <v>39</v>
      </c>
      <c r="J19" s="67"/>
      <c r="K19" s="5">
        <f t="shared" si="2"/>
        <v>23.625</v>
      </c>
      <c r="L19" s="218"/>
      <c r="M19" s="43"/>
      <c r="N19" s="43"/>
      <c r="O19" s="43"/>
      <c r="P19" s="43"/>
      <c r="Q19" s="43"/>
      <c r="R19" s="43"/>
      <c r="S19" s="43"/>
      <c r="T19" s="43"/>
      <c r="U19" s="219"/>
      <c r="V19" s="13"/>
      <c r="W19" s="13"/>
      <c r="X19" s="13"/>
      <c r="Y19" s="13"/>
      <c r="Z19" s="13"/>
      <c r="AA19" s="13"/>
      <c r="AB19" s="13"/>
      <c r="AC19" s="1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13"/>
      <c r="AO19" s="7">
        <f>((AVERAGE(K14:K19)*('Summary Page'!$C$2+1))*('Summary Page'!$C$2+1))*('Summary Page'!$C$2+1)</f>
        <v>45.461095999999991</v>
      </c>
      <c r="AP19" s="7">
        <f>((AVERAGE(K14:K19)*('Summary Page'!$C$3+1))*('Summary Page'!$C$3+1))*('Summary Page'!$C$3+1)</f>
        <v>56.884765625</v>
      </c>
      <c r="AQ19" s="7">
        <f>((AVERAGE(K14:K19)*('Summary Page'!$C$4+1))*('Summary Page'!$C$4+1))*('Summary Page'!$C$4+1)</f>
        <v>50.327999999999989</v>
      </c>
      <c r="AR19" s="7">
        <v>80</v>
      </c>
      <c r="AS19" s="5">
        <f t="shared" si="3"/>
        <v>31</v>
      </c>
      <c r="AT19" s="13"/>
      <c r="AU19" s="13"/>
      <c r="AV19" s="7">
        <f>((AVERAGE(AS8:AS19,AU8:AU19)*('Summary Page'!$C$2+1))*('Summary Page'!$C$2+1))*('Summary Page'!$C$2+1)</f>
        <v>54.241135999999976</v>
      </c>
      <c r="AW19" s="7">
        <f>((AVERAGE(AS8:AS19,AU8:AU19)*('Summary Page'!$C$3+1))*('Summary Page'!$C$3+1))*('Summary Page'!$C$3+1)</f>
        <v>67.871093749999986</v>
      </c>
      <c r="AX19" s="7">
        <f>((AVERAGE(AS8:AS19,AU8:AU19)*('Summary Page'!$C$4+1))*('Summary Page'!$C$4+1))*('Summary Page'!$C$4+1)</f>
        <v>60.047999999999981</v>
      </c>
      <c r="BA19" s="43"/>
      <c r="BB19" s="7">
        <f>((AVERAGE(B14:B19)*(+'Summary Page'!$C$2+1))*('Summary Page'!$C$2+1))*('Summary Page'!$C$2+1)</f>
        <v>113.94540799999997</v>
      </c>
      <c r="BC19" s="7">
        <f>((AVERAGE(B14:B19)*('Summary Page'!$C$3+1))*('Summary Page'!$C$3+1))*('Summary Page'!$C$3+1)</f>
        <v>142.578125</v>
      </c>
      <c r="BD19" s="7">
        <f>((AVERAGE(B14:B19)*('Summary Page'!$C$4+1))*('Summary Page'!$C$4+1))*('Summary Page'!$C$4+1)</f>
        <v>126.14399999999998</v>
      </c>
      <c r="BE19" s="67">
        <v>13</v>
      </c>
      <c r="BF19" s="81"/>
      <c r="BG19" s="43"/>
      <c r="BH19" s="7">
        <f>((AVERAGE(BE8:BE19,BG8:BG19)*('Summary Page'!$C$2+1))*('Summary Page'!$C$2+1))*('Summary Page'!$C$2+1)</f>
        <v>38.241951999999998</v>
      </c>
      <c r="BI19" s="7">
        <f>((AVERAGE(BE8:BE19,BG8:BG19)*('Summary Page'!$C$3+1))*('Summary Page'!$C$3+1))*('Summary Page'!$C$3+1)</f>
        <v>47.8515625</v>
      </c>
      <c r="BJ19" s="7">
        <f>((AVERAGE(BE8:BE19,BG8:BG19)*('Summary Page'!$C$4+1))*('Summary Page'!$C$4+1))*('Summary Page'!$C$4+1)</f>
        <v>42.335999999999991</v>
      </c>
      <c r="BK19" s="43">
        <v>11</v>
      </c>
      <c r="BL19" s="43"/>
      <c r="BM19" s="43"/>
      <c r="BN19" s="7">
        <f>((AVERAGE(BK8:BK19,BM8:BM19)*('Summary Page'!$C$2+1))*('Summary Page'!$C$2+1))*('Summary Page'!$C$2+1)</f>
        <v>33.299114666666654</v>
      </c>
      <c r="BO19" s="7">
        <f>((AVERAGE(BK8:BK19,BM8:BM19)*('Summary Page'!$C$3+1))*('Summary Page'!$C$3+1))*('Summary Page'!$C$3+1)</f>
        <v>41.666666666666657</v>
      </c>
      <c r="BP19" s="7">
        <f>((AVERAGE(BK8:BK19,BM8:BM19)*('Summary Page'!$C$4+1))*('Summary Page'!$C$4+1))*('Summary Page'!$C$4+1)</f>
        <v>36.86399999999999</v>
      </c>
      <c r="BQ19" s="67">
        <v>39</v>
      </c>
      <c r="BR19" s="43"/>
      <c r="BS19" s="43"/>
      <c r="BT19" s="7">
        <f>((AVERAGE(BQ8:BQ19,BS8:BS19)*('Summary Page'!$C$2+1))*('Summary Page'!$C$2+1))*('Summary Page'!$C$2+1)</f>
        <v>87.670325333333309</v>
      </c>
      <c r="BU19" s="7">
        <f>((AVERAGE(BQ8:BQ19,BS8:BS19)*('Summary Page'!$C$3+1))*('Summary Page'!$C$3+1))*('Summary Page'!$C$3+1)</f>
        <v>109.70052083333331</v>
      </c>
      <c r="BV19" s="8">
        <f>((AVERAGE(BQ8:BQ19,BS8:BS19)*('Summary Page'!$C$4+1))*('Summary Page'!$C$4+1))*('Summary Page'!$C$4+1)</f>
        <v>97.055999999999969</v>
      </c>
      <c r="BW19" s="67">
        <v>30</v>
      </c>
      <c r="BX19" s="43"/>
      <c r="BY19" s="43"/>
      <c r="BZ19" s="7">
        <f>((AVERAGE(BW8:BW19,BY8:BY19)*('Summary Page'!$C$2+1))*('Summary Page'!$C$2+1))*('Summary Page'!$C$2+1)</f>
        <v>60.224570666666658</v>
      </c>
      <c r="CA19" s="7">
        <f>((AVERAGE(BW8:BW19,BY8:BY19)*('Summary Page'!$C$3+1))*('Summary Page'!$C$3+1))*('Summary Page'!$C$3+1)</f>
        <v>75.358072916666686</v>
      </c>
      <c r="CB19" s="8">
        <f>((AVERAGE(BW8:BW19,BY8:BY19)*('Summary Page'!$C$4+1))*('Summary Page'!$C$4+1))*('Summary Page'!$C$4+1)</f>
        <v>66.671999999999997</v>
      </c>
      <c r="CC19" s="67">
        <v>26</v>
      </c>
      <c r="CD19" s="43"/>
      <c r="CE19" s="43"/>
      <c r="CF19" s="7">
        <f>((AVERAGE(CC8:CC19,CE8:CE19)*('Summary Page'!$C$2+1))*('Summary Page'!$C$2+1))*('Summary Page'!$C$2+1)</f>
        <v>44.355461333333324</v>
      </c>
      <c r="CG19" s="7">
        <f>((AVERAGE(CC8:CC19,CE8:CE19)*('Summary Page'!$C$3+1))*('Summary Page'!$C$3+1))*('Summary Page'!$C$3+1)</f>
        <v>55.501302083333343</v>
      </c>
      <c r="CH19" s="8">
        <f>((AVERAGE(CC8:CC19,CE8:CE19)*('Summary Page'!$C$4+1))*('Summary Page'!$C$4+1))*('Summary Page'!$C$4+1)</f>
        <v>49.103999999999999</v>
      </c>
      <c r="CI19" s="67">
        <v>19</v>
      </c>
      <c r="CJ19" s="43"/>
      <c r="CK19" s="43"/>
      <c r="CL19" s="7">
        <f>((AVERAGE(CI8:CI19,CK8:CK19)*('Summary Page'!$C$2+1))*('Summary Page'!$C$2+1))*('Summary Page'!$C$2+1)</f>
        <v>33.169039999999995</v>
      </c>
      <c r="CM19" s="7">
        <f>((AVERAGE(CI8:CI19,CK8:CK19)*('Summary Page'!$C$3+1))*('Summary Page'!$C$3+1))*('Summary Page'!$C$3+1)</f>
        <v>41.50390625</v>
      </c>
      <c r="CN19" s="8">
        <f>((AVERAGE(CI8:CI19,CK8:CK19)*('Summary Page'!$C$4+1))*('Summary Page'!$C$4+1))*('Summary Page'!$C$4+1)</f>
        <v>36.72</v>
      </c>
      <c r="CQ19" s="43"/>
      <c r="CR19" s="7">
        <f>((AVERAGE(C14:C19)*('Summary Page'!$C$2+1))*('Summary Page'!$C$2+1))*('Summary Page'!$C$2+1)</f>
        <v>65.557631999999984</v>
      </c>
      <c r="CS19" s="7">
        <f>((AVERAGE(C14:C19)*('Summary Page'!$C$3+1))*('Summary Page'!$C$3+1))*('Summary Page'!$C$3+1)</f>
        <v>82.03125</v>
      </c>
      <c r="CT19" s="8">
        <f>((AVERAGE(C14:C19)*('Summary Page'!$C$4+1))*('Summary Page'!$C$4+1))*('Summary Page'!$C$4+1)</f>
        <v>72.575999999999993</v>
      </c>
      <c r="CW19" s="43"/>
      <c r="CX19" s="7">
        <f>((AVERAGE(D14:D19)*('Summary Page'!$C$2+1))*('Summary Page'!$C$2+1))*('Summary Page'!$C$2+1)</f>
        <v>53.850911999999987</v>
      </c>
      <c r="CY19" s="7">
        <f>((AVERAGE(D14:D19)*('Summary Page'!$C$3+1))*('Summary Page'!$C$3+1))*('Summary Page'!$C$3+1)</f>
        <v>67.3828125</v>
      </c>
      <c r="CZ19" s="8">
        <f>((AVERAGE(D14:D19)*('Summary Page'!$C$4+1))*('Summary Page'!$C$4+1))*('Summary Page'!$C$4+1)</f>
        <v>59.616</v>
      </c>
      <c r="DA19" s="67">
        <v>23</v>
      </c>
      <c r="DB19" s="43"/>
      <c r="DC19" s="43"/>
      <c r="DD19" s="7">
        <f>((AVERAGE(DA8:DA19,DC8:DC19)*('Summary Page'!$C$2+1))*('Summary Page'!$C$2+1))*('Summary Page'!$C$2+1)</f>
        <v>35.250234666666657</v>
      </c>
      <c r="DE19" s="7">
        <f>((AVERAGE(DA8:DA19,DC8:DC19)*('Summary Page'!$C$3+1))*('Summary Page'!$C$3+1))*('Summary Page'!$C$3+1)</f>
        <v>44.108072916666657</v>
      </c>
      <c r="DF19" s="8">
        <f>((AVERAGE(DA8:DA19,DC8:DC19)*('Summary Page'!$C$4+1))*('Summary Page'!$C$4+1))*('Summary Page'!$C$4+1)</f>
        <v>39.023999999999994</v>
      </c>
      <c r="DG19" s="67">
        <v>28</v>
      </c>
      <c r="DH19" s="43"/>
      <c r="DI19" s="43"/>
      <c r="DJ19" s="7">
        <f>((AVERAGE(DG8:DG19,DI8:DI19)*('Summary Page'!$C$2+1))*('Summary Page'!$C$2+1))*('Summary Page'!$C$2+1)</f>
        <v>42.14419199999999</v>
      </c>
      <c r="DK19" s="7">
        <f>((AVERAGE(DG8:DG19,DI8:DI19)*('Summary Page'!$C$3+1))*('Summary Page'!$C$3+1))*('Summary Page'!$C$3+1)</f>
        <v>52.734375</v>
      </c>
      <c r="DL19" s="8">
        <f>((AVERAGE(DG8:DG19,DI8:DI19)*('Summary Page'!$C$4+1))*('Summary Page'!$C$4+1))*('Summary Page'!$C$4+1)</f>
        <v>46.655999999999992</v>
      </c>
      <c r="DO19" s="43"/>
      <c r="DP19" s="7">
        <f>((AVERAGE(F8:F19,DO8:DO19)*('Summary Page'!$C$2+1))*('Summary Page'!$C$2+1))*('Summary Page'!$C$2+1)</f>
        <v>0.78044799999999992</v>
      </c>
      <c r="DQ19" s="7">
        <f>((AVERAGE(F8:F19,DO8:DO19)*('Summary Page'!$C$3+1))*('Summary Page'!$C$3+1))*('Summary Page'!$C$3+1)</f>
        <v>0.9765625</v>
      </c>
      <c r="DR19" s="8">
        <f>((AVERAGE(F8:F19,DO8:DO19)*('Summary Page'!$C$4+1))*('Summary Page'!$C$4+1))*('Summary Page'!$C$4+1)</f>
        <v>0.86399999999999999</v>
      </c>
      <c r="DU19" s="43"/>
      <c r="DV19" s="7">
        <f>((AVERAGE(G8:G19,DU8:DU19)*('Summary Page'!$C$2+1))*('Summary Page'!$C$2+1))*('Summary Page'!$C$2+1)</f>
        <v>24.974335999999997</v>
      </c>
      <c r="DW19" s="7">
        <f>((AVERAGE(G8:G19,DU8:DU19)*('Summary Page'!$C$3+1))*('Summary Page'!$C$3+1))*('Summary Page'!$C$3+1)</f>
        <v>31.25</v>
      </c>
      <c r="DX19" s="8">
        <f>((AVERAGE(G8:G19,DU8:DU19)*('Summary Page'!$C$4+1))*('Summary Page'!$C$4+1))*('Summary Page'!$C$4+1)</f>
        <v>27.648</v>
      </c>
      <c r="EA19" s="43"/>
      <c r="EB19" s="7">
        <f>((AVERAGE(H14:H19)*('Summary Page'!$C$2+1))*('Summary Page'!$C$2+1))*('Summary Page'!$C$2+1)</f>
        <v>18.470602666666665</v>
      </c>
      <c r="EC19" s="7">
        <f>((AVERAGE(H14:H19)*('Summary Page'!$C$3+1))*('Summary Page'!$C$3+1))*('Summary Page'!$C$3+1)</f>
        <v>23.111979166666671</v>
      </c>
      <c r="ED19" s="8">
        <f>((AVERAGE(H14:H19)*('Summary Page'!$C$4+1))*('Summary Page'!$C$4+1))*('Summary Page'!$C$4+1)</f>
        <v>20.447999999999997</v>
      </c>
      <c r="EG19" s="43"/>
      <c r="EH19" s="7">
        <f>((AVERAGE(I14:I19)*('Summary Page'!$C$2+1))*('Summary Page'!$C$2+1))*('Summary Page'!$C$2+1)</f>
        <v>77.004202666666657</v>
      </c>
      <c r="EI19" s="7">
        <f>((AVERAGE(I14:I19)*('Summary Page'!$C$3+1))*('Summary Page'!$C$3+1))*('Summary Page'!$C$3+1)</f>
        <v>96.354166666666686</v>
      </c>
      <c r="EJ19" s="8">
        <f>((AVERAGE(I14:I19)*('Summary Page'!$C$4+1))*('Summary Page'!$C$4+1))*('Summary Page'!$C$4+1)</f>
        <v>85.248000000000005</v>
      </c>
      <c r="EM19" s="43"/>
      <c r="EN19" s="7" t="e">
        <f>((AVERAGE(AD14:AD19)*('Summary Page'!$C$2+1))*('Summary Page'!$C$2+1))*('Summary Page'!$C$2+1)</f>
        <v>#DIV/0!</v>
      </c>
      <c r="EO19" s="7" t="e">
        <f>((AVERAGE(AD14:AD19)*('Summary Page'!$C$3+1))*('Summary Page'!$C$3+1))*('Summary Page'!$C$3+1)</f>
        <v>#DIV/0!</v>
      </c>
      <c r="EP19" s="7" t="e">
        <f>((AVERAGE(AD14:AD19)*('Summary Page'!$C$4+1))*('Summary Page'!$C$4+1))*('Summary Page'!$C$4+1)</f>
        <v>#DIV/0!</v>
      </c>
      <c r="EQ19" s="7">
        <v>100</v>
      </c>
    </row>
    <row r="20" spans="1:159" ht="15.75" x14ac:dyDescent="0.25">
      <c r="A20" s="1">
        <v>43586</v>
      </c>
      <c r="B20" s="43">
        <v>61</v>
      </c>
      <c r="C20" s="67">
        <v>40</v>
      </c>
      <c r="D20" s="67">
        <v>33</v>
      </c>
      <c r="E20" s="7">
        <f t="shared" si="1"/>
        <v>50.5</v>
      </c>
      <c r="F20" s="67">
        <v>1</v>
      </c>
      <c r="G20" s="67">
        <v>14</v>
      </c>
      <c r="H20" s="67">
        <v>12</v>
      </c>
      <c r="I20" s="67">
        <v>39</v>
      </c>
      <c r="J20" s="67"/>
      <c r="K20" s="5">
        <f t="shared" si="2"/>
        <v>24</v>
      </c>
      <c r="L20" s="218"/>
      <c r="M20" s="43"/>
      <c r="N20" s="43"/>
      <c r="O20" s="43"/>
      <c r="P20" s="43"/>
      <c r="Q20" s="43"/>
      <c r="R20" s="43"/>
      <c r="S20" s="43"/>
      <c r="T20" s="43"/>
      <c r="U20" s="219"/>
      <c r="V20" s="13"/>
      <c r="W20" s="13"/>
      <c r="X20" s="13"/>
      <c r="Y20" s="13"/>
      <c r="Z20" s="13"/>
      <c r="AA20" s="13"/>
      <c r="AB20" s="13"/>
      <c r="AC20" s="1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13"/>
      <c r="AO20" s="7">
        <f>((AVERAGE(K15:K20)*('Summary Page'!$C$2+1))*('Summary Page'!$C$2+1))*('Summary Page'!$C$2+1)</f>
        <v>43.282345333333325</v>
      </c>
      <c r="AP20" s="7">
        <f>((AVERAGE(K15:K20)*('Summary Page'!$C$3+1))*('Summary Page'!$C$3+1))*('Summary Page'!$C$3+1)</f>
        <v>54.158528645833343</v>
      </c>
      <c r="AQ20" s="7">
        <f>((AVERAGE(K15:K20)*('Summary Page'!$C$4+1))*('Summary Page'!$C$4+1))*('Summary Page'!$C$4+1)</f>
        <v>47.915999999999997</v>
      </c>
      <c r="AR20" s="7">
        <v>80</v>
      </c>
      <c r="AS20" s="5">
        <f t="shared" si="3"/>
        <v>31</v>
      </c>
      <c r="AT20" s="13"/>
      <c r="AU20" s="13"/>
      <c r="AV20" s="7">
        <f>((AVERAGE(AS9:AS20,AU9:AU20)*('Summary Page'!$C$2+1))*('Summary Page'!$C$2+1))*('Summary Page'!$C$2+1)</f>
        <v>53.46068799999999</v>
      </c>
      <c r="AW20" s="7">
        <f>((AVERAGE(AS9:AS20,AU9:AU20)*('Summary Page'!$C$3+1))*('Summary Page'!$C$3+1))*('Summary Page'!$C$3+1)</f>
        <v>66.89453125</v>
      </c>
      <c r="AX20" s="7">
        <f>((AVERAGE(AS9:AS20,AU9:AU20)*('Summary Page'!$C$4+1))*('Summary Page'!$C$4+1))*('Summary Page'!$C$4+1)</f>
        <v>59.183999999999997</v>
      </c>
      <c r="BA20" s="43"/>
      <c r="BB20" s="7">
        <f>((AVERAGE(B15:B20)*(+'Summary Page'!$C$2+1))*('Summary Page'!$C$2+1))*('Summary Page'!$C$2+1)</f>
        <v>110.04316799999998</v>
      </c>
      <c r="BC20" s="7">
        <f>((AVERAGE(B15:B20)*('Summary Page'!$C$3+1))*('Summary Page'!$C$3+1))*('Summary Page'!$C$3+1)</f>
        <v>137.6953125</v>
      </c>
      <c r="BD20" s="7">
        <f>((AVERAGE(B15:B20)*('Summary Page'!$C$4+1))*('Summary Page'!$C$4+1))*('Summary Page'!$C$4+1)</f>
        <v>121.82399999999998</v>
      </c>
      <c r="BE20" s="67">
        <v>12</v>
      </c>
      <c r="BF20" s="81"/>
      <c r="BG20" s="43"/>
      <c r="BH20" s="7">
        <f>((AVERAGE(BE9:BE20,BG9:BG20)*('Summary Page'!$C$2+1))*('Summary Page'!$C$2+1))*('Summary Page'!$C$2+1)</f>
        <v>35.120159999999991</v>
      </c>
      <c r="BI20" s="7">
        <f>((AVERAGE(BE9:BE20,BG9:BG20)*('Summary Page'!$C$3+1))*('Summary Page'!$C$3+1))*('Summary Page'!$C$3+1)</f>
        <v>43.9453125</v>
      </c>
      <c r="BJ20" s="7">
        <f>((AVERAGE(BE9:BE20,BG9:BG20)*('Summary Page'!$C$4+1))*('Summary Page'!$C$4+1))*('Summary Page'!$C$4+1)</f>
        <v>38.879999999999995</v>
      </c>
      <c r="BK20" s="43">
        <v>10</v>
      </c>
      <c r="BL20" s="43"/>
      <c r="BM20" s="43"/>
      <c r="BN20" s="7">
        <f>((AVERAGE(BK9:BK20,BM9:BM20)*('Summary Page'!$C$2+1))*('Summary Page'!$C$2+1))*('Summary Page'!$C$2+1)</f>
        <v>30.567546666666662</v>
      </c>
      <c r="BO20" s="7">
        <f>((AVERAGE(BK9:BK20,BM9:BM20)*('Summary Page'!$C$3+1))*('Summary Page'!$C$3+1))*('Summary Page'!$C$3+1)</f>
        <v>38.248697916666657</v>
      </c>
      <c r="BP20" s="7">
        <f>((AVERAGE(BK9:BK20,BM9:BM20)*('Summary Page'!$C$4+1))*('Summary Page'!$C$4+1))*('Summary Page'!$C$4+1)</f>
        <v>33.839999999999996</v>
      </c>
      <c r="BQ20" s="67">
        <v>42</v>
      </c>
      <c r="BR20" s="43"/>
      <c r="BS20" s="43"/>
      <c r="BT20" s="7">
        <f>((AVERAGE(BQ9:BQ20,BS9:BS20)*('Summary Page'!$C$2+1))*('Summary Page'!$C$2+1))*('Summary Page'!$C$2+1)</f>
        <v>85.979354666666651</v>
      </c>
      <c r="BU20" s="7">
        <f>((AVERAGE(BQ9:BQ20,BS9:BS20)*('Summary Page'!$C$3+1))*('Summary Page'!$C$3+1))*('Summary Page'!$C$3+1)</f>
        <v>107.58463541666669</v>
      </c>
      <c r="BV20" s="8">
        <f>((AVERAGE(BQ9:BQ20,BS9:BS20)*('Summary Page'!$C$4+1))*('Summary Page'!$C$4+1))*('Summary Page'!$C$4+1)</f>
        <v>95.183999999999983</v>
      </c>
      <c r="BW20" s="67">
        <v>30</v>
      </c>
      <c r="BX20" s="43"/>
      <c r="BY20" s="43"/>
      <c r="BZ20" s="7">
        <f>((AVERAGE(BW9:BW20,BY9:BY20)*('Summary Page'!$C$2+1))*('Summary Page'!$C$2+1))*('Summary Page'!$C$2+1)</f>
        <v>58.663674666666651</v>
      </c>
      <c r="CA20" s="7">
        <f>((AVERAGE(BW9:BW20,BY9:BY20)*('Summary Page'!$C$3+1))*('Summary Page'!$C$3+1))*('Summary Page'!$C$3+1)</f>
        <v>73.404947916666686</v>
      </c>
      <c r="CB20" s="8">
        <f>((AVERAGE(BW9:BW20,BY9:BY20)*('Summary Page'!$C$4+1))*('Summary Page'!$C$4+1))*('Summary Page'!$C$4+1)</f>
        <v>64.943999999999988</v>
      </c>
      <c r="CC20" s="67">
        <v>26</v>
      </c>
      <c r="CD20" s="43"/>
      <c r="CE20" s="43"/>
      <c r="CF20" s="7">
        <f>((AVERAGE(CC9:CC20,CE9:CE20)*('Summary Page'!$C$2+1))*('Summary Page'!$C$2+1))*('Summary Page'!$C$2+1)</f>
        <v>44.095311999999986</v>
      </c>
      <c r="CG20" s="7">
        <f>((AVERAGE(CC9:CC20,CE9:CE20)*('Summary Page'!$C$3+1))*('Summary Page'!$C$3+1))*('Summary Page'!$C$3+1)</f>
        <v>55.17578125</v>
      </c>
      <c r="CH20" s="8">
        <f>((AVERAGE(CC9:CC20,CE9:CE20)*('Summary Page'!$C$4+1))*('Summary Page'!$C$4+1))*('Summary Page'!$C$4+1)</f>
        <v>48.815999999999995</v>
      </c>
      <c r="CI20" s="67">
        <v>19</v>
      </c>
      <c r="CJ20" s="43"/>
      <c r="CK20" s="43"/>
      <c r="CL20" s="7">
        <f>((AVERAGE(CI9:CI20,CK9:CK20)*('Summary Page'!$C$2+1))*('Summary Page'!$C$2+1))*('Summary Page'!$C$2+1)</f>
        <v>33.03896533333333</v>
      </c>
      <c r="CM20" s="7">
        <f>((AVERAGE(CI9:CI20,CK9:CK20)*('Summary Page'!$C$3+1))*('Summary Page'!$C$3+1))*('Summary Page'!$C$3+1)</f>
        <v>41.341145833333343</v>
      </c>
      <c r="CN20" s="8">
        <f>((AVERAGE(CI9:CI20,CK9:CK20)*('Summary Page'!$C$4+1))*('Summary Page'!$C$4+1))*('Summary Page'!$C$4+1)</f>
        <v>36.576000000000001</v>
      </c>
      <c r="CQ20" s="43"/>
      <c r="CR20" s="7">
        <f>((AVERAGE(C15:C20)*('Summary Page'!$C$2+1))*('Summary Page'!$C$2+1))*('Summary Page'!$C$2+1)</f>
        <v>65.037333333333322</v>
      </c>
      <c r="CS20" s="7">
        <f>((AVERAGE(C15:C20)*('Summary Page'!$C$3+1))*('Summary Page'!$C$3+1))*('Summary Page'!$C$3+1)</f>
        <v>81.380208333333314</v>
      </c>
      <c r="CT20" s="8">
        <f>((AVERAGE(C15:C20)*('Summary Page'!$C$4+1))*('Summary Page'!$C$4+1))*('Summary Page'!$C$4+1)</f>
        <v>71.999999999999986</v>
      </c>
      <c r="CW20" s="43"/>
      <c r="CX20" s="7">
        <f>((AVERAGE(D15:D20)*('Summary Page'!$C$2+1))*('Summary Page'!$C$2+1))*('Summary Page'!$C$2+1)</f>
        <v>53.070463999999987</v>
      </c>
      <c r="CY20" s="7">
        <f>((AVERAGE(D15:D20)*('Summary Page'!$C$3+1))*('Summary Page'!$C$3+1))*('Summary Page'!$C$3+1)</f>
        <v>66.40625</v>
      </c>
      <c r="CZ20" s="8">
        <f>((AVERAGE(D15:D20)*('Summary Page'!$C$4+1))*('Summary Page'!$C$4+1))*('Summary Page'!$C$4+1)</f>
        <v>58.751999999999988</v>
      </c>
      <c r="DA20" s="67">
        <v>24</v>
      </c>
      <c r="DB20" s="43"/>
      <c r="DC20" s="43"/>
      <c r="DD20" s="7">
        <f>((AVERAGE(DA9:DA20,DC9:DC20)*('Summary Page'!$C$2+1))*('Summary Page'!$C$2+1))*('Summary Page'!$C$2+1)</f>
        <v>35.120159999999991</v>
      </c>
      <c r="DE20" s="7">
        <f>((AVERAGE(DA9:DA20,DC9:DC20)*('Summary Page'!$C$3+1))*('Summary Page'!$C$3+1))*('Summary Page'!$C$3+1)</f>
        <v>43.9453125</v>
      </c>
      <c r="DF20" s="8">
        <f>((AVERAGE(DA9:DA20,DC9:DC20)*('Summary Page'!$C$4+1))*('Summary Page'!$C$4+1))*('Summary Page'!$C$4+1)</f>
        <v>38.879999999999995</v>
      </c>
      <c r="DG20" s="67">
        <v>29</v>
      </c>
      <c r="DH20" s="43"/>
      <c r="DI20" s="43"/>
      <c r="DJ20" s="7">
        <f>((AVERAGE(DG9:DG20,DI9:DI20)*('Summary Page'!$C$2+1))*('Summary Page'!$C$2+1))*('Summary Page'!$C$2+1)</f>
        <v>42.274266666666655</v>
      </c>
      <c r="DK20" s="7">
        <f>((AVERAGE(DG9:DG20,DI9:DI20)*('Summary Page'!$C$3+1))*('Summary Page'!$C$3+1))*('Summary Page'!$C$3+1)</f>
        <v>52.897135416666657</v>
      </c>
      <c r="DL20" s="8">
        <f>((AVERAGE(DG9:DG20,DI9:DI20)*('Summary Page'!$C$4+1))*('Summary Page'!$C$4+1))*('Summary Page'!$C$4+1)</f>
        <v>46.8</v>
      </c>
      <c r="DO20" s="43"/>
      <c r="DP20" s="7">
        <f>((AVERAGE(F9:F20,DO9:DO20)*('Summary Page'!$C$2+1))*('Summary Page'!$C$2+1))*('Summary Page'!$C$2+1)</f>
        <v>0.78044799999999992</v>
      </c>
      <c r="DQ20" s="7">
        <f>((AVERAGE(F9:F20,DO9:DO20)*('Summary Page'!$C$3+1))*('Summary Page'!$C$3+1))*('Summary Page'!$C$3+1)</f>
        <v>0.9765625</v>
      </c>
      <c r="DR20" s="8">
        <f>((AVERAGE(F9:F20,DO9:DO20)*('Summary Page'!$C$4+1))*('Summary Page'!$C$4+1))*('Summary Page'!$C$4+1)</f>
        <v>0.86399999999999999</v>
      </c>
      <c r="DU20" s="43"/>
      <c r="DV20" s="7">
        <f>((AVERAGE(G9:G20,DU9:DU20)*('Summary Page'!$C$2+1))*('Summary Page'!$C$2+1))*('Summary Page'!$C$2+1)</f>
        <v>24.193887999999998</v>
      </c>
      <c r="DW20" s="7">
        <f>((AVERAGE(G9:G20,DU9:DU20)*('Summary Page'!$C$3+1))*('Summary Page'!$C$3+1))*('Summary Page'!$C$3+1)</f>
        <v>30.2734375</v>
      </c>
      <c r="DX20" s="8">
        <f>((AVERAGE(G9:G20,DU9:DU20)*('Summary Page'!$C$4+1))*('Summary Page'!$C$4+1))*('Summary Page'!$C$4+1)</f>
        <v>26.783999999999995</v>
      </c>
      <c r="EA20" s="43"/>
      <c r="EB20" s="7">
        <f>((AVERAGE(H15:H20)*('Summary Page'!$C$2+1))*('Summary Page'!$C$2+1))*('Summary Page'!$C$2+1)</f>
        <v>18.990901333333326</v>
      </c>
      <c r="EC20" s="7">
        <f>((AVERAGE(H15:H20)*('Summary Page'!$C$3+1))*('Summary Page'!$C$3+1))*('Summary Page'!$C$3+1)</f>
        <v>23.763020833333329</v>
      </c>
      <c r="ED20" s="8">
        <f>((AVERAGE(H15:H20)*('Summary Page'!$C$4+1))*('Summary Page'!$C$4+1))*('Summary Page'!$C$4+1)</f>
        <v>21.023999999999994</v>
      </c>
      <c r="EG20" s="43"/>
      <c r="EH20" s="7">
        <f>((AVERAGE(I15:I20)*('Summary Page'!$C$2+1))*('Summary Page'!$C$2+1))*('Summary Page'!$C$2+1)</f>
        <v>71.801215999999997</v>
      </c>
      <c r="EI20" s="7">
        <f>((AVERAGE(I15:I20)*('Summary Page'!$C$3+1))*('Summary Page'!$C$3+1))*('Summary Page'!$C$3+1)</f>
        <v>89.84375</v>
      </c>
      <c r="EJ20" s="8">
        <f>((AVERAGE(I15:I20)*('Summary Page'!$C$4+1))*('Summary Page'!$C$4+1))*('Summary Page'!$C$4+1)</f>
        <v>79.487999999999985</v>
      </c>
      <c r="EM20" s="43"/>
      <c r="EN20" s="7" t="e">
        <f>((AVERAGE(AD15:AD20)*('Summary Page'!$C$2+1))*('Summary Page'!$C$2+1))*('Summary Page'!$C$2+1)</f>
        <v>#DIV/0!</v>
      </c>
      <c r="EO20" s="7" t="e">
        <f>((AVERAGE(AD15:AD20)*('Summary Page'!$C$3+1))*('Summary Page'!$C$3+1))*('Summary Page'!$C$3+1)</f>
        <v>#DIV/0!</v>
      </c>
      <c r="EP20" s="7" t="e">
        <f>((AVERAGE(AD15:AD20)*('Summary Page'!$C$4+1))*('Summary Page'!$C$4+1))*('Summary Page'!$C$4+1)</f>
        <v>#DIV/0!</v>
      </c>
      <c r="EQ20" s="7">
        <v>100</v>
      </c>
    </row>
    <row r="21" spans="1:159" ht="15.75" x14ac:dyDescent="0.25">
      <c r="A21" s="1">
        <v>43599</v>
      </c>
      <c r="B21" s="43">
        <v>66</v>
      </c>
      <c r="C21" s="67">
        <v>43</v>
      </c>
      <c r="D21" s="67">
        <v>37</v>
      </c>
      <c r="E21" s="7">
        <f t="shared" si="1"/>
        <v>54.5</v>
      </c>
      <c r="F21" s="67">
        <v>1</v>
      </c>
      <c r="G21" s="67">
        <v>21</v>
      </c>
      <c r="H21" s="67">
        <v>11</v>
      </c>
      <c r="I21" s="67">
        <v>39</v>
      </c>
      <c r="J21" s="67"/>
      <c r="K21" s="5">
        <f t="shared" si="2"/>
        <v>25.375</v>
      </c>
      <c r="L21" s="218"/>
      <c r="M21" s="43"/>
      <c r="N21" s="43"/>
      <c r="O21" s="43"/>
      <c r="P21" s="43"/>
      <c r="Q21" s="43"/>
      <c r="R21" s="43"/>
      <c r="S21" s="43"/>
      <c r="T21" s="43"/>
      <c r="U21" s="219"/>
      <c r="V21" s="13"/>
      <c r="W21" s="13"/>
      <c r="X21" s="13"/>
      <c r="Y21" s="13"/>
      <c r="Z21" s="13"/>
      <c r="AA21" s="13"/>
      <c r="AB21" s="13"/>
      <c r="AC21" s="1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13"/>
      <c r="AO21" s="7">
        <f>((AVERAGE(K16:K21)*('Summary Page'!$C$2+1))*('Summary Page'!$C$2+1))*('Summary Page'!$C$2+1)</f>
        <v>41.298706666666654</v>
      </c>
      <c r="AP21" s="7">
        <f>((AVERAGE(K16:K21)*('Summary Page'!$C$3+1))*('Summary Page'!$C$3+1))*('Summary Page'!$C$3+1)</f>
        <v>51.676432291666657</v>
      </c>
      <c r="AQ21" s="7">
        <f>((AVERAGE(K16:K21)*('Summary Page'!$C$4+1))*('Summary Page'!$C$4+1))*('Summary Page'!$C$4+1)</f>
        <v>45.719999999999992</v>
      </c>
      <c r="AR21" s="7">
        <v>80</v>
      </c>
      <c r="AS21" s="5">
        <f t="shared" si="3"/>
        <v>34.333333333333336</v>
      </c>
      <c r="AT21" s="13"/>
      <c r="AU21" s="13"/>
      <c r="AV21" s="7">
        <f>((AVERAGE(AS10:AS21,AU10:AU21)*('Summary Page'!$C$2+1))*('Summary Page'!$C$2+1))*('Summary Page'!$C$2+1)</f>
        <v>53.980986666666666</v>
      </c>
      <c r="AW21" s="7">
        <f>((AVERAGE(AS10:AS21,AU10:AU21)*('Summary Page'!$C$3+1))*('Summary Page'!$C$3+1))*('Summary Page'!$C$3+1)</f>
        <v>67.545572916666686</v>
      </c>
      <c r="AX21" s="7">
        <f>((AVERAGE(AS10:AS21,AU10:AU21)*('Summary Page'!$C$4+1))*('Summary Page'!$C$4+1))*('Summary Page'!$C$4+1)</f>
        <v>59.759999999999991</v>
      </c>
      <c r="BA21" s="43"/>
      <c r="BB21" s="7">
        <f>((AVERAGE(B16:B21)*(+'Summary Page'!$C$2+1))*('Summary Page'!$C$2+1))*('Summary Page'!$C$2+1)</f>
        <v>106.92137599999998</v>
      </c>
      <c r="BC21" s="7">
        <f>((AVERAGE(B16:B21)*('Summary Page'!$C$3+1))*('Summary Page'!$C$3+1))*('Summary Page'!$C$3+1)</f>
        <v>133.7890625</v>
      </c>
      <c r="BD21" s="7">
        <f>((AVERAGE(B16:B21)*('Summary Page'!$C$4+1))*('Summary Page'!$C$4+1))*('Summary Page'!$C$4+1)</f>
        <v>118.36799999999999</v>
      </c>
      <c r="BE21" s="67">
        <v>13</v>
      </c>
      <c r="BF21" s="81"/>
      <c r="BG21" s="43"/>
      <c r="BH21" s="7">
        <f>((AVERAGE(BE10:BE21,BG10:BG21)*('Summary Page'!$C$2+1))*('Summary Page'!$C$2+1))*('Summary Page'!$C$2+1)</f>
        <v>32.518666666666661</v>
      </c>
      <c r="BI21" s="7">
        <f>((AVERAGE(BE10:BE21,BG10:BG21)*('Summary Page'!$C$3+1))*('Summary Page'!$C$3+1))*('Summary Page'!$C$3+1)</f>
        <v>40.690104166666657</v>
      </c>
      <c r="BJ21" s="7">
        <f>((AVERAGE(BE10:BE21,BG10:BG21)*('Summary Page'!$C$4+1))*('Summary Page'!$C$4+1))*('Summary Page'!$C$4+1)</f>
        <v>35.999999999999993</v>
      </c>
      <c r="BK21" s="43">
        <v>12</v>
      </c>
      <c r="BL21" s="43"/>
      <c r="BM21" s="43"/>
      <c r="BN21" s="7">
        <f>((AVERAGE(BK10:BK21,BM10:BM21)*('Summary Page'!$C$2+1))*('Summary Page'!$C$2+1))*('Summary Page'!$C$2+1)</f>
        <v>28.486351999999993</v>
      </c>
      <c r="BO21" s="7">
        <f>((AVERAGE(BK10:BK21,BM10:BM21)*('Summary Page'!$C$3+1))*('Summary Page'!$C$3+1))*('Summary Page'!$C$3+1)</f>
        <v>35.64453125</v>
      </c>
      <c r="BP21" s="7">
        <f>((AVERAGE(BK10:BK21,BM10:BM21)*('Summary Page'!$C$4+1))*('Summary Page'!$C$4+1))*('Summary Page'!$C$4+1)</f>
        <v>31.535999999999994</v>
      </c>
      <c r="BQ21" s="67">
        <v>48</v>
      </c>
      <c r="BR21" s="43"/>
      <c r="BS21" s="43"/>
      <c r="BT21" s="7">
        <f>((AVERAGE(BQ10:BQ21,BS10:BS21)*('Summary Page'!$C$2+1))*('Summary Page'!$C$2+1))*('Summary Page'!$C$2+1)</f>
        <v>85.589130666666648</v>
      </c>
      <c r="BU21" s="7">
        <f>((AVERAGE(BQ10:BQ21,BS10:BS21)*('Summary Page'!$C$3+1))*('Summary Page'!$C$3+1))*('Summary Page'!$C$3+1)</f>
        <v>107.09635416666669</v>
      </c>
      <c r="BV21" s="8">
        <f>((AVERAGE(BQ10:BQ21,BS10:BS21)*('Summary Page'!$C$4+1))*('Summary Page'!$C$4+1))*('Summary Page'!$C$4+1)</f>
        <v>94.751999999999995</v>
      </c>
      <c r="BW21" s="67">
        <v>32</v>
      </c>
      <c r="BX21" s="43"/>
      <c r="BY21" s="43"/>
      <c r="BZ21" s="7">
        <f>((AVERAGE(BW10:BW21,BY10:BY21)*('Summary Page'!$C$2+1))*('Summary Page'!$C$2+1))*('Summary Page'!$C$2+1)</f>
        <v>56.972703999999986</v>
      </c>
      <c r="CA21" s="7">
        <f>((AVERAGE(BW10:BW21,BY10:BY21)*('Summary Page'!$C$3+1))*('Summary Page'!$C$3+1))*('Summary Page'!$C$3+1)</f>
        <v>71.2890625</v>
      </c>
      <c r="CB21" s="8">
        <f>((AVERAGE(BW10:BW21,BY10:BY21)*('Summary Page'!$C$4+1))*('Summary Page'!$C$4+1))*('Summary Page'!$C$4+1)</f>
        <v>63.071999999999989</v>
      </c>
      <c r="CC21" s="67">
        <v>22</v>
      </c>
      <c r="CD21" s="43"/>
      <c r="CE21" s="43"/>
      <c r="CF21" s="7">
        <f>((AVERAGE(CC10:CC21,CE10:CE21)*('Summary Page'!$C$2+1))*('Summary Page'!$C$2+1))*('Summary Page'!$C$2+1)</f>
        <v>43.965237333333327</v>
      </c>
      <c r="CG21" s="7">
        <f>((AVERAGE(CC10:CC21,CE10:CE21)*('Summary Page'!$C$3+1))*('Summary Page'!$C$3+1))*('Summary Page'!$C$3+1)</f>
        <v>55.013020833333343</v>
      </c>
      <c r="CH21" s="8">
        <f>((AVERAGE(CC10:CC21,CE10:CE21)*('Summary Page'!$C$4+1))*('Summary Page'!$C$4+1))*('Summary Page'!$C$4+1)</f>
        <v>48.67199999999999</v>
      </c>
      <c r="CI21" s="67">
        <v>17</v>
      </c>
      <c r="CJ21" s="43"/>
      <c r="CK21" s="43"/>
      <c r="CL21" s="7">
        <f>((AVERAGE(CI10:CI21,CK10:CK21)*('Summary Page'!$C$2+1))*('Summary Page'!$C$2+1))*('Summary Page'!$C$2+1)</f>
        <v>33.03896533333333</v>
      </c>
      <c r="CM21" s="7">
        <f>((AVERAGE(CI10:CI21,CK10:CK21)*('Summary Page'!$C$3+1))*('Summary Page'!$C$3+1))*('Summary Page'!$C$3+1)</f>
        <v>41.341145833333343</v>
      </c>
      <c r="CN21" s="8">
        <f>((AVERAGE(CI10:CI21,CK10:CK21)*('Summary Page'!$C$4+1))*('Summary Page'!$C$4+1))*('Summary Page'!$C$4+1)</f>
        <v>36.576000000000001</v>
      </c>
      <c r="CQ21" s="43"/>
      <c r="CR21" s="7">
        <f>((AVERAGE(C16:C21)*('Summary Page'!$C$2+1))*('Summary Page'!$C$2+1))*('Summary Page'!$C$2+1)</f>
        <v>65.297482666666653</v>
      </c>
      <c r="CS21" s="7">
        <f>((AVERAGE(C16:C21)*('Summary Page'!$C$3+1))*('Summary Page'!$C$3+1))*('Summary Page'!$C$3+1)</f>
        <v>81.705729166666686</v>
      </c>
      <c r="CT21" s="8">
        <f>((AVERAGE(C16:C21)*('Summary Page'!$C$4+1))*('Summary Page'!$C$4+1))*('Summary Page'!$C$4+1)</f>
        <v>72.287999999999997</v>
      </c>
      <c r="CW21" s="43"/>
      <c r="CX21" s="7">
        <f>((AVERAGE(D16:D21)*('Summary Page'!$C$2+1))*('Summary Page'!$C$2+1))*('Summary Page'!$C$2+1)</f>
        <v>54.111061333333318</v>
      </c>
      <c r="CY21" s="7">
        <f>((AVERAGE(D16:D21)*('Summary Page'!$C$3+1))*('Summary Page'!$C$3+1))*('Summary Page'!$C$3+1)</f>
        <v>67.708333333333314</v>
      </c>
      <c r="CZ21" s="8">
        <f>((AVERAGE(D16:D21)*('Summary Page'!$C$4+1))*('Summary Page'!$C$4+1))*('Summary Page'!$C$4+1)</f>
        <v>59.903999999999989</v>
      </c>
      <c r="DA21" s="67">
        <v>26</v>
      </c>
      <c r="DB21" s="43"/>
      <c r="DC21" s="43"/>
      <c r="DD21" s="7">
        <f>((AVERAGE(DA10:DA21,DC10:DC21)*('Summary Page'!$C$2+1))*('Summary Page'!$C$2+1))*('Summary Page'!$C$2+1)</f>
        <v>35.770533333333326</v>
      </c>
      <c r="DE21" s="7">
        <f>((AVERAGE(DA10:DA21,DC10:DC21)*('Summary Page'!$C$3+1))*('Summary Page'!$C$3+1))*('Summary Page'!$C$3+1)</f>
        <v>44.759114583333343</v>
      </c>
      <c r="DF21" s="8">
        <f>((AVERAGE(DA10:DA21,DC10:DC21)*('Summary Page'!$C$4+1))*('Summary Page'!$C$4+1))*('Summary Page'!$C$4+1)</f>
        <v>39.6</v>
      </c>
      <c r="DG21" s="67">
        <v>33</v>
      </c>
      <c r="DH21" s="43"/>
      <c r="DI21" s="43"/>
      <c r="DJ21" s="7">
        <f>((AVERAGE(DG10:DG21,DI10:DI21)*('Summary Page'!$C$2+1))*('Summary Page'!$C$2+1))*('Summary Page'!$C$2+1)</f>
        <v>43.444938666666658</v>
      </c>
      <c r="DK21" s="7">
        <f>((AVERAGE(DG10:DG21,DI10:DI21)*('Summary Page'!$C$3+1))*('Summary Page'!$C$3+1))*('Summary Page'!$C$3+1)</f>
        <v>54.361979166666657</v>
      </c>
      <c r="DL21" s="8">
        <f>((AVERAGE(DG10:DG21,DI10:DI21)*('Summary Page'!$C$4+1))*('Summary Page'!$C$4+1))*('Summary Page'!$C$4+1)</f>
        <v>48.095999999999997</v>
      </c>
      <c r="DO21" s="43"/>
      <c r="DP21" s="7">
        <f>((AVERAGE(F10:F21,DO10:DO21)*('Summary Page'!$C$2+1))*('Summary Page'!$C$2+1))*('Summary Page'!$C$2+1)</f>
        <v>0.65037333333333325</v>
      </c>
      <c r="DQ21" s="7">
        <f>((AVERAGE(F10:F21,DO10:DO21)*('Summary Page'!$C$3+1))*('Summary Page'!$C$3+1))*('Summary Page'!$C$3+1)</f>
        <v>0.81380208333333348</v>
      </c>
      <c r="DR21" s="8">
        <f>((AVERAGE(F10:F21,DO10:DO21)*('Summary Page'!$C$4+1))*('Summary Page'!$C$4+1))*('Summary Page'!$C$4+1)</f>
        <v>0.72</v>
      </c>
      <c r="DU21" s="43"/>
      <c r="DV21" s="7">
        <f>((AVERAGE(G10:G21,DU10:DU21)*('Summary Page'!$C$2+1))*('Summary Page'!$C$2+1))*('Summary Page'!$C$2+1)</f>
        <v>25.364559999999994</v>
      </c>
      <c r="DW21" s="7">
        <f>((AVERAGE(G10:G21,DU10:DU21)*('Summary Page'!$C$3+1))*('Summary Page'!$C$3+1))*('Summary Page'!$C$3+1)</f>
        <v>31.73828125</v>
      </c>
      <c r="DX21" s="8">
        <f>((AVERAGE(G10:G21,DU10:DU21)*('Summary Page'!$C$4+1))*('Summary Page'!$C$4+1))*('Summary Page'!$C$4+1)</f>
        <v>28.08</v>
      </c>
      <c r="EA21" s="43"/>
      <c r="EB21" s="7">
        <f>((AVERAGE(H16:H21)*('Summary Page'!$C$2+1))*('Summary Page'!$C$2+1))*('Summary Page'!$C$2+1)</f>
        <v>18.470602666666665</v>
      </c>
      <c r="EC21" s="7">
        <f>((AVERAGE(H16:H21)*('Summary Page'!$C$3+1))*('Summary Page'!$C$3+1))*('Summary Page'!$C$3+1)</f>
        <v>23.111979166666671</v>
      </c>
      <c r="ED21" s="8">
        <f>((AVERAGE(H16:H21)*('Summary Page'!$C$4+1))*('Summary Page'!$C$4+1))*('Summary Page'!$C$4+1)</f>
        <v>20.447999999999997</v>
      </c>
      <c r="EG21" s="43"/>
      <c r="EH21" s="7">
        <f>((AVERAGE(I16:I21)*('Summary Page'!$C$2+1))*('Summary Page'!$C$2+1))*('Summary Page'!$C$2+1)</f>
        <v>67.378677333333329</v>
      </c>
      <c r="EI21" s="7">
        <f>((AVERAGE(I16:I21)*('Summary Page'!$C$3+1))*('Summary Page'!$C$3+1))*('Summary Page'!$C$3+1)</f>
        <v>84.309895833333314</v>
      </c>
      <c r="EJ21" s="8">
        <f>((AVERAGE(I16:I21)*('Summary Page'!$C$4+1))*('Summary Page'!$C$4+1))*('Summary Page'!$C$4+1)</f>
        <v>74.591999999999999</v>
      </c>
      <c r="EM21" s="43"/>
      <c r="EN21" s="7" t="e">
        <f>((AVERAGE(AD16:AD21)*('Summary Page'!$C$2+1))*('Summary Page'!$C$2+1))*('Summary Page'!$C$2+1)</f>
        <v>#DIV/0!</v>
      </c>
      <c r="EO21" s="7" t="e">
        <f>((AVERAGE(AD16:AD21)*('Summary Page'!$C$3+1))*('Summary Page'!$C$3+1))*('Summary Page'!$C$3+1)</f>
        <v>#DIV/0!</v>
      </c>
      <c r="EP21" s="7" t="e">
        <f>((AVERAGE(AD16:AD21)*('Summary Page'!$C$4+1))*('Summary Page'!$C$4+1))*('Summary Page'!$C$4+1)</f>
        <v>#DIV/0!</v>
      </c>
      <c r="EQ21" s="7">
        <v>100</v>
      </c>
    </row>
    <row r="22" spans="1:159" ht="15.75" x14ac:dyDescent="0.25">
      <c r="A22" s="1">
        <v>43617</v>
      </c>
      <c r="B22" s="43">
        <v>67</v>
      </c>
      <c r="C22" s="67">
        <v>55</v>
      </c>
      <c r="D22" s="67">
        <v>44</v>
      </c>
      <c r="E22" s="7">
        <f t="shared" si="1"/>
        <v>61</v>
      </c>
      <c r="F22" s="67">
        <v>1</v>
      </c>
      <c r="G22" s="67">
        <v>22</v>
      </c>
      <c r="H22" s="67">
        <v>12</v>
      </c>
      <c r="I22" s="67">
        <v>39</v>
      </c>
      <c r="J22" s="67"/>
      <c r="K22" s="5">
        <f t="shared" si="2"/>
        <v>25.375</v>
      </c>
      <c r="L22" s="218"/>
      <c r="M22" s="43"/>
      <c r="N22" s="43"/>
      <c r="O22" s="43"/>
      <c r="P22" s="43"/>
      <c r="Q22" s="43"/>
      <c r="R22" s="43"/>
      <c r="S22" s="43"/>
      <c r="T22" s="43"/>
      <c r="U22" s="219"/>
      <c r="V22" s="13"/>
      <c r="W22" s="13"/>
      <c r="X22" s="13"/>
      <c r="Y22" s="13"/>
      <c r="Z22" s="13"/>
      <c r="AA22" s="13"/>
      <c r="AB22" s="13"/>
      <c r="AC22" s="1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13"/>
      <c r="AO22" s="7">
        <f>((AVERAGE(K17:K22)*('Summary Page'!$C$2+1))*('Summary Page'!$C$2+1))*('Summary Page'!$C$2+1)</f>
        <v>40.25810933333333</v>
      </c>
      <c r="AP22" s="7">
        <f>((AVERAGE(K17:K22)*('Summary Page'!$C$3+1))*('Summary Page'!$C$3+1))*('Summary Page'!$C$3+1)</f>
        <v>50.374348958333343</v>
      </c>
      <c r="AQ22" s="7">
        <f>((AVERAGE(K17:K22)*('Summary Page'!$C$4+1))*('Summary Page'!$C$4+1))*('Summary Page'!$C$4+1)</f>
        <v>44.567999999999998</v>
      </c>
      <c r="AR22" s="7">
        <v>80</v>
      </c>
      <c r="AS22" s="5">
        <f t="shared" si="3"/>
        <v>38.666666666666664</v>
      </c>
      <c r="AT22" s="13"/>
      <c r="AU22" s="13"/>
      <c r="AV22" s="7">
        <f>((AVERAGE(AS11:AS22,AU11:AU22)*('Summary Page'!$C$2+1))*('Summary Page'!$C$2+1))*('Summary Page'!$C$2+1)</f>
        <v>54.631359999999987</v>
      </c>
      <c r="AW22" s="7">
        <f>((AVERAGE(AS11:AS22,AU11:AU22)*('Summary Page'!$C$3+1))*('Summary Page'!$C$3+1))*('Summary Page'!$C$3+1)</f>
        <v>68.359375</v>
      </c>
      <c r="AX22" s="7">
        <f>((AVERAGE(AS11:AS22,AU11:AU22)*('Summary Page'!$C$4+1))*('Summary Page'!$C$4+1))*('Summary Page'!$C$4+1)</f>
        <v>60.48</v>
      </c>
      <c r="BA22" s="43"/>
      <c r="BB22" s="7">
        <f>((AVERAGE(B17:B22)*(+'Summary Page'!$C$2+1))*('Summary Page'!$C$2+1))*('Summary Page'!$C$2+1)</f>
        <v>105.36047999999998</v>
      </c>
      <c r="BC22" s="7">
        <f>((AVERAGE(B17:B22)*('Summary Page'!$C$3+1))*('Summary Page'!$C$3+1))*('Summary Page'!$C$3+1)</f>
        <v>131.8359375</v>
      </c>
      <c r="BD22" s="7">
        <f>((AVERAGE(B17:B22)*('Summary Page'!$C$4+1))*('Summary Page'!$C$4+1))*('Summary Page'!$C$4+1)</f>
        <v>116.64</v>
      </c>
      <c r="BE22" s="67">
        <v>18</v>
      </c>
      <c r="BF22" s="81"/>
      <c r="BG22" s="43"/>
      <c r="BH22" s="7">
        <f>((AVERAGE(BE11:BE22,BG11:BG22)*('Summary Page'!$C$2+1))*('Summary Page'!$C$2+1))*('Summary Page'!$C$2+1)</f>
        <v>31.217919999999996</v>
      </c>
      <c r="BI22" s="7">
        <f>((AVERAGE(BE11:BE22,BG11:BG22)*('Summary Page'!$C$3+1))*('Summary Page'!$C$3+1))*('Summary Page'!$C$3+1)</f>
        <v>39.0625</v>
      </c>
      <c r="BJ22" s="7">
        <f>((AVERAGE(BE11:BE22,BG11:BG22)*('Summary Page'!$C$4+1))*('Summary Page'!$C$4+1))*('Summary Page'!$C$4+1)</f>
        <v>34.559999999999995</v>
      </c>
      <c r="BK22" s="43">
        <v>16</v>
      </c>
      <c r="BL22" s="43"/>
      <c r="BM22" s="43"/>
      <c r="BN22" s="7">
        <f>((AVERAGE(BK11:BK22,BM11:BM22)*('Summary Page'!$C$2+1))*('Summary Page'!$C$2+1))*('Summary Page'!$C$2+1)</f>
        <v>27.315679999999993</v>
      </c>
      <c r="BO22" s="7">
        <f>((AVERAGE(BK11:BK22,BM11:BM22)*('Summary Page'!$C$3+1))*('Summary Page'!$C$3+1))*('Summary Page'!$C$3+1)</f>
        <v>34.1796875</v>
      </c>
      <c r="BP22" s="7">
        <f>((AVERAGE(BK11:BK22,BM11:BM22)*('Summary Page'!$C$4+1))*('Summary Page'!$C$4+1))*('Summary Page'!$C$4+1)</f>
        <v>30.24</v>
      </c>
      <c r="BQ22" s="67">
        <v>38</v>
      </c>
      <c r="BR22" s="43"/>
      <c r="BS22" s="43"/>
      <c r="BT22" s="7">
        <f>((AVERAGE(BQ11:BQ22,BS11:BS22)*('Summary Page'!$C$2+1))*('Summary Page'!$C$2+1))*('Summary Page'!$C$2+1)</f>
        <v>83.247786666666656</v>
      </c>
      <c r="BU22" s="7">
        <f>((AVERAGE(BQ11:BQ22,BS11:BS22)*('Summary Page'!$C$3+1))*('Summary Page'!$C$3+1))*('Summary Page'!$C$3+1)</f>
        <v>104.16666666666669</v>
      </c>
      <c r="BV22" s="8">
        <f>((AVERAGE(BQ11:BQ22,BS11:BS22)*('Summary Page'!$C$4+1))*('Summary Page'!$C$4+1))*('Summary Page'!$C$4+1)</f>
        <v>92.16</v>
      </c>
      <c r="BW22" s="67">
        <v>21</v>
      </c>
      <c r="BX22" s="43"/>
      <c r="BY22" s="43"/>
      <c r="BZ22" s="7">
        <f>((AVERAGE(BW11:BW22,BY11:BY22)*('Summary Page'!$C$2+1))*('Summary Page'!$C$2+1))*('Summary Page'!$C$2+1)</f>
        <v>53.070463999999987</v>
      </c>
      <c r="CA22" s="7">
        <f>((AVERAGE(BW11:BW22,BY11:BY22)*('Summary Page'!$C$3+1))*('Summary Page'!$C$3+1))*('Summary Page'!$C$3+1)</f>
        <v>66.40625</v>
      </c>
      <c r="CB22" s="8">
        <f>((AVERAGE(BW11:BW22,BY11:BY22)*('Summary Page'!$C$4+1))*('Summary Page'!$C$4+1))*('Summary Page'!$C$4+1)</f>
        <v>58.751999999999988</v>
      </c>
      <c r="CC22" s="67">
        <v>29</v>
      </c>
      <c r="CD22" s="43"/>
      <c r="CE22" s="43"/>
      <c r="CF22" s="7">
        <f>((AVERAGE(CC11:CC22,CE11:CE22)*('Summary Page'!$C$2+1))*('Summary Page'!$C$2+1))*('Summary Page'!$C$2+1)</f>
        <v>44.095311999999986</v>
      </c>
      <c r="CG22" s="7">
        <f>((AVERAGE(CC11:CC22,CE11:CE22)*('Summary Page'!$C$3+1))*('Summary Page'!$C$3+1))*('Summary Page'!$C$3+1)</f>
        <v>55.17578125</v>
      </c>
      <c r="CH22" s="8">
        <f>((AVERAGE(CC11:CC22,CE11:CE22)*('Summary Page'!$C$4+1))*('Summary Page'!$C$4+1))*('Summary Page'!$C$4+1)</f>
        <v>48.815999999999995</v>
      </c>
      <c r="CI22" s="67">
        <v>21</v>
      </c>
      <c r="CJ22" s="43"/>
      <c r="CK22" s="43"/>
      <c r="CL22" s="7">
        <f>((AVERAGE(CI11:CI22,CK11:CK22)*('Summary Page'!$C$2+1))*('Summary Page'!$C$2+1))*('Summary Page'!$C$2+1)</f>
        <v>33.429189333333333</v>
      </c>
      <c r="CM22" s="7">
        <f>((AVERAGE(CI11:CI22,CK11:CK22)*('Summary Page'!$C$3+1))*('Summary Page'!$C$3+1))*('Summary Page'!$C$3+1)</f>
        <v>41.829427083333343</v>
      </c>
      <c r="CN22" s="8">
        <f>((AVERAGE(CI11:CI22,CK11:CK22)*('Summary Page'!$C$4+1))*('Summary Page'!$C$4+1))*('Summary Page'!$C$4+1)</f>
        <v>37.007999999999996</v>
      </c>
      <c r="CQ22" s="43"/>
      <c r="CR22" s="7">
        <f>((AVERAGE(C17:C22)*('Summary Page'!$C$2+1))*('Summary Page'!$C$2+1))*('Summary Page'!$C$2+1)</f>
        <v>67.898975999999976</v>
      </c>
      <c r="CS22" s="7">
        <f>((AVERAGE(C17:C22)*('Summary Page'!$C$3+1))*('Summary Page'!$C$3+1))*('Summary Page'!$C$3+1)</f>
        <v>84.9609375</v>
      </c>
      <c r="CT22" s="8">
        <f>((AVERAGE(C17:C22)*('Summary Page'!$C$4+1))*('Summary Page'!$C$4+1))*('Summary Page'!$C$4+1)</f>
        <v>75.167999999999992</v>
      </c>
      <c r="CW22" s="43"/>
      <c r="CX22" s="7">
        <f>((AVERAGE(D17:D22)*('Summary Page'!$C$2+1))*('Summary Page'!$C$2+1))*('Summary Page'!$C$2+1)</f>
        <v>55.932106666666662</v>
      </c>
      <c r="CY22" s="7">
        <f>((AVERAGE(D17:D22)*('Summary Page'!$C$3+1))*('Summary Page'!$C$3+1))*('Summary Page'!$C$3+1)</f>
        <v>69.986979166666686</v>
      </c>
      <c r="CZ22" s="8">
        <f>((AVERAGE(D17:D22)*('Summary Page'!$C$4+1))*('Summary Page'!$C$4+1))*('Summary Page'!$C$4+1)</f>
        <v>61.92</v>
      </c>
      <c r="DA22" s="67">
        <v>27</v>
      </c>
      <c r="DB22" s="43"/>
      <c r="DC22" s="43"/>
      <c r="DD22" s="7">
        <f>((AVERAGE(DA11:DA22,DC11:DC22)*('Summary Page'!$C$2+1))*('Summary Page'!$C$2+1))*('Summary Page'!$C$2+1)</f>
        <v>36.681055999999991</v>
      </c>
      <c r="DE22" s="7">
        <f>((AVERAGE(DA11:DA22,DC11:DC22)*('Summary Page'!$C$3+1))*('Summary Page'!$C$3+1))*('Summary Page'!$C$3+1)</f>
        <v>45.8984375</v>
      </c>
      <c r="DF22" s="8">
        <f>((AVERAGE(DA11:DA22,DC11:DC22)*('Summary Page'!$C$4+1))*('Summary Page'!$C$4+1))*('Summary Page'!$C$4+1)</f>
        <v>40.607999999999997</v>
      </c>
      <c r="DG22" s="67">
        <v>33</v>
      </c>
      <c r="DH22" s="43"/>
      <c r="DI22" s="43"/>
      <c r="DJ22" s="7">
        <f>((AVERAGE(DG11:DG22,DI11:DI22)*('Summary Page'!$C$2+1))*('Summary Page'!$C$2+1))*('Summary Page'!$C$2+1)</f>
        <v>44.875759999999985</v>
      </c>
      <c r="DK22" s="7">
        <f>((AVERAGE(DG11:DG22,DI11:DI22)*('Summary Page'!$C$3+1))*('Summary Page'!$C$3+1))*('Summary Page'!$C$3+1)</f>
        <v>56.15234375</v>
      </c>
      <c r="DL22" s="8">
        <f>((AVERAGE(DG11:DG22,DI11:DI22)*('Summary Page'!$C$4+1))*('Summary Page'!$C$4+1))*('Summary Page'!$C$4+1)</f>
        <v>49.68</v>
      </c>
      <c r="DO22" s="43"/>
      <c r="DP22" s="7">
        <f>((AVERAGE(F11:F22,DO11:DO22)*('Summary Page'!$C$2+1))*('Summary Page'!$C$2+1))*('Summary Page'!$C$2+1)</f>
        <v>0.78044799999999992</v>
      </c>
      <c r="DQ22" s="7">
        <f>((AVERAGE(F11:F22,DO11:DO22)*('Summary Page'!$C$3+1))*('Summary Page'!$C$3+1))*('Summary Page'!$C$3+1)</f>
        <v>0.9765625</v>
      </c>
      <c r="DR22" s="8">
        <f>((AVERAGE(F11:F22,DO11:DO22)*('Summary Page'!$C$4+1))*('Summary Page'!$C$4+1))*('Summary Page'!$C$4+1)</f>
        <v>0.86399999999999999</v>
      </c>
      <c r="DU22" s="43"/>
      <c r="DV22" s="7">
        <f>((AVERAGE(G11:G22,DU11:DU22)*('Summary Page'!$C$2+1))*('Summary Page'!$C$2+1))*('Summary Page'!$C$2+1)</f>
        <v>27.055530666666659</v>
      </c>
      <c r="DW22" s="7">
        <f>((AVERAGE(G11:G22,DU11:DU22)*('Summary Page'!$C$3+1))*('Summary Page'!$C$3+1))*('Summary Page'!$C$3+1)</f>
        <v>33.854166666666657</v>
      </c>
      <c r="DX22" s="8">
        <f>((AVERAGE(G11:G22,DU11:DU22)*('Summary Page'!$C$4+1))*('Summary Page'!$C$4+1))*('Summary Page'!$C$4+1)</f>
        <v>29.951999999999995</v>
      </c>
      <c r="EA22" s="43"/>
      <c r="EB22" s="7">
        <f>((AVERAGE(H17:H22)*('Summary Page'!$C$2+1))*('Summary Page'!$C$2+1))*('Summary Page'!$C$2+1)</f>
        <v>18.990901333333326</v>
      </c>
      <c r="EC22" s="7">
        <f>((AVERAGE(H17:H22)*('Summary Page'!$C$3+1))*('Summary Page'!$C$3+1))*('Summary Page'!$C$3+1)</f>
        <v>23.763020833333329</v>
      </c>
      <c r="ED22" s="8">
        <f>((AVERAGE(H17:H22)*('Summary Page'!$C$4+1))*('Summary Page'!$C$4+1))*('Summary Page'!$C$4+1)</f>
        <v>21.023999999999994</v>
      </c>
      <c r="EG22" s="43"/>
      <c r="EH22" s="7">
        <f>((AVERAGE(I17:I22)*('Summary Page'!$C$2+1))*('Summary Page'!$C$2+1))*('Summary Page'!$C$2+1)</f>
        <v>65.037333333333322</v>
      </c>
      <c r="EI22" s="7">
        <f>((AVERAGE(I17:I22)*('Summary Page'!$C$3+1))*('Summary Page'!$C$3+1))*('Summary Page'!$C$3+1)</f>
        <v>81.380208333333314</v>
      </c>
      <c r="EJ22" s="8">
        <f>((AVERAGE(I17:I22)*('Summary Page'!$C$4+1))*('Summary Page'!$C$4+1))*('Summary Page'!$C$4+1)</f>
        <v>71.999999999999986</v>
      </c>
      <c r="EM22" s="43"/>
      <c r="EN22" s="7" t="e">
        <f>((AVERAGE(AD17:AD22)*('Summary Page'!$C$2+1))*('Summary Page'!$C$2+1))*('Summary Page'!$C$2+1)</f>
        <v>#DIV/0!</v>
      </c>
      <c r="EO22" s="7" t="e">
        <f>((AVERAGE(AD17:AD22)*('Summary Page'!$C$3+1))*('Summary Page'!$C$3+1))*('Summary Page'!$C$3+1)</f>
        <v>#DIV/0!</v>
      </c>
      <c r="EP22" s="7" t="e">
        <f>((AVERAGE(AD17:AD22)*('Summary Page'!$C$4+1))*('Summary Page'!$C$4+1))*('Summary Page'!$C$4+1)</f>
        <v>#DIV/0!</v>
      </c>
      <c r="EQ22" s="7">
        <v>100</v>
      </c>
    </row>
    <row r="23" spans="1:159" ht="15.75" x14ac:dyDescent="0.25">
      <c r="A23" s="1">
        <v>43630</v>
      </c>
      <c r="B23" s="43">
        <v>72</v>
      </c>
      <c r="C23" s="67">
        <v>49</v>
      </c>
      <c r="D23" s="67">
        <v>38</v>
      </c>
      <c r="E23" s="7">
        <f t="shared" si="1"/>
        <v>60.5</v>
      </c>
      <c r="F23" s="67">
        <v>0</v>
      </c>
      <c r="G23" s="67">
        <v>22</v>
      </c>
      <c r="H23" s="67">
        <v>13</v>
      </c>
      <c r="I23" s="67">
        <v>40</v>
      </c>
      <c r="J23" s="67"/>
      <c r="K23" s="5">
        <f t="shared" si="2"/>
        <v>26.25</v>
      </c>
      <c r="L23" s="218"/>
      <c r="M23" s="43"/>
      <c r="N23" s="43"/>
      <c r="O23" s="43"/>
      <c r="P23" s="43"/>
      <c r="Q23" s="43"/>
      <c r="R23" s="43"/>
      <c r="S23" s="43"/>
      <c r="T23" s="43"/>
      <c r="U23" s="219"/>
      <c r="V23" s="13"/>
      <c r="W23" s="13"/>
      <c r="X23" s="13"/>
      <c r="Y23" s="13"/>
      <c r="Z23" s="13"/>
      <c r="AA23" s="13"/>
      <c r="AB23" s="13"/>
      <c r="AC23" s="1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13"/>
      <c r="AO23" s="7">
        <f>((AVERAGE(K18:K23)*('Summary Page'!$C$2+1))*('Summary Page'!$C$2+1))*('Summary Page'!$C$2+1)</f>
        <v>39.770329333333329</v>
      </c>
      <c r="AP23" s="7">
        <f>((AVERAGE(K18:K23)*('Summary Page'!$C$3+1))*('Summary Page'!$C$3+1))*('Summary Page'!$C$3+1)</f>
        <v>49.763997395833343</v>
      </c>
      <c r="AQ23" s="7">
        <f>((AVERAGE(K18:K23)*('Summary Page'!$C$4+1))*('Summary Page'!$C$4+1))*('Summary Page'!$C$4+1)</f>
        <v>44.027999999999999</v>
      </c>
      <c r="AR23" s="7">
        <v>80</v>
      </c>
      <c r="AS23" s="5">
        <f t="shared" si="3"/>
        <v>37</v>
      </c>
      <c r="AT23" s="13"/>
      <c r="AU23" s="13"/>
      <c r="AV23" s="7">
        <f>((AVERAGE(AS12:AS23,AU12:AU23)*('Summary Page'!$C$2+1))*('Summary Page'!$C$2+1))*('Summary Page'!$C$2+1)</f>
        <v>55.455166222222218</v>
      </c>
      <c r="AW23" s="7">
        <f>((AVERAGE(AS12:AS23,AU12:AU23)*('Summary Page'!$C$3+1))*('Summary Page'!$C$3+1))*('Summary Page'!$C$3+1)</f>
        <v>69.390190972222229</v>
      </c>
      <c r="AX23" s="7">
        <f>((AVERAGE(AS12:AS23,AU12:AU23)*('Summary Page'!$C$4+1))*('Summary Page'!$C$4+1))*('Summary Page'!$C$4+1)</f>
        <v>61.391999999999996</v>
      </c>
      <c r="BA23" s="43"/>
      <c r="BB23" s="7">
        <f>((AVERAGE(B18:B23)*(+'Summary Page'!$C$2+1))*('Summary Page'!$C$2+1))*('Summary Page'!$C$2+1)</f>
        <v>106.40107733333332</v>
      </c>
      <c r="BC23" s="7">
        <f>((AVERAGE(B18:B23)*('Summary Page'!$C$3+1))*('Summary Page'!$C$3+1))*('Summary Page'!$C$3+1)</f>
        <v>133.13802083333337</v>
      </c>
      <c r="BD23" s="7">
        <f>((AVERAGE(B18:B23)*('Summary Page'!$C$4+1))*('Summary Page'!$C$4+1))*('Summary Page'!$C$4+1)</f>
        <v>117.79199999999999</v>
      </c>
      <c r="BE23" s="67">
        <v>23</v>
      </c>
      <c r="BF23" s="81"/>
      <c r="BG23" s="43"/>
      <c r="BH23" s="7">
        <f>((AVERAGE(BE12:BE23,BG12:BG23)*('Summary Page'!$C$2+1))*('Summary Page'!$C$2+1))*('Summary Page'!$C$2+1)</f>
        <v>30.957770666666658</v>
      </c>
      <c r="BI23" s="7">
        <f>((AVERAGE(BE12:BE23,BG12:BG23)*('Summary Page'!$C$3+1))*('Summary Page'!$C$3+1))*('Summary Page'!$C$3+1)</f>
        <v>38.736979166666657</v>
      </c>
      <c r="BJ23" s="7">
        <f>((AVERAGE(BE12:BE23,BG12:BG23)*('Summary Page'!$C$4+1))*('Summary Page'!$C$4+1))*('Summary Page'!$C$4+1)</f>
        <v>34.271999999999991</v>
      </c>
      <c r="BK23" s="43">
        <v>20</v>
      </c>
      <c r="BL23" s="43"/>
      <c r="BM23" s="43"/>
      <c r="BN23" s="7">
        <f>((AVERAGE(BK12:BK23,BM12:BM23)*('Summary Page'!$C$2+1))*('Summary Page'!$C$2+1))*('Summary Page'!$C$2+1)</f>
        <v>26.925455999999993</v>
      </c>
      <c r="BO23" s="7">
        <f>((AVERAGE(BK12:BK23,BM12:BM23)*('Summary Page'!$C$3+1))*('Summary Page'!$C$3+1))*('Summary Page'!$C$3+1)</f>
        <v>33.69140625</v>
      </c>
      <c r="BP23" s="7">
        <f>((AVERAGE(BK12:BK23,BM12:BM23)*('Summary Page'!$C$4+1))*('Summary Page'!$C$4+1))*('Summary Page'!$C$4+1)</f>
        <v>29.808</v>
      </c>
      <c r="BQ23" s="67">
        <v>37</v>
      </c>
      <c r="BR23" s="43"/>
      <c r="BS23" s="43"/>
      <c r="BT23" s="7">
        <f>((AVERAGE(BQ12:BQ23,BS12:BS23)*('Summary Page'!$C$2+1))*('Summary Page'!$C$2+1))*('Summary Page'!$C$2+1)</f>
        <v>80.256069333333315</v>
      </c>
      <c r="BU23" s="7">
        <f>((AVERAGE(BQ12:BQ23,BS12:BS23)*('Summary Page'!$C$3+1))*('Summary Page'!$C$3+1))*('Summary Page'!$C$3+1)</f>
        <v>100.42317708333331</v>
      </c>
      <c r="BV23" s="8">
        <f>((AVERAGE(BQ12:BQ23,BS12:BS23)*('Summary Page'!$C$4+1))*('Summary Page'!$C$4+1))*('Summary Page'!$C$4+1)</f>
        <v>88.847999999999985</v>
      </c>
      <c r="BW23" s="67">
        <v>20</v>
      </c>
      <c r="BX23" s="43"/>
      <c r="BY23" s="43"/>
      <c r="BZ23" s="7">
        <f>((AVERAGE(BW12:BW23,BY12:BY23)*('Summary Page'!$C$2+1))*('Summary Page'!$C$2+1))*('Summary Page'!$C$2+1)</f>
        <v>50.208821333333319</v>
      </c>
      <c r="CA23" s="7">
        <f>((AVERAGE(BW12:BW23,BY12:BY23)*('Summary Page'!$C$3+1))*('Summary Page'!$C$3+1))*('Summary Page'!$C$3+1)</f>
        <v>62.825520833333321</v>
      </c>
      <c r="CB23" s="8">
        <f>((AVERAGE(BW12:BW23,BY12:BY23)*('Summary Page'!$C$4+1))*('Summary Page'!$C$4+1))*('Summary Page'!$C$4+1)</f>
        <v>55.583999999999989</v>
      </c>
      <c r="CC23" s="67">
        <v>26</v>
      </c>
      <c r="CD23" s="43"/>
      <c r="CE23" s="43"/>
      <c r="CF23" s="7">
        <f>((AVERAGE(CC12:CC23,CE12:CE23)*('Summary Page'!$C$2+1))*('Summary Page'!$C$2+1))*('Summary Page'!$C$2+1)</f>
        <v>44.225386666666651</v>
      </c>
      <c r="CG23" s="7">
        <f>((AVERAGE(CC12:CC23,CE12:CE23)*('Summary Page'!$C$3+1))*('Summary Page'!$C$3+1))*('Summary Page'!$C$3+1)</f>
        <v>55.338541666666657</v>
      </c>
      <c r="CH23" s="8">
        <f>((AVERAGE(CC12:CC23,CE12:CE23)*('Summary Page'!$C$4+1))*('Summary Page'!$C$4+1))*('Summary Page'!$C$4+1)</f>
        <v>48.959999999999994</v>
      </c>
      <c r="CI23" s="67">
        <v>20</v>
      </c>
      <c r="CJ23" s="43"/>
      <c r="CK23" s="43"/>
      <c r="CL23" s="7">
        <f>((AVERAGE(CI12:CI23,CK12:CK23)*('Summary Page'!$C$2+1))*('Summary Page'!$C$2+1))*('Summary Page'!$C$2+1)</f>
        <v>33.559263999999992</v>
      </c>
      <c r="CM23" s="7">
        <f>((AVERAGE(CI12:CI23,CK12:CK23)*('Summary Page'!$C$3+1))*('Summary Page'!$C$3+1))*('Summary Page'!$C$3+1)</f>
        <v>41.9921875</v>
      </c>
      <c r="CN23" s="8">
        <f>((AVERAGE(CI12:CI23,CK12:CK23)*('Summary Page'!$C$4+1))*('Summary Page'!$C$4+1))*('Summary Page'!$C$4+1)</f>
        <v>37.152000000000001</v>
      </c>
      <c r="CQ23" s="43"/>
      <c r="CR23" s="7">
        <f>((AVERAGE(C18:C23)*('Summary Page'!$C$2+1))*('Summary Page'!$C$2+1))*('Summary Page'!$C$2+1)</f>
        <v>69.720021333333321</v>
      </c>
      <c r="CS23" s="7">
        <f>((AVERAGE(C18:C23)*('Summary Page'!$C$3+1))*('Summary Page'!$C$3+1))*('Summary Page'!$C$3+1)</f>
        <v>87.239583333333314</v>
      </c>
      <c r="CT23" s="8">
        <f>((AVERAGE(C18:C23)*('Summary Page'!$C$4+1))*('Summary Page'!$C$4+1))*('Summary Page'!$C$4+1)</f>
        <v>77.183999999999983</v>
      </c>
      <c r="CW23" s="43"/>
      <c r="CX23" s="7">
        <f>((AVERAGE(D18:D23)*('Summary Page'!$C$2+1))*('Summary Page'!$C$2+1))*('Summary Page'!$C$2+1)</f>
        <v>56.712554666666662</v>
      </c>
      <c r="CY23" s="7">
        <f>((AVERAGE(D18:D23)*('Summary Page'!$C$3+1))*('Summary Page'!$C$3+1))*('Summary Page'!$C$3+1)</f>
        <v>70.963541666666686</v>
      </c>
      <c r="CZ23" s="8">
        <f>((AVERAGE(D18:D23)*('Summary Page'!$C$4+1))*('Summary Page'!$C$4+1))*('Summary Page'!$C$4+1)</f>
        <v>62.783999999999999</v>
      </c>
      <c r="DA23" s="67">
        <v>29</v>
      </c>
      <c r="DB23" s="43"/>
      <c r="DC23" s="43"/>
      <c r="DD23" s="7">
        <f>((AVERAGE(DA12:DA23,DC12:DC23)*('Summary Page'!$C$2+1))*('Summary Page'!$C$2+1))*('Summary Page'!$C$2+1)</f>
        <v>37.591578666666656</v>
      </c>
      <c r="DE23" s="7">
        <f>((AVERAGE(DA12:DA23,DC12:DC23)*('Summary Page'!$C$3+1))*('Summary Page'!$C$3+1))*('Summary Page'!$C$3+1)</f>
        <v>47.037760416666657</v>
      </c>
      <c r="DF23" s="8">
        <f>((AVERAGE(DA12:DA23,DC12:DC23)*('Summary Page'!$C$4+1))*('Summary Page'!$C$4+1))*('Summary Page'!$C$4+1)</f>
        <v>41.616</v>
      </c>
      <c r="DG23" s="67">
        <v>35</v>
      </c>
      <c r="DH23" s="43"/>
      <c r="DI23" s="43"/>
      <c r="DJ23" s="7">
        <f>((AVERAGE(DG12:DG23,DI12:DI23)*('Summary Page'!$C$2+1))*('Summary Page'!$C$2+1))*('Summary Page'!$C$2+1)</f>
        <v>46.176506666666654</v>
      </c>
      <c r="DK23" s="7">
        <f>((AVERAGE(DG12:DG23,DI12:DI23)*('Summary Page'!$C$3+1))*('Summary Page'!$C$3+1))*('Summary Page'!$C$3+1)</f>
        <v>57.779947916666657</v>
      </c>
      <c r="DL23" s="8">
        <f>((AVERAGE(DG12:DG23,DI12:DI23)*('Summary Page'!$C$4+1))*('Summary Page'!$C$4+1))*('Summary Page'!$C$4+1)</f>
        <v>51.12</v>
      </c>
      <c r="DO23" s="43"/>
      <c r="DP23" s="7">
        <f>((AVERAGE(F12:F23,DO12:DO23)*('Summary Page'!$C$2+1))*('Summary Page'!$C$2+1))*('Summary Page'!$C$2+1)</f>
        <v>0.78044799999999992</v>
      </c>
      <c r="DQ23" s="7">
        <f>((AVERAGE(F12:F23,DO12:DO23)*('Summary Page'!$C$3+1))*('Summary Page'!$C$3+1))*('Summary Page'!$C$3+1)</f>
        <v>0.9765625</v>
      </c>
      <c r="DR23" s="8">
        <f>((AVERAGE(F12:F23,DO12:DO23)*('Summary Page'!$C$4+1))*('Summary Page'!$C$4+1))*('Summary Page'!$C$4+1)</f>
        <v>0.86399999999999999</v>
      </c>
      <c r="DU23" s="43"/>
      <c r="DV23" s="7">
        <f>((AVERAGE(G12:G23,DU12:DU23)*('Summary Page'!$C$2+1))*('Summary Page'!$C$2+1))*('Summary Page'!$C$2+1)</f>
        <v>28.616426666666658</v>
      </c>
      <c r="DW23" s="7">
        <f>((AVERAGE(G12:G23,DU12:DU23)*('Summary Page'!$C$3+1))*('Summary Page'!$C$3+1))*('Summary Page'!$C$3+1)</f>
        <v>35.807291666666657</v>
      </c>
      <c r="DX23" s="8">
        <f>((AVERAGE(G12:G23,DU12:DU23)*('Summary Page'!$C$4+1))*('Summary Page'!$C$4+1))*('Summary Page'!$C$4+1)</f>
        <v>31.679999999999993</v>
      </c>
      <c r="EA23" s="43"/>
      <c r="EB23" s="7">
        <f>((AVERAGE(H18:H23)*('Summary Page'!$C$2+1))*('Summary Page'!$C$2+1))*('Summary Page'!$C$2+1)</f>
        <v>19.251050666666664</v>
      </c>
      <c r="EC23" s="7">
        <f>((AVERAGE(H18:H23)*('Summary Page'!$C$3+1))*('Summary Page'!$C$3+1))*('Summary Page'!$C$3+1)</f>
        <v>24.088541666666671</v>
      </c>
      <c r="ED23" s="8">
        <f>((AVERAGE(H18:H23)*('Summary Page'!$C$4+1))*('Summary Page'!$C$4+1))*('Summary Page'!$C$4+1)</f>
        <v>21.312000000000001</v>
      </c>
      <c r="EG23" s="43"/>
      <c r="EH23" s="7">
        <f>((AVERAGE(I18:I23)*('Summary Page'!$C$2+1))*('Summary Page'!$C$2+1))*('Summary Page'!$C$2+1)</f>
        <v>62.956138666666668</v>
      </c>
      <c r="EI23" s="7">
        <f>((AVERAGE(I18:I23)*('Summary Page'!$C$3+1))*('Summary Page'!$C$3+1))*('Summary Page'!$C$3+1)</f>
        <v>78.776041666666686</v>
      </c>
      <c r="EJ23" s="8">
        <f>((AVERAGE(I18:I23)*('Summary Page'!$C$4+1))*('Summary Page'!$C$4+1))*('Summary Page'!$C$4+1)</f>
        <v>69.695999999999998</v>
      </c>
      <c r="EM23" s="43"/>
      <c r="EN23" s="7" t="e">
        <f>((AVERAGE(AD18:AD23)*('Summary Page'!$C$2+1))*('Summary Page'!$C$2+1))*('Summary Page'!$C$2+1)</f>
        <v>#DIV/0!</v>
      </c>
      <c r="EO23" s="7" t="e">
        <f>((AVERAGE(AD18:AD23)*('Summary Page'!$C$3+1))*('Summary Page'!$C$3+1))*('Summary Page'!$C$3+1)</f>
        <v>#DIV/0!</v>
      </c>
      <c r="EP23" s="7" t="e">
        <f>((AVERAGE(AD18:AD23)*('Summary Page'!$C$4+1))*('Summary Page'!$C$4+1))*('Summary Page'!$C$4+1)</f>
        <v>#DIV/0!</v>
      </c>
      <c r="EQ23" s="7">
        <v>100</v>
      </c>
    </row>
    <row r="24" spans="1:159" ht="15.75" x14ac:dyDescent="0.25">
      <c r="A24" s="1">
        <v>43647</v>
      </c>
      <c r="B24" s="43">
        <v>66</v>
      </c>
      <c r="C24" s="67">
        <v>44</v>
      </c>
      <c r="D24" s="67">
        <v>34</v>
      </c>
      <c r="E24" s="7">
        <f t="shared" si="1"/>
        <v>55</v>
      </c>
      <c r="F24" s="67">
        <v>0</v>
      </c>
      <c r="G24" s="67">
        <v>20</v>
      </c>
      <c r="H24" s="67">
        <v>11</v>
      </c>
      <c r="I24" s="67">
        <v>36</v>
      </c>
      <c r="J24" s="67"/>
      <c r="K24" s="5">
        <f t="shared" si="2"/>
        <v>25.25</v>
      </c>
      <c r="L24" s="218">
        <v>60</v>
      </c>
      <c r="M24" s="43"/>
      <c r="N24" s="43"/>
      <c r="O24" s="43"/>
      <c r="P24" s="43"/>
      <c r="Q24" s="43"/>
      <c r="R24" s="43"/>
      <c r="S24" s="43"/>
      <c r="T24" s="43"/>
      <c r="U24" s="219">
        <v>17</v>
      </c>
      <c r="V24" s="13"/>
      <c r="W24" s="13"/>
      <c r="X24" s="13"/>
      <c r="Y24" s="13"/>
      <c r="Z24" s="13"/>
      <c r="AA24" s="13"/>
      <c r="AB24" s="13"/>
      <c r="AC24" s="13"/>
      <c r="AD24" s="43">
        <v>78</v>
      </c>
      <c r="AE24" s="43">
        <v>63</v>
      </c>
      <c r="AF24" s="43"/>
      <c r="AG24" s="43"/>
      <c r="AH24" s="43"/>
      <c r="AI24" s="43"/>
      <c r="AJ24" s="43"/>
      <c r="AK24" s="43"/>
      <c r="AL24" s="43"/>
      <c r="AM24" s="43"/>
      <c r="AN24" s="13">
        <f t="shared" ref="AN24:AN30" si="4">U24*1.2</f>
        <v>20.399999999999999</v>
      </c>
      <c r="AO24" s="7">
        <f>((AVERAGE(K19:K24)*('Summary Page'!$C$2+1))*('Summary Page'!$C$2+1))*('Summary Page'!$C$2+1)</f>
        <v>38.989881333333329</v>
      </c>
      <c r="AP24" s="7">
        <f>((AVERAGE(K19:K24)*('Summary Page'!$C$3+1))*('Summary Page'!$C$3+1))*('Summary Page'!$C$3+1)</f>
        <v>48.787434895833343</v>
      </c>
      <c r="AQ24" s="7">
        <f>((AVERAGE(K19:K24)*('Summary Page'!$C$4+1))*('Summary Page'!$C$4+1))*('Summary Page'!$C$4+1)</f>
        <v>43.163999999999994</v>
      </c>
      <c r="AR24" s="7">
        <v>80</v>
      </c>
      <c r="AS24" s="5">
        <f t="shared" si="3"/>
        <v>33.333333333333336</v>
      </c>
      <c r="AT24" s="13">
        <v>22</v>
      </c>
      <c r="AU24" s="13">
        <f t="shared" ref="AU24:AU29" si="5">AT24*1.2</f>
        <v>26.4</v>
      </c>
      <c r="AV24" s="7">
        <f>((AVERAGE(AS13:AS24,AU13:AU24)*('Summary Page'!$C$2+1))*('Summary Page'!$C$2+1))*('Summary Page'!$C$2+1)</f>
        <v>54.679387569230748</v>
      </c>
      <c r="AW24" s="7">
        <f>((AVERAGE(AS13:AS24,AU13:AU24)*('Summary Page'!$C$3+1))*('Summary Page'!$C$3+1))*('Summary Page'!$C$3+1)</f>
        <v>68.41947115384616</v>
      </c>
      <c r="AX24" s="7">
        <f>((AVERAGE(AS13:AS24,AU13:AU24)*('Summary Page'!$C$4+1))*('Summary Page'!$C$4+1))*('Summary Page'!$C$4+1)</f>
        <v>60.533169230769225</v>
      </c>
      <c r="BA24" s="43">
        <f t="shared" ref="BA24:BA29" si="6">L24*1.2</f>
        <v>72</v>
      </c>
      <c r="BB24" s="7">
        <f>((AVERAGE(B19:B24)*(+'Summary Page'!$C$2+1))*('Summary Page'!$C$2+1))*('Summary Page'!$C$2+1)</f>
        <v>103.799584</v>
      </c>
      <c r="BC24" s="7">
        <f>((AVERAGE(B19:B24)*('Summary Page'!$C$3+1))*('Summary Page'!$C$3+1))*('Summary Page'!$C$3+1)</f>
        <v>129.8828125</v>
      </c>
      <c r="BD24" s="7">
        <f>((AVERAGE(B19:B24)*('Summary Page'!$C$4+1))*('Summary Page'!$C$4+1))*('Summary Page'!$C$4+1)</f>
        <v>114.91199999999999</v>
      </c>
      <c r="BE24" s="67">
        <v>21</v>
      </c>
      <c r="BF24" s="81"/>
      <c r="BG24" s="43"/>
      <c r="BH24" s="7">
        <f>((AVERAGE(BE13:BE24,BG13:BG24)*('Summary Page'!$C$2+1))*('Summary Page'!$C$2+1))*('Summary Page'!$C$2+1)</f>
        <v>30.437471999999993</v>
      </c>
      <c r="BI24" s="7">
        <f>((AVERAGE(BE13:BE24,BG13:BG24)*('Summary Page'!$C$3+1))*('Summary Page'!$C$3+1))*('Summary Page'!$C$3+1)</f>
        <v>38.0859375</v>
      </c>
      <c r="BJ24" s="7">
        <f>((AVERAGE(BE13:BE24,BG13:BG24)*('Summary Page'!$C$4+1))*('Summary Page'!$C$4+1))*('Summary Page'!$C$4+1)</f>
        <v>33.695999999999998</v>
      </c>
      <c r="BK24" s="43">
        <v>18</v>
      </c>
      <c r="BL24" s="43"/>
      <c r="BM24" s="43"/>
      <c r="BN24" s="7">
        <f>((AVERAGE(BK13:BK24,BM13:BM24)*('Summary Page'!$C$2+1))*('Summary Page'!$C$2+1))*('Summary Page'!$C$2+1)</f>
        <v>26.275082666666659</v>
      </c>
      <c r="BO24" s="7">
        <f>((AVERAGE(BK13:BK24,BM13:BM24)*('Summary Page'!$C$3+1))*('Summary Page'!$C$3+1))*('Summary Page'!$C$3+1)</f>
        <v>32.877604166666657</v>
      </c>
      <c r="BP24" s="7">
        <f>((AVERAGE(BK13:BK24,BM13:BM24)*('Summary Page'!$C$4+1))*('Summary Page'!$C$4+1))*('Summary Page'!$C$4+1)</f>
        <v>29.087999999999997</v>
      </c>
      <c r="BQ24" s="67">
        <v>35</v>
      </c>
      <c r="BR24" s="43"/>
      <c r="BS24" s="43"/>
      <c r="BT24" s="7">
        <f>((AVERAGE(BQ13:BQ24,BS13:BS24)*('Summary Page'!$C$2+1))*('Summary Page'!$C$2+1))*('Summary Page'!$C$2+1)</f>
        <v>77.004202666666657</v>
      </c>
      <c r="BU24" s="7">
        <f>((AVERAGE(BQ13:BQ24,BS13:BS24)*('Summary Page'!$C$3+1))*('Summary Page'!$C$3+1))*('Summary Page'!$C$3+1)</f>
        <v>96.354166666666686</v>
      </c>
      <c r="BV24" s="8">
        <f>((AVERAGE(BQ13:BQ24,BS13:BS24)*('Summary Page'!$C$4+1))*('Summary Page'!$C$4+1))*('Summary Page'!$C$4+1)</f>
        <v>85.248000000000005</v>
      </c>
      <c r="BW24" s="67">
        <v>21</v>
      </c>
      <c r="BX24" s="43"/>
      <c r="BY24" s="43"/>
      <c r="BZ24" s="7">
        <f>((AVERAGE(BW13:BW24,BY13:BY24)*('Summary Page'!$C$2+1))*('Summary Page'!$C$2+1))*('Summary Page'!$C$2+1)</f>
        <v>47.47725333333333</v>
      </c>
      <c r="CA24" s="7">
        <f>((AVERAGE(BW13:BW24,BY13:BY24)*('Summary Page'!$C$3+1))*('Summary Page'!$C$3+1))*('Summary Page'!$C$3+1)</f>
        <v>59.407552083333343</v>
      </c>
      <c r="CB24" s="8">
        <f>((AVERAGE(BW13:BW24,BY13:BY24)*('Summary Page'!$C$4+1))*('Summary Page'!$C$4+1))*('Summary Page'!$C$4+1)</f>
        <v>52.559999999999995</v>
      </c>
      <c r="CC24" s="67">
        <v>30</v>
      </c>
      <c r="CD24" s="43"/>
      <c r="CE24" s="43"/>
      <c r="CF24" s="7">
        <f>((AVERAGE(CC13:CC24,CE13:CE24)*('Summary Page'!$C$2+1))*('Summary Page'!$C$2+1))*('Summary Page'!$C$2+1)</f>
        <v>44.875759999999985</v>
      </c>
      <c r="CG24" s="7">
        <f>((AVERAGE(CC13:CC24,CE13:CE24)*('Summary Page'!$C$3+1))*('Summary Page'!$C$3+1))*('Summary Page'!$C$3+1)</f>
        <v>56.15234375</v>
      </c>
      <c r="CH24" s="8">
        <f>((AVERAGE(CC13:CC24,CE13:CE24)*('Summary Page'!$C$4+1))*('Summary Page'!$C$4+1))*('Summary Page'!$C$4+1)</f>
        <v>49.68</v>
      </c>
      <c r="CI24" s="67">
        <v>21</v>
      </c>
      <c r="CJ24" s="43"/>
      <c r="CK24" s="43"/>
      <c r="CL24" s="7">
        <f>((AVERAGE(CI13:CI24,CK13:CK24)*('Summary Page'!$C$2+1))*('Summary Page'!$C$2+1))*('Summary Page'!$C$2+1)</f>
        <v>33.81941333333333</v>
      </c>
      <c r="CM24" s="7">
        <f>((AVERAGE(CI13:CI24,CK13:CK24)*('Summary Page'!$C$3+1))*('Summary Page'!$C$3+1))*('Summary Page'!$C$3+1)</f>
        <v>42.317708333333343</v>
      </c>
      <c r="CN24" s="8">
        <f>((AVERAGE(CI13:CI24,CK13:CK24)*('Summary Page'!$C$4+1))*('Summary Page'!$C$4+1))*('Summary Page'!$C$4+1)</f>
        <v>37.44</v>
      </c>
      <c r="CQ24" s="43"/>
      <c r="CR24" s="7">
        <f>((AVERAGE(C19:C24)*('Summary Page'!$C$2+1))*('Summary Page'!$C$2+1))*('Summary Page'!$C$2+1)</f>
        <v>70.500469333333314</v>
      </c>
      <c r="CS24" s="7">
        <f>((AVERAGE(C19:C24)*('Summary Page'!$C$3+1))*('Summary Page'!$C$3+1))*('Summary Page'!$C$3+1)</f>
        <v>88.216145833333314</v>
      </c>
      <c r="CT24" s="8">
        <f>((AVERAGE(C19:C24)*('Summary Page'!$C$4+1))*('Summary Page'!$C$4+1))*('Summary Page'!$C$4+1)</f>
        <v>78.047999999999988</v>
      </c>
      <c r="CW24" s="43"/>
      <c r="CX24" s="7">
        <f>((AVERAGE(D19:D24)*('Summary Page'!$C$2+1))*('Summary Page'!$C$2+1))*('Summary Page'!$C$2+1)</f>
        <v>56.972703999999986</v>
      </c>
      <c r="CY24" s="7">
        <f>((AVERAGE(D19:D24)*('Summary Page'!$C$3+1))*('Summary Page'!$C$3+1))*('Summary Page'!$C$3+1)</f>
        <v>71.2890625</v>
      </c>
      <c r="CZ24" s="8">
        <f>((AVERAGE(D19:D24)*('Summary Page'!$C$4+1))*('Summary Page'!$C$4+1))*('Summary Page'!$C$4+1)</f>
        <v>63.071999999999989</v>
      </c>
      <c r="DA24" s="67">
        <v>25</v>
      </c>
      <c r="DB24" s="43"/>
      <c r="DC24" s="43"/>
      <c r="DD24" s="7">
        <f>((AVERAGE(DA13:DA24,DC13:DC24)*('Summary Page'!$C$2+1))*('Summary Page'!$C$2+1))*('Summary Page'!$C$2+1)</f>
        <v>37.981802666666653</v>
      </c>
      <c r="DE24" s="7">
        <f>((AVERAGE(DA13:DA24,DC13:DC24)*('Summary Page'!$C$3+1))*('Summary Page'!$C$3+1))*('Summary Page'!$C$3+1)</f>
        <v>47.526041666666657</v>
      </c>
      <c r="DF24" s="8">
        <f>((AVERAGE(DA13:DA24,DC13:DC24)*('Summary Page'!$C$4+1))*('Summary Page'!$C$4+1))*('Summary Page'!$C$4+1)</f>
        <v>42.047999999999988</v>
      </c>
      <c r="DG24" s="67">
        <v>31</v>
      </c>
      <c r="DH24" s="43"/>
      <c r="DI24" s="43"/>
      <c r="DJ24" s="7">
        <f>((AVERAGE(DG13:DG24,DI13:DI24)*('Summary Page'!$C$2+1))*('Summary Page'!$C$2+1))*('Summary Page'!$C$2+1)</f>
        <v>46.956954666666654</v>
      </c>
      <c r="DK24" s="7">
        <f>((AVERAGE(DG13:DG24,DI13:DI24)*('Summary Page'!$C$3+1))*('Summary Page'!$C$3+1))*('Summary Page'!$C$3+1)</f>
        <v>58.756510416666657</v>
      </c>
      <c r="DL24" s="8">
        <f>((AVERAGE(DG13:DG24,DI13:DI24)*('Summary Page'!$C$4+1))*('Summary Page'!$C$4+1))*('Summary Page'!$C$4+1)</f>
        <v>51.983999999999988</v>
      </c>
      <c r="DO24" s="43"/>
      <c r="DP24" s="7">
        <f>((AVERAGE(F13:F24,DO13:DO24)*('Summary Page'!$C$2+1))*('Summary Page'!$C$2+1))*('Summary Page'!$C$2+1)</f>
        <v>0.78044799999999992</v>
      </c>
      <c r="DQ24" s="7">
        <f>((AVERAGE(F13:F24,DO13:DO24)*('Summary Page'!$C$3+1))*('Summary Page'!$C$3+1))*('Summary Page'!$C$3+1)</f>
        <v>0.9765625</v>
      </c>
      <c r="DR24" s="8">
        <f>((AVERAGE(F13:F24,DO13:DO24)*('Summary Page'!$C$4+1))*('Summary Page'!$C$4+1))*('Summary Page'!$C$4+1)</f>
        <v>0.86399999999999999</v>
      </c>
      <c r="DU24" s="43"/>
      <c r="DV24" s="7">
        <f>((AVERAGE(G13:G24,DU13:DU24)*('Summary Page'!$C$2+1))*('Summary Page'!$C$2+1))*('Summary Page'!$C$2+1)</f>
        <v>29.917173333333331</v>
      </c>
      <c r="DW24" s="7">
        <f>((AVERAGE(G13:G24,DU13:DU24)*('Summary Page'!$C$3+1))*('Summary Page'!$C$3+1))*('Summary Page'!$C$3+1)</f>
        <v>37.434895833333343</v>
      </c>
      <c r="DX24" s="8">
        <f>((AVERAGE(G13:G24,DU13:DU24)*('Summary Page'!$C$4+1))*('Summary Page'!$C$4+1))*('Summary Page'!$C$4+1)</f>
        <v>33.119999999999997</v>
      </c>
      <c r="EA24" s="43"/>
      <c r="EB24" s="7">
        <f>((AVERAGE(H19:H24)*('Summary Page'!$C$2+1))*('Summary Page'!$C$2+1))*('Summary Page'!$C$2+1)</f>
        <v>18.470602666666665</v>
      </c>
      <c r="EC24" s="7">
        <f>((AVERAGE(H19:H24)*('Summary Page'!$C$3+1))*('Summary Page'!$C$3+1))*('Summary Page'!$C$3+1)</f>
        <v>23.111979166666671</v>
      </c>
      <c r="ED24" s="8">
        <f>((AVERAGE(H19:H24)*('Summary Page'!$C$4+1))*('Summary Page'!$C$4+1))*('Summary Page'!$C$4+1)</f>
        <v>20.447999999999997</v>
      </c>
      <c r="EG24" s="43"/>
      <c r="EH24" s="7">
        <f>((AVERAGE(I19:I24)*('Summary Page'!$C$2+1))*('Summary Page'!$C$2+1))*('Summary Page'!$C$2+1)</f>
        <v>60.354645333333316</v>
      </c>
      <c r="EI24" s="7">
        <f>((AVERAGE(I19:I24)*('Summary Page'!$C$3+1))*('Summary Page'!$C$3+1))*('Summary Page'!$C$3+1)</f>
        <v>75.520833333333314</v>
      </c>
      <c r="EJ24" s="8">
        <f>((AVERAGE(I19:I24)*('Summary Page'!$C$4+1))*('Summary Page'!$C$4+1))*('Summary Page'!$C$4+1)</f>
        <v>66.816000000000003</v>
      </c>
      <c r="EM24" s="43">
        <f t="shared" ref="EM24:EM29" si="7">AE24*1.2</f>
        <v>75.599999999999994</v>
      </c>
      <c r="EN24" s="7">
        <f>((AVERAGE(AD19:AD24)*('Summary Page'!$C$2+1))*('Summary Page'!$C$2+1))*('Summary Page'!$C$2+1)</f>
        <v>121.74988799999997</v>
      </c>
      <c r="EO24" s="7">
        <f>((AVERAGE(AD19:AD24)*('Summary Page'!$C$3+1))*('Summary Page'!$C$3+1))*('Summary Page'!$C$3+1)</f>
        <v>152.34375</v>
      </c>
      <c r="EP24" s="7">
        <f>((AVERAGE(AD19:AD24)*('Summary Page'!$C$4+1))*('Summary Page'!$C$4+1))*('Summary Page'!$C$4+1)</f>
        <v>134.78399999999999</v>
      </c>
      <c r="EQ24" s="7">
        <v>100</v>
      </c>
    </row>
    <row r="25" spans="1:159" ht="15.75" x14ac:dyDescent="0.25">
      <c r="A25" s="1">
        <v>43661</v>
      </c>
      <c r="B25" s="43">
        <v>57</v>
      </c>
      <c r="C25" s="67">
        <v>39</v>
      </c>
      <c r="D25" s="67">
        <v>31</v>
      </c>
      <c r="E25" s="7">
        <f t="shared" si="1"/>
        <v>48</v>
      </c>
      <c r="F25" s="67">
        <v>1</v>
      </c>
      <c r="G25" s="67">
        <v>21</v>
      </c>
      <c r="H25" s="67">
        <v>13</v>
      </c>
      <c r="I25" s="67">
        <v>44</v>
      </c>
      <c r="J25" s="67"/>
      <c r="K25" s="5">
        <f t="shared" si="2"/>
        <v>24</v>
      </c>
      <c r="L25" s="218">
        <v>51</v>
      </c>
      <c r="M25" s="43">
        <v>44</v>
      </c>
      <c r="N25" s="43">
        <v>35</v>
      </c>
      <c r="O25" s="7">
        <f t="shared" ref="O25:O51" si="8">AVERAGE(L25:M25)</f>
        <v>47.5</v>
      </c>
      <c r="P25" s="43">
        <v>0.5</v>
      </c>
      <c r="Q25" s="43">
        <v>7</v>
      </c>
      <c r="R25" s="43">
        <v>7</v>
      </c>
      <c r="S25" s="43">
        <v>22</v>
      </c>
      <c r="T25" s="43"/>
      <c r="U25" s="219">
        <f>AVERAGE(BF25,BL25,BR25,BX25,CD25,CJ25,DB25,DH25)</f>
        <v>16.125</v>
      </c>
      <c r="V25" s="13"/>
      <c r="W25" s="13"/>
      <c r="X25" s="13"/>
      <c r="Y25" s="13"/>
      <c r="Z25" s="13"/>
      <c r="AA25" s="13"/>
      <c r="AB25" s="13"/>
      <c r="AC25" s="13"/>
      <c r="AD25" s="43">
        <v>78</v>
      </c>
      <c r="AE25" s="43">
        <v>63</v>
      </c>
      <c r="AF25" s="43"/>
      <c r="AG25" s="43"/>
      <c r="AH25" s="43"/>
      <c r="AI25" s="43"/>
      <c r="AJ25" s="43"/>
      <c r="AK25" s="43"/>
      <c r="AL25" s="43"/>
      <c r="AM25" s="43"/>
      <c r="AN25" s="13">
        <f t="shared" si="4"/>
        <v>19.349999999999998</v>
      </c>
      <c r="AO25" s="7">
        <f>((AVERAGE(K20:K25)*('Summary Page'!$C$2+1))*('Summary Page'!$C$2+1))*('Summary Page'!$C$2+1)</f>
        <v>39.08743733333332</v>
      </c>
      <c r="AP25" s="7">
        <f>((AVERAGE(K20:K25)*('Summary Page'!$C$3+1))*('Summary Page'!$C$3+1))*('Summary Page'!$C$3+1)</f>
        <v>48.909505208333343</v>
      </c>
      <c r="AQ25" s="7">
        <f>((AVERAGE(K20:K25)*('Summary Page'!$C$4+1))*('Summary Page'!$C$4+1))*('Summary Page'!$C$4+1)</f>
        <v>43.271999999999998</v>
      </c>
      <c r="AR25" s="7">
        <v>80</v>
      </c>
      <c r="AS25" s="5">
        <f t="shared" si="3"/>
        <v>34.666666666666664</v>
      </c>
      <c r="AT25" s="13">
        <f>AVERAGE(MAX(M25,N25),MAX(P25,Q25),MAX(R25,S25))</f>
        <v>24.333333333333332</v>
      </c>
      <c r="AU25" s="13">
        <f t="shared" si="5"/>
        <v>29.199999999999996</v>
      </c>
      <c r="AV25" s="7">
        <f>((AVERAGE(AS14:AS25,AU14:AU25)*('Summary Page'!$C$2+1))*('Summary Page'!$C$2+1))*('Summary Page'!$C$2+1)</f>
        <v>54.029300114285704</v>
      </c>
      <c r="AW25" s="7">
        <f>((AVERAGE(AS14:AS25,AU14:AU25)*('Summary Page'!$C$3+1))*('Summary Page'!$C$3+1))*('Summary Page'!$C$3+1)</f>
        <v>67.606026785714278</v>
      </c>
      <c r="AX25" s="7">
        <f>((AVERAGE(AS14:AS25,AU14:AU25)*('Summary Page'!$C$4+1))*('Summary Page'!$C$4+1))*('Summary Page'!$C$4+1)</f>
        <v>59.813485714285704</v>
      </c>
      <c r="BA25" s="43">
        <f t="shared" si="6"/>
        <v>61.199999999999996</v>
      </c>
      <c r="BB25" s="7">
        <f>((AVERAGE(B20:B25)*(+'Summary Page'!$C$2+1))*('Summary Page'!$C$2+1))*('Summary Page'!$C$2+1)</f>
        <v>101.19809066666663</v>
      </c>
      <c r="BC25" s="7">
        <f>((AVERAGE(B20:B25)*('Summary Page'!$C$3+1))*('Summary Page'!$C$3+1))*('Summary Page'!$C$3+1)</f>
        <v>126.62760416666664</v>
      </c>
      <c r="BD25" s="7">
        <f>((AVERAGE(B20:B25)*('Summary Page'!$C$4+1))*('Summary Page'!$C$4+1))*('Summary Page'!$C$4+1)</f>
        <v>112.032</v>
      </c>
      <c r="BE25" s="67">
        <v>22</v>
      </c>
      <c r="BF25" s="81">
        <v>22</v>
      </c>
      <c r="BG25" s="43">
        <f>BF25*1.2</f>
        <v>26.4</v>
      </c>
      <c r="BH25" s="7">
        <f>((AVERAGE(BE14:BE25,BG14:BG25)*('Summary Page'!$C$2+1))*('Summary Page'!$C$2+1))*('Summary Page'!$C$2+1)</f>
        <v>30.905740799999993</v>
      </c>
      <c r="BI25" s="7">
        <f>((AVERAGE(BE14:BE25,BG14:BG25)*('Summary Page'!$C$3+1))*('Summary Page'!$C$3+1))*('Summary Page'!$C$3+1)</f>
        <v>38.671874999999993</v>
      </c>
      <c r="BJ25" s="7">
        <f>((AVERAGE(BE14:BE25,BG14:BG25)*('Summary Page'!$C$4+1))*('Summary Page'!$C$4+1))*('Summary Page'!$C$4+1)</f>
        <v>34.214399999999991</v>
      </c>
      <c r="BK25" s="43">
        <v>19</v>
      </c>
      <c r="BL25" s="43">
        <v>19</v>
      </c>
      <c r="BM25" s="43">
        <f>BL25*1.2</f>
        <v>22.8</v>
      </c>
      <c r="BN25" s="7">
        <f>((AVERAGE(BK14:BK25,BM14:BM25)*('Summary Page'!$C$2+1))*('Summary Page'!$C$2+1))*('Summary Page'!$C$2+1)</f>
        <v>26.631287138461534</v>
      </c>
      <c r="BO25" s="7">
        <f>((AVERAGE(BK14:BK25,BM14:BM25)*('Summary Page'!$C$3+1))*('Summary Page'!$C$3+1))*('Summary Page'!$C$3+1)</f>
        <v>33.323317307692307</v>
      </c>
      <c r="BP25" s="7">
        <f>((AVERAGE(BK14:BK25,BM14:BM25)*('Summary Page'!$C$4+1))*('Summary Page'!$C$4+1))*('Summary Page'!$C$4+1)</f>
        <v>29.482338461538461</v>
      </c>
      <c r="BQ25" s="67">
        <v>33</v>
      </c>
      <c r="BR25" s="43">
        <v>20</v>
      </c>
      <c r="BS25" s="43">
        <f>BR25*1.2</f>
        <v>24</v>
      </c>
      <c r="BT25" s="7">
        <f>((AVERAGE(BQ14:BQ25,BS14:BS25)*('Summary Page'!$C$2+1))*('Summary Page'!$C$2+1))*('Summary Page'!$C$2+1)</f>
        <v>69.159699692307669</v>
      </c>
      <c r="BU25" s="7">
        <f>((AVERAGE(BQ14:BQ25,BS14:BS25)*('Summary Page'!$C$3+1))*('Summary Page'!$C$3+1))*('Summary Page'!$C$3+1)</f>
        <v>86.538461538461533</v>
      </c>
      <c r="BV25" s="8">
        <f>((AVERAGE(BQ14:BQ25,BS14:BS25)*('Summary Page'!$C$4+1))*('Summary Page'!$C$4+1))*('Summary Page'!$C$4+1)</f>
        <v>76.563692307692293</v>
      </c>
      <c r="BW25" s="67">
        <v>20</v>
      </c>
      <c r="BX25" s="43">
        <v>14</v>
      </c>
      <c r="BY25" s="43">
        <f>BX25*1.2</f>
        <v>16.8</v>
      </c>
      <c r="BZ25" s="7">
        <f>((AVERAGE(BW14:BW25,BY14:BY25)*('Summary Page'!$C$2+1))*('Summary Page'!$C$2+1))*('Summary Page'!$C$2+1)</f>
        <v>43.080729599999998</v>
      </c>
      <c r="CA25" s="7">
        <f>((AVERAGE(BW14:BW25,BY14:BY25)*('Summary Page'!$C$3+1))*('Summary Page'!$C$3+1))*('Summary Page'!$C$3+1)</f>
        <v>53.90625</v>
      </c>
      <c r="CB25" s="8">
        <f>((AVERAGE(BW14:BW25,BY14:BY25)*('Summary Page'!$C$4+1))*('Summary Page'!$C$4+1))*('Summary Page'!$C$4+1)</f>
        <v>47.692799999999991</v>
      </c>
      <c r="CC25" s="67">
        <v>27</v>
      </c>
      <c r="CD25" s="43">
        <v>11</v>
      </c>
      <c r="CE25" s="43">
        <f>CD25*1.2</f>
        <v>13.2</v>
      </c>
      <c r="CF25" s="7">
        <f>((AVERAGE(CC14:CC25,CE14:CE25)*('Summary Page'!$C$2+1))*('Summary Page'!$C$2+1))*('Summary Page'!$C$2+1)</f>
        <v>43.488963938461531</v>
      </c>
      <c r="CG25" s="7">
        <f>((AVERAGE(CC14:CC25,CE14:CE25)*('Summary Page'!$C$3+1))*('Summary Page'!$C$3+1))*('Summary Page'!$C$3+1)</f>
        <v>54.417067307692321</v>
      </c>
      <c r="CH25" s="8">
        <f>((AVERAGE(CC14:CC25,CE14:CE25)*('Summary Page'!$C$4+1))*('Summary Page'!$C$4+1))*('Summary Page'!$C$4+1)</f>
        <v>48.144738461538459</v>
      </c>
      <c r="CI25" s="67">
        <v>20</v>
      </c>
      <c r="CJ25" s="43">
        <v>8</v>
      </c>
      <c r="CK25" s="43">
        <f>CJ25*1.2</f>
        <v>9.6</v>
      </c>
      <c r="CL25" s="7">
        <f>((AVERAGE(CI14:CI25,CK14:CK25)*('Summary Page'!$C$2+1))*('Summary Page'!$C$2+1))*('Summary Page'!$C$2+1)</f>
        <v>32.610719507692302</v>
      </c>
      <c r="CM25" s="7">
        <f>((AVERAGE(CI14:CI25,CK14:CK25)*('Summary Page'!$C$3+1))*('Summary Page'!$C$3+1))*('Summary Page'!$C$3+1)</f>
        <v>40.805288461538467</v>
      </c>
      <c r="CN25" s="8">
        <f>((AVERAGE(CI14:CI25,CK14:CK25)*('Summary Page'!$C$4+1))*('Summary Page'!$C$4+1))*('Summary Page'!$C$4+1)</f>
        <v>36.101907692307691</v>
      </c>
      <c r="CQ25" s="43">
        <f t="shared" ref="CQ25:CQ30" si="9">M25*1.2</f>
        <v>52.8</v>
      </c>
      <c r="CR25" s="7">
        <f>((AVERAGE(C20:C25)*('Summary Page'!$C$2+1))*('Summary Page'!$C$2+1))*('Summary Page'!$C$2+1)</f>
        <v>70.240319999999983</v>
      </c>
      <c r="CS25" s="7">
        <f>((AVERAGE(C20:C25)*('Summary Page'!$C$3+1))*('Summary Page'!$C$3+1))*('Summary Page'!$C$3+1)</f>
        <v>87.890625</v>
      </c>
      <c r="CT25" s="8">
        <f>((AVERAGE(C20:C25)*('Summary Page'!$C$4+1))*('Summary Page'!$C$4+1))*('Summary Page'!$C$4+1)</f>
        <v>77.759999999999991</v>
      </c>
      <c r="CW25" s="43">
        <f t="shared" ref="CW25:CW30" si="10">N25*1.2</f>
        <v>42</v>
      </c>
      <c r="CX25" s="7">
        <f>((AVERAGE(D20:D25)*('Summary Page'!$C$2+1))*('Summary Page'!$C$2+1))*('Summary Page'!$C$2+1)</f>
        <v>56.45240533333331</v>
      </c>
      <c r="CY25" s="7">
        <f>((AVERAGE(D20:D25)*('Summary Page'!$C$3+1))*('Summary Page'!$C$3+1))*('Summary Page'!$C$3+1)</f>
        <v>70.638020833333314</v>
      </c>
      <c r="CZ25" s="8">
        <f>((AVERAGE(D20:D25)*('Summary Page'!$C$4+1))*('Summary Page'!$C$4+1))*('Summary Page'!$C$4+1)</f>
        <v>62.495999999999995</v>
      </c>
      <c r="DA25" s="67">
        <v>23</v>
      </c>
      <c r="DB25" s="43">
        <v>16</v>
      </c>
      <c r="DC25" s="43">
        <f>DB25*1.2</f>
        <v>19.2</v>
      </c>
      <c r="DD25" s="7">
        <f>((AVERAGE(DA14:DA25,DC14:DC25)*('Summary Page'!$C$2+1))*('Summary Page'!$C$2+1))*('Summary Page'!$C$2+1)</f>
        <v>37.965793476923068</v>
      </c>
      <c r="DE25" s="7">
        <f>((AVERAGE(DA14:DA25,DC14:DC25)*('Summary Page'!$C$3+1))*('Summary Page'!$C$3+1))*('Summary Page'!$C$3+1)</f>
        <v>47.506009615384613</v>
      </c>
      <c r="DF25" s="8">
        <f>((AVERAGE(DA14:DA25,DC14:DC25)*('Summary Page'!$C$4+1))*('Summary Page'!$C$4+1))*('Summary Page'!$C$4+1)</f>
        <v>42.030276923076919</v>
      </c>
      <c r="DG25" s="67">
        <v>28</v>
      </c>
      <c r="DH25" s="43">
        <v>19</v>
      </c>
      <c r="DI25" s="43">
        <f>DH25*1.2</f>
        <v>22.8</v>
      </c>
      <c r="DJ25" s="7">
        <f>((AVERAGE(DG14:DG25,DI14:DI25)*('Summary Page'!$C$2+1))*('Summary Page'!$C$2+1))*('Summary Page'!$C$2+1)</f>
        <v>46.922935138461533</v>
      </c>
      <c r="DK25" s="7">
        <f>((AVERAGE(DG14:DG25,DI14:DI25)*('Summary Page'!$C$3+1))*('Summary Page'!$C$3+1))*('Summary Page'!$C$3+1)</f>
        <v>58.713942307692321</v>
      </c>
      <c r="DL25" s="8">
        <f>((AVERAGE(DG14:DG25,DI14:DI25)*('Summary Page'!$C$4+1))*('Summary Page'!$C$4+1))*('Summary Page'!$C$4+1)</f>
        <v>51.94633846153846</v>
      </c>
      <c r="DO25" s="43">
        <f>P25*1.2</f>
        <v>0.6</v>
      </c>
      <c r="DP25" s="7">
        <f>((AVERAGE(F14:F25,DO14:DO25)*('Summary Page'!$C$2+1))*('Summary Page'!$C$2+1))*('Summary Page'!$C$2+1)</f>
        <v>0.91252381538461502</v>
      </c>
      <c r="DQ25" s="7">
        <f>((AVERAGE(F14:F25,DO14:DO25)*('Summary Page'!$C$3+1))*('Summary Page'!$C$3+1))*('Summary Page'!$C$3+1)</f>
        <v>1.1418269230769229</v>
      </c>
      <c r="DR25" s="8">
        <f>((AVERAGE(F14:F25,DO14:DO25)*('Summary Page'!$C$4+1))*('Summary Page'!$C$4+1))*('Summary Page'!$C$4+1)</f>
        <v>1.0102153846153843</v>
      </c>
      <c r="DU25" s="43">
        <f>Q25*1.2</f>
        <v>8.4</v>
      </c>
      <c r="DV25" s="7">
        <f>((AVERAGE(G14:G25,DU14:DU25)*('Summary Page'!$C$2+1))*('Summary Page'!$C$2+1))*('Summary Page'!$C$2+1)</f>
        <v>28.864569107692301</v>
      </c>
      <c r="DW25" s="7">
        <f>((AVERAGE(G14:G25,DU14:DU25)*('Summary Page'!$C$3+1))*('Summary Page'!$C$3+1))*('Summary Page'!$C$3+1)</f>
        <v>36.11778846153846</v>
      </c>
      <c r="DX25" s="8">
        <f>((AVERAGE(G14:G25,DU14:DU25)*('Summary Page'!$C$4+1))*('Summary Page'!$C$4+1))*('Summary Page'!$C$4+1)</f>
        <v>31.954707692307689</v>
      </c>
      <c r="EA25" s="43">
        <f t="shared" ref="EA25:EA30" si="11">R25*1.2</f>
        <v>8.4</v>
      </c>
      <c r="EB25" s="7">
        <f>((AVERAGE(H20:H25)*('Summary Page'!$C$2+1))*('Summary Page'!$C$2+1))*('Summary Page'!$C$2+1)</f>
        <v>18.730751999999995</v>
      </c>
      <c r="EC25" s="7">
        <f>((AVERAGE(H20:H25)*('Summary Page'!$C$3+1))*('Summary Page'!$C$3+1))*('Summary Page'!$C$3+1)</f>
        <v>23.4375</v>
      </c>
      <c r="ED25" s="8">
        <f>((AVERAGE(H20:H25)*('Summary Page'!$C$4+1))*('Summary Page'!$C$4+1))*('Summary Page'!$C$4+1)</f>
        <v>20.735999999999997</v>
      </c>
      <c r="EG25" s="43">
        <f t="shared" ref="EG25:EG30" si="12">S25*1.2</f>
        <v>26.4</v>
      </c>
      <c r="EH25" s="7">
        <f>((AVERAGE(I20:I25)*('Summary Page'!$C$2+1))*('Summary Page'!$C$2+1))*('Summary Page'!$C$2+1)</f>
        <v>61.655391999999992</v>
      </c>
      <c r="EI25" s="7">
        <f>((AVERAGE(I20:I25)*('Summary Page'!$C$3+1))*('Summary Page'!$C$3+1))*('Summary Page'!$C$3+1)</f>
        <v>77.1484375</v>
      </c>
      <c r="EJ25" s="8">
        <f>((AVERAGE(I20:I25)*('Summary Page'!$C$4+1))*('Summary Page'!$C$4+1))*('Summary Page'!$C$4+1)</f>
        <v>68.255999999999986</v>
      </c>
      <c r="EM25" s="43">
        <f t="shared" si="7"/>
        <v>75.599999999999994</v>
      </c>
      <c r="EN25" s="7">
        <f>((AVERAGE(AD20:AD25)*('Summary Page'!$C$2+1))*('Summary Page'!$C$2+1))*('Summary Page'!$C$2+1)</f>
        <v>121.74988799999997</v>
      </c>
      <c r="EO25" s="7">
        <f>((AVERAGE(AD20:AD25)*('Summary Page'!$C$3+1))*('Summary Page'!$C$3+1))*('Summary Page'!$C$3+1)</f>
        <v>152.34375</v>
      </c>
      <c r="EP25" s="7">
        <f>((AVERAGE(AD20:AD25)*('Summary Page'!$C$4+1))*('Summary Page'!$C$4+1))*('Summary Page'!$C$4+1)</f>
        <v>134.78399999999999</v>
      </c>
      <c r="EQ25" s="7">
        <v>100</v>
      </c>
    </row>
    <row r="26" spans="1:159" ht="15.75" x14ac:dyDescent="0.25">
      <c r="A26" s="10">
        <v>43678</v>
      </c>
      <c r="B26" s="67">
        <v>56</v>
      </c>
      <c r="C26" s="67">
        <v>43</v>
      </c>
      <c r="D26" s="67">
        <v>33</v>
      </c>
      <c r="E26" s="67">
        <f t="shared" si="1"/>
        <v>49.5</v>
      </c>
      <c r="F26" s="67">
        <v>1</v>
      </c>
      <c r="G26" s="67">
        <v>18</v>
      </c>
      <c r="H26" s="67">
        <v>12</v>
      </c>
      <c r="I26" s="67">
        <v>19</v>
      </c>
      <c r="J26" s="67"/>
      <c r="K26" s="67">
        <v>49</v>
      </c>
      <c r="L26" s="218">
        <v>46</v>
      </c>
      <c r="M26" s="43">
        <v>52</v>
      </c>
      <c r="N26" s="43">
        <v>44</v>
      </c>
      <c r="O26" s="7">
        <f t="shared" si="8"/>
        <v>49</v>
      </c>
      <c r="P26" s="43">
        <v>1</v>
      </c>
      <c r="Q26" s="43">
        <v>15</v>
      </c>
      <c r="R26" s="43">
        <v>9</v>
      </c>
      <c r="S26" s="43">
        <v>17</v>
      </c>
      <c r="T26" s="43"/>
      <c r="U26" s="213">
        <v>41.5</v>
      </c>
      <c r="V26" s="43"/>
      <c r="W26" s="43"/>
      <c r="X26" s="43"/>
      <c r="Y26" s="43"/>
      <c r="Z26" s="43"/>
      <c r="AA26" s="43"/>
      <c r="AB26" s="43"/>
      <c r="AC26" s="43"/>
      <c r="AD26" s="43">
        <v>81</v>
      </c>
      <c r="AE26" s="43">
        <v>74</v>
      </c>
      <c r="AF26" s="43"/>
      <c r="AG26" s="43">
        <v>768</v>
      </c>
      <c r="AH26" s="43">
        <v>768</v>
      </c>
      <c r="AI26" s="43"/>
      <c r="AJ26" s="43"/>
      <c r="AK26" s="43"/>
      <c r="AL26" s="43"/>
      <c r="AM26" s="43"/>
      <c r="AN26" s="13">
        <f t="shared" si="4"/>
        <v>49.8</v>
      </c>
      <c r="AO26" s="7">
        <f>((AVERAGE(K21:K26)*('Summary Page'!$C$2+1))*('Summary Page'!$C$2+1))*('Summary Page'!$C$2+1)</f>
        <v>45.591170666666649</v>
      </c>
      <c r="AP26" s="7">
        <f>((AVERAGE(K21:K26)*('Summary Page'!$C$3+1))*('Summary Page'!$C$3+1))*('Summary Page'!$C$3+1)</f>
        <v>57.047526041666657</v>
      </c>
      <c r="AQ26" s="7">
        <f>((AVERAGE(K21:K26)*('Summary Page'!$C$4+1))*('Summary Page'!$C$4+1))*('Summary Page'!$C$4+1)</f>
        <v>50.471999999999994</v>
      </c>
      <c r="AR26" s="7">
        <v>80</v>
      </c>
      <c r="AS26" s="5">
        <f t="shared" si="3"/>
        <v>26.666666666666668</v>
      </c>
      <c r="AT26" s="13">
        <f>AVERAGE(MAX(M26,N26),MAX(P26,Q26),MAX(R26,S26))</f>
        <v>28</v>
      </c>
      <c r="AU26" s="13">
        <f t="shared" si="5"/>
        <v>33.6</v>
      </c>
      <c r="AV26" s="7">
        <f>((AVERAGE(AS15:AS26,AU15:AU26)*('Summary Page'!$C$2+1))*('Summary Page'!$C$2+1))*('Summary Page'!$C$2+1)</f>
        <v>52.60566385777777</v>
      </c>
      <c r="AW26" s="7">
        <f>((AVERAGE(AS15:AS26,AU15:AU26)*('Summary Page'!$C$3+1))*('Summary Page'!$C$3+1))*('Summary Page'!$C$3+1)</f>
        <v>65.824652777777786</v>
      </c>
      <c r="AX26" s="7">
        <f>((AVERAGE(AS15:AS26,AU15:AU26)*('Summary Page'!$C$4+1))*('Summary Page'!$C$4+1))*('Summary Page'!$C$4+1)</f>
        <v>58.237439999999992</v>
      </c>
      <c r="BA26" s="43">
        <f t="shared" si="6"/>
        <v>55.199999999999996</v>
      </c>
      <c r="BB26" s="7">
        <f>((AVERAGE(B21:B26)*(+'Summary Page'!$C$2+1))*('Summary Page'!$C$2+1))*('Summary Page'!$C$2+1)</f>
        <v>99.89734399999999</v>
      </c>
      <c r="BC26" s="7">
        <f>((AVERAGE(B21:B26)*('Summary Page'!$C$3+1))*('Summary Page'!$C$3+1))*('Summary Page'!$C$3+1)</f>
        <v>125</v>
      </c>
      <c r="BD26" s="7">
        <f>((AVERAGE(B21:B26)*('Summary Page'!$C$4+1))*('Summary Page'!$C$4+1))*('Summary Page'!$C$4+1)</f>
        <v>110.592</v>
      </c>
      <c r="BE26" s="67"/>
      <c r="BF26" s="81"/>
      <c r="BG26" s="43"/>
      <c r="BH26" s="43"/>
      <c r="BI26" s="43"/>
      <c r="BJ26" s="43"/>
      <c r="BK26" s="67"/>
      <c r="BL26" s="43"/>
      <c r="BM26" s="43"/>
      <c r="BN26" s="43"/>
      <c r="BO26" s="43"/>
      <c r="BP26" s="43"/>
      <c r="BQ26" s="67"/>
      <c r="BR26" s="43"/>
      <c r="BS26" s="43"/>
      <c r="BT26" s="43"/>
      <c r="BU26" s="43"/>
      <c r="BV26" s="81"/>
      <c r="BW26" s="67"/>
      <c r="BX26" s="43"/>
      <c r="BY26" s="43"/>
      <c r="BZ26" s="43"/>
      <c r="CA26" s="43"/>
      <c r="CB26" s="81"/>
      <c r="CC26" s="67"/>
      <c r="CD26" s="43"/>
      <c r="CE26" s="43"/>
      <c r="CF26" s="43"/>
      <c r="CG26" s="43"/>
      <c r="CH26" s="81"/>
      <c r="CI26" s="67"/>
      <c r="CJ26" s="43"/>
      <c r="CK26" s="43"/>
      <c r="CL26" s="43"/>
      <c r="CM26" s="43"/>
      <c r="CN26" s="81"/>
      <c r="CQ26" s="43">
        <f t="shared" si="9"/>
        <v>62.4</v>
      </c>
      <c r="CR26" s="7">
        <f>((AVERAGE(C21:C26)*('Summary Page'!$C$2+1))*('Summary Page'!$C$2+1))*('Summary Page'!$C$2+1)</f>
        <v>71.020767999999975</v>
      </c>
      <c r="CS26" s="7">
        <f>((AVERAGE(C21:C26)*('Summary Page'!$C$3+1))*('Summary Page'!$C$3+1))*('Summary Page'!$C$3+1)</f>
        <v>88.8671875</v>
      </c>
      <c r="CT26" s="8">
        <f>((AVERAGE(C21:C26)*('Summary Page'!$C$4+1))*('Summary Page'!$C$4+1))*('Summary Page'!$C$4+1)</f>
        <v>78.623999999999995</v>
      </c>
      <c r="CW26" s="43">
        <f t="shared" si="10"/>
        <v>52.8</v>
      </c>
      <c r="CX26" s="7">
        <f>((AVERAGE(D21:D26)*('Summary Page'!$C$2+1))*('Summary Page'!$C$2+1))*('Summary Page'!$C$2+1)</f>
        <v>56.45240533333331</v>
      </c>
      <c r="CY26" s="7">
        <f>((AVERAGE(D21:D26)*('Summary Page'!$C$3+1))*('Summary Page'!$C$3+1))*('Summary Page'!$C$3+1)</f>
        <v>70.638020833333314</v>
      </c>
      <c r="CZ26" s="8">
        <f>((AVERAGE(D21:D26)*('Summary Page'!$C$4+1))*('Summary Page'!$C$4+1))*('Summary Page'!$C$4+1)</f>
        <v>62.495999999999995</v>
      </c>
      <c r="DA26" s="67"/>
      <c r="DB26" s="43"/>
      <c r="DC26" s="43"/>
      <c r="DD26" s="43"/>
      <c r="DE26" s="43"/>
      <c r="DF26" s="81"/>
      <c r="DG26" s="67"/>
      <c r="DH26" s="43"/>
      <c r="DI26" s="43"/>
      <c r="DJ26" s="43"/>
      <c r="DK26" s="43"/>
      <c r="DL26" s="81"/>
      <c r="DO26" s="43"/>
      <c r="DP26" s="7"/>
      <c r="DQ26" s="7"/>
      <c r="DR26" s="8"/>
      <c r="DU26" s="43"/>
      <c r="DV26" s="7"/>
      <c r="DW26" s="7"/>
      <c r="DX26" s="8"/>
      <c r="EA26" s="43">
        <f t="shared" si="11"/>
        <v>10.799999999999999</v>
      </c>
      <c r="EB26" s="7">
        <f>((AVERAGE(H21:H26)*('Summary Page'!$C$2+1))*('Summary Page'!$C$2+1))*('Summary Page'!$C$2+1)</f>
        <v>18.730751999999995</v>
      </c>
      <c r="EC26" s="7">
        <f>((AVERAGE(H21:H26)*('Summary Page'!$C$3+1))*('Summary Page'!$C$3+1))*('Summary Page'!$C$3+1)</f>
        <v>23.4375</v>
      </c>
      <c r="ED26" s="8">
        <f>((AVERAGE(H21:H26)*('Summary Page'!$C$4+1))*('Summary Page'!$C$4+1))*('Summary Page'!$C$4+1)</f>
        <v>20.735999999999997</v>
      </c>
      <c r="EG26" s="43">
        <f t="shared" si="12"/>
        <v>20.399999999999999</v>
      </c>
      <c r="EH26" s="7">
        <f>((AVERAGE(I21:I26)*('Summary Page'!$C$2+1))*('Summary Page'!$C$2+1))*('Summary Page'!$C$2+1)</f>
        <v>56.45240533333331</v>
      </c>
      <c r="EI26" s="7">
        <f>((AVERAGE(I21:I26)*('Summary Page'!$C$3+1))*('Summary Page'!$C$3+1))*('Summary Page'!$C$3+1)</f>
        <v>70.638020833333314</v>
      </c>
      <c r="EJ26" s="8">
        <f>((AVERAGE(I21:I26)*('Summary Page'!$C$4+1))*('Summary Page'!$C$4+1))*('Summary Page'!$C$4+1)</f>
        <v>62.495999999999995</v>
      </c>
      <c r="EM26" s="43">
        <f t="shared" si="7"/>
        <v>88.8</v>
      </c>
      <c r="EN26" s="7">
        <f>((AVERAGE(AD21:AD26)*('Summary Page'!$C$2+1))*('Summary Page'!$C$2+1))*('Summary Page'!$C$2+1)</f>
        <v>123.31078399999998</v>
      </c>
      <c r="EO26" s="7">
        <f>((AVERAGE(AD21:AD26)*('Summary Page'!$C$3+1))*('Summary Page'!$C$3+1))*('Summary Page'!$C$3+1)</f>
        <v>154.296875</v>
      </c>
      <c r="EP26" s="7">
        <f>((AVERAGE(AD21:AD26)*('Summary Page'!$C$4+1))*('Summary Page'!$C$4+1))*('Summary Page'!$C$4+1)</f>
        <v>136.51199999999997</v>
      </c>
      <c r="EQ26" s="7">
        <v>100</v>
      </c>
      <c r="ER26" s="16">
        <f t="shared" ref="ER26:ES28" si="13">AG26/7.5/0.89/5</f>
        <v>23.011235955056183</v>
      </c>
      <c r="ES26" s="16">
        <f t="shared" si="13"/>
        <v>23.011235955056183</v>
      </c>
      <c r="ET26" s="7">
        <f t="shared" ref="ET26:ET31" si="14">ES26*1.2</f>
        <v>27.61348314606742</v>
      </c>
      <c r="EU26" s="7">
        <f>((AVERAGE(ER21:ER26)*('Summary Page'!$C$2+1))*('Summary Page'!$C$2+1))*('Summary Page'!$C$2+1)</f>
        <v>35.918146157303369</v>
      </c>
      <c r="EV26" s="7">
        <f>((AVERAGE(ER21:ER26)*('Summary Page'!$C$3+1))*('Summary Page'!$C$3+1))*('Summary Page'!$C$3+1)</f>
        <v>44.943820224719104</v>
      </c>
      <c r="EW26" s="7">
        <f>((AVERAGE(ER21:ER26)*('Summary Page'!$C$4+1))*('Summary Page'!$C$4+1))*('Summary Page'!$C$4+1)</f>
        <v>39.76341573033708</v>
      </c>
      <c r="EX26" s="11">
        <f t="shared" ref="EX26:EX31" si="15">(ER26/6)+ER26</f>
        <v>26.846441947565545</v>
      </c>
      <c r="EY26" s="11">
        <f t="shared" ref="EY26:FC31" si="16">(ES26/6)+ES26</f>
        <v>26.846441947565545</v>
      </c>
      <c r="EZ26" s="11">
        <f t="shared" si="16"/>
        <v>32.215730337078654</v>
      </c>
      <c r="FA26" s="11">
        <f t="shared" si="16"/>
        <v>41.904503850187261</v>
      </c>
      <c r="FB26" s="11">
        <f t="shared" si="16"/>
        <v>52.434456928838955</v>
      </c>
      <c r="FC26" s="11">
        <f t="shared" si="16"/>
        <v>46.390651685393259</v>
      </c>
    </row>
    <row r="27" spans="1:159" ht="15.75" x14ac:dyDescent="0.25">
      <c r="A27" s="10">
        <v>43710</v>
      </c>
      <c r="B27" s="67">
        <v>63</v>
      </c>
      <c r="C27" s="67">
        <v>51</v>
      </c>
      <c r="D27" s="67">
        <v>43</v>
      </c>
      <c r="E27" s="67">
        <f t="shared" si="1"/>
        <v>57</v>
      </c>
      <c r="F27" s="67">
        <v>1</v>
      </c>
      <c r="G27" s="67">
        <v>14</v>
      </c>
      <c r="H27" s="67">
        <v>11</v>
      </c>
      <c r="I27" s="67">
        <v>19</v>
      </c>
      <c r="J27" s="67"/>
      <c r="K27" s="67">
        <v>55</v>
      </c>
      <c r="L27" s="218">
        <v>48</v>
      </c>
      <c r="M27" s="43">
        <v>38</v>
      </c>
      <c r="N27" s="43">
        <v>30</v>
      </c>
      <c r="O27" s="7">
        <f t="shared" si="8"/>
        <v>43</v>
      </c>
      <c r="P27" s="43">
        <v>0</v>
      </c>
      <c r="Q27" s="43">
        <v>14</v>
      </c>
      <c r="R27" s="43">
        <v>8</v>
      </c>
      <c r="S27" s="43">
        <v>16</v>
      </c>
      <c r="T27" s="43"/>
      <c r="U27" s="213">
        <v>36</v>
      </c>
      <c r="V27" s="43"/>
      <c r="W27" s="43"/>
      <c r="X27" s="43"/>
      <c r="Y27" s="43"/>
      <c r="Z27" s="43"/>
      <c r="AA27" s="43"/>
      <c r="AB27" s="43"/>
      <c r="AC27" s="43"/>
      <c r="AD27" s="43">
        <v>89</v>
      </c>
      <c r="AE27" s="43">
        <v>62</v>
      </c>
      <c r="AF27" s="43"/>
      <c r="AG27">
        <v>738</v>
      </c>
      <c r="AH27">
        <v>726</v>
      </c>
      <c r="AN27" s="13">
        <f t="shared" si="4"/>
        <v>43.199999999999996</v>
      </c>
      <c r="AO27" s="7">
        <f>((AVERAGE(K22:K27)*('Summary Page'!$C$2+1))*('Summary Page'!$C$2+1))*('Summary Page'!$C$2+1)</f>
        <v>53.298094666666657</v>
      </c>
      <c r="AP27" s="7">
        <f>((AVERAGE(K22:K27)*('Summary Page'!$C$3+1))*('Summary Page'!$C$3+1))*('Summary Page'!$C$3+1)</f>
        <v>66.691080729166686</v>
      </c>
      <c r="AQ27" s="7">
        <f>((AVERAGE(K22:K27)*('Summary Page'!$C$4+1))*('Summary Page'!$C$4+1))*('Summary Page'!$C$4+1)</f>
        <v>59.003999999999998</v>
      </c>
      <c r="AR27" s="7">
        <v>80</v>
      </c>
      <c r="AS27" s="5">
        <f t="shared" si="3"/>
        <v>28</v>
      </c>
      <c r="AT27" s="13">
        <f>AVERAGE(MAX(M27,N27),MAX(P27,Q27),MAX(R27,S27))</f>
        <v>22.666666666666668</v>
      </c>
      <c r="AU27" s="13">
        <f t="shared" si="5"/>
        <v>27.2</v>
      </c>
      <c r="AV27" s="7">
        <f>((AVERAGE(AS16:AS27,AU16:AU27)*('Summary Page'!$C$2+1))*('Summary Page'!$C$2+1))*('Summary Page'!$C$2+1)</f>
        <v>50.800661066666663</v>
      </c>
      <c r="AW27" s="7">
        <f>((AVERAGE(AS16:AS27,AU16:AU27)*('Summary Page'!$C$3+1))*('Summary Page'!$C$3+1))*('Summary Page'!$C$3+1)</f>
        <v>63.566080729166679</v>
      </c>
      <c r="AX27" s="7">
        <f>((AVERAGE(AS16:AS27,AU16:AU27)*('Summary Page'!$C$4+1))*('Summary Page'!$C$4+1))*('Summary Page'!$C$4+1)</f>
        <v>56.239199999999997</v>
      </c>
      <c r="BA27" s="43">
        <f t="shared" si="6"/>
        <v>57.599999999999994</v>
      </c>
      <c r="BB27" s="7">
        <f>((AVERAGE(B22:B27)*(+'Summary Page'!$C$2+1))*('Summary Page'!$C$2+1))*('Summary Page'!$C$2+1)</f>
        <v>99.116895999999969</v>
      </c>
      <c r="BC27" s="7">
        <f>((AVERAGE(B22:B27)*('Summary Page'!$C$3+1))*('Summary Page'!$C$3+1))*('Summary Page'!$C$3+1)</f>
        <v>124.0234375</v>
      </c>
      <c r="BD27" s="7">
        <f>((AVERAGE(B22:B27)*('Summary Page'!$C$4+1))*('Summary Page'!$C$4+1))*('Summary Page'!$C$4+1)</f>
        <v>109.72799999999999</v>
      </c>
      <c r="CQ27" s="43">
        <f t="shared" si="9"/>
        <v>45.6</v>
      </c>
      <c r="CR27" s="7">
        <f>((AVERAGE(C22:C27)*('Summary Page'!$C$2+1))*('Summary Page'!$C$2+1))*('Summary Page'!$C$2+1)</f>
        <v>73.101962666666651</v>
      </c>
      <c r="CS27" s="7">
        <f>((AVERAGE(C22:C27)*('Summary Page'!$C$3+1))*('Summary Page'!$C$3+1))*('Summary Page'!$C$3+1)</f>
        <v>91.471354166666686</v>
      </c>
      <c r="CT27" s="8">
        <f>((AVERAGE(C22:C27)*('Summary Page'!$C$4+1))*('Summary Page'!$C$4+1))*('Summary Page'!$C$4+1)</f>
        <v>80.927999999999997</v>
      </c>
      <c r="CW27" s="43">
        <f t="shared" si="10"/>
        <v>36</v>
      </c>
      <c r="CX27" s="7">
        <f>((AVERAGE(D22:D27)*('Summary Page'!$C$2+1))*('Summary Page'!$C$2+1))*('Summary Page'!$C$2+1)</f>
        <v>58.013301333333317</v>
      </c>
      <c r="CY27" s="7">
        <f>((AVERAGE(D22:D27)*('Summary Page'!$C$3+1))*('Summary Page'!$C$3+1))*('Summary Page'!$C$3+1)</f>
        <v>72.591145833333314</v>
      </c>
      <c r="CZ27" s="8">
        <f>((AVERAGE(D22:D27)*('Summary Page'!$C$4+1))*('Summary Page'!$C$4+1))*('Summary Page'!$C$4+1)</f>
        <v>64.22399999999999</v>
      </c>
      <c r="DO27" s="43"/>
      <c r="DP27" s="7"/>
      <c r="DQ27" s="7"/>
      <c r="DR27" s="8"/>
      <c r="DU27" s="43"/>
      <c r="DV27" s="7"/>
      <c r="DW27" s="7"/>
      <c r="DX27" s="8"/>
      <c r="EA27" s="43">
        <f t="shared" si="11"/>
        <v>9.6</v>
      </c>
      <c r="EB27" s="7">
        <f>((AVERAGE(H22:H27)*('Summary Page'!$C$2+1))*('Summary Page'!$C$2+1))*('Summary Page'!$C$2+1)</f>
        <v>18.730751999999995</v>
      </c>
      <c r="EC27" s="7">
        <f>((AVERAGE(H22:H27)*('Summary Page'!$C$3+1))*('Summary Page'!$C$3+1))*('Summary Page'!$C$3+1)</f>
        <v>23.4375</v>
      </c>
      <c r="ED27" s="8">
        <f>((AVERAGE(H22:H27)*('Summary Page'!$C$4+1))*('Summary Page'!$C$4+1))*('Summary Page'!$C$4+1)</f>
        <v>20.735999999999997</v>
      </c>
      <c r="EG27" s="43">
        <f t="shared" si="12"/>
        <v>19.2</v>
      </c>
      <c r="EH27" s="7">
        <f>((AVERAGE(I22:I27)*('Summary Page'!$C$2+1))*('Summary Page'!$C$2+1))*('Summary Page'!$C$2+1)</f>
        <v>51.249418666666656</v>
      </c>
      <c r="EI27" s="7">
        <f>((AVERAGE(I22:I27)*('Summary Page'!$C$3+1))*('Summary Page'!$C$3+1))*('Summary Page'!$C$3+1)</f>
        <v>64.127604166666686</v>
      </c>
      <c r="EJ27" s="8">
        <f>((AVERAGE(I22:I27)*('Summary Page'!$C$4+1))*('Summary Page'!$C$4+1))*('Summary Page'!$C$4+1)</f>
        <v>56.73599999999999</v>
      </c>
      <c r="EM27" s="43">
        <f t="shared" si="7"/>
        <v>74.399999999999991</v>
      </c>
      <c r="EN27" s="7">
        <f>((AVERAGE(AD22:AD27)*('Summary Page'!$C$2+1))*('Summary Page'!$C$2+1))*('Summary Page'!$C$2+1)</f>
        <v>127.21302399999998</v>
      </c>
      <c r="EO27" s="7">
        <f>((AVERAGE(AD22:AD27)*('Summary Page'!$C$3+1))*('Summary Page'!$C$3+1))*('Summary Page'!$C$3+1)</f>
        <v>159.1796875</v>
      </c>
      <c r="EP27" s="7">
        <f>((AVERAGE(AD22:AD27)*('Summary Page'!$C$4+1))*('Summary Page'!$C$4+1))*('Summary Page'!$C$4+1)</f>
        <v>140.83199999999997</v>
      </c>
      <c r="EQ27" s="7">
        <v>100</v>
      </c>
      <c r="ER27" s="16">
        <f t="shared" si="13"/>
        <v>22.112359550561798</v>
      </c>
      <c r="ES27" s="16">
        <f t="shared" si="13"/>
        <v>21.752808988764045</v>
      </c>
      <c r="ET27" s="7">
        <f t="shared" si="14"/>
        <v>26.103370786516852</v>
      </c>
      <c r="EU27" s="7">
        <f>((AVERAGE(ER22:ER27)*('Summary Page'!$C$2+1))*('Summary Page'!$C$2+1))*('Summary Page'!$C$2+1)</f>
        <v>35.216619865168539</v>
      </c>
      <c r="EV27" s="7">
        <f>((AVERAGE(ER22:ER27)*('Summary Page'!$C$3+1))*('Summary Page'!$C$3+1))*('Summary Page'!$C$3+1)</f>
        <v>44.06601123595506</v>
      </c>
      <c r="EW27" s="7">
        <f>((AVERAGE(ER22:ER27)*('Summary Page'!$C$4+1))*('Summary Page'!$C$4+1))*('Summary Page'!$C$4+1)</f>
        <v>38.986786516853932</v>
      </c>
      <c r="EX27" s="11">
        <f t="shared" si="15"/>
        <v>25.797752808988765</v>
      </c>
      <c r="EY27" s="11">
        <f t="shared" si="16"/>
        <v>25.378277153558052</v>
      </c>
      <c r="EZ27" s="11">
        <f t="shared" si="16"/>
        <v>30.453932584269658</v>
      </c>
      <c r="FA27" s="11">
        <f t="shared" si="16"/>
        <v>41.086056509363296</v>
      </c>
      <c r="FB27" s="11">
        <f t="shared" si="16"/>
        <v>51.410346441947567</v>
      </c>
      <c r="FC27" s="11">
        <f t="shared" si="16"/>
        <v>45.484584269662918</v>
      </c>
    </row>
    <row r="28" spans="1:159" ht="15.75" x14ac:dyDescent="0.25">
      <c r="A28" s="10">
        <v>43740</v>
      </c>
      <c r="B28" s="67">
        <v>61</v>
      </c>
      <c r="C28" s="67">
        <v>64</v>
      </c>
      <c r="D28" s="67">
        <v>58</v>
      </c>
      <c r="E28" s="67">
        <f t="shared" si="1"/>
        <v>62.5</v>
      </c>
      <c r="F28" s="67">
        <v>0</v>
      </c>
      <c r="G28" s="67">
        <v>15</v>
      </c>
      <c r="H28" s="67">
        <v>11</v>
      </c>
      <c r="I28" s="67">
        <v>17</v>
      </c>
      <c r="J28" s="67"/>
      <c r="K28" s="67">
        <v>52</v>
      </c>
      <c r="L28" s="67">
        <v>67</v>
      </c>
      <c r="M28" s="67">
        <v>54</v>
      </c>
      <c r="N28" s="67">
        <v>44</v>
      </c>
      <c r="O28" s="67">
        <f t="shared" si="8"/>
        <v>60.5</v>
      </c>
      <c r="P28" s="67">
        <v>1</v>
      </c>
      <c r="Q28" s="67">
        <v>26</v>
      </c>
      <c r="R28" s="67">
        <v>9</v>
      </c>
      <c r="S28" s="67">
        <v>15</v>
      </c>
      <c r="T28" s="67"/>
      <c r="U28" s="67">
        <v>44</v>
      </c>
      <c r="V28" s="13"/>
      <c r="W28" s="13"/>
      <c r="X28" s="13"/>
      <c r="Y28" s="13"/>
      <c r="Z28" s="13"/>
      <c r="AA28" s="13"/>
      <c r="AB28" s="13"/>
      <c r="AC28" s="13"/>
      <c r="AD28" s="43">
        <v>99</v>
      </c>
      <c r="AE28" s="43">
        <v>94</v>
      </c>
      <c r="AF28" s="43"/>
      <c r="AG28">
        <v>645</v>
      </c>
      <c r="AH28">
        <v>647</v>
      </c>
      <c r="AN28" s="13">
        <f t="shared" si="4"/>
        <v>52.8</v>
      </c>
      <c r="AO28" s="7">
        <f>((AVERAGE(K23:K28)*('Summary Page'!$C$2+1))*('Summary Page'!$C$2+1))*('Summary Page'!$C$2+1)</f>
        <v>60.224570666666658</v>
      </c>
      <c r="AP28" s="7">
        <f>((AVERAGE(K23:K28)*('Summary Page'!$C$3+1))*('Summary Page'!$C$3+1))*('Summary Page'!$C$3+1)</f>
        <v>75.358072916666686</v>
      </c>
      <c r="AQ28" s="7">
        <f>((AVERAGE(K23:K28)*('Summary Page'!$C$4+1))*('Summary Page'!$C$4+1))*('Summary Page'!$C$4+1)</f>
        <v>66.671999999999997</v>
      </c>
      <c r="AR28" s="7">
        <v>80</v>
      </c>
      <c r="AS28" s="5">
        <f t="shared" si="3"/>
        <v>32</v>
      </c>
      <c r="AT28" s="13">
        <f>AVERAGE(MAX(M28,N28),MAX(P28,Q28),MAX(R28,S28))</f>
        <v>31.666666666666668</v>
      </c>
      <c r="AU28" s="13">
        <f t="shared" si="5"/>
        <v>38</v>
      </c>
      <c r="AV28" s="7">
        <f>((AVERAGE(AS17:AS28,AU17:AU28)*('Summary Page'!$C$2+1))*('Summary Page'!$C$2+1))*('Summary Page'!$C$2+1)</f>
        <v>50.719938258823525</v>
      </c>
      <c r="AW28" s="7">
        <f>((AVERAGE(AS17:AS28,AU17:AU28)*('Summary Page'!$C$3+1))*('Summary Page'!$C$3+1))*('Summary Page'!$C$3+1)</f>
        <v>63.465073529411775</v>
      </c>
      <c r="AX28" s="7">
        <f>((AVERAGE(AS17:AS28,AU17:AU28)*('Summary Page'!$C$4+1))*('Summary Page'!$C$4+1))*('Summary Page'!$C$4+1)</f>
        <v>56.149835294117658</v>
      </c>
      <c r="BA28" s="43">
        <f t="shared" si="6"/>
        <v>80.399999999999991</v>
      </c>
      <c r="BB28" s="7">
        <f>((AVERAGE(B23:B28)*(+'Summary Page'!$C$2+1))*('Summary Page'!$C$2+1))*('Summary Page'!$C$2+1)</f>
        <v>97.555999999999983</v>
      </c>
      <c r="BC28" s="7">
        <f>((AVERAGE(B23:B28)*('Summary Page'!$C$3+1))*('Summary Page'!$C$3+1))*('Summary Page'!$C$3+1)</f>
        <v>122.0703125</v>
      </c>
      <c r="BD28" s="7">
        <f>((AVERAGE(B23:B28)*('Summary Page'!$C$4+1))*('Summary Page'!$C$4+1))*('Summary Page'!$C$4+1)</f>
        <v>108</v>
      </c>
      <c r="CQ28" s="43">
        <f t="shared" si="9"/>
        <v>64.8</v>
      </c>
      <c r="CR28" s="7">
        <f>((AVERAGE(C23:C28)*('Summary Page'!$C$2+1))*('Summary Page'!$C$2+1))*('Summary Page'!$C$2+1)</f>
        <v>75.443306666666643</v>
      </c>
      <c r="CS28" s="7">
        <f>((AVERAGE(C23:C28)*('Summary Page'!$C$3+1))*('Summary Page'!$C$3+1))*('Summary Page'!$C$3+1)</f>
        <v>94.401041666666686</v>
      </c>
      <c r="CT28" s="8">
        <f>((AVERAGE(C23:C28)*('Summary Page'!$C$4+1))*('Summary Page'!$C$4+1))*('Summary Page'!$C$4+1)</f>
        <v>83.52</v>
      </c>
      <c r="CW28" s="43">
        <f t="shared" si="10"/>
        <v>52.8</v>
      </c>
      <c r="CX28" s="7">
        <f>((AVERAGE(D23:D28)*('Summary Page'!$C$2+1))*('Summary Page'!$C$2+1))*('Summary Page'!$C$2+1)</f>
        <v>61.655391999999992</v>
      </c>
      <c r="CY28" s="7">
        <f>((AVERAGE(D23:D28)*('Summary Page'!$C$3+1))*('Summary Page'!$C$3+1))*('Summary Page'!$C$3+1)</f>
        <v>77.1484375</v>
      </c>
      <c r="CZ28" s="8">
        <f>((AVERAGE(D23:D28)*('Summary Page'!$C$4+1))*('Summary Page'!$C$4+1))*('Summary Page'!$C$4+1)</f>
        <v>68.255999999999986</v>
      </c>
      <c r="DO28" s="43"/>
      <c r="DP28" s="7"/>
      <c r="DQ28" s="7"/>
      <c r="DR28" s="8"/>
      <c r="DU28" s="43"/>
      <c r="DV28" s="7"/>
      <c r="DW28" s="7"/>
      <c r="DX28" s="8"/>
      <c r="EA28" s="43">
        <f t="shared" si="11"/>
        <v>10.799999999999999</v>
      </c>
      <c r="EB28" s="7">
        <f>((AVERAGE(H23:H28)*('Summary Page'!$C$2+1))*('Summary Page'!$C$2+1))*('Summary Page'!$C$2+1)</f>
        <v>18.470602666666665</v>
      </c>
      <c r="EC28" s="7">
        <f>((AVERAGE(H23:H28)*('Summary Page'!$C$3+1))*('Summary Page'!$C$3+1))*('Summary Page'!$C$3+1)</f>
        <v>23.111979166666671</v>
      </c>
      <c r="ED28" s="8">
        <f>((AVERAGE(H23:H28)*('Summary Page'!$C$4+1))*('Summary Page'!$C$4+1))*('Summary Page'!$C$4+1)</f>
        <v>20.447999999999997</v>
      </c>
      <c r="EG28" s="43">
        <f t="shared" si="12"/>
        <v>18</v>
      </c>
      <c r="EH28" s="7">
        <f>((AVERAGE(I23:I28)*('Summary Page'!$C$2+1))*('Summary Page'!$C$2+1))*('Summary Page'!$C$2+1)</f>
        <v>45.526133333333334</v>
      </c>
      <c r="EI28" s="7">
        <f>((AVERAGE(I23:I28)*('Summary Page'!$C$3+1))*('Summary Page'!$C$3+1))*('Summary Page'!$C$3+1)</f>
        <v>56.966145833333343</v>
      </c>
      <c r="EJ28" s="8">
        <f>((AVERAGE(I23:I28)*('Summary Page'!$C$4+1))*('Summary Page'!$C$4+1))*('Summary Page'!$C$4+1)</f>
        <v>50.4</v>
      </c>
      <c r="EM28" s="43">
        <f t="shared" si="7"/>
        <v>112.8</v>
      </c>
      <c r="EN28" s="7">
        <f>((AVERAGE(AD23:AD28)*('Summary Page'!$C$2+1))*('Summary Page'!$C$2+1))*('Summary Page'!$C$2+1)</f>
        <v>132.67615999999998</v>
      </c>
      <c r="EO28" s="7">
        <f>((AVERAGE(AD23:AD28)*('Summary Page'!$C$3+1))*('Summary Page'!$C$3+1))*('Summary Page'!$C$3+1)</f>
        <v>166.015625</v>
      </c>
      <c r="EP28" s="7">
        <f>((AVERAGE(AD23:AD28)*('Summary Page'!$C$4+1))*('Summary Page'!$C$4+1))*('Summary Page'!$C$4+1)</f>
        <v>146.88</v>
      </c>
      <c r="EQ28" s="7">
        <v>100</v>
      </c>
      <c r="ER28" s="16">
        <f t="shared" si="13"/>
        <v>19.325842696629213</v>
      </c>
      <c r="ES28" s="16">
        <f t="shared" si="13"/>
        <v>19.385767790262172</v>
      </c>
      <c r="ET28" s="7">
        <f t="shared" si="14"/>
        <v>23.262921348314606</v>
      </c>
      <c r="EU28" s="7">
        <f>((AVERAGE(ER23:ER28)*('Summary Page'!$C$2+1))*('Summary Page'!$C$2+1))*('Summary Page'!$C$2+1)</f>
        <v>33.53295676404494</v>
      </c>
      <c r="EV28" s="7">
        <f>((AVERAGE(ER23:ER28)*('Summary Page'!$C$3+1))*('Summary Page'!$C$3+1))*('Summary Page'!$C$3+1)</f>
        <v>41.959269662921351</v>
      </c>
      <c r="EW28" s="7">
        <f>((AVERAGE(ER23:ER28)*('Summary Page'!$C$4+1))*('Summary Page'!$C$4+1))*('Summary Page'!$C$4+1)</f>
        <v>37.122876404494384</v>
      </c>
      <c r="EX28" s="11">
        <f t="shared" si="15"/>
        <v>22.546816479400746</v>
      </c>
      <c r="EY28" s="11">
        <f t="shared" si="16"/>
        <v>22.6167290886392</v>
      </c>
      <c r="EZ28" s="11">
        <f t="shared" si="16"/>
        <v>27.14007490636704</v>
      </c>
      <c r="FA28" s="11">
        <f t="shared" si="16"/>
        <v>39.121782891385763</v>
      </c>
      <c r="FB28" s="11">
        <f t="shared" si="16"/>
        <v>48.952481273408239</v>
      </c>
      <c r="FC28" s="11">
        <f t="shared" si="16"/>
        <v>43.310022471910116</v>
      </c>
    </row>
    <row r="29" spans="1:159" ht="15.75" x14ac:dyDescent="0.25">
      <c r="A29" s="10">
        <v>43773</v>
      </c>
      <c r="B29" s="67">
        <v>71</v>
      </c>
      <c r="C29" s="67">
        <v>77</v>
      </c>
      <c r="D29" s="67">
        <v>73</v>
      </c>
      <c r="E29" s="67">
        <f t="shared" si="1"/>
        <v>74</v>
      </c>
      <c r="F29" s="67">
        <v>1</v>
      </c>
      <c r="G29" s="67">
        <v>15</v>
      </c>
      <c r="H29" s="67">
        <v>10</v>
      </c>
      <c r="I29" s="67">
        <v>16</v>
      </c>
      <c r="J29" s="67"/>
      <c r="K29" s="67">
        <v>59</v>
      </c>
      <c r="L29" s="67">
        <v>53</v>
      </c>
      <c r="M29" s="67">
        <v>29</v>
      </c>
      <c r="N29" s="67">
        <v>23</v>
      </c>
      <c r="O29" s="67">
        <f t="shared" si="8"/>
        <v>41</v>
      </c>
      <c r="P29" s="67">
        <v>1</v>
      </c>
      <c r="Q29" s="67">
        <v>24</v>
      </c>
      <c r="R29" s="67">
        <v>9</v>
      </c>
      <c r="S29" s="67">
        <v>15</v>
      </c>
      <c r="T29" s="67"/>
      <c r="U29" s="67">
        <v>34</v>
      </c>
      <c r="V29" s="13"/>
      <c r="W29" s="13"/>
      <c r="X29" s="13"/>
      <c r="Y29" s="13"/>
      <c r="Z29" s="13"/>
      <c r="AA29" s="13"/>
      <c r="AB29" s="13"/>
      <c r="AC29" s="13"/>
      <c r="AD29" s="43">
        <v>116</v>
      </c>
      <c r="AE29" s="43">
        <v>73</v>
      </c>
      <c r="AF29" s="43"/>
      <c r="AG29">
        <v>617</v>
      </c>
      <c r="AH29">
        <v>637</v>
      </c>
      <c r="AN29" s="13">
        <f t="shared" si="4"/>
        <v>40.799999999999997</v>
      </c>
      <c r="AO29" s="7">
        <f>((AVERAGE(K24:K29)*('Summary Page'!$C$2+1))*('Summary Page'!$C$2+1))*('Summary Page'!$C$2+1)</f>
        <v>68.744461333333319</v>
      </c>
      <c r="AP29" s="7">
        <f>((AVERAGE(K24:K29)*('Summary Page'!$C$3+1))*('Summary Page'!$C$3+1))*('Summary Page'!$C$3+1)</f>
        <v>86.018880208333314</v>
      </c>
      <c r="AQ29" s="7">
        <f>((AVERAGE(K24:K29)*('Summary Page'!$C$4+1))*('Summary Page'!$C$4+1))*('Summary Page'!$C$4+1)</f>
        <v>76.103999999999985</v>
      </c>
      <c r="AR29" s="7">
        <v>80</v>
      </c>
      <c r="AS29" s="5">
        <f t="shared" si="3"/>
        <v>36</v>
      </c>
      <c r="AT29" s="13">
        <f>AVERAGE(MAX(M29,N29),MAX(P29,Q29),MAX(R29,S29))</f>
        <v>22.666666666666668</v>
      </c>
      <c r="AU29" s="13">
        <f t="shared" si="5"/>
        <v>27.2</v>
      </c>
      <c r="AV29" s="7">
        <f>((AVERAGE(AS18:AS29,AU18:AU29)*('Summary Page'!$C$2+1))*('Summary Page'!$C$2+1))*('Summary Page'!$C$2+1)</f>
        <v>50.260851200000012</v>
      </c>
      <c r="AW29" s="7">
        <f>((AVERAGE(AS18:AS29,AU18:AU29)*('Summary Page'!$C$3+1))*('Summary Page'!$C$3+1))*('Summary Page'!$C$3+1)</f>
        <v>62.890625000000014</v>
      </c>
      <c r="AX29" s="7">
        <f>((AVERAGE(AS18:AS29,AU18:AU29)*('Summary Page'!$C$4+1))*('Summary Page'!$C$4+1))*('Summary Page'!$C$4+1)</f>
        <v>55.641600000000011</v>
      </c>
      <c r="BA29" s="43">
        <f t="shared" si="6"/>
        <v>63.599999999999994</v>
      </c>
      <c r="BB29" s="7">
        <f>((AVERAGE(B24:B29)*(+'Summary Page'!$C$2+1))*('Summary Page'!$C$2+1))*('Summary Page'!$C$2+1)</f>
        <v>97.295850666666638</v>
      </c>
      <c r="BC29" s="7">
        <f>((AVERAGE(B24:B29)*('Summary Page'!$C$3+1))*('Summary Page'!$C$3+1))*('Summary Page'!$C$3+1)</f>
        <v>121.74479166666669</v>
      </c>
      <c r="BD29" s="7">
        <f>((AVERAGE(B24:B29)*('Summary Page'!$C$4+1))*('Summary Page'!$C$4+1))*('Summary Page'!$C$4+1)</f>
        <v>107.71199999999999</v>
      </c>
      <c r="CQ29" s="43">
        <f t="shared" si="9"/>
        <v>34.799999999999997</v>
      </c>
      <c r="CR29" s="7">
        <f>((AVERAGE(C24:C29)*('Summary Page'!$C$2+1))*('Summary Page'!$C$2+1))*('Summary Page'!$C$2+1)</f>
        <v>82.72748799999998</v>
      </c>
      <c r="CS29" s="7">
        <f>((AVERAGE(C24:C29)*('Summary Page'!$C$3+1))*('Summary Page'!$C$3+1))*('Summary Page'!$C$3+1)</f>
        <v>103.515625</v>
      </c>
      <c r="CT29" s="8">
        <f>((AVERAGE(C24:C29)*('Summary Page'!$C$4+1))*('Summary Page'!$C$4+1))*('Summary Page'!$C$4+1)</f>
        <v>91.583999999999989</v>
      </c>
      <c r="CW29" s="43">
        <f t="shared" si="10"/>
        <v>27.599999999999998</v>
      </c>
      <c r="CX29" s="7">
        <f>((AVERAGE(D24:D29)*('Summary Page'!$C$2+1))*('Summary Page'!$C$2+1))*('Summary Page'!$C$2+1)</f>
        <v>70.760618666666659</v>
      </c>
      <c r="CY29" s="7">
        <f>((AVERAGE(D24:D29)*('Summary Page'!$C$3+1))*('Summary Page'!$C$3+1))*('Summary Page'!$C$3+1)</f>
        <v>88.541666666666686</v>
      </c>
      <c r="CZ29" s="8">
        <f>((AVERAGE(D24:D29)*('Summary Page'!$C$4+1))*('Summary Page'!$C$4+1))*('Summary Page'!$C$4+1)</f>
        <v>78.335999999999999</v>
      </c>
      <c r="DO29" s="43"/>
      <c r="DP29" s="7"/>
      <c r="DQ29" s="7"/>
      <c r="DR29" s="8"/>
      <c r="DU29" s="43"/>
      <c r="DV29" s="7"/>
      <c r="DW29" s="7"/>
      <c r="DX29" s="8"/>
      <c r="EA29" s="43">
        <f t="shared" si="11"/>
        <v>10.799999999999999</v>
      </c>
      <c r="EB29" s="7">
        <f>((AVERAGE(H24:H29)*('Summary Page'!$C$2+1))*('Summary Page'!$C$2+1))*('Summary Page'!$C$2+1)</f>
        <v>17.690154666666665</v>
      </c>
      <c r="EC29" s="7">
        <f>((AVERAGE(H24:H29)*('Summary Page'!$C$3+1))*('Summary Page'!$C$3+1))*('Summary Page'!$C$3+1)</f>
        <v>22.135416666666671</v>
      </c>
      <c r="ED29" s="8">
        <f>((AVERAGE(H24:H29)*('Summary Page'!$C$4+1))*('Summary Page'!$C$4+1))*('Summary Page'!$C$4+1)</f>
        <v>19.584</v>
      </c>
      <c r="EG29" s="43">
        <f t="shared" si="12"/>
        <v>18</v>
      </c>
      <c r="EH29" s="7">
        <f>((AVERAGE(I24:I29)*('Summary Page'!$C$2+1))*('Summary Page'!$C$2+1))*('Summary Page'!$C$2+1)</f>
        <v>39.282549333333328</v>
      </c>
      <c r="EI29" s="7">
        <f>((AVERAGE(I24:I29)*('Summary Page'!$C$3+1))*('Summary Page'!$C$3+1))*('Summary Page'!$C$3+1)</f>
        <v>49.153645833333343</v>
      </c>
      <c r="EJ29" s="8">
        <f>((AVERAGE(I24:I29)*('Summary Page'!$C$4+1))*('Summary Page'!$C$4+1))*('Summary Page'!$C$4+1)</f>
        <v>43.487999999999992</v>
      </c>
      <c r="EM29" s="43">
        <f t="shared" si="7"/>
        <v>87.6</v>
      </c>
      <c r="EN29" s="7">
        <f>((AVERAGE(AD24:AD29)*('Summary Page'!$C$2+1))*('Summary Page'!$C$2+1))*('Summary Page'!$C$2+1)</f>
        <v>140.74078933333331</v>
      </c>
      <c r="EO29" s="7">
        <f>((AVERAGE(AD24:AD29)*('Summary Page'!$C$3+1))*('Summary Page'!$C$3+1))*('Summary Page'!$C$3+1)</f>
        <v>176.10677083333337</v>
      </c>
      <c r="EP29" s="7">
        <f>((AVERAGE(AD24:AD29)*('Summary Page'!$C$4+1))*('Summary Page'!$C$4+1))*('Summary Page'!$C$4+1)</f>
        <v>155.80799999999999</v>
      </c>
      <c r="EQ29" s="7">
        <v>100</v>
      </c>
      <c r="ER29" s="16">
        <f t="shared" ref="ER29:ER50" si="17">AG29/7.5/0.89/5</f>
        <v>18.486891385767791</v>
      </c>
      <c r="ES29" s="16">
        <f t="shared" ref="ES29:ES50" si="18">AH29/7.5/0.89/5</f>
        <v>19.08614232209738</v>
      </c>
      <c r="ET29" s="7">
        <f t="shared" si="14"/>
        <v>22.903370786516856</v>
      </c>
      <c r="EU29" s="7">
        <f>((AVERAGE(ER24:ER29)*('Summary Page'!$C$2+1))*('Summary Page'!$C$2+1))*('Summary Page'!$C$2+1)</f>
        <v>32.363746277153552</v>
      </c>
      <c r="EV29" s="7">
        <f>((AVERAGE(ER24:ER29)*('Summary Page'!$C$3+1))*('Summary Page'!$C$3+1))*('Summary Page'!$C$3+1)</f>
        <v>40.49625468164794</v>
      </c>
      <c r="EW29" s="7">
        <f>((AVERAGE(ER24:ER29)*('Summary Page'!$C$4+1))*('Summary Page'!$C$4+1))*('Summary Page'!$C$4+1)</f>
        <v>35.82849438202247</v>
      </c>
      <c r="EX29" s="11">
        <f t="shared" si="15"/>
        <v>21.568039950062424</v>
      </c>
      <c r="EY29" s="11">
        <f t="shared" si="16"/>
        <v>22.267166042446945</v>
      </c>
      <c r="EZ29" s="11">
        <f t="shared" si="16"/>
        <v>26.720599250936331</v>
      </c>
      <c r="FA29" s="11">
        <f t="shared" si="16"/>
        <v>37.75770399001248</v>
      </c>
      <c r="FB29" s="11">
        <f t="shared" si="16"/>
        <v>47.245630461922595</v>
      </c>
      <c r="FC29" s="11">
        <f t="shared" si="16"/>
        <v>41.799910112359548</v>
      </c>
    </row>
    <row r="30" spans="1:159" ht="15.75" x14ac:dyDescent="0.25">
      <c r="A30" s="10">
        <v>43801</v>
      </c>
      <c r="B30" s="67">
        <v>75</v>
      </c>
      <c r="C30" s="67">
        <v>62</v>
      </c>
      <c r="D30" s="67">
        <v>55</v>
      </c>
      <c r="E30" s="67">
        <f t="shared" si="1"/>
        <v>68.5</v>
      </c>
      <c r="F30" s="67">
        <v>0</v>
      </c>
      <c r="G30" s="67">
        <v>0</v>
      </c>
      <c r="H30" s="67">
        <v>13</v>
      </c>
      <c r="I30" s="67">
        <v>32</v>
      </c>
      <c r="J30" s="67"/>
      <c r="K30" s="67">
        <v>56</v>
      </c>
      <c r="L30" s="67">
        <v>55</v>
      </c>
      <c r="M30" s="67">
        <v>42</v>
      </c>
      <c r="N30" s="67">
        <v>37</v>
      </c>
      <c r="O30" s="67">
        <f t="shared" si="8"/>
        <v>48.5</v>
      </c>
      <c r="P30" s="67">
        <v>0</v>
      </c>
      <c r="Q30" s="67">
        <v>0</v>
      </c>
      <c r="R30" s="67">
        <v>8</v>
      </c>
      <c r="S30" s="67">
        <v>47</v>
      </c>
      <c r="T30" s="67"/>
      <c r="U30" s="67">
        <v>40</v>
      </c>
      <c r="V30" s="13"/>
      <c r="W30" s="13"/>
      <c r="X30" s="13"/>
      <c r="Y30" s="13"/>
      <c r="Z30" s="13"/>
      <c r="AA30" s="13"/>
      <c r="AB30" s="13"/>
      <c r="AC30" s="13"/>
      <c r="AD30" s="43">
        <v>110</v>
      </c>
      <c r="AE30" s="43">
        <v>83</v>
      </c>
      <c r="AF30" s="43"/>
      <c r="AG30" s="43">
        <v>685</v>
      </c>
      <c r="AH30">
        <v>522</v>
      </c>
      <c r="AN30" s="13">
        <f t="shared" si="4"/>
        <v>48</v>
      </c>
      <c r="AO30" s="7">
        <f>((AVERAGE(K25:K30)*('Summary Page'!$C$2+1))*('Summary Page'!$C$2+1))*('Summary Page'!$C$2+1)</f>
        <v>76.744053333333312</v>
      </c>
      <c r="AP30" s="7">
        <f>((AVERAGE(K25:K30)*('Summary Page'!$C$3+1))*('Summary Page'!$C$3+1))*('Summary Page'!$C$3+1)</f>
        <v>96.028645833333314</v>
      </c>
      <c r="AQ30" s="7">
        <f>((AVERAGE(K25:K30)*('Summary Page'!$C$4+1))*('Summary Page'!$C$4+1))*('Summary Page'!$C$4+1)</f>
        <v>84.95999999999998</v>
      </c>
      <c r="AR30" s="7">
        <v>80</v>
      </c>
      <c r="AS30" s="5">
        <f t="shared" ref="AS30:AS35" si="19">AVERAGE(MAX(C30,D30),MAX(H30,I30))</f>
        <v>47</v>
      </c>
      <c r="AT30" s="13">
        <f t="shared" ref="AT30:AT35" si="20">AVERAGE(MAX(M30,N30),MAX(R30,S30))</f>
        <v>44.5</v>
      </c>
      <c r="AU30" s="13">
        <f t="shared" ref="AU30:AU35" si="21">AT30*1.2</f>
        <v>53.4</v>
      </c>
      <c r="AV30" s="7">
        <f>((AVERAGE(AS19:AS30,AU19:AU30)*('Summary Page'!$C$2+1))*('Summary Page'!$C$2+1))*('Summary Page'!$C$2+1)</f>
        <v>52.960927438596485</v>
      </c>
      <c r="AW30" s="7">
        <f>((AVERAGE(AS19:AS30,AU19:AU30)*('Summary Page'!$C$3+1))*('Summary Page'!$C$3+1))*('Summary Page'!$C$3+1)</f>
        <v>66.269188596491233</v>
      </c>
      <c r="AX30" s="7">
        <f>((AVERAGE(AS19:AS30,AU19:AU30)*('Summary Page'!$C$4+1))*('Summary Page'!$C$4+1))*('Summary Page'!$C$4+1)</f>
        <v>58.630736842105271</v>
      </c>
      <c r="BA30" s="43">
        <f>L30*1.2</f>
        <v>66</v>
      </c>
      <c r="BB30" s="7">
        <f>((AVERAGE(B25:B30)*(+'Summary Page'!$C$2+1))*('Summary Page'!$C$2+1))*('Summary Page'!$C$2+1)</f>
        <v>99.637194666666659</v>
      </c>
      <c r="BC30" s="7">
        <f>((AVERAGE(B25:B30)*('Summary Page'!$C$3+1))*('Summary Page'!$C$3+1))*('Summary Page'!$C$3+1)</f>
        <v>124.67447916666669</v>
      </c>
      <c r="BD30" s="7">
        <f>((AVERAGE(B25:B30)*('Summary Page'!$C$4+1))*('Summary Page'!$C$4+1))*('Summary Page'!$C$4+1)</f>
        <v>110.30399999999999</v>
      </c>
      <c r="CQ30" s="43">
        <f t="shared" si="9"/>
        <v>50.4</v>
      </c>
      <c r="CR30" s="7">
        <f>((AVERAGE(C25:C30)*('Summary Page'!$C$2+1))*('Summary Page'!$C$2+1))*('Summary Page'!$C$2+1)</f>
        <v>87.410175999999979</v>
      </c>
      <c r="CS30" s="7">
        <f>((AVERAGE(C25:C30)*('Summary Page'!$C$3+1))*('Summary Page'!$C$3+1))*('Summary Page'!$C$3+1)</f>
        <v>109.375</v>
      </c>
      <c r="CT30" s="8">
        <f>((AVERAGE(C25:C30)*('Summary Page'!$C$4+1))*('Summary Page'!$C$4+1))*('Summary Page'!$C$4+1)</f>
        <v>96.768000000000001</v>
      </c>
      <c r="CW30" s="43">
        <f t="shared" si="10"/>
        <v>44.4</v>
      </c>
      <c r="CX30" s="7">
        <f>((AVERAGE(D25:D30)*('Summary Page'!$C$2+1))*('Summary Page'!$C$2+1))*('Summary Page'!$C$2+1)</f>
        <v>76.223754666666665</v>
      </c>
      <c r="CY30" s="7">
        <f>((AVERAGE(D25:D30)*('Summary Page'!$C$3+1))*('Summary Page'!$C$3+1))*('Summary Page'!$C$3+1)</f>
        <v>95.377604166666686</v>
      </c>
      <c r="CZ30" s="8">
        <f>((AVERAGE(D25:D30)*('Summary Page'!$C$4+1))*('Summary Page'!$C$4+1))*('Summary Page'!$C$4+1)</f>
        <v>84.383999999999986</v>
      </c>
      <c r="DO30" s="43"/>
      <c r="DP30" s="7"/>
      <c r="DQ30" s="7"/>
      <c r="DR30" s="8"/>
      <c r="DU30" s="43"/>
      <c r="DV30" s="7"/>
      <c r="DW30" s="7"/>
      <c r="DX30" s="8"/>
      <c r="EA30" s="43">
        <f t="shared" si="11"/>
        <v>9.6</v>
      </c>
      <c r="EB30" s="7">
        <f>((AVERAGE(H25:H30)*('Summary Page'!$C$2+1))*('Summary Page'!$C$2+1))*('Summary Page'!$C$2+1)</f>
        <v>18.210453333333326</v>
      </c>
      <c r="EC30" s="7">
        <f>((AVERAGE(H25:H30)*('Summary Page'!$C$3+1))*('Summary Page'!$C$3+1))*('Summary Page'!$C$3+1)</f>
        <v>22.786458333333329</v>
      </c>
      <c r="ED30" s="8">
        <f>((AVERAGE(H25:H30)*('Summary Page'!$C$4+1))*('Summary Page'!$C$4+1))*('Summary Page'!$C$4+1)</f>
        <v>20.159999999999997</v>
      </c>
      <c r="EG30" s="43">
        <f t="shared" si="12"/>
        <v>56.4</v>
      </c>
      <c r="EH30" s="7">
        <f>((AVERAGE(I25:I30)*('Summary Page'!$C$2+1))*('Summary Page'!$C$2+1))*('Summary Page'!$C$2+1)</f>
        <v>38.241951999999998</v>
      </c>
      <c r="EI30" s="7">
        <f>((AVERAGE(I25:I30)*('Summary Page'!$C$3+1))*('Summary Page'!$C$3+1))*('Summary Page'!$C$3+1)</f>
        <v>47.8515625</v>
      </c>
      <c r="EJ30" s="8">
        <f>((AVERAGE(I25:I30)*('Summary Page'!$C$4+1))*('Summary Page'!$C$4+1))*('Summary Page'!$C$4+1)</f>
        <v>42.335999999999991</v>
      </c>
      <c r="EM30" s="43">
        <f t="shared" ref="EM30:EM50" si="22">AE30*1.2</f>
        <v>99.6</v>
      </c>
      <c r="EN30" s="7">
        <f>((AVERAGE(AD25:AD30)*('Summary Page'!$C$2+1))*('Summary Page'!$C$2+1))*('Summary Page'!$C$2+1)</f>
        <v>149.06556799999998</v>
      </c>
      <c r="EO30" s="7">
        <f>((AVERAGE(AD25:AD30)*('Summary Page'!$C$3+1))*('Summary Page'!$C$3+1))*('Summary Page'!$C$3+1)</f>
        <v>186.5234375</v>
      </c>
      <c r="EP30" s="7">
        <f>((AVERAGE(AD25:AD30)*('Summary Page'!$C$4+1))*('Summary Page'!$C$4+1))*('Summary Page'!$C$4+1)</f>
        <v>165.02399999999997</v>
      </c>
      <c r="EQ30" s="7">
        <v>100</v>
      </c>
      <c r="ER30" s="16">
        <f t="shared" si="17"/>
        <v>20.524344569288388</v>
      </c>
      <c r="ES30" s="16">
        <f t="shared" si="18"/>
        <v>15.640449438202245</v>
      </c>
      <c r="ET30" s="7">
        <f t="shared" si="14"/>
        <v>18.768539325842692</v>
      </c>
      <c r="EU30" s="7">
        <f>((AVERAGE(ER25:ER30)*('Summary Page'!$C$2+1))*('Summary Page'!$C$2+1))*('Summary Page'!$C$2+1)</f>
        <v>32.298270489887635</v>
      </c>
      <c r="EV30" s="7">
        <f>((AVERAGE(ER25:ER30)*('Summary Page'!$C$3+1))*('Summary Page'!$C$3+1))*('Summary Page'!$C$3+1)</f>
        <v>40.414325842696634</v>
      </c>
      <c r="EW30" s="7">
        <f>((AVERAGE(ER25:ER30)*('Summary Page'!$C$4+1))*('Summary Page'!$C$4+1))*('Summary Page'!$C$4+1)</f>
        <v>35.756008988764037</v>
      </c>
      <c r="EX30" s="11">
        <f t="shared" si="15"/>
        <v>23.945068664169785</v>
      </c>
      <c r="EY30" s="11">
        <f t="shared" si="16"/>
        <v>18.247191011235952</v>
      </c>
      <c r="EZ30" s="11">
        <f t="shared" si="16"/>
        <v>21.896629213483141</v>
      </c>
      <c r="FA30" s="11">
        <f t="shared" si="16"/>
        <v>37.681315571535578</v>
      </c>
      <c r="FB30" s="11">
        <f t="shared" si="16"/>
        <v>47.150046816479403</v>
      </c>
      <c r="FC30" s="11">
        <f t="shared" si="16"/>
        <v>41.71534382022471</v>
      </c>
    </row>
    <row r="31" spans="1:159" ht="15.75" x14ac:dyDescent="0.25">
      <c r="A31" s="10">
        <v>43838</v>
      </c>
      <c r="B31" s="67">
        <v>76</v>
      </c>
      <c r="C31" s="67">
        <v>59</v>
      </c>
      <c r="D31" s="67">
        <v>52</v>
      </c>
      <c r="E31" s="67">
        <f t="shared" si="1"/>
        <v>67.5</v>
      </c>
      <c r="F31" s="67">
        <v>0</v>
      </c>
      <c r="G31" s="67">
        <v>0</v>
      </c>
      <c r="H31" s="67">
        <v>14</v>
      </c>
      <c r="I31" s="67">
        <v>53</v>
      </c>
      <c r="J31" s="67"/>
      <c r="K31" s="67">
        <v>50</v>
      </c>
      <c r="L31" s="67">
        <v>49</v>
      </c>
      <c r="M31" s="67">
        <v>38</v>
      </c>
      <c r="N31" s="67">
        <v>31</v>
      </c>
      <c r="O31" s="67">
        <f t="shared" si="8"/>
        <v>43.5</v>
      </c>
      <c r="P31" s="67">
        <v>0</v>
      </c>
      <c r="Q31" s="67">
        <v>0</v>
      </c>
      <c r="R31" s="67">
        <v>9</v>
      </c>
      <c r="S31" s="67">
        <v>44</v>
      </c>
      <c r="T31" s="67"/>
      <c r="U31" s="67">
        <v>37</v>
      </c>
      <c r="V31" s="13"/>
      <c r="W31" s="13"/>
      <c r="X31" s="13"/>
      <c r="Y31" s="13"/>
      <c r="Z31" s="13"/>
      <c r="AA31" s="13"/>
      <c r="AB31" s="13"/>
      <c r="AC31" s="13"/>
      <c r="AD31" s="43">
        <v>110</v>
      </c>
      <c r="AE31" s="43">
        <v>77</v>
      </c>
      <c r="AF31" s="43"/>
      <c r="AG31">
        <v>610</v>
      </c>
      <c r="AH31">
        <v>637</v>
      </c>
      <c r="AN31" s="13">
        <f t="shared" ref="AN31:AN46" si="23">U31*1.2</f>
        <v>44.4</v>
      </c>
      <c r="AO31" s="7">
        <f>((AVERAGE(K26:K31)*('Summary Page'!$C$2+1))*('Summary Page'!$C$2+1))*('Summary Page'!$C$2+1)</f>
        <v>83.507935999999987</v>
      </c>
      <c r="AP31" s="7">
        <f>((AVERAGE(K26:K31)*('Summary Page'!$C$3+1))*('Summary Page'!$C$3+1))*('Summary Page'!$C$3+1)</f>
        <v>104.4921875</v>
      </c>
      <c r="AQ31" s="7">
        <f>((AVERAGE(K26:K31)*('Summary Page'!$C$4+1))*('Summary Page'!$C$4+1))*('Summary Page'!$C$4+1)</f>
        <v>92.448000000000008</v>
      </c>
      <c r="AR31" s="7">
        <f t="shared" ref="AR31:AR48" si="24">AR30</f>
        <v>80</v>
      </c>
      <c r="AS31" s="5">
        <f t="shared" si="19"/>
        <v>56</v>
      </c>
      <c r="AT31" s="13">
        <f t="shared" si="20"/>
        <v>41</v>
      </c>
      <c r="AU31" s="13">
        <f t="shared" si="21"/>
        <v>49.199999999999996</v>
      </c>
      <c r="AV31" s="7">
        <f>((AVERAGE(AS20:AS31,AU20:AU31)*('Summary Page'!$C$2+1))*('Summary Page'!$C$2+1))*('Summary Page'!$C$2+1)</f>
        <v>56.103805226666658</v>
      </c>
      <c r="AW31" s="7">
        <f>((AVERAGE(AS20:AS31,AU20:AU31)*('Summary Page'!$C$3+1))*('Summary Page'!$C$3+1))*('Summary Page'!$C$3+1)</f>
        <v>70.201822916666671</v>
      </c>
      <c r="AX31" s="7">
        <f>((AVERAGE(AS20:AS31,AU20:AU31)*('Summary Page'!$C$4+1))*('Summary Page'!$C$4+1))*('Summary Page'!$C$4+1)</f>
        <v>62.110079999999989</v>
      </c>
      <c r="BA31" s="43">
        <f>L31*1.2</f>
        <v>58.8</v>
      </c>
      <c r="BB31" s="7">
        <f>((AVERAGE(B26:B31)*(+'Summary Page'!$C$2+1))*('Summary Page'!$C$2+1))*('Summary Page'!$C$2+1)</f>
        <v>104.58003199999999</v>
      </c>
      <c r="BC31" s="7">
        <f>((AVERAGE(B26:B31)*('Summary Page'!$C$3+1))*('Summary Page'!$C$3+1))*('Summary Page'!$C$3+1)</f>
        <v>130.859375</v>
      </c>
      <c r="BD31" s="7">
        <f>((AVERAGE(B26:B31)*('Summary Page'!$C$4+1))*('Summary Page'!$C$4+1))*('Summary Page'!$C$4+1)</f>
        <v>115.77599999999998</v>
      </c>
      <c r="CQ31" s="43">
        <f t="shared" ref="CQ31:CQ49" si="25">M31*1.2</f>
        <v>45.6</v>
      </c>
      <c r="CR31" s="7">
        <f>((AVERAGE(C26:C31)*('Summary Page'!$C$2+1))*('Summary Page'!$C$2+1))*('Summary Page'!$C$2+1)</f>
        <v>92.613162666666653</v>
      </c>
      <c r="CS31" s="7">
        <f>((AVERAGE(C26:C31)*('Summary Page'!$C$3+1))*('Summary Page'!$C$3+1))*('Summary Page'!$C$3+1)</f>
        <v>115.88541666666669</v>
      </c>
      <c r="CT31" s="8">
        <f>((AVERAGE(C26:C31)*('Summary Page'!$C$4+1))*('Summary Page'!$C$4+1))*('Summary Page'!$C$4+1)</f>
        <v>102.52799999999999</v>
      </c>
      <c r="CW31" s="43">
        <f t="shared" ref="CW31:CW49" si="26">N31*1.2</f>
        <v>37.199999999999996</v>
      </c>
      <c r="CX31" s="7">
        <f>((AVERAGE(D26:D31)*('Summary Page'!$C$2+1))*('Summary Page'!$C$2+1))*('Summary Page'!$C$2+1)</f>
        <v>81.686890666666656</v>
      </c>
      <c r="CY31" s="7">
        <f>((AVERAGE(D26:D31)*('Summary Page'!$C$3+1))*('Summary Page'!$C$3+1))*('Summary Page'!$C$3+1)</f>
        <v>102.21354166666669</v>
      </c>
      <c r="CZ31" s="8">
        <f>((AVERAGE(D26:D31)*('Summary Page'!$C$4+1))*('Summary Page'!$C$4+1))*('Summary Page'!$C$4+1)</f>
        <v>90.432000000000002</v>
      </c>
      <c r="DO31" s="43"/>
      <c r="DP31" s="7"/>
      <c r="DQ31" s="7"/>
      <c r="DR31" s="8"/>
      <c r="DU31" s="43"/>
      <c r="DV31" s="7"/>
      <c r="DW31" s="7"/>
      <c r="DX31" s="8"/>
      <c r="EA31" s="43">
        <f t="shared" ref="EA31:EA49" si="27">R31*1.2</f>
        <v>10.799999999999999</v>
      </c>
      <c r="EB31" s="7">
        <f>((AVERAGE(H26:H31)*('Summary Page'!$C$2+1))*('Summary Page'!$C$2+1))*('Summary Page'!$C$2+1)</f>
        <v>18.470602666666665</v>
      </c>
      <c r="EC31" s="7">
        <f>((AVERAGE(H26:H31)*('Summary Page'!$C$3+1))*('Summary Page'!$C$3+1))*('Summary Page'!$C$3+1)</f>
        <v>23.111979166666671</v>
      </c>
      <c r="ED31" s="8">
        <f>((AVERAGE(H26:H31)*('Summary Page'!$C$4+1))*('Summary Page'!$C$4+1))*('Summary Page'!$C$4+1)</f>
        <v>20.447999999999997</v>
      </c>
      <c r="EG31" s="43">
        <f t="shared" ref="EG31:EG49" si="28">S31*1.2</f>
        <v>52.8</v>
      </c>
      <c r="EH31" s="7">
        <f>((AVERAGE(I26:I31)*('Summary Page'!$C$2+1))*('Summary Page'!$C$2+1))*('Summary Page'!$C$2+1)</f>
        <v>40.58329599999999</v>
      </c>
      <c r="EI31" s="7">
        <f>((AVERAGE(I26:I31)*('Summary Page'!$C$3+1))*('Summary Page'!$C$3+1))*('Summary Page'!$C$3+1)</f>
        <v>50.78125</v>
      </c>
      <c r="EJ31" s="8">
        <f>((AVERAGE(I26:I31)*('Summary Page'!$C$4+1))*('Summary Page'!$C$4+1))*('Summary Page'!$C$4+1)</f>
        <v>44.927999999999997</v>
      </c>
      <c r="EM31" s="43">
        <f t="shared" si="22"/>
        <v>92.399999999999991</v>
      </c>
      <c r="EN31" s="7">
        <f>((AVERAGE(AD26:AD31)*('Summary Page'!$C$2+1))*('Summary Page'!$C$2+1))*('Summary Page'!$C$2+1)</f>
        <v>157.3903466666666</v>
      </c>
      <c r="EO31" s="7">
        <f>((AVERAGE(AD26:AD31)*('Summary Page'!$C$3+1))*('Summary Page'!$C$3+1))*('Summary Page'!$C$3+1)</f>
        <v>196.94010416666663</v>
      </c>
      <c r="EP31" s="7">
        <f>((AVERAGE(AD26:AD31)*('Summary Page'!$C$4+1))*('Summary Page'!$C$4+1))*('Summary Page'!$C$4+1)</f>
        <v>174.23999999999998</v>
      </c>
      <c r="EQ31" s="7">
        <f t="shared" ref="EQ31:EQ48" si="29">EQ30</f>
        <v>100</v>
      </c>
      <c r="ER31" s="16">
        <f t="shared" si="17"/>
        <v>18.277153558052433</v>
      </c>
      <c r="ES31" s="16">
        <f t="shared" si="18"/>
        <v>19.08614232209738</v>
      </c>
      <c r="ET31" s="7">
        <f t="shared" si="14"/>
        <v>22.903370786516856</v>
      </c>
      <c r="EU31" s="7">
        <f>((AVERAGE(ER26:ER31)*('Summary Page'!$C$2+1))*('Summary Page'!$C$2+1))*('Summary Page'!$C$2+1)</f>
        <v>31.670014721597994</v>
      </c>
      <c r="EV31" s="7">
        <f>((AVERAGE(ER26:ER31)*('Summary Page'!$C$3+1))*('Summary Page'!$C$3+1))*('Summary Page'!$C$3+1)</f>
        <v>39.628199126092383</v>
      </c>
      <c r="EW31" s="7">
        <f>((AVERAGE(ER26:ER31)*('Summary Page'!$C$4+1))*('Summary Page'!$C$4+1))*('Summary Page'!$C$4+1)</f>
        <v>35.060494382022469</v>
      </c>
      <c r="EX31" s="11">
        <f t="shared" si="15"/>
        <v>21.323345817727837</v>
      </c>
      <c r="EY31" s="11">
        <f t="shared" si="16"/>
        <v>22.267166042446945</v>
      </c>
      <c r="EZ31" s="11">
        <f t="shared" si="16"/>
        <v>26.720599250936331</v>
      </c>
      <c r="FA31" s="11">
        <f t="shared" si="16"/>
        <v>36.948350508530993</v>
      </c>
      <c r="FB31" s="11">
        <f t="shared" si="16"/>
        <v>46.232898980441114</v>
      </c>
      <c r="FC31" s="11">
        <f t="shared" si="16"/>
        <v>40.903910112359547</v>
      </c>
    </row>
    <row r="32" spans="1:159" ht="15.75" x14ac:dyDescent="0.25">
      <c r="A32" s="10">
        <v>43864</v>
      </c>
      <c r="B32" s="67">
        <v>74</v>
      </c>
      <c r="C32" s="67">
        <v>50</v>
      </c>
      <c r="D32" s="67">
        <v>43</v>
      </c>
      <c r="E32" s="67">
        <f t="shared" si="1"/>
        <v>62</v>
      </c>
      <c r="F32" s="67">
        <v>0</v>
      </c>
      <c r="G32" s="67">
        <v>0</v>
      </c>
      <c r="H32" s="67">
        <v>16</v>
      </c>
      <c r="I32" s="67">
        <v>59</v>
      </c>
      <c r="J32" s="67"/>
      <c r="K32" s="67">
        <v>48.5</v>
      </c>
      <c r="L32" s="67">
        <v>34</v>
      </c>
      <c r="M32" s="67">
        <v>30</v>
      </c>
      <c r="N32" s="67">
        <v>23</v>
      </c>
      <c r="O32" s="67">
        <f t="shared" si="8"/>
        <v>32</v>
      </c>
      <c r="P32" s="67"/>
      <c r="Q32" s="67"/>
      <c r="R32" s="67">
        <v>9</v>
      </c>
      <c r="S32" s="67">
        <v>35</v>
      </c>
      <c r="T32" s="67"/>
      <c r="U32" s="67">
        <v>30</v>
      </c>
      <c r="V32" s="13"/>
      <c r="W32" s="13"/>
      <c r="X32" s="13"/>
      <c r="Y32" s="13"/>
      <c r="Z32" s="13"/>
      <c r="AA32" s="13"/>
      <c r="AB32" s="13"/>
      <c r="AC32" s="13"/>
      <c r="AD32" s="43">
        <v>102</v>
      </c>
      <c r="AE32" s="43">
        <v>56</v>
      </c>
      <c r="AF32" s="43"/>
      <c r="AG32">
        <v>660</v>
      </c>
      <c r="AH32">
        <v>690</v>
      </c>
      <c r="AN32" s="13">
        <f t="shared" si="23"/>
        <v>36</v>
      </c>
      <c r="AO32" s="7">
        <f>((AVERAGE(K27:K32)*('Summary Page'!$C$2+1))*('Summary Page'!$C$2+1))*('Summary Page'!$C$2+1)</f>
        <v>83.377861333333314</v>
      </c>
      <c r="AP32" s="7">
        <f>((AVERAGE(K27:K32)*('Summary Page'!$C$3+1))*('Summary Page'!$C$3+1))*('Summary Page'!$C$3+1)</f>
        <v>104.32942708333331</v>
      </c>
      <c r="AQ32" s="7">
        <f>((AVERAGE(K27:K32)*('Summary Page'!$C$4+1))*('Summary Page'!$C$4+1))*('Summary Page'!$C$4+1)</f>
        <v>92.303999999999988</v>
      </c>
      <c r="AR32" s="7">
        <f t="shared" si="24"/>
        <v>80</v>
      </c>
      <c r="AS32" s="5">
        <f t="shared" si="19"/>
        <v>54.5</v>
      </c>
      <c r="AT32" s="13">
        <f t="shared" si="20"/>
        <v>32.5</v>
      </c>
      <c r="AU32" s="13">
        <f t="shared" si="21"/>
        <v>39</v>
      </c>
      <c r="AV32" s="7">
        <f>((AVERAGE(AS21:AS32,AU21:AU32)*('Summary Page'!$C$2+1))*('Summary Page'!$C$2+1))*('Summary Page'!$C$2+1)</f>
        <v>58.077719263492064</v>
      </c>
      <c r="AW32" s="7">
        <f>((AVERAGE(AS21:AS32,AU21:AU32)*('Summary Page'!$C$3+1))*('Summary Page'!$C$3+1))*('Summary Page'!$C$3+1)</f>
        <v>72.671750992063522</v>
      </c>
      <c r="AX32" s="7">
        <f>((AVERAGE(AS21:AS32,AU21:AU32)*('Summary Page'!$C$4+1))*('Summary Page'!$C$4+1))*('Summary Page'!$C$4+1)</f>
        <v>64.295314285714298</v>
      </c>
      <c r="BA32" s="43">
        <f>L32*1.2</f>
        <v>40.799999999999997</v>
      </c>
      <c r="BB32" s="7">
        <f>((AVERAGE(B27:B32)*(+'Summary Page'!$C$2+1))*('Summary Page'!$C$2+1))*('Summary Page'!$C$2+1)</f>
        <v>109.26271999999997</v>
      </c>
      <c r="BC32" s="7">
        <f>((AVERAGE(B27:B32)*('Summary Page'!$C$3+1))*('Summary Page'!$C$3+1))*('Summary Page'!$C$3+1)</f>
        <v>136.71875</v>
      </c>
      <c r="BD32" s="7">
        <f>((AVERAGE(B27:B32)*('Summary Page'!$C$4+1))*('Summary Page'!$C$4+1))*('Summary Page'!$C$4+1)</f>
        <v>120.96</v>
      </c>
      <c r="CQ32" s="43">
        <f t="shared" si="25"/>
        <v>36</v>
      </c>
      <c r="CR32" s="7">
        <f>((AVERAGE(C27:C32)*('Summary Page'!$C$2+1))*('Summary Page'!$C$2+1))*('Summary Page'!$C$2+1)</f>
        <v>94.43420799999997</v>
      </c>
      <c r="CS32" s="7">
        <f>((AVERAGE(C27:C32)*('Summary Page'!$C$3+1))*('Summary Page'!$C$3+1))*('Summary Page'!$C$3+1)</f>
        <v>118.1640625</v>
      </c>
      <c r="CT32" s="8">
        <f>((AVERAGE(C27:C32)*('Summary Page'!$C$4+1))*('Summary Page'!$C$4+1))*('Summary Page'!$C$4+1)</f>
        <v>104.54399999999998</v>
      </c>
      <c r="CW32" s="43">
        <f t="shared" si="26"/>
        <v>27.599999999999998</v>
      </c>
      <c r="CX32" s="7">
        <f>((AVERAGE(D27:D32)*('Summary Page'!$C$2+1))*('Summary Page'!$C$2+1))*('Summary Page'!$C$2+1)</f>
        <v>84.288383999999979</v>
      </c>
      <c r="CY32" s="7">
        <f>((AVERAGE(D27:D32)*('Summary Page'!$C$3+1))*('Summary Page'!$C$3+1))*('Summary Page'!$C$3+1)</f>
        <v>105.46875</v>
      </c>
      <c r="CZ32" s="8">
        <f>((AVERAGE(D27:D32)*('Summary Page'!$C$4+1))*('Summary Page'!$C$4+1))*('Summary Page'!$C$4+1)</f>
        <v>93.311999999999983</v>
      </c>
      <c r="DO32" s="43"/>
      <c r="DP32" s="7"/>
      <c r="DQ32" s="7"/>
      <c r="DR32" s="8"/>
      <c r="DU32" s="43"/>
      <c r="DV32" s="7"/>
      <c r="DW32" s="7"/>
      <c r="DX32" s="8"/>
      <c r="EA32" s="43">
        <f t="shared" si="27"/>
        <v>10.799999999999999</v>
      </c>
      <c r="EB32" s="7">
        <f>((AVERAGE(H27:H32)*('Summary Page'!$C$2+1))*('Summary Page'!$C$2+1))*('Summary Page'!$C$2+1)</f>
        <v>19.511199999999995</v>
      </c>
      <c r="EC32" s="7">
        <f>((AVERAGE(H27:H32)*('Summary Page'!$C$3+1))*('Summary Page'!$C$3+1))*('Summary Page'!$C$3+1)</f>
        <v>24.4140625</v>
      </c>
      <c r="ED32" s="8">
        <f>((AVERAGE(H27:H32)*('Summary Page'!$C$4+1))*('Summary Page'!$C$4+1))*('Summary Page'!$C$4+1)</f>
        <v>21.599999999999998</v>
      </c>
      <c r="EG32" s="43">
        <f t="shared" si="28"/>
        <v>42</v>
      </c>
      <c r="EH32" s="7">
        <f>((AVERAGE(I27:I32)*('Summary Page'!$C$2+1))*('Summary Page'!$C$2+1))*('Summary Page'!$C$2+1)</f>
        <v>50.989269333333318</v>
      </c>
      <c r="EI32" s="7">
        <f>((AVERAGE(I27:I32)*('Summary Page'!$C$3+1))*('Summary Page'!$C$3+1))*('Summary Page'!$C$3+1)</f>
        <v>63.802083333333321</v>
      </c>
      <c r="EJ32" s="8">
        <f>((AVERAGE(I27:I32)*('Summary Page'!$C$4+1))*('Summary Page'!$C$4+1))*('Summary Page'!$C$4+1)</f>
        <v>56.447999999999986</v>
      </c>
      <c r="EM32" s="43">
        <f t="shared" si="22"/>
        <v>67.2</v>
      </c>
      <c r="EN32" s="7">
        <f>((AVERAGE(AD27:AD32)*('Summary Page'!$C$2+1))*('Summary Page'!$C$2+1))*('Summary Page'!$C$2+1)</f>
        <v>162.85348266666665</v>
      </c>
      <c r="EO32" s="7">
        <f>((AVERAGE(AD27:AD32)*('Summary Page'!$C$3+1))*('Summary Page'!$C$3+1))*('Summary Page'!$C$3+1)</f>
        <v>203.77604166666663</v>
      </c>
      <c r="EP32" s="7">
        <f>((AVERAGE(AD27:AD32)*('Summary Page'!$C$4+1))*('Summary Page'!$C$4+1))*('Summary Page'!$C$4+1)</f>
        <v>180.28799999999998</v>
      </c>
      <c r="EQ32" s="7">
        <f t="shared" si="29"/>
        <v>100</v>
      </c>
      <c r="ER32" s="16">
        <f t="shared" si="17"/>
        <v>19.775280898876403</v>
      </c>
      <c r="ES32" s="16">
        <f t="shared" si="18"/>
        <v>20.674157303370784</v>
      </c>
      <c r="ET32" s="7">
        <f t="shared" ref="ET32:ET50" si="30">ES32*1.2</f>
        <v>24.80898876404494</v>
      </c>
      <c r="EU32" s="7">
        <f>((AVERAGE(ER27:ER32)*('Summary Page'!$C$2+1))*('Summary Page'!$C$2+1))*('Summary Page'!$C$2+1)</f>
        <v>30.828183171036198</v>
      </c>
      <c r="EV32" s="7">
        <f>((AVERAGE(ER27:ER32)*('Summary Page'!$C$3+1))*('Summary Page'!$C$3+1))*('Summary Page'!$C$3+1)</f>
        <v>38.574828339575532</v>
      </c>
      <c r="EW32" s="7">
        <f>((AVERAGE(ER27:ER32)*('Summary Page'!$C$4+1))*('Summary Page'!$C$4+1))*('Summary Page'!$C$4+1)</f>
        <v>34.128539325842695</v>
      </c>
      <c r="EX32" s="11">
        <f t="shared" ref="EX32:EX50" si="31">(ER32/6)+ER32</f>
        <v>23.071161048689138</v>
      </c>
      <c r="EY32" s="11">
        <f t="shared" ref="EY32:EY50" si="32">(ES32/6)+ES32</f>
        <v>24.119850187265914</v>
      </c>
      <c r="EZ32" s="11">
        <f t="shared" ref="EZ32:EZ50" si="33">(ET32/6)+ET32</f>
        <v>28.943820224719097</v>
      </c>
      <c r="FA32" s="11">
        <f t="shared" ref="FA32:FA37" si="34">(EU32/6)+EU32</f>
        <v>35.96621369954223</v>
      </c>
      <c r="FB32" s="11">
        <f t="shared" ref="FB32:FB48" si="35">(EV32/6)+EV32</f>
        <v>45.003966396171457</v>
      </c>
      <c r="FC32" s="11">
        <f t="shared" ref="FC32:FC48" si="36">(EW32/6)+EW32</f>
        <v>39.816629213483147</v>
      </c>
    </row>
    <row r="33" spans="1:159" ht="15.75" x14ac:dyDescent="0.25">
      <c r="A33" s="10">
        <v>43894</v>
      </c>
      <c r="B33" s="67">
        <v>75</v>
      </c>
      <c r="C33" s="67">
        <v>47</v>
      </c>
      <c r="D33" s="67">
        <v>41</v>
      </c>
      <c r="E33" s="67">
        <f t="shared" si="1"/>
        <v>61</v>
      </c>
      <c r="F33" s="67">
        <v>0</v>
      </c>
      <c r="G33" s="67">
        <v>0</v>
      </c>
      <c r="H33" s="67">
        <v>17</v>
      </c>
      <c r="I33" s="67">
        <v>58</v>
      </c>
      <c r="J33" s="67"/>
      <c r="K33" s="67">
        <v>45</v>
      </c>
      <c r="L33" s="67">
        <v>38</v>
      </c>
      <c r="M33" s="67">
        <v>36</v>
      </c>
      <c r="N33" s="67">
        <v>32</v>
      </c>
      <c r="O33" s="67">
        <f t="shared" si="8"/>
        <v>37</v>
      </c>
      <c r="P33" s="67">
        <v>0</v>
      </c>
      <c r="Q33" s="67">
        <v>0</v>
      </c>
      <c r="R33" s="67">
        <v>6</v>
      </c>
      <c r="S33" s="67">
        <v>34</v>
      </c>
      <c r="T33" s="67"/>
      <c r="U33" s="67">
        <v>32</v>
      </c>
      <c r="V33" s="13"/>
      <c r="W33" s="13"/>
      <c r="X33" s="13"/>
      <c r="Y33" s="13"/>
      <c r="Z33" s="13"/>
      <c r="AA33" s="13"/>
      <c r="AB33" s="13"/>
      <c r="AC33" s="13"/>
      <c r="AD33" s="43">
        <v>98</v>
      </c>
      <c r="AE33" s="43">
        <v>61</v>
      </c>
      <c r="AF33" s="43"/>
      <c r="AG33" s="43">
        <v>641</v>
      </c>
      <c r="AH33">
        <v>425</v>
      </c>
      <c r="AN33" s="13">
        <f t="shared" si="23"/>
        <v>38.4</v>
      </c>
      <c r="AO33" s="7">
        <f>((AVERAGE(K28:K33)*('Summary Page'!$C$2+1))*('Summary Page'!$C$2+1))*('Summary Page'!$C$2+1)</f>
        <v>80.776367999999977</v>
      </c>
      <c r="AP33" s="7">
        <f>((AVERAGE(K28:K33)*('Summary Page'!$C$3+1))*('Summary Page'!$C$3+1))*('Summary Page'!$C$3+1)</f>
        <v>101.07421875</v>
      </c>
      <c r="AQ33" s="7">
        <f>((AVERAGE(K28:K33)*('Summary Page'!$C$4+1))*('Summary Page'!$C$4+1))*('Summary Page'!$C$4+1)</f>
        <v>89.423999999999992</v>
      </c>
      <c r="AR33" s="7">
        <f t="shared" si="24"/>
        <v>80</v>
      </c>
      <c r="AS33" s="5">
        <f t="shared" si="19"/>
        <v>52.5</v>
      </c>
      <c r="AT33" s="13">
        <f t="shared" si="20"/>
        <v>35</v>
      </c>
      <c r="AU33" s="13">
        <f t="shared" si="21"/>
        <v>42</v>
      </c>
      <c r="AV33" s="7">
        <f>((AVERAGE(AS22:AS33,AU22:AU33)*('Summary Page'!$C$2+1))*('Summary Page'!$C$2+1))*('Summary Page'!$C$2+1)</f>
        <v>59.706636993939391</v>
      </c>
      <c r="AW33" s="7">
        <f>((AVERAGE(AS22:AS33,AU22:AU33)*('Summary Page'!$C$3+1))*('Summary Page'!$C$3+1))*('Summary Page'!$C$3+1)</f>
        <v>74.709990530303031</v>
      </c>
      <c r="AX33" s="7">
        <f>((AVERAGE(AS22:AS33,AU22:AU33)*('Summary Page'!$C$4+1))*('Summary Page'!$C$4+1))*('Summary Page'!$C$4+1)</f>
        <v>66.098618181818182</v>
      </c>
      <c r="BA33" s="43">
        <f t="shared" ref="BA33:BA38" si="37">L33*1.2</f>
        <v>45.6</v>
      </c>
      <c r="BB33" s="7">
        <f>((AVERAGE(B28:B33)*(+'Summary Page'!$C$2+1))*('Summary Page'!$C$2+1))*('Summary Page'!$C$2+1)</f>
        <v>112.38451199999997</v>
      </c>
      <c r="BC33" s="7">
        <f>((AVERAGE(B28:B33)*('Summary Page'!$C$3+1))*('Summary Page'!$C$3+1))*('Summary Page'!$C$3+1)</f>
        <v>140.625</v>
      </c>
      <c r="BD33" s="7">
        <f>((AVERAGE(B28:B33)*('Summary Page'!$C$4+1))*('Summary Page'!$C$4+1))*('Summary Page'!$C$4+1)</f>
        <v>124.41599999999998</v>
      </c>
      <c r="CQ33" s="43">
        <f t="shared" si="25"/>
        <v>43.199999999999996</v>
      </c>
      <c r="CR33" s="7">
        <f>((AVERAGE(C28:C33)*('Summary Page'!$C$2+1))*('Summary Page'!$C$2+1))*('Summary Page'!$C$2+1)</f>
        <v>93.393610666666646</v>
      </c>
      <c r="CS33" s="7">
        <f>((AVERAGE(C28:C33)*('Summary Page'!$C$3+1))*('Summary Page'!$C$3+1))*('Summary Page'!$C$3+1)</f>
        <v>116.86197916666669</v>
      </c>
      <c r="CT33" s="8">
        <f>((AVERAGE(C28:C33)*('Summary Page'!$C$4+1))*('Summary Page'!$C$4+1))*('Summary Page'!$C$4+1)</f>
        <v>103.392</v>
      </c>
      <c r="CW33" s="43">
        <f t="shared" si="26"/>
        <v>38.4</v>
      </c>
      <c r="CX33" s="7">
        <f>((AVERAGE(D28:D33)*('Summary Page'!$C$2+1))*('Summary Page'!$C$2+1))*('Summary Page'!$C$2+1)</f>
        <v>83.768085333333303</v>
      </c>
      <c r="CY33" s="7">
        <f>((AVERAGE(D28:D33)*('Summary Page'!$C$3+1))*('Summary Page'!$C$3+1))*('Summary Page'!$C$3+1)</f>
        <v>104.81770833333331</v>
      </c>
      <c r="CZ33" s="8">
        <f>((AVERAGE(D28:D33)*('Summary Page'!$C$4+1))*('Summary Page'!$C$4+1))*('Summary Page'!$C$4+1)</f>
        <v>92.735999999999976</v>
      </c>
      <c r="DO33" s="43"/>
      <c r="DP33" s="7"/>
      <c r="DQ33" s="7"/>
      <c r="DR33" s="8"/>
      <c r="DU33" s="43"/>
      <c r="DV33" s="7"/>
      <c r="DW33" s="7"/>
      <c r="DX33" s="8"/>
      <c r="EA33" s="43">
        <f t="shared" si="27"/>
        <v>7.1999999999999993</v>
      </c>
      <c r="EB33" s="7">
        <f>((AVERAGE(H28:H33)*('Summary Page'!$C$2+1))*('Summary Page'!$C$2+1))*('Summary Page'!$C$2+1)</f>
        <v>21.072095999999995</v>
      </c>
      <c r="EC33" s="7">
        <f>((AVERAGE(H28:H33)*('Summary Page'!$C$3+1))*('Summary Page'!$C$3+1))*('Summary Page'!$C$3+1)</f>
        <v>26.3671875</v>
      </c>
      <c r="ED33" s="8">
        <f>((AVERAGE(H28:H33)*('Summary Page'!$C$4+1))*('Summary Page'!$C$4+1))*('Summary Page'!$C$4+1)</f>
        <v>23.327999999999996</v>
      </c>
      <c r="EG33" s="43">
        <f t="shared" si="28"/>
        <v>40.799999999999997</v>
      </c>
      <c r="EH33" s="7">
        <f>((AVERAGE(I28:I33)*('Summary Page'!$C$2+1))*('Summary Page'!$C$2+1))*('Summary Page'!$C$2+1)</f>
        <v>61.135093333333323</v>
      </c>
      <c r="EI33" s="7">
        <f>((AVERAGE(I28:I33)*('Summary Page'!$C$3+1))*('Summary Page'!$C$3+1))*('Summary Page'!$C$3+1)</f>
        <v>76.497395833333314</v>
      </c>
      <c r="EJ33" s="8">
        <f>((AVERAGE(I28:I33)*('Summary Page'!$C$4+1))*('Summary Page'!$C$4+1))*('Summary Page'!$C$4+1)</f>
        <v>67.679999999999993</v>
      </c>
      <c r="EM33" s="43">
        <f t="shared" si="22"/>
        <v>73.2</v>
      </c>
      <c r="EN33" s="7">
        <f>((AVERAGE(AD28:AD33)*('Summary Page'!$C$2+1))*('Summary Page'!$C$2+1))*('Summary Page'!$C$2+1)</f>
        <v>165.19482666666661</v>
      </c>
      <c r="EO33" s="7">
        <f>((AVERAGE(AD28:AD33)*('Summary Page'!$C$3+1))*('Summary Page'!$C$3+1))*('Summary Page'!$C$3+1)</f>
        <v>206.70572916666663</v>
      </c>
      <c r="EP33" s="7">
        <f>((AVERAGE(AD28:AD33)*('Summary Page'!$C$4+1))*('Summary Page'!$C$4+1))*('Summary Page'!$C$4+1)</f>
        <v>182.87999999999997</v>
      </c>
      <c r="EQ33" s="7">
        <f t="shared" si="29"/>
        <v>100</v>
      </c>
      <c r="ER33" s="16">
        <f t="shared" si="17"/>
        <v>19.205992509363295</v>
      </c>
      <c r="ES33" s="16">
        <f t="shared" si="18"/>
        <v>12.734082397003744</v>
      </c>
      <c r="ET33" s="7">
        <f t="shared" si="30"/>
        <v>15.280898876404493</v>
      </c>
      <c r="EU33" s="7">
        <f>((AVERAGE(ER28:ER33)*('Summary Page'!$C$2+1))*('Summary Page'!$C$2+1))*('Summary Page'!$C$2+1)</f>
        <v>30.072093722846436</v>
      </c>
      <c r="EV33" s="7">
        <f>((AVERAGE(ER28:ER33)*('Summary Page'!$C$3+1))*('Summary Page'!$C$3+1))*('Summary Page'!$C$3+1)</f>
        <v>37.62874531835206</v>
      </c>
      <c r="EW33" s="7">
        <f>((AVERAGE(ER28:ER33)*('Summary Page'!$C$4+1))*('Summary Page'!$C$4+1))*('Summary Page'!$C$4+1)</f>
        <v>33.291505617977521</v>
      </c>
      <c r="EX33" s="11">
        <f t="shared" si="31"/>
        <v>22.406991260923846</v>
      </c>
      <c r="EY33" s="11">
        <f t="shared" si="32"/>
        <v>14.856429463171036</v>
      </c>
      <c r="EZ33" s="11">
        <f t="shared" si="33"/>
        <v>17.827715355805243</v>
      </c>
      <c r="FA33" s="11">
        <f t="shared" si="34"/>
        <v>35.08410934332084</v>
      </c>
      <c r="FB33" s="11">
        <f t="shared" si="35"/>
        <v>43.900202871410734</v>
      </c>
      <c r="FC33" s="11">
        <f t="shared" si="36"/>
        <v>38.840089887640438</v>
      </c>
    </row>
    <row r="34" spans="1:159" ht="15.75" x14ac:dyDescent="0.25">
      <c r="A34" s="10">
        <v>43927</v>
      </c>
      <c r="B34" s="67">
        <v>90</v>
      </c>
      <c r="C34" s="67">
        <v>42</v>
      </c>
      <c r="D34" s="67">
        <v>36</v>
      </c>
      <c r="E34" s="67">
        <f t="shared" si="1"/>
        <v>66</v>
      </c>
      <c r="F34" s="67">
        <v>0</v>
      </c>
      <c r="G34" s="67">
        <v>0</v>
      </c>
      <c r="H34" s="67">
        <v>17</v>
      </c>
      <c r="I34" s="67">
        <v>75</v>
      </c>
      <c r="J34" s="67"/>
      <c r="K34" s="67">
        <v>42</v>
      </c>
      <c r="L34" s="67">
        <v>50</v>
      </c>
      <c r="M34" s="67">
        <v>36</v>
      </c>
      <c r="N34" s="67">
        <v>32</v>
      </c>
      <c r="O34" s="67">
        <f t="shared" si="8"/>
        <v>43</v>
      </c>
      <c r="P34" s="67">
        <v>0</v>
      </c>
      <c r="Q34" s="67">
        <v>0</v>
      </c>
      <c r="R34" s="67">
        <v>8</v>
      </c>
      <c r="S34" s="67">
        <v>36</v>
      </c>
      <c r="T34" s="67"/>
      <c r="U34" s="67">
        <v>47</v>
      </c>
      <c r="V34" s="13"/>
      <c r="W34" s="13"/>
      <c r="X34" s="13"/>
      <c r="Y34" s="13"/>
      <c r="Z34" s="13"/>
      <c r="AA34" s="13"/>
      <c r="AB34" s="13"/>
      <c r="AC34" s="13"/>
      <c r="AD34" s="43">
        <v>104</v>
      </c>
      <c r="AE34" s="43">
        <v>80</v>
      </c>
      <c r="AF34" s="43"/>
      <c r="AG34" s="43">
        <v>691</v>
      </c>
      <c r="AH34">
        <v>690</v>
      </c>
      <c r="AN34" s="13">
        <f t="shared" si="23"/>
        <v>56.4</v>
      </c>
      <c r="AO34" s="7">
        <f>((AVERAGE(K29:K34)*('Summary Page'!$C$2+1))*('Summary Page'!$C$2+1))*('Summary Page'!$C$2+1)</f>
        <v>78.174874666666639</v>
      </c>
      <c r="AP34" s="7">
        <f>((AVERAGE(K29:K34)*('Summary Page'!$C$3+1))*('Summary Page'!$C$3+1))*('Summary Page'!$C$3+1)</f>
        <v>97.819010416666686</v>
      </c>
      <c r="AQ34" s="7">
        <f>((AVERAGE(K29:K34)*('Summary Page'!$C$4+1))*('Summary Page'!$C$4+1))*('Summary Page'!$C$4+1)</f>
        <v>86.543999999999997</v>
      </c>
      <c r="AR34" s="7">
        <f t="shared" si="24"/>
        <v>80</v>
      </c>
      <c r="AS34" s="5">
        <f t="shared" si="19"/>
        <v>58.5</v>
      </c>
      <c r="AT34" s="13">
        <f t="shared" si="20"/>
        <v>36</v>
      </c>
      <c r="AU34" s="13">
        <f t="shared" si="21"/>
        <v>43.199999999999996</v>
      </c>
      <c r="AV34" s="7">
        <f>((AVERAGE(AS23:AS34,AU23:AU34)*('Summary Page'!$C$2+1))*('Summary Page'!$C$2+1))*('Summary Page'!$C$2+1)</f>
        <v>61.388456162318839</v>
      </c>
      <c r="AW34" s="7">
        <f>((AVERAGE(AS23:AS34,AU23:AU34)*('Summary Page'!$C$3+1))*('Summary Page'!$C$3+1))*('Summary Page'!$C$3+1)</f>
        <v>76.814424818840607</v>
      </c>
      <c r="AX34" s="7">
        <f>((AVERAGE(AS23:AS34,AU23:AU34)*('Summary Page'!$C$4+1))*('Summary Page'!$C$4+1))*('Summary Page'!$C$4+1)</f>
        <v>67.960486956521748</v>
      </c>
      <c r="BA34" s="43">
        <f t="shared" si="37"/>
        <v>60</v>
      </c>
      <c r="BB34" s="7">
        <f>((AVERAGE(B29:B34)*(+'Summary Page'!$C$2+1))*('Summary Page'!$C$2+1))*('Summary Page'!$C$2+1)</f>
        <v>119.92884266666663</v>
      </c>
      <c r="BC34" s="7">
        <f>((AVERAGE(B29:B34)*('Summary Page'!$C$3+1))*('Summary Page'!$C$3+1))*('Summary Page'!$C$3+1)</f>
        <v>150.06510416666663</v>
      </c>
      <c r="BD34" s="7">
        <f>((AVERAGE(B29:B34)*('Summary Page'!$C$4+1))*('Summary Page'!$C$4+1))*('Summary Page'!$C$4+1)</f>
        <v>132.76799999999997</v>
      </c>
      <c r="CQ34" s="43">
        <f t="shared" si="25"/>
        <v>43.199999999999996</v>
      </c>
      <c r="CR34" s="7">
        <f>((AVERAGE(C29:C34)*('Summary Page'!$C$2+1))*('Summary Page'!$C$2+1))*('Summary Page'!$C$2+1)</f>
        <v>87.670325333333309</v>
      </c>
      <c r="CS34" s="7">
        <f>((AVERAGE(C29:C34)*('Summary Page'!$C$3+1))*('Summary Page'!$C$3+1))*('Summary Page'!$C$3+1)</f>
        <v>109.70052083333331</v>
      </c>
      <c r="CT34" s="8">
        <f>((AVERAGE(C29:C34)*('Summary Page'!$C$4+1))*('Summary Page'!$C$4+1))*('Summary Page'!$C$4+1)</f>
        <v>97.055999999999969</v>
      </c>
      <c r="CW34" s="43">
        <f t="shared" si="26"/>
        <v>38.4</v>
      </c>
      <c r="CX34" s="7">
        <f>((AVERAGE(D29:D34)*('Summary Page'!$C$2+1))*('Summary Page'!$C$2+1))*('Summary Page'!$C$2+1)</f>
        <v>78.044799999999981</v>
      </c>
      <c r="CY34" s="7">
        <f>((AVERAGE(D29:D34)*('Summary Page'!$C$3+1))*('Summary Page'!$C$3+1))*('Summary Page'!$C$3+1)</f>
        <v>97.65625</v>
      </c>
      <c r="CZ34" s="8">
        <f>((AVERAGE(D29:D34)*('Summary Page'!$C$4+1))*('Summary Page'!$C$4+1))*('Summary Page'!$C$4+1)</f>
        <v>86.399999999999991</v>
      </c>
      <c r="DO34" s="43"/>
      <c r="DP34" s="7"/>
      <c r="DQ34" s="7"/>
      <c r="DR34" s="8"/>
      <c r="DU34" s="43"/>
      <c r="DV34" s="7"/>
      <c r="DW34" s="7"/>
      <c r="DX34" s="8"/>
      <c r="EA34" s="43">
        <f t="shared" si="27"/>
        <v>9.6</v>
      </c>
      <c r="EB34" s="7">
        <f>((AVERAGE(H29:H34)*('Summary Page'!$C$2+1))*('Summary Page'!$C$2+1))*('Summary Page'!$C$2+1)</f>
        <v>22.632991999999998</v>
      </c>
      <c r="EC34" s="7">
        <f>((AVERAGE(H29:H34)*('Summary Page'!$C$3+1))*('Summary Page'!$C$3+1))*('Summary Page'!$C$3+1)</f>
        <v>28.3203125</v>
      </c>
      <c r="ED34" s="8">
        <f>((AVERAGE(H29:H34)*('Summary Page'!$C$4+1))*('Summary Page'!$C$4+1))*('Summary Page'!$C$4+1)</f>
        <v>25.055999999999997</v>
      </c>
      <c r="EG34" s="43">
        <f t="shared" si="28"/>
        <v>43.199999999999996</v>
      </c>
      <c r="EH34" s="7">
        <f>((AVERAGE(I29:I34)*('Summary Page'!$C$2+1))*('Summary Page'!$C$2+1))*('Summary Page'!$C$2+1)</f>
        <v>76.223754666666665</v>
      </c>
      <c r="EI34" s="7">
        <f>((AVERAGE(I29:I34)*('Summary Page'!$C$3+1))*('Summary Page'!$C$3+1))*('Summary Page'!$C$3+1)</f>
        <v>95.377604166666686</v>
      </c>
      <c r="EJ34" s="8">
        <f>((AVERAGE(I29:I34)*('Summary Page'!$C$4+1))*('Summary Page'!$C$4+1))*('Summary Page'!$C$4+1)</f>
        <v>84.383999999999986</v>
      </c>
      <c r="EM34" s="43">
        <f t="shared" si="22"/>
        <v>96</v>
      </c>
      <c r="EN34" s="7">
        <f>((AVERAGE(AD29:AD34)*('Summary Page'!$C$2+1))*('Summary Page'!$C$2+1))*('Summary Page'!$C$2+1)</f>
        <v>166.49557333333331</v>
      </c>
      <c r="EO34" s="7">
        <f>((AVERAGE(AD29:AD34)*('Summary Page'!$C$3+1))*('Summary Page'!$C$3+1))*('Summary Page'!$C$3+1)</f>
        <v>208.33333333333337</v>
      </c>
      <c r="EP34" s="7">
        <f>((AVERAGE(AD29:AD34)*('Summary Page'!$C$4+1))*('Summary Page'!$C$4+1))*('Summary Page'!$C$4+1)</f>
        <v>184.32</v>
      </c>
      <c r="EQ34" s="7">
        <f t="shared" si="29"/>
        <v>100</v>
      </c>
      <c r="ER34" s="16">
        <f t="shared" si="17"/>
        <v>20.704119850187265</v>
      </c>
      <c r="ES34" s="16">
        <f t="shared" si="18"/>
        <v>20.674157303370784</v>
      </c>
      <c r="ET34" s="7">
        <f t="shared" si="30"/>
        <v>24.80898876404494</v>
      </c>
      <c r="EU34" s="7">
        <f>((AVERAGE(ER29:ER34)*('Summary Page'!$C$2+1))*('Summary Page'!$C$2+1))*('Summary Page'!$C$2+1)</f>
        <v>30.430651605493132</v>
      </c>
      <c r="EV34" s="7">
        <f>((AVERAGE(ER29:ER34)*('Summary Page'!$C$3+1))*('Summary Page'!$C$3+1))*('Summary Page'!$C$3+1)</f>
        <v>38.077403245942577</v>
      </c>
      <c r="EW34" s="7">
        <f>((AVERAGE(ER29:ER34)*('Summary Page'!$C$4+1))*('Summary Page'!$C$4+1))*('Summary Page'!$C$4+1)</f>
        <v>33.688449438202248</v>
      </c>
      <c r="EX34" s="11">
        <f t="shared" si="31"/>
        <v>24.154806491885143</v>
      </c>
      <c r="EY34" s="11">
        <f t="shared" si="32"/>
        <v>24.119850187265914</v>
      </c>
      <c r="EZ34" s="11">
        <f t="shared" si="33"/>
        <v>28.943820224719097</v>
      </c>
      <c r="FA34" s="11">
        <f t="shared" si="34"/>
        <v>35.502426873075322</v>
      </c>
      <c r="FB34" s="11">
        <f t="shared" si="35"/>
        <v>44.423637120266342</v>
      </c>
      <c r="FC34" s="11">
        <f t="shared" si="36"/>
        <v>39.303191011235953</v>
      </c>
    </row>
    <row r="35" spans="1:159" ht="15.75" x14ac:dyDescent="0.25">
      <c r="A35" s="10">
        <v>43955</v>
      </c>
      <c r="B35" s="67">
        <v>93</v>
      </c>
      <c r="C35" s="67">
        <v>37</v>
      </c>
      <c r="D35" s="67">
        <v>31</v>
      </c>
      <c r="E35" s="67">
        <f t="shared" si="1"/>
        <v>65</v>
      </c>
      <c r="F35" s="67">
        <v>0</v>
      </c>
      <c r="G35" s="67">
        <v>0</v>
      </c>
      <c r="H35" s="67">
        <v>17</v>
      </c>
      <c r="I35" s="67">
        <v>76</v>
      </c>
      <c r="J35" s="67"/>
      <c r="K35" s="67">
        <v>45</v>
      </c>
      <c r="L35" s="67">
        <v>51</v>
      </c>
      <c r="M35" s="67">
        <v>41</v>
      </c>
      <c r="N35" s="67">
        <v>37</v>
      </c>
      <c r="O35" s="67">
        <f t="shared" si="8"/>
        <v>46</v>
      </c>
      <c r="P35" s="67">
        <v>0</v>
      </c>
      <c r="Q35" s="67">
        <v>0</v>
      </c>
      <c r="R35" s="67">
        <v>10</v>
      </c>
      <c r="S35" s="67">
        <v>35</v>
      </c>
      <c r="T35" s="67"/>
      <c r="U35" s="67">
        <v>47</v>
      </c>
      <c r="V35" s="13"/>
      <c r="W35" s="13"/>
      <c r="X35" s="13"/>
      <c r="Y35" s="13"/>
      <c r="Z35" s="13"/>
      <c r="AA35" s="13"/>
      <c r="AB35" s="13"/>
      <c r="AC35" s="13"/>
      <c r="AD35" s="43">
        <v>115</v>
      </c>
      <c r="AE35" s="43">
        <v>91</v>
      </c>
      <c r="AF35" s="43"/>
      <c r="AG35" s="43">
        <v>625</v>
      </c>
      <c r="AH35">
        <v>624</v>
      </c>
      <c r="AN35" s="13">
        <f t="shared" si="23"/>
        <v>56.4</v>
      </c>
      <c r="AO35" s="7">
        <f>((AVERAGE(K30:K35)*('Summary Page'!$C$2+1))*('Summary Page'!$C$2+1))*('Summary Page'!$C$2+1)</f>
        <v>74.532783999999992</v>
      </c>
      <c r="AP35" s="7">
        <f>((AVERAGE(K30:K35)*('Summary Page'!$C$3+1))*('Summary Page'!$C$3+1))*('Summary Page'!$C$3+1)</f>
        <v>93.26171875</v>
      </c>
      <c r="AQ35" s="7">
        <f>((AVERAGE(K30:K35)*('Summary Page'!$C$4+1))*('Summary Page'!$C$4+1))*('Summary Page'!$C$4+1)</f>
        <v>82.511999999999986</v>
      </c>
      <c r="AR35" s="7">
        <f t="shared" si="24"/>
        <v>80</v>
      </c>
      <c r="AS35" s="5">
        <f t="shared" si="19"/>
        <v>56.5</v>
      </c>
      <c r="AT35" s="13">
        <f t="shared" si="20"/>
        <v>38</v>
      </c>
      <c r="AU35" s="13">
        <f t="shared" si="21"/>
        <v>45.6</v>
      </c>
      <c r="AV35" s="7">
        <f>((AVERAGE(AS24:AS35,AU24:AU35)*('Summary Page'!$C$2+1))*('Summary Page'!$C$2+1))*('Summary Page'!$C$2+1)</f>
        <v>63.064534222222235</v>
      </c>
      <c r="AW35" s="7">
        <f>((AVERAGE(AS24:AS35,AU24:AU35)*('Summary Page'!$C$3+1))*('Summary Page'!$C$3+1))*('Summary Page'!$C$3+1)</f>
        <v>78.911675347222257</v>
      </c>
      <c r="AX35" s="7">
        <f>((AVERAGE(AS24:AS35,AU24:AU35)*('Summary Page'!$C$4+1))*('Summary Page'!$C$4+1))*('Summary Page'!$C$4+1)</f>
        <v>69.816000000000017</v>
      </c>
      <c r="BA35" s="43">
        <f t="shared" si="37"/>
        <v>61.199999999999996</v>
      </c>
      <c r="BB35" s="7">
        <f>((AVERAGE(B30:B35)*(+'Summary Page'!$C$2+1))*('Summary Page'!$C$2+1))*('Summary Page'!$C$2+1)</f>
        <v>125.65212799999998</v>
      </c>
      <c r="BC35" s="7">
        <f>((AVERAGE(B30:B35)*('Summary Page'!$C$3+1))*('Summary Page'!$C$3+1))*('Summary Page'!$C$3+1)</f>
        <v>157.2265625</v>
      </c>
      <c r="BD35" s="7">
        <f>((AVERAGE(B30:B35)*('Summary Page'!$C$4+1))*('Summary Page'!$C$4+1))*('Summary Page'!$C$4+1)</f>
        <v>139.10399999999998</v>
      </c>
      <c r="CQ35" s="43">
        <f t="shared" si="25"/>
        <v>49.199999999999996</v>
      </c>
      <c r="CR35" s="7">
        <f>((AVERAGE(C30:C35)*('Summary Page'!$C$2+1))*('Summary Page'!$C$2+1))*('Summary Page'!$C$2+1)</f>
        <v>77.264351999999988</v>
      </c>
      <c r="CS35" s="7">
        <f>((AVERAGE(C30:C35)*('Summary Page'!$C$3+1))*('Summary Page'!$C$3+1))*('Summary Page'!$C$3+1)</f>
        <v>96.6796875</v>
      </c>
      <c r="CT35" s="8">
        <f>((AVERAGE(C30:C35)*('Summary Page'!$C$4+1))*('Summary Page'!$C$4+1))*('Summary Page'!$C$4+1)</f>
        <v>85.536000000000001</v>
      </c>
      <c r="CW35" s="43">
        <f t="shared" si="26"/>
        <v>44.4</v>
      </c>
      <c r="CX35" s="7">
        <f>((AVERAGE(D30:D35)*('Summary Page'!$C$2+1))*('Summary Page'!$C$2+1))*('Summary Page'!$C$2+1)</f>
        <v>67.118527999999984</v>
      </c>
      <c r="CY35" s="7">
        <f>((AVERAGE(D30:D35)*('Summary Page'!$C$3+1))*('Summary Page'!$C$3+1))*('Summary Page'!$C$3+1)</f>
        <v>83.984375</v>
      </c>
      <c r="CZ35" s="8">
        <f>((AVERAGE(D30:D35)*('Summary Page'!$C$4+1))*('Summary Page'!$C$4+1))*('Summary Page'!$C$4+1)</f>
        <v>74.304000000000002</v>
      </c>
      <c r="DO35" s="43"/>
      <c r="DP35" s="7"/>
      <c r="DQ35" s="7"/>
      <c r="DR35" s="8"/>
      <c r="DU35" s="43"/>
      <c r="DV35" s="7"/>
      <c r="DW35" s="7"/>
      <c r="DX35" s="8"/>
      <c r="EA35" s="43">
        <f t="shared" si="27"/>
        <v>12</v>
      </c>
      <c r="EB35" s="7">
        <f>((AVERAGE(H30:H35)*('Summary Page'!$C$2+1))*('Summary Page'!$C$2+1))*('Summary Page'!$C$2+1)</f>
        <v>24.454037333333329</v>
      </c>
      <c r="EC35" s="7">
        <f>((AVERAGE(H30:H35)*('Summary Page'!$C$3+1))*('Summary Page'!$C$3+1))*('Summary Page'!$C$3+1)</f>
        <v>30.598958333333329</v>
      </c>
      <c r="ED35" s="8">
        <f>((AVERAGE(H30:H35)*('Summary Page'!$C$4+1))*('Summary Page'!$C$4+1))*('Summary Page'!$C$4+1)</f>
        <v>27.071999999999992</v>
      </c>
      <c r="EG35" s="43">
        <f t="shared" si="28"/>
        <v>42</v>
      </c>
      <c r="EH35" s="7">
        <f>((AVERAGE(I30:I35)*('Summary Page'!$C$2+1))*('Summary Page'!$C$2+1))*('Summary Page'!$C$2+1)</f>
        <v>91.832714666666661</v>
      </c>
      <c r="EI35" s="7">
        <f>((AVERAGE(I30:I35)*('Summary Page'!$C$3+1))*('Summary Page'!$C$3+1))*('Summary Page'!$C$3+1)</f>
        <v>114.90885416666669</v>
      </c>
      <c r="EJ35" s="8">
        <f>((AVERAGE(I30:I35)*('Summary Page'!$C$4+1))*('Summary Page'!$C$4+1))*('Summary Page'!$C$4+1)</f>
        <v>101.66399999999997</v>
      </c>
      <c r="EM35" s="43">
        <f t="shared" si="22"/>
        <v>109.2</v>
      </c>
      <c r="EN35" s="7">
        <f>((AVERAGE(AD30:AD35)*('Summary Page'!$C$2+1))*('Summary Page'!$C$2+1))*('Summary Page'!$C$2+1)</f>
        <v>166.23542399999994</v>
      </c>
      <c r="EO35" s="7">
        <f>((AVERAGE(AD30:AD35)*('Summary Page'!$C$3+1))*('Summary Page'!$C$3+1))*('Summary Page'!$C$3+1)</f>
        <v>208.0078125</v>
      </c>
      <c r="EP35" s="7">
        <f>((AVERAGE(AD30:AD35)*('Summary Page'!$C$4+1))*('Summary Page'!$C$4+1))*('Summary Page'!$C$4+1)</f>
        <v>184.03199999999998</v>
      </c>
      <c r="EQ35" s="7">
        <f t="shared" si="29"/>
        <v>100</v>
      </c>
      <c r="ER35" s="16">
        <f t="shared" si="17"/>
        <v>18.726591760299623</v>
      </c>
      <c r="ES35" s="16">
        <f t="shared" si="18"/>
        <v>18.696629213483146</v>
      </c>
      <c r="ET35" s="7">
        <f t="shared" si="30"/>
        <v>22.435955056179775</v>
      </c>
      <c r="EU35" s="7">
        <f>((AVERAGE(ER30:ER35)*('Summary Page'!$C$2+1))*('Summary Page'!$C$2+1))*('Summary Page'!$C$2+1)</f>
        <v>30.493009498127339</v>
      </c>
      <c r="EV35" s="7">
        <f>((AVERAGE(ER30:ER35)*('Summary Page'!$C$3+1))*('Summary Page'!$C$3+1))*('Summary Page'!$C$3+1)</f>
        <v>38.155430711610492</v>
      </c>
      <c r="EW35" s="7">
        <f>((AVERAGE(ER30:ER35)*('Summary Page'!$C$4+1))*('Summary Page'!$C$4+1))*('Summary Page'!$C$4+1)</f>
        <v>33.757483146067415</v>
      </c>
      <c r="EX35" s="11">
        <f t="shared" si="31"/>
        <v>21.847690387016229</v>
      </c>
      <c r="EY35" s="11">
        <f t="shared" si="32"/>
        <v>21.812734082397004</v>
      </c>
      <c r="EZ35" s="11">
        <f t="shared" si="33"/>
        <v>26.175280898876405</v>
      </c>
      <c r="FA35" s="11">
        <f t="shared" si="34"/>
        <v>35.575177747815232</v>
      </c>
      <c r="FB35" s="11">
        <f t="shared" si="35"/>
        <v>44.514669163545577</v>
      </c>
      <c r="FC35" s="11">
        <f t="shared" si="36"/>
        <v>39.383730337078653</v>
      </c>
    </row>
    <row r="36" spans="1:159" ht="15.75" x14ac:dyDescent="0.25">
      <c r="A36" s="10">
        <v>43984</v>
      </c>
      <c r="B36" s="67">
        <v>55</v>
      </c>
      <c r="C36" s="67">
        <v>78</v>
      </c>
      <c r="D36" s="67">
        <v>95</v>
      </c>
      <c r="E36" s="67">
        <f t="shared" si="1"/>
        <v>66.5</v>
      </c>
      <c r="F36" s="67">
        <v>0</v>
      </c>
      <c r="G36" s="67">
        <v>0</v>
      </c>
      <c r="H36" s="67">
        <v>15</v>
      </c>
      <c r="I36" s="67">
        <v>64</v>
      </c>
      <c r="J36" s="67"/>
      <c r="K36" s="67">
        <v>51.5</v>
      </c>
      <c r="L36" s="67">
        <v>70</v>
      </c>
      <c r="M36" s="67">
        <v>34</v>
      </c>
      <c r="N36" s="67">
        <v>26</v>
      </c>
      <c r="O36" s="67">
        <f t="shared" si="8"/>
        <v>52</v>
      </c>
      <c r="P36" s="67">
        <v>0</v>
      </c>
      <c r="Q36" s="67">
        <v>0</v>
      </c>
      <c r="R36" s="67">
        <v>8</v>
      </c>
      <c r="S36" s="67">
        <v>32</v>
      </c>
      <c r="T36" s="67"/>
      <c r="U36" s="67">
        <v>47</v>
      </c>
      <c r="V36" s="13"/>
      <c r="W36" s="13"/>
      <c r="X36" s="13"/>
      <c r="Y36" s="13"/>
      <c r="Z36" s="13"/>
      <c r="AA36" s="13"/>
      <c r="AB36" s="13"/>
      <c r="AC36" s="13"/>
      <c r="AD36" s="43">
        <v>113</v>
      </c>
      <c r="AE36" s="43">
        <v>87</v>
      </c>
      <c r="AF36" s="43"/>
      <c r="AG36" s="43">
        <v>687</v>
      </c>
      <c r="AH36">
        <v>690</v>
      </c>
      <c r="AN36" s="13">
        <f t="shared" si="23"/>
        <v>56.4</v>
      </c>
      <c r="AO36" s="7">
        <f>((AVERAGE(K31:K36)*('Summary Page'!$C$2+1))*('Summary Page'!$C$2+1))*('Summary Page'!$C$2+1)</f>
        <v>73.362111999999982</v>
      </c>
      <c r="AP36" s="7">
        <f>((AVERAGE(K31:K36)*('Summary Page'!$C$3+1))*('Summary Page'!$C$3+1))*('Summary Page'!$C$3+1)</f>
        <v>91.796875</v>
      </c>
      <c r="AQ36" s="7">
        <f>((AVERAGE(K31:K36)*('Summary Page'!$C$4+1))*('Summary Page'!$C$4+1))*('Summary Page'!$C$4+1)</f>
        <v>81.215999999999994</v>
      </c>
      <c r="AR36" s="7">
        <f t="shared" si="24"/>
        <v>80</v>
      </c>
      <c r="AS36" s="5">
        <f t="shared" ref="AS36:AS50" si="38">AVERAGE(MAX(C36,D36),MAX(H36,I36))</f>
        <v>79.5</v>
      </c>
      <c r="AT36" s="13">
        <f t="shared" ref="AT36:AT49" si="39">AVERAGE(MAX(M36,N36),MAX(R36,S36))</f>
        <v>33</v>
      </c>
      <c r="AU36" s="13">
        <f t="shared" ref="AU36:AU49" si="40">AT36*1.2</f>
        <v>39.6</v>
      </c>
      <c r="AV36" s="7">
        <f>((AVERAGE(AS25:AS36,AU25:AU36)*('Summary Page'!$C$2+1))*('Summary Page'!$C$2+1))*('Summary Page'!$C$2+1)</f>
        <v>66.925583911111104</v>
      </c>
      <c r="AW36" s="7">
        <f>((AVERAGE(AS25:AS36,AU25:AU36)*('Summary Page'!$C$3+1))*('Summary Page'!$C$3+1))*('Summary Page'!$C$3+1)</f>
        <v>83.742947048611128</v>
      </c>
      <c r="AX36" s="7">
        <f>((AVERAGE(AS25:AS36,AU25:AU36)*('Summary Page'!$C$4+1))*('Summary Page'!$C$4+1))*('Summary Page'!$C$4+1)</f>
        <v>74.090400000000002</v>
      </c>
      <c r="BA36" s="43">
        <f t="shared" si="37"/>
        <v>84</v>
      </c>
      <c r="BB36" s="7">
        <f>((AVERAGE(B31:B36)*(+'Summary Page'!$C$2+1))*('Summary Page'!$C$2+1))*('Summary Page'!$C$2+1)</f>
        <v>120.44914133333332</v>
      </c>
      <c r="BC36" s="7">
        <f>((AVERAGE(B31:B36)*('Summary Page'!$C$3+1))*('Summary Page'!$C$3+1))*('Summary Page'!$C$3+1)</f>
        <v>150.71614583333337</v>
      </c>
      <c r="BD36" s="7">
        <f>((AVERAGE(B31:B36)*('Summary Page'!$C$4+1))*('Summary Page'!$C$4+1))*('Summary Page'!$C$4+1)</f>
        <v>133.34399999999999</v>
      </c>
      <c r="CQ36" s="43">
        <f t="shared" si="25"/>
        <v>40.799999999999997</v>
      </c>
      <c r="CR36" s="7">
        <f>((AVERAGE(C31:C36)*('Summary Page'!$C$2+1))*('Summary Page'!$C$2+1))*('Summary Page'!$C$2+1)</f>
        <v>81.426741333333325</v>
      </c>
      <c r="CS36" s="7">
        <f>((AVERAGE(C31:C36)*('Summary Page'!$C$3+1))*('Summary Page'!$C$3+1))*('Summary Page'!$C$3+1)</f>
        <v>101.88802083333331</v>
      </c>
      <c r="CT36" s="8">
        <f>((AVERAGE(C31:C36)*('Summary Page'!$C$4+1))*('Summary Page'!$C$4+1))*('Summary Page'!$C$4+1)</f>
        <v>90.143999999999991</v>
      </c>
      <c r="CW36" s="43">
        <f t="shared" si="26"/>
        <v>31.2</v>
      </c>
      <c r="CX36" s="7">
        <f>((AVERAGE(D31:D36)*('Summary Page'!$C$2+1))*('Summary Page'!$C$2+1))*('Summary Page'!$C$2+1)</f>
        <v>77.524501333333319</v>
      </c>
      <c r="CY36" s="7">
        <f>((AVERAGE(D31:D36)*('Summary Page'!$C$3+1))*('Summary Page'!$C$3+1))*('Summary Page'!$C$3+1)</f>
        <v>97.005208333333314</v>
      </c>
      <c r="CZ36" s="8">
        <f>((AVERAGE(D31:D36)*('Summary Page'!$C$4+1))*('Summary Page'!$C$4+1))*('Summary Page'!$C$4+1)</f>
        <v>85.823999999999998</v>
      </c>
      <c r="DO36" s="43"/>
      <c r="DP36" s="7"/>
      <c r="DQ36" s="7"/>
      <c r="DR36" s="8"/>
      <c r="DU36" s="43"/>
      <c r="DV36" s="7"/>
      <c r="DW36" s="7"/>
      <c r="DX36" s="8"/>
      <c r="EA36" s="43">
        <f t="shared" si="27"/>
        <v>9.6</v>
      </c>
      <c r="EB36" s="7">
        <f>((AVERAGE(H31:H36)*('Summary Page'!$C$2+1))*('Summary Page'!$C$2+1))*('Summary Page'!$C$2+1)</f>
        <v>24.974335999999997</v>
      </c>
      <c r="EC36" s="7">
        <f>((AVERAGE(H31:H36)*('Summary Page'!$C$3+1))*('Summary Page'!$C$3+1))*('Summary Page'!$C$3+1)</f>
        <v>31.25</v>
      </c>
      <c r="ED36" s="8">
        <f>((AVERAGE(H31:H36)*('Summary Page'!$C$4+1))*('Summary Page'!$C$4+1))*('Summary Page'!$C$4+1)</f>
        <v>27.648</v>
      </c>
      <c r="EG36" s="43">
        <f t="shared" si="28"/>
        <v>38.4</v>
      </c>
      <c r="EH36" s="7">
        <f>((AVERAGE(I31:I36)*('Summary Page'!$C$2+1))*('Summary Page'!$C$2+1))*('Summary Page'!$C$2+1)</f>
        <v>100.15749333333332</v>
      </c>
      <c r="EI36" s="7">
        <f>((AVERAGE(I31:I36)*('Summary Page'!$C$3+1))*('Summary Page'!$C$3+1))*('Summary Page'!$C$3+1)</f>
        <v>125.32552083333336</v>
      </c>
      <c r="EJ36" s="8">
        <f>((AVERAGE(I31:I36)*('Summary Page'!$C$4+1))*('Summary Page'!$C$4+1))*('Summary Page'!$C$4+1)</f>
        <v>110.87999999999998</v>
      </c>
      <c r="EM36" s="43">
        <f t="shared" si="22"/>
        <v>104.39999999999999</v>
      </c>
      <c r="EN36" s="7">
        <f>((AVERAGE(AD31:AD36)*('Summary Page'!$C$2+1))*('Summary Page'!$C$2+1))*('Summary Page'!$C$2+1)</f>
        <v>167.01587199999997</v>
      </c>
      <c r="EO36" s="7">
        <f>((AVERAGE(AD31:AD36)*('Summary Page'!$C$3+1))*('Summary Page'!$C$3+1))*('Summary Page'!$C$3+1)</f>
        <v>208.984375</v>
      </c>
      <c r="EP36" s="7">
        <f>((AVERAGE(AD31:AD36)*('Summary Page'!$C$4+1))*('Summary Page'!$C$4+1))*('Summary Page'!$C$4+1)</f>
        <v>184.89600000000002</v>
      </c>
      <c r="EQ36" s="7">
        <f t="shared" si="29"/>
        <v>100</v>
      </c>
      <c r="ER36" s="16">
        <f t="shared" si="17"/>
        <v>20.584269662921347</v>
      </c>
      <c r="ES36" s="16">
        <f t="shared" si="18"/>
        <v>20.674157303370784</v>
      </c>
      <c r="ET36" s="7">
        <f t="shared" si="30"/>
        <v>24.80898876404494</v>
      </c>
      <c r="EU36" s="7">
        <f>((AVERAGE(ER31:ER36)*('Summary Page'!$C$2+1))*('Summary Page'!$C$2+1))*('Summary Page'!$C$2+1)</f>
        <v>30.508598971285885</v>
      </c>
      <c r="EV36" s="7">
        <f>((AVERAGE(ER31:ER36)*('Summary Page'!$C$3+1))*('Summary Page'!$C$3+1))*('Summary Page'!$C$3+1)</f>
        <v>38.174937578027468</v>
      </c>
      <c r="EW36" s="7">
        <f>((AVERAGE(ER31:ER36)*('Summary Page'!$C$4+1))*('Summary Page'!$C$4+1))*('Summary Page'!$C$4+1)</f>
        <v>33.774741573033701</v>
      </c>
      <c r="EX36" s="11">
        <f t="shared" si="31"/>
        <v>24.014981273408239</v>
      </c>
      <c r="EY36" s="11">
        <f t="shared" si="32"/>
        <v>24.119850187265914</v>
      </c>
      <c r="EZ36" s="11">
        <f t="shared" si="33"/>
        <v>28.943820224719097</v>
      </c>
      <c r="FA36" s="11">
        <f t="shared" si="34"/>
        <v>35.593365466500202</v>
      </c>
      <c r="FB36" s="11">
        <f t="shared" si="35"/>
        <v>44.537427174365376</v>
      </c>
      <c r="FC36" s="11">
        <f t="shared" si="36"/>
        <v>39.403865168539319</v>
      </c>
    </row>
    <row r="37" spans="1:159" ht="15.75" x14ac:dyDescent="0.25">
      <c r="A37" s="10">
        <v>44014</v>
      </c>
      <c r="B37" s="67">
        <v>64</v>
      </c>
      <c r="C37" s="67">
        <v>76</v>
      </c>
      <c r="D37" s="67">
        <v>75</v>
      </c>
      <c r="E37" s="67">
        <f t="shared" si="1"/>
        <v>70</v>
      </c>
      <c r="F37" s="67">
        <v>0</v>
      </c>
      <c r="G37" s="67">
        <v>0</v>
      </c>
      <c r="H37" s="67">
        <v>14</v>
      </c>
      <c r="I37" s="67">
        <v>73</v>
      </c>
      <c r="J37" s="67"/>
      <c r="K37" s="67">
        <v>65</v>
      </c>
      <c r="L37" s="67">
        <v>83</v>
      </c>
      <c r="M37" s="67">
        <v>39</v>
      </c>
      <c r="N37" s="67">
        <v>27</v>
      </c>
      <c r="O37" s="67">
        <f t="shared" si="8"/>
        <v>61</v>
      </c>
      <c r="P37" s="67">
        <v>0</v>
      </c>
      <c r="Q37" s="67">
        <v>0</v>
      </c>
      <c r="R37" s="67">
        <v>11</v>
      </c>
      <c r="S37" s="67">
        <v>30</v>
      </c>
      <c r="T37" s="67"/>
      <c r="U37" s="67">
        <v>63</v>
      </c>
      <c r="V37" s="13"/>
      <c r="W37" s="13"/>
      <c r="X37" s="13"/>
      <c r="Y37" s="13"/>
      <c r="Z37" s="13"/>
      <c r="AA37" s="13"/>
      <c r="AB37" s="13"/>
      <c r="AC37" s="13"/>
      <c r="AD37" s="43">
        <v>106</v>
      </c>
      <c r="AE37" s="43">
        <v>94</v>
      </c>
      <c r="AF37" s="43"/>
      <c r="AG37" s="43">
        <v>801</v>
      </c>
      <c r="AH37">
        <v>690</v>
      </c>
      <c r="AN37" s="13">
        <f t="shared" si="23"/>
        <v>75.599999999999994</v>
      </c>
      <c r="AO37" s="7">
        <f>((AVERAGE(K32:K37)*('Summary Page'!$C$2+1))*('Summary Page'!$C$2+1))*('Summary Page'!$C$2+1)</f>
        <v>77.264351999999988</v>
      </c>
      <c r="AP37" s="7">
        <f>((AVERAGE(K32:K37)*('Summary Page'!$C$3+1))*('Summary Page'!$C$3+1))*('Summary Page'!$C$3+1)</f>
        <v>96.6796875</v>
      </c>
      <c r="AQ37" s="7">
        <f>((AVERAGE(K32:K37)*('Summary Page'!$C$4+1))*('Summary Page'!$C$4+1))*('Summary Page'!$C$4+1)</f>
        <v>85.536000000000001</v>
      </c>
      <c r="AR37" s="7">
        <f t="shared" si="24"/>
        <v>80</v>
      </c>
      <c r="AS37" s="5">
        <f t="shared" si="38"/>
        <v>74.5</v>
      </c>
      <c r="AT37" s="13">
        <f t="shared" si="39"/>
        <v>34.5</v>
      </c>
      <c r="AU37" s="13">
        <f t="shared" si="40"/>
        <v>41.4</v>
      </c>
      <c r="AV37" s="7">
        <f>((AVERAGE(AS26:AS37,AU26:AU37)*('Summary Page'!$C$2+1))*('Summary Page'!$C$2+1))*('Summary Page'!$C$2+1)</f>
        <v>70.309693155555564</v>
      </c>
      <c r="AW37" s="7">
        <f>((AVERAGE(AS26:AS37,AU26:AU37)*('Summary Page'!$C$3+1))*('Summary Page'!$C$3+1))*('Summary Page'!$C$3+1)</f>
        <v>87.977430555555571</v>
      </c>
      <c r="AX37" s="7">
        <f>((AVERAGE(AS26:AS37,AU26:AU37)*('Summary Page'!$C$4+1))*('Summary Page'!$C$4+1))*('Summary Page'!$C$4+1)</f>
        <v>77.836800000000025</v>
      </c>
      <c r="BA37" s="43">
        <f t="shared" si="37"/>
        <v>99.6</v>
      </c>
      <c r="BB37" s="7">
        <f>((AVERAGE(B32:B37)*(+'Summary Page'!$C$2+1))*('Summary Page'!$C$2+1))*('Summary Page'!$C$2+1)</f>
        <v>117.3273493333333</v>
      </c>
      <c r="BC37" s="7">
        <f>((AVERAGE(B32:B37)*('Summary Page'!$C$3+1))*('Summary Page'!$C$3+1))*('Summary Page'!$C$3+1)</f>
        <v>146.80989583333337</v>
      </c>
      <c r="BD37" s="7">
        <f>((AVERAGE(B32:B37)*('Summary Page'!$C$4+1))*('Summary Page'!$C$4+1))*('Summary Page'!$C$4+1)</f>
        <v>129.88799999999998</v>
      </c>
      <c r="CQ37" s="43">
        <f t="shared" si="25"/>
        <v>46.8</v>
      </c>
      <c r="CR37" s="7">
        <f>((AVERAGE(C32:C37)*('Summary Page'!$C$2+1))*('Summary Page'!$C$2+1))*('Summary Page'!$C$2+1)</f>
        <v>85.849279999999993</v>
      </c>
      <c r="CS37" s="7">
        <f>((AVERAGE(C32:C37)*('Summary Page'!$C$3+1))*('Summary Page'!$C$3+1))*('Summary Page'!$C$3+1)</f>
        <v>107.421875</v>
      </c>
      <c r="CT37" s="8">
        <f>((AVERAGE(C32:C37)*('Summary Page'!$C$4+1))*('Summary Page'!$C$4+1))*('Summary Page'!$C$4+1)</f>
        <v>95.04</v>
      </c>
      <c r="CW37" s="43">
        <f t="shared" si="26"/>
        <v>32.4</v>
      </c>
      <c r="CX37" s="7">
        <f>((AVERAGE(D32:D37)*('Summary Page'!$C$2+1))*('Summary Page'!$C$2+1))*('Summary Page'!$C$2+1)</f>
        <v>83.507935999999987</v>
      </c>
      <c r="CY37" s="7">
        <f>((AVERAGE(D32:D37)*('Summary Page'!$C$3+1))*('Summary Page'!$C$3+1))*('Summary Page'!$C$3+1)</f>
        <v>104.4921875</v>
      </c>
      <c r="CZ37" s="8">
        <f>((AVERAGE(D32:D37)*('Summary Page'!$C$4+1))*('Summary Page'!$C$4+1))*('Summary Page'!$C$4+1)</f>
        <v>92.448000000000008</v>
      </c>
      <c r="DO37" s="43"/>
      <c r="DP37" s="7"/>
      <c r="DQ37" s="7"/>
      <c r="DR37" s="8"/>
      <c r="DU37" s="43"/>
      <c r="DV37" s="7"/>
      <c r="DW37" s="7"/>
      <c r="DX37" s="8"/>
      <c r="EA37" s="43">
        <f t="shared" si="27"/>
        <v>13.2</v>
      </c>
      <c r="EB37" s="7">
        <f>((AVERAGE(H32:H37)*('Summary Page'!$C$2+1))*('Summary Page'!$C$2+1))*('Summary Page'!$C$2+1)</f>
        <v>24.974335999999997</v>
      </c>
      <c r="EC37" s="7">
        <f>((AVERAGE(H32:H37)*('Summary Page'!$C$3+1))*('Summary Page'!$C$3+1))*('Summary Page'!$C$3+1)</f>
        <v>31.25</v>
      </c>
      <c r="ED37" s="8">
        <f>((AVERAGE(H32:H37)*('Summary Page'!$C$4+1))*('Summary Page'!$C$4+1))*('Summary Page'!$C$4+1)</f>
        <v>27.648</v>
      </c>
      <c r="EG37" s="43">
        <f t="shared" si="28"/>
        <v>36</v>
      </c>
      <c r="EH37" s="7">
        <f>((AVERAGE(I32:I37)*('Summary Page'!$C$2+1))*('Summary Page'!$C$2+1))*('Summary Page'!$C$2+1)</f>
        <v>105.36047999999998</v>
      </c>
      <c r="EI37" s="7">
        <f>((AVERAGE(I32:I37)*('Summary Page'!$C$3+1))*('Summary Page'!$C$3+1))*('Summary Page'!$C$3+1)</f>
        <v>131.8359375</v>
      </c>
      <c r="EJ37" s="8">
        <f>((AVERAGE(I32:I37)*('Summary Page'!$C$4+1))*('Summary Page'!$C$4+1))*('Summary Page'!$C$4+1)</f>
        <v>116.64</v>
      </c>
      <c r="EM37" s="43">
        <f t="shared" si="22"/>
        <v>112.8</v>
      </c>
      <c r="EN37" s="7">
        <f>((AVERAGE(AD32:AD37)*('Summary Page'!$C$2+1))*('Summary Page'!$C$2+1))*('Summary Page'!$C$2+1)</f>
        <v>165.97527466666662</v>
      </c>
      <c r="EO37" s="7">
        <f>((AVERAGE(AD32:AD37)*('Summary Page'!$C$3+1))*('Summary Page'!$C$3+1))*('Summary Page'!$C$3+1)</f>
        <v>207.68229166666663</v>
      </c>
      <c r="EP37" s="7">
        <f>((AVERAGE(AD32:AD37)*('Summary Page'!$C$4+1))*('Summary Page'!$C$4+1))*('Summary Page'!$C$4+1)</f>
        <v>183.74399999999997</v>
      </c>
      <c r="EQ37" s="7">
        <f t="shared" si="29"/>
        <v>100</v>
      </c>
      <c r="ER37" s="16">
        <f t="shared" si="17"/>
        <v>24</v>
      </c>
      <c r="ES37" s="16">
        <f t="shared" si="18"/>
        <v>20.674157303370784</v>
      </c>
      <c r="ET37" s="7">
        <f t="shared" si="30"/>
        <v>24.80898876404494</v>
      </c>
      <c r="EU37" s="7">
        <f>((AVERAGE(ER32:ER37)*('Summary Page'!$C$2+1))*('Summary Page'!$C$2+1))*('Summary Page'!$C$2+1)</f>
        <v>31.997393657927589</v>
      </c>
      <c r="EV37" s="7">
        <f>((AVERAGE(ER32:ER37)*('Summary Page'!$C$3+1))*('Summary Page'!$C$3+1))*('Summary Page'!$C$3+1)</f>
        <v>40.037843320848943</v>
      </c>
      <c r="EW37" s="7">
        <f>((AVERAGE(ER32:ER37)*('Summary Page'!$C$4+1))*('Summary Page'!$C$4+1))*('Summary Page'!$C$4+1)</f>
        <v>35.422921348314603</v>
      </c>
      <c r="EX37" s="11">
        <f t="shared" si="31"/>
        <v>28</v>
      </c>
      <c r="EY37" s="11">
        <f t="shared" si="32"/>
        <v>24.119850187265914</v>
      </c>
      <c r="EZ37" s="11">
        <f t="shared" si="33"/>
        <v>28.943820224719097</v>
      </c>
      <c r="FA37" s="11">
        <f t="shared" si="34"/>
        <v>37.33029260091552</v>
      </c>
      <c r="FB37" s="11">
        <f t="shared" si="35"/>
        <v>46.710817207657101</v>
      </c>
      <c r="FC37" s="11">
        <f t="shared" si="36"/>
        <v>41.326741573033701</v>
      </c>
    </row>
    <row r="38" spans="1:159" ht="15.75" x14ac:dyDescent="0.25">
      <c r="A38" s="10">
        <v>44054</v>
      </c>
      <c r="B38" s="67">
        <v>86</v>
      </c>
      <c r="C38" s="67">
        <v>57</v>
      </c>
      <c r="D38" s="67">
        <v>52</v>
      </c>
      <c r="E38" s="67">
        <f t="shared" si="1"/>
        <v>71.5</v>
      </c>
      <c r="F38" s="67">
        <v>0</v>
      </c>
      <c r="G38" s="67">
        <v>0</v>
      </c>
      <c r="H38" s="67">
        <v>11</v>
      </c>
      <c r="I38" s="67">
        <v>54</v>
      </c>
      <c r="J38" s="67"/>
      <c r="K38" s="67">
        <v>68</v>
      </c>
      <c r="L38" s="67">
        <v>85</v>
      </c>
      <c r="M38" s="67">
        <v>44</v>
      </c>
      <c r="N38" s="67">
        <v>36</v>
      </c>
      <c r="O38" s="67">
        <f t="shared" si="8"/>
        <v>64.5</v>
      </c>
      <c r="P38" s="67">
        <v>0</v>
      </c>
      <c r="Q38" s="67">
        <v>0</v>
      </c>
      <c r="R38" s="67">
        <v>16</v>
      </c>
      <c r="S38" s="67">
        <v>63</v>
      </c>
      <c r="T38" s="67"/>
      <c r="U38" s="67">
        <v>67</v>
      </c>
      <c r="V38" s="13"/>
      <c r="W38" s="13"/>
      <c r="X38" s="13"/>
      <c r="Y38" s="13"/>
      <c r="Z38" s="13"/>
      <c r="AA38" s="13"/>
      <c r="AB38" s="13"/>
      <c r="AC38" s="13"/>
      <c r="AD38" s="43">
        <v>101</v>
      </c>
      <c r="AE38" s="43">
        <v>95</v>
      </c>
      <c r="AF38" s="43"/>
      <c r="AG38" s="43">
        <v>853</v>
      </c>
      <c r="AH38" s="43">
        <v>805</v>
      </c>
      <c r="AI38" s="43"/>
      <c r="AJ38" s="43"/>
      <c r="AK38" s="43"/>
      <c r="AL38" s="43"/>
      <c r="AM38" s="43"/>
      <c r="AN38" s="13">
        <f t="shared" si="23"/>
        <v>80.399999999999991</v>
      </c>
      <c r="AO38" s="7">
        <f>((AVERAGE(K33:K38)*('Summary Page'!$C$2+1))*('Summary Page'!$C$2+1))*('Summary Page'!$C$2+1)</f>
        <v>82.337263999999976</v>
      </c>
      <c r="AP38" s="7">
        <f>((AVERAGE(K33:K38)*('Summary Page'!$C$3+1))*('Summary Page'!$C$3+1))*('Summary Page'!$C$3+1)</f>
        <v>103.02734375</v>
      </c>
      <c r="AQ38" s="7">
        <f>((AVERAGE(K33:K38)*('Summary Page'!$C$4+1))*('Summary Page'!$C$4+1))*('Summary Page'!$C$4+1)</f>
        <v>91.151999999999987</v>
      </c>
      <c r="AR38" s="7">
        <f t="shared" si="24"/>
        <v>80</v>
      </c>
      <c r="AS38" s="5">
        <f t="shared" si="38"/>
        <v>55.5</v>
      </c>
      <c r="AT38" s="13">
        <f t="shared" si="39"/>
        <v>53.5</v>
      </c>
      <c r="AU38" s="13">
        <f t="shared" si="40"/>
        <v>64.2</v>
      </c>
      <c r="AV38" s="7">
        <f>((AVERAGE(AS27:AS38,AU27:AU38)*('Summary Page'!$C$2+1))*('Summary Page'!$C$2+1))*('Summary Page'!$C$2+1)</f>
        <v>74.175078666666664</v>
      </c>
      <c r="AW38" s="7">
        <f>((AVERAGE(AS27:AS38,AU27:AU38)*('Summary Page'!$C$3+1))*('Summary Page'!$C$3+1))*('Summary Page'!$C$3+1)</f>
        <v>92.814127604166686</v>
      </c>
      <c r="AX38" s="7">
        <f>((AVERAGE(AS27:AS38,AU27:AU38)*('Summary Page'!$C$4+1))*('Summary Page'!$C$4+1))*('Summary Page'!$C$4+1)</f>
        <v>82.116</v>
      </c>
      <c r="BA38" s="43">
        <f t="shared" si="37"/>
        <v>102</v>
      </c>
      <c r="BB38" s="7">
        <f>((AVERAGE(B33:B38)*(+'Summary Page'!$C$2+1))*('Summary Page'!$C$2+1))*('Summary Page'!$C$2+1)</f>
        <v>120.44914133333332</v>
      </c>
      <c r="BC38" s="7">
        <f>((AVERAGE(B33:B38)*('Summary Page'!$C$3+1))*('Summary Page'!$C$3+1))*('Summary Page'!$C$3+1)</f>
        <v>150.71614583333337</v>
      </c>
      <c r="BD38" s="7">
        <f>((AVERAGE(B33:B38)*('Summary Page'!$C$4+1))*('Summary Page'!$C$4+1))*('Summary Page'!$C$4+1)</f>
        <v>133.34399999999999</v>
      </c>
      <c r="CQ38" s="43">
        <f t="shared" si="25"/>
        <v>52.8</v>
      </c>
      <c r="CR38" s="7">
        <f>((AVERAGE(C33:C38)*('Summary Page'!$C$2+1))*('Summary Page'!$C$2+1))*('Summary Page'!$C$2+1)</f>
        <v>87.670325333333309</v>
      </c>
      <c r="CS38" s="7">
        <f>((AVERAGE(C33:C38)*('Summary Page'!$C$3+1))*('Summary Page'!$C$3+1))*('Summary Page'!$C$3+1)</f>
        <v>109.70052083333331</v>
      </c>
      <c r="CT38" s="8">
        <f>((AVERAGE(C33:C38)*('Summary Page'!$C$4+1))*('Summary Page'!$C$4+1))*('Summary Page'!$C$4+1)</f>
        <v>97.055999999999969</v>
      </c>
      <c r="CW38" s="43">
        <f t="shared" si="26"/>
        <v>43.199999999999996</v>
      </c>
      <c r="CX38" s="7">
        <f>((AVERAGE(D33:D38)*('Summary Page'!$C$2+1))*('Summary Page'!$C$2+1))*('Summary Page'!$C$2+1)</f>
        <v>85.849279999999993</v>
      </c>
      <c r="CY38" s="7">
        <f>((AVERAGE(D33:D38)*('Summary Page'!$C$3+1))*('Summary Page'!$C$3+1))*('Summary Page'!$C$3+1)</f>
        <v>107.421875</v>
      </c>
      <c r="CZ38" s="8">
        <f>((AVERAGE(D33:D38)*('Summary Page'!$C$4+1))*('Summary Page'!$C$4+1))*('Summary Page'!$C$4+1)</f>
        <v>95.04</v>
      </c>
      <c r="DO38" s="43"/>
      <c r="DP38" s="7"/>
      <c r="DQ38" s="7"/>
      <c r="DR38" s="8"/>
      <c r="DU38" s="43"/>
      <c r="DV38" s="7"/>
      <c r="DW38" s="7"/>
      <c r="DX38" s="8"/>
      <c r="EA38" s="43">
        <f t="shared" si="27"/>
        <v>19.2</v>
      </c>
      <c r="EB38" s="7">
        <f>((AVERAGE(H33:H38)*('Summary Page'!$C$2+1))*('Summary Page'!$C$2+1))*('Summary Page'!$C$2+1)</f>
        <v>23.673589333333329</v>
      </c>
      <c r="EC38" s="7">
        <f>((AVERAGE(H33:H38)*('Summary Page'!$C$3+1))*('Summary Page'!$C$3+1))*('Summary Page'!$C$3+1)</f>
        <v>29.622395833333329</v>
      </c>
      <c r="ED38" s="8">
        <f>((AVERAGE(H33:H38)*('Summary Page'!$C$4+1))*('Summary Page'!$C$4+1))*('Summary Page'!$C$4+1)</f>
        <v>26.207999999999998</v>
      </c>
      <c r="EG38" s="43">
        <f t="shared" si="28"/>
        <v>75.599999999999994</v>
      </c>
      <c r="EH38" s="7">
        <f>((AVERAGE(I33:I38)*('Summary Page'!$C$2+1))*('Summary Page'!$C$2+1))*('Summary Page'!$C$2+1)</f>
        <v>104.05973333333331</v>
      </c>
      <c r="EI38" s="7">
        <f>((AVERAGE(I33:I38)*('Summary Page'!$C$3+1))*('Summary Page'!$C$3+1))*('Summary Page'!$C$3+1)</f>
        <v>130.20833333333337</v>
      </c>
      <c r="EJ38" s="8">
        <f>((AVERAGE(I33:I38)*('Summary Page'!$C$4+1))*('Summary Page'!$C$4+1))*('Summary Page'!$C$4+1)</f>
        <v>115.19999999999999</v>
      </c>
      <c r="EM38" s="43">
        <f t="shared" si="22"/>
        <v>114</v>
      </c>
      <c r="EN38" s="7">
        <f>((AVERAGE(AD33:AD38)*('Summary Page'!$C$2+1))*('Summary Page'!$C$2+1))*('Summary Page'!$C$2+1)</f>
        <v>165.71512533333333</v>
      </c>
      <c r="EO38" s="7">
        <f>((AVERAGE(AD33:AD38)*('Summary Page'!$C$3+1))*('Summary Page'!$C$3+1))*('Summary Page'!$C$3+1)</f>
        <v>207.35677083333337</v>
      </c>
      <c r="EP38" s="7">
        <f>((AVERAGE(AD33:AD38)*('Summary Page'!$C$4+1))*('Summary Page'!$C$4+1))*('Summary Page'!$C$4+1)</f>
        <v>183.45599999999999</v>
      </c>
      <c r="EQ38" s="7">
        <f t="shared" si="29"/>
        <v>100</v>
      </c>
      <c r="ER38" s="16">
        <f t="shared" si="17"/>
        <v>25.558052434456929</v>
      </c>
      <c r="ES38" s="16">
        <f t="shared" si="18"/>
        <v>24.119850187265918</v>
      </c>
      <c r="ET38" s="7">
        <f t="shared" si="30"/>
        <v>28.943820224719101</v>
      </c>
      <c r="EU38" s="7">
        <f>((AVERAGE(ER33:ER38)*('Summary Page'!$C$2+1))*('Summary Page'!$C$2+1))*('Summary Page'!$C$2+1)</f>
        <v>33.501777817727827</v>
      </c>
      <c r="EV38" s="7">
        <f>((AVERAGE(ER33:ER38)*('Summary Page'!$C$3+1))*('Summary Page'!$C$3+1))*('Summary Page'!$C$3+1)</f>
        <v>41.920255930087379</v>
      </c>
      <c r="EW38" s="7">
        <f>((AVERAGE(ER33:ER38)*('Summary Page'!$C$4+1))*('Summary Page'!$C$4+1))*('Summary Page'!$C$4+1)</f>
        <v>37.08835955056179</v>
      </c>
      <c r="EX38" s="11">
        <f t="shared" si="31"/>
        <v>29.817727840199751</v>
      </c>
      <c r="EY38" s="11">
        <f t="shared" si="32"/>
        <v>28.139825218476904</v>
      </c>
      <c r="EZ38" s="11">
        <f t="shared" si="33"/>
        <v>33.767790262172284</v>
      </c>
      <c r="FA38" s="11">
        <f t="shared" ref="FA38:FA48" si="41">(EU38/6)+EU38</f>
        <v>39.085407454015801</v>
      </c>
      <c r="FB38" s="11">
        <f t="shared" si="35"/>
        <v>48.906965251768611</v>
      </c>
      <c r="FC38" s="11">
        <f t="shared" si="36"/>
        <v>43.269752808988756</v>
      </c>
    </row>
    <row r="39" spans="1:159" ht="15.75" x14ac:dyDescent="0.25">
      <c r="A39" s="10">
        <v>44078</v>
      </c>
      <c r="B39" s="67">
        <v>115</v>
      </c>
      <c r="C39" s="67">
        <v>55</v>
      </c>
      <c r="D39" s="67">
        <v>48</v>
      </c>
      <c r="E39" s="67">
        <f t="shared" si="1"/>
        <v>85</v>
      </c>
      <c r="F39" s="67">
        <v>0</v>
      </c>
      <c r="G39" s="67">
        <v>0</v>
      </c>
      <c r="H39" s="67">
        <v>16</v>
      </c>
      <c r="I39" s="67">
        <v>71</v>
      </c>
      <c r="J39" s="67"/>
      <c r="K39" s="67">
        <v>81.5</v>
      </c>
      <c r="L39" s="67">
        <v>103</v>
      </c>
      <c r="M39" s="67">
        <v>42</v>
      </c>
      <c r="N39" s="67">
        <v>36</v>
      </c>
      <c r="O39" s="67">
        <f t="shared" si="8"/>
        <v>72.5</v>
      </c>
      <c r="P39" s="67">
        <v>0</v>
      </c>
      <c r="Q39" s="67">
        <v>0</v>
      </c>
      <c r="R39" s="67">
        <v>12</v>
      </c>
      <c r="S39" s="67">
        <v>54</v>
      </c>
      <c r="T39" s="67"/>
      <c r="U39" s="67">
        <v>65</v>
      </c>
      <c r="V39" s="13"/>
      <c r="W39" s="13"/>
      <c r="X39" s="13"/>
      <c r="Y39" s="13"/>
      <c r="Z39" s="13"/>
      <c r="AA39" s="13"/>
      <c r="AB39" s="13"/>
      <c r="AC39" s="13"/>
      <c r="AD39" s="43">
        <v>134</v>
      </c>
      <c r="AE39" s="43">
        <v>107</v>
      </c>
      <c r="AF39" s="43"/>
      <c r="AG39" s="43">
        <v>776</v>
      </c>
      <c r="AH39" s="43">
        <v>724</v>
      </c>
      <c r="AI39" s="43"/>
      <c r="AJ39" s="43"/>
      <c r="AK39" s="43"/>
      <c r="AL39" s="43"/>
      <c r="AM39" s="43"/>
      <c r="AN39" s="13">
        <f t="shared" si="23"/>
        <v>78</v>
      </c>
      <c r="AO39" s="7">
        <f>((AVERAGE(K34:K39)*('Summary Page'!$C$2+1))*('Summary Page'!$C$2+1))*('Summary Page'!$C$2+1)</f>
        <v>91.832714666666661</v>
      </c>
      <c r="AP39" s="7">
        <f>((AVERAGE(K34:K39)*('Summary Page'!$C$3+1))*('Summary Page'!$C$3+1))*('Summary Page'!$C$3+1)</f>
        <v>114.90885416666669</v>
      </c>
      <c r="AQ39" s="7">
        <f>((AVERAGE(K34:K39)*('Summary Page'!$C$4+1))*('Summary Page'!$C$4+1))*('Summary Page'!$C$4+1)</f>
        <v>101.66399999999997</v>
      </c>
      <c r="AR39" s="7">
        <f t="shared" si="24"/>
        <v>80</v>
      </c>
      <c r="AS39" s="5">
        <f t="shared" si="38"/>
        <v>63</v>
      </c>
      <c r="AT39" s="13">
        <f t="shared" si="39"/>
        <v>48</v>
      </c>
      <c r="AU39" s="13">
        <f t="shared" si="40"/>
        <v>57.599999999999994</v>
      </c>
      <c r="AV39" s="7">
        <f>((AVERAGE(AS28:AS39,AU28:AU39)*('Summary Page'!$C$2+1))*('Summary Page'!$C$2+1))*('Summary Page'!$C$2+1)</f>
        <v>78.428520266666666</v>
      </c>
      <c r="AW39" s="7">
        <f>((AVERAGE(AS28:AS39,AU28:AU39)*('Summary Page'!$C$3+1))*('Summary Page'!$C$3+1))*('Summary Page'!$C$3+1)</f>
        <v>98.136393229166686</v>
      </c>
      <c r="AX39" s="7">
        <f>((AVERAGE(AS28:AS39,AU28:AU39)*('Summary Page'!$C$4+1))*('Summary Page'!$C$4+1))*('Summary Page'!$C$4+1)</f>
        <v>86.824799999999996</v>
      </c>
      <c r="BA39" s="43">
        <f t="shared" ref="BA39:BA49" si="42">L39*1.2</f>
        <v>123.6</v>
      </c>
      <c r="BB39" s="7">
        <f>((AVERAGE(B34:B39)*(+'Summary Page'!$C$2+1))*('Summary Page'!$C$2+1))*('Summary Page'!$C$2+1)</f>
        <v>130.85511466666662</v>
      </c>
      <c r="BC39" s="7">
        <f>((AVERAGE(B34:B39)*('Summary Page'!$C$3+1))*('Summary Page'!$C$3+1))*('Summary Page'!$C$3+1)</f>
        <v>163.73697916666663</v>
      </c>
      <c r="BD39" s="7">
        <f>((AVERAGE(B34:B39)*('Summary Page'!$C$4+1))*('Summary Page'!$C$4+1))*('Summary Page'!$C$4+1)</f>
        <v>144.86399999999998</v>
      </c>
      <c r="CQ39" s="43">
        <f t="shared" si="25"/>
        <v>50.4</v>
      </c>
      <c r="CR39" s="7">
        <f>((AVERAGE(C34:C39)*('Summary Page'!$C$2+1))*('Summary Page'!$C$2+1))*('Summary Page'!$C$2+1)</f>
        <v>89.751519999999971</v>
      </c>
      <c r="CS39" s="7">
        <f>((AVERAGE(C34:C39)*('Summary Page'!$C$3+1))*('Summary Page'!$C$3+1))*('Summary Page'!$C$3+1)</f>
        <v>112.3046875</v>
      </c>
      <c r="CT39" s="8">
        <f>((AVERAGE(C34:C39)*('Summary Page'!$C$4+1))*('Summary Page'!$C$4+1))*('Summary Page'!$C$4+1)</f>
        <v>99.36</v>
      </c>
      <c r="CW39" s="43">
        <f t="shared" si="26"/>
        <v>43.199999999999996</v>
      </c>
      <c r="CX39" s="7">
        <f>((AVERAGE(D34:D39)*('Summary Page'!$C$2+1))*('Summary Page'!$C$2+1))*('Summary Page'!$C$2+1)</f>
        <v>87.670325333333309</v>
      </c>
      <c r="CY39" s="7">
        <f>((AVERAGE(D34:D39)*('Summary Page'!$C$3+1))*('Summary Page'!$C$3+1))*('Summary Page'!$C$3+1)</f>
        <v>109.70052083333331</v>
      </c>
      <c r="CZ39" s="8">
        <f>((AVERAGE(D34:D39)*('Summary Page'!$C$4+1))*('Summary Page'!$C$4+1))*('Summary Page'!$C$4+1)</f>
        <v>97.055999999999969</v>
      </c>
      <c r="DO39" s="43"/>
      <c r="DP39" s="7"/>
      <c r="DQ39" s="7"/>
      <c r="DR39" s="8"/>
      <c r="DU39" s="43"/>
      <c r="DV39" s="7"/>
      <c r="DW39" s="7"/>
      <c r="DX39" s="8"/>
      <c r="EA39" s="43">
        <f t="shared" si="27"/>
        <v>14.399999999999999</v>
      </c>
      <c r="EB39" s="7">
        <f>((AVERAGE(H34:H39)*('Summary Page'!$C$2+1))*('Summary Page'!$C$2+1))*('Summary Page'!$C$2+1)</f>
        <v>23.413439999999994</v>
      </c>
      <c r="EC39" s="7">
        <f>((AVERAGE(H34:H39)*('Summary Page'!$C$3+1))*('Summary Page'!$C$3+1))*('Summary Page'!$C$3+1)</f>
        <v>29.296875</v>
      </c>
      <c r="ED39" s="8">
        <f>((AVERAGE(H34:H39)*('Summary Page'!$C$4+1))*('Summary Page'!$C$4+1))*('Summary Page'!$C$4+1)</f>
        <v>25.919999999999998</v>
      </c>
      <c r="EG39" s="43">
        <f t="shared" si="28"/>
        <v>64.8</v>
      </c>
      <c r="EH39" s="7">
        <f>((AVERAGE(I34:I39)*('Summary Page'!$C$2+1))*('Summary Page'!$C$2+1))*('Summary Page'!$C$2+1)</f>
        <v>107.44167466666663</v>
      </c>
      <c r="EI39" s="7">
        <f>((AVERAGE(I34:I39)*('Summary Page'!$C$3+1))*('Summary Page'!$C$3+1))*('Summary Page'!$C$3+1)</f>
        <v>134.44010416666663</v>
      </c>
      <c r="EJ39" s="8">
        <f>((AVERAGE(I34:I39)*('Summary Page'!$C$4+1))*('Summary Page'!$C$4+1))*('Summary Page'!$C$4+1)</f>
        <v>118.94399999999999</v>
      </c>
      <c r="EM39" s="43">
        <f t="shared" si="22"/>
        <v>128.4</v>
      </c>
      <c r="EN39" s="7">
        <f>((AVERAGE(AD34:AD39)*('Summary Page'!$C$2+1))*('Summary Page'!$C$2+1))*('Summary Page'!$C$2+1)</f>
        <v>175.08050133333333</v>
      </c>
      <c r="EO39" s="7">
        <f>((AVERAGE(AD34:AD39)*('Summary Page'!$C$3+1))*('Summary Page'!$C$3+1))*('Summary Page'!$C$3+1)</f>
        <v>219.07552083333337</v>
      </c>
      <c r="EP39" s="7">
        <f>((AVERAGE(AD34:AD39)*('Summary Page'!$C$4+1))*('Summary Page'!$C$4+1))*('Summary Page'!$C$4+1)</f>
        <v>193.82399999999998</v>
      </c>
      <c r="EQ39" s="7">
        <f t="shared" si="29"/>
        <v>100</v>
      </c>
      <c r="ER39" s="16">
        <f t="shared" si="17"/>
        <v>23.250936329588015</v>
      </c>
      <c r="ES39" s="16">
        <f t="shared" si="18"/>
        <v>21.692883895131086</v>
      </c>
      <c r="ET39" s="7">
        <f t="shared" si="30"/>
        <v>26.031460674157302</v>
      </c>
      <c r="EU39" s="7">
        <f>((AVERAGE(ER34:ER39)*('Summary Page'!$C$2+1))*('Summary Page'!$C$2+1))*('Summary Page'!$C$2+1)</f>
        <v>34.554067255930079</v>
      </c>
      <c r="EV39" s="7">
        <f>((AVERAGE(ER34:ER39)*('Summary Page'!$C$3+1))*('Summary Page'!$C$3+1))*('Summary Page'!$C$3+1)</f>
        <v>43.236969413233467</v>
      </c>
      <c r="EW39" s="7">
        <f>((AVERAGE(ER34:ER39)*('Summary Page'!$C$4+1))*('Summary Page'!$C$4+1))*('Summary Page'!$C$4+1)</f>
        <v>38.253303370786512</v>
      </c>
      <c r="EX39" s="11">
        <f t="shared" si="31"/>
        <v>27.12609238451935</v>
      </c>
      <c r="EY39" s="11">
        <f t="shared" si="32"/>
        <v>25.308364544319602</v>
      </c>
      <c r="EZ39" s="11">
        <f t="shared" si="33"/>
        <v>30.370037453183517</v>
      </c>
      <c r="FA39" s="11">
        <f t="shared" si="41"/>
        <v>40.313078465251756</v>
      </c>
      <c r="FB39" s="11">
        <f t="shared" si="35"/>
        <v>50.443130982105714</v>
      </c>
      <c r="FC39" s="11">
        <f t="shared" si="36"/>
        <v>44.628853932584263</v>
      </c>
    </row>
    <row r="40" spans="1:159" ht="15.75" x14ac:dyDescent="0.25">
      <c r="A40" s="10">
        <v>44105</v>
      </c>
      <c r="B40" s="67">
        <v>138</v>
      </c>
      <c r="C40" s="67">
        <v>50</v>
      </c>
      <c r="D40" s="67">
        <v>42</v>
      </c>
      <c r="E40" s="67">
        <f t="shared" si="1"/>
        <v>94</v>
      </c>
      <c r="F40" s="67">
        <v>0</v>
      </c>
      <c r="G40" s="67">
        <v>0</v>
      </c>
      <c r="H40" s="67">
        <v>16</v>
      </c>
      <c r="I40" s="67">
        <v>61</v>
      </c>
      <c r="J40" s="67"/>
      <c r="K40" s="67">
        <v>100</v>
      </c>
      <c r="L40" s="67">
        <v>83</v>
      </c>
      <c r="M40" s="67">
        <v>49</v>
      </c>
      <c r="N40" s="67">
        <v>41</v>
      </c>
      <c r="O40" s="67">
        <f t="shared" si="8"/>
        <v>66</v>
      </c>
      <c r="P40" s="67">
        <v>0</v>
      </c>
      <c r="Q40" s="67">
        <v>0</v>
      </c>
      <c r="R40" s="67">
        <v>8</v>
      </c>
      <c r="S40" s="67">
        <v>46</v>
      </c>
      <c r="T40" s="67"/>
      <c r="U40" s="67">
        <v>53</v>
      </c>
      <c r="V40" s="13"/>
      <c r="W40" s="13"/>
      <c r="X40" s="13"/>
      <c r="Y40" s="13"/>
      <c r="Z40" s="13"/>
      <c r="AA40" s="13"/>
      <c r="AB40" s="13"/>
      <c r="AC40" s="13"/>
      <c r="AD40" s="43">
        <v>153</v>
      </c>
      <c r="AE40" s="43">
        <v>90</v>
      </c>
      <c r="AF40" s="43"/>
      <c r="AG40" s="43">
        <v>729</v>
      </c>
      <c r="AH40">
        <v>741</v>
      </c>
      <c r="AN40" s="13">
        <f t="shared" si="23"/>
        <v>63.599999999999994</v>
      </c>
      <c r="AO40" s="7">
        <f>((AVERAGE(K35:K40)*('Summary Page'!$C$2+1))*('Summary Page'!$C$2+1))*('Summary Page'!$C$2+1)</f>
        <v>106.92137599999998</v>
      </c>
      <c r="AP40" s="7">
        <f>((AVERAGE(K35:K40)*('Summary Page'!$C$3+1))*('Summary Page'!$C$3+1))*('Summary Page'!$C$3+1)</f>
        <v>133.7890625</v>
      </c>
      <c r="AQ40" s="7">
        <f>((AVERAGE(K35:K40)*('Summary Page'!$C$4+1))*('Summary Page'!$C$4+1))*('Summary Page'!$C$4+1)</f>
        <v>118.36799999999999</v>
      </c>
      <c r="AR40" s="7">
        <f t="shared" si="24"/>
        <v>80</v>
      </c>
      <c r="AS40" s="5">
        <f t="shared" si="38"/>
        <v>55.5</v>
      </c>
      <c r="AT40" s="13">
        <f t="shared" si="39"/>
        <v>47.5</v>
      </c>
      <c r="AU40" s="13">
        <f t="shared" si="40"/>
        <v>57</v>
      </c>
      <c r="AV40" s="7">
        <f>((AVERAGE(AS29:AS40,AU29:AU40)*('Summary Page'!$C$2+1))*('Summary Page'!$C$2+1))*('Summary Page'!$C$2+1)</f>
        <v>81.192606933333337</v>
      </c>
      <c r="AW40" s="7">
        <f>((AVERAGE(AS29:AS40,AU29:AU40)*('Summary Page'!$C$3+1))*('Summary Page'!$C$3+1))*('Summary Page'!$C$3+1)</f>
        <v>101.59505208333336</v>
      </c>
      <c r="AX40" s="7">
        <f>((AVERAGE(AS29:AS40,AU29:AU40)*('Summary Page'!$C$4+1))*('Summary Page'!$C$4+1))*('Summary Page'!$C$4+1)</f>
        <v>89.884799999999998</v>
      </c>
      <c r="BA40" s="43">
        <f t="shared" si="42"/>
        <v>99.6</v>
      </c>
      <c r="BB40" s="7">
        <f>((AVERAGE(B35:B40)*(+'Summary Page'!$C$2+1))*('Summary Page'!$C$2+1))*('Summary Page'!$C$2+1)</f>
        <v>143.34228266666665</v>
      </c>
      <c r="BC40" s="7">
        <f>((AVERAGE(B35:B40)*('Summary Page'!$C$3+1))*('Summary Page'!$C$3+1))*('Summary Page'!$C$3+1)</f>
        <v>179.36197916666663</v>
      </c>
      <c r="BD40" s="7">
        <f>((AVERAGE(B35:B40)*('Summary Page'!$C$4+1))*('Summary Page'!$C$4+1))*('Summary Page'!$C$4+1)</f>
        <v>158.68799999999996</v>
      </c>
      <c r="CQ40" s="43">
        <f t="shared" si="25"/>
        <v>58.8</v>
      </c>
      <c r="CR40" s="7">
        <f>((AVERAGE(C35:C40)*('Summary Page'!$C$2+1))*('Summary Page'!$C$2+1))*('Summary Page'!$C$2+1)</f>
        <v>91.832714666666661</v>
      </c>
      <c r="CS40" s="7">
        <f>((AVERAGE(C35:C40)*('Summary Page'!$C$3+1))*('Summary Page'!$C$3+1))*('Summary Page'!$C$3+1)</f>
        <v>114.90885416666669</v>
      </c>
      <c r="CT40" s="8">
        <f>((AVERAGE(C35:C40)*('Summary Page'!$C$4+1))*('Summary Page'!$C$4+1))*('Summary Page'!$C$4+1)</f>
        <v>101.66399999999997</v>
      </c>
      <c r="CW40" s="43">
        <f t="shared" si="26"/>
        <v>49.199999999999996</v>
      </c>
      <c r="CX40" s="7">
        <f>((AVERAGE(D35:D40)*('Summary Page'!$C$2+1))*('Summary Page'!$C$2+1))*('Summary Page'!$C$2+1)</f>
        <v>89.231221333333309</v>
      </c>
      <c r="CY40" s="7">
        <f>((AVERAGE(D35:D40)*('Summary Page'!$C$3+1))*('Summary Page'!$C$3+1))*('Summary Page'!$C$3+1)</f>
        <v>111.65364583333331</v>
      </c>
      <c r="CZ40" s="8">
        <f>((AVERAGE(D35:D40)*('Summary Page'!$C$4+1))*('Summary Page'!$C$4+1))*('Summary Page'!$C$4+1)</f>
        <v>98.783999999999992</v>
      </c>
      <c r="DO40" s="43"/>
      <c r="DP40" s="7"/>
      <c r="DQ40" s="7"/>
      <c r="DR40" s="8"/>
      <c r="DU40" s="43"/>
      <c r="DV40" s="7"/>
      <c r="DW40" s="7"/>
      <c r="DX40" s="8"/>
      <c r="EA40" s="43">
        <f t="shared" si="27"/>
        <v>9.6</v>
      </c>
      <c r="EB40" s="7">
        <f>((AVERAGE(H35:H40)*('Summary Page'!$C$2+1))*('Summary Page'!$C$2+1))*('Summary Page'!$C$2+1)</f>
        <v>23.153290666666663</v>
      </c>
      <c r="EC40" s="7">
        <f>((AVERAGE(H35:H40)*('Summary Page'!$C$3+1))*('Summary Page'!$C$3+1))*('Summary Page'!$C$3+1)</f>
        <v>28.971354166666671</v>
      </c>
      <c r="ED40" s="8">
        <f>((AVERAGE(H35:H40)*('Summary Page'!$C$4+1))*('Summary Page'!$C$4+1))*('Summary Page'!$C$4+1)</f>
        <v>25.631999999999998</v>
      </c>
      <c r="EG40" s="43">
        <f t="shared" si="28"/>
        <v>55.199999999999996</v>
      </c>
      <c r="EH40" s="7">
        <f>((AVERAGE(I35:I40)*('Summary Page'!$C$2+1))*('Summary Page'!$C$2+1))*('Summary Page'!$C$2+1)</f>
        <v>103.799584</v>
      </c>
      <c r="EI40" s="7">
        <f>((AVERAGE(I35:I40)*('Summary Page'!$C$3+1))*('Summary Page'!$C$3+1))*('Summary Page'!$C$3+1)</f>
        <v>129.8828125</v>
      </c>
      <c r="EJ40" s="8">
        <f>((AVERAGE(I35:I40)*('Summary Page'!$C$4+1))*('Summary Page'!$C$4+1))*('Summary Page'!$C$4+1)</f>
        <v>114.91199999999999</v>
      </c>
      <c r="EM40" s="43">
        <f t="shared" si="22"/>
        <v>108</v>
      </c>
      <c r="EN40" s="7">
        <f>((AVERAGE(AD35:AD40)*('Summary Page'!$C$2+1))*('Summary Page'!$C$2+1))*('Summary Page'!$C$2+1)</f>
        <v>187.82781866666662</v>
      </c>
      <c r="EO40" s="7">
        <f>((AVERAGE(AD35:AD40)*('Summary Page'!$C$3+1))*('Summary Page'!$C$3+1))*('Summary Page'!$C$3+1)</f>
        <v>235.02604166666663</v>
      </c>
      <c r="EP40" s="7">
        <f>((AVERAGE(AD35:AD40)*('Summary Page'!$C$4+1))*('Summary Page'!$C$4+1))*('Summary Page'!$C$4+1)</f>
        <v>207.93599999999995</v>
      </c>
      <c r="EQ40" s="7">
        <f t="shared" si="29"/>
        <v>100</v>
      </c>
      <c r="ER40" s="16">
        <f t="shared" si="17"/>
        <v>21.842696629213485</v>
      </c>
      <c r="ES40" s="16">
        <f t="shared" si="18"/>
        <v>22.202247191011235</v>
      </c>
      <c r="ET40" s="7">
        <f t="shared" si="30"/>
        <v>26.642696629213482</v>
      </c>
      <c r="EU40" s="7">
        <f>((AVERAGE(ER35:ER40)*('Summary Page'!$C$2+1))*('Summary Page'!$C$2+1))*('Summary Page'!$C$2+1)</f>
        <v>34.850267245942561</v>
      </c>
      <c r="EV40" s="7">
        <f>((AVERAGE(ER35:ER40)*('Summary Page'!$C$3+1))*('Summary Page'!$C$3+1))*('Summary Page'!$C$3+1)</f>
        <v>43.607599875156055</v>
      </c>
      <c r="EW40" s="7">
        <f>((AVERAGE(ER35:ER40)*('Summary Page'!$C$4+1))*('Summary Page'!$C$4+1))*('Summary Page'!$C$4+1)</f>
        <v>38.581213483146065</v>
      </c>
      <c r="EX40" s="11">
        <f t="shared" si="31"/>
        <v>25.483146067415731</v>
      </c>
      <c r="EY40" s="11">
        <f t="shared" si="32"/>
        <v>25.90262172284644</v>
      </c>
      <c r="EZ40" s="11">
        <f t="shared" si="33"/>
        <v>31.083146067415729</v>
      </c>
      <c r="FA40" s="11">
        <f t="shared" si="41"/>
        <v>40.658645120266321</v>
      </c>
      <c r="FB40" s="11">
        <f t="shared" si="35"/>
        <v>50.875533187682066</v>
      </c>
      <c r="FC40" s="11">
        <f t="shared" si="36"/>
        <v>45.011415730337077</v>
      </c>
    </row>
    <row r="41" spans="1:159" ht="15.75" x14ac:dyDescent="0.25">
      <c r="A41" s="10">
        <v>44138</v>
      </c>
      <c r="B41" s="67">
        <v>128</v>
      </c>
      <c r="C41" s="67">
        <v>62</v>
      </c>
      <c r="D41" s="67">
        <v>52</v>
      </c>
      <c r="E41" s="67">
        <f t="shared" si="1"/>
        <v>95</v>
      </c>
      <c r="F41" s="67">
        <v>0</v>
      </c>
      <c r="G41" s="67">
        <v>0</v>
      </c>
      <c r="H41" s="67">
        <v>20</v>
      </c>
      <c r="I41" s="67">
        <v>58</v>
      </c>
      <c r="J41" s="67"/>
      <c r="K41" s="67">
        <v>90</v>
      </c>
      <c r="L41" s="67">
        <v>100</v>
      </c>
      <c r="M41" s="67">
        <v>36</v>
      </c>
      <c r="N41" s="67">
        <v>30</v>
      </c>
      <c r="O41" s="67">
        <f t="shared" si="8"/>
        <v>68</v>
      </c>
      <c r="P41" s="67">
        <v>0</v>
      </c>
      <c r="Q41" s="67">
        <v>0</v>
      </c>
      <c r="R41" s="67">
        <v>12</v>
      </c>
      <c r="S41" s="67">
        <v>73</v>
      </c>
      <c r="T41" s="67"/>
      <c r="U41" s="67">
        <v>48</v>
      </c>
      <c r="V41" s="13"/>
      <c r="W41" s="13"/>
      <c r="X41" s="13"/>
      <c r="Y41" s="13"/>
      <c r="Z41" s="13"/>
      <c r="AA41" s="13"/>
      <c r="AB41" s="13"/>
      <c r="AC41" s="13"/>
      <c r="AD41" s="43">
        <v>126</v>
      </c>
      <c r="AE41" s="67">
        <v>77</v>
      </c>
      <c r="AF41" s="67"/>
      <c r="AG41" s="43">
        <v>861</v>
      </c>
      <c r="AH41">
        <v>884</v>
      </c>
      <c r="AN41" s="13">
        <f t="shared" si="23"/>
        <v>57.599999999999994</v>
      </c>
      <c r="AO41" s="7">
        <f>((AVERAGE(K36:K41)*('Summary Page'!$C$2+1))*('Summary Page'!$C$2+1))*('Summary Page'!$C$2+1)</f>
        <v>118.62809599999999</v>
      </c>
      <c r="AP41" s="7">
        <f>((AVERAGE(K36:K41)*('Summary Page'!$C$3+1))*('Summary Page'!$C$3+1))*('Summary Page'!$C$3+1)</f>
        <v>148.4375</v>
      </c>
      <c r="AQ41" s="7">
        <f>((AVERAGE(K36:K41)*('Summary Page'!$C$4+1))*('Summary Page'!$C$4+1))*('Summary Page'!$C$4+1)</f>
        <v>131.328</v>
      </c>
      <c r="AR41" s="7">
        <f t="shared" si="24"/>
        <v>80</v>
      </c>
      <c r="AS41" s="5">
        <f t="shared" si="38"/>
        <v>60</v>
      </c>
      <c r="AT41" s="13">
        <f t="shared" si="39"/>
        <v>54.5</v>
      </c>
      <c r="AU41" s="13">
        <f t="shared" si="40"/>
        <v>65.399999999999991</v>
      </c>
      <c r="AV41" s="7">
        <f>((AVERAGE(AS30:AS41,AU30:AU41)*('Summary Page'!$C$2+1))*('Summary Page'!$C$2+1))*('Summary Page'!$C$2+1)</f>
        <v>85.237929066666666</v>
      </c>
      <c r="AW41" s="7">
        <f>((AVERAGE(AS30:AS41,AU30:AU41)*('Summary Page'!$C$3+1))*('Summary Page'!$C$3+1))*('Summary Page'!$C$3+1)</f>
        <v>106.65690104166669</v>
      </c>
      <c r="AX41" s="7">
        <f>((AVERAGE(AS30:AS41,AU30:AU41)*('Summary Page'!$C$4+1))*('Summary Page'!$C$4+1))*('Summary Page'!$C$4+1)</f>
        <v>94.363199999999992</v>
      </c>
      <c r="BA41" s="43">
        <f t="shared" si="42"/>
        <v>120</v>
      </c>
      <c r="BB41" s="7">
        <f>((AVERAGE(B36:B41)*(+'Summary Page'!$C$2+1))*('Summary Page'!$C$2+1))*('Summary Page'!$C$2+1)</f>
        <v>152.44750933333333</v>
      </c>
      <c r="BC41" s="7">
        <f>((AVERAGE(B36:B41)*('Summary Page'!$C$3+1))*('Summary Page'!$C$3+1))*('Summary Page'!$C$3+1)</f>
        <v>190.75520833333337</v>
      </c>
      <c r="BD41" s="7">
        <f>((AVERAGE(B36:B41)*('Summary Page'!$C$4+1))*('Summary Page'!$C$4+1))*('Summary Page'!$C$4+1)</f>
        <v>168.76799999999997</v>
      </c>
      <c r="CQ41" s="43">
        <f t="shared" si="25"/>
        <v>43.199999999999996</v>
      </c>
      <c r="CR41" s="7">
        <f>((AVERAGE(C36:C41)*('Summary Page'!$C$2+1))*('Summary Page'!$C$2+1))*('Summary Page'!$C$2+1)</f>
        <v>98.336447999999976</v>
      </c>
      <c r="CS41" s="7">
        <f>((AVERAGE(C36:C41)*('Summary Page'!$C$3+1))*('Summary Page'!$C$3+1))*('Summary Page'!$C$3+1)</f>
        <v>123.046875</v>
      </c>
      <c r="CT41" s="8">
        <f>((AVERAGE(C36:C41)*('Summary Page'!$C$4+1))*('Summary Page'!$C$4+1))*('Summary Page'!$C$4+1)</f>
        <v>108.86399999999998</v>
      </c>
      <c r="CW41" s="43">
        <f t="shared" si="26"/>
        <v>36</v>
      </c>
      <c r="CX41" s="7">
        <f>((AVERAGE(D36:D41)*('Summary Page'!$C$2+1))*('Summary Page'!$C$2+1))*('Summary Page'!$C$2+1)</f>
        <v>94.694357333333315</v>
      </c>
      <c r="CY41" s="7">
        <f>((AVERAGE(D36:D41)*('Summary Page'!$C$3+1))*('Summary Page'!$C$3+1))*('Summary Page'!$C$3+1)</f>
        <v>118.48958333333331</v>
      </c>
      <c r="CZ41" s="8">
        <f>((AVERAGE(D36:D41)*('Summary Page'!$C$4+1))*('Summary Page'!$C$4+1))*('Summary Page'!$C$4+1)</f>
        <v>104.83199999999999</v>
      </c>
      <c r="DO41" s="43"/>
      <c r="DP41" s="7"/>
      <c r="DQ41" s="7"/>
      <c r="DR41" s="8"/>
      <c r="DU41" s="43"/>
      <c r="DV41" s="7"/>
      <c r="DW41" s="7"/>
      <c r="DX41" s="8"/>
      <c r="EA41" s="43">
        <f t="shared" si="27"/>
        <v>14.399999999999999</v>
      </c>
      <c r="EB41" s="7">
        <f>((AVERAGE(H36:H41)*('Summary Page'!$C$2+1))*('Summary Page'!$C$2+1))*('Summary Page'!$C$2+1)</f>
        <v>23.933738666666663</v>
      </c>
      <c r="EC41" s="7">
        <f>((AVERAGE(H36:H41)*('Summary Page'!$C$3+1))*('Summary Page'!$C$3+1))*('Summary Page'!$C$3+1)</f>
        <v>29.947916666666671</v>
      </c>
      <c r="ED41" s="8">
        <f>((AVERAGE(H36:H41)*('Summary Page'!$C$4+1))*('Summary Page'!$C$4+1))*('Summary Page'!$C$4+1)</f>
        <v>26.495999999999999</v>
      </c>
      <c r="EG41" s="43">
        <f t="shared" si="28"/>
        <v>87.6</v>
      </c>
      <c r="EH41" s="7">
        <f>((AVERAGE(I36:I41)*('Summary Page'!$C$2+1))*('Summary Page'!$C$2+1))*('Summary Page'!$C$2+1)</f>
        <v>99.116895999999969</v>
      </c>
      <c r="EI41" s="7">
        <f>((AVERAGE(I36:I41)*('Summary Page'!$C$3+1))*('Summary Page'!$C$3+1))*('Summary Page'!$C$3+1)</f>
        <v>124.0234375</v>
      </c>
      <c r="EJ41" s="8">
        <f>((AVERAGE(I36:I41)*('Summary Page'!$C$4+1))*('Summary Page'!$C$4+1))*('Summary Page'!$C$4+1)</f>
        <v>109.72799999999999</v>
      </c>
      <c r="EM41" s="43">
        <f t="shared" si="22"/>
        <v>92.399999999999991</v>
      </c>
      <c r="EN41" s="7">
        <f>((AVERAGE(AD36:AD41)*('Summary Page'!$C$2+1))*('Summary Page'!$C$2+1))*('Summary Page'!$C$2+1)</f>
        <v>190.6894613333333</v>
      </c>
      <c r="EO41" s="7">
        <f>((AVERAGE(AD36:AD41)*('Summary Page'!$C$3+1))*('Summary Page'!$C$3+1))*('Summary Page'!$C$3+1)</f>
        <v>238.60677083333337</v>
      </c>
      <c r="EP41" s="7">
        <f>((AVERAGE(AD36:AD41)*('Summary Page'!$C$4+1))*('Summary Page'!$C$4+1))*('Summary Page'!$C$4+1)</f>
        <v>211.10399999999998</v>
      </c>
      <c r="EQ41" s="7">
        <f t="shared" si="29"/>
        <v>100</v>
      </c>
      <c r="ER41" s="16">
        <f t="shared" si="17"/>
        <v>25.797752808988765</v>
      </c>
      <c r="ES41" s="16">
        <f t="shared" si="18"/>
        <v>26.486891385767791</v>
      </c>
      <c r="ET41" s="7">
        <f t="shared" si="30"/>
        <v>31.784269662921346</v>
      </c>
      <c r="EU41" s="7">
        <f>((AVERAGE(ER36:ER41)*('Summary Page'!$C$2+1))*('Summary Page'!$C$2+1))*('Summary Page'!$C$2+1)</f>
        <v>36.68982507865168</v>
      </c>
      <c r="EV41" s="7">
        <f>((AVERAGE(ER36:ER41)*('Summary Page'!$C$3+1))*('Summary Page'!$C$3+1))*('Summary Page'!$C$3+1)</f>
        <v>45.909410112359552</v>
      </c>
      <c r="EW41" s="7">
        <f>((AVERAGE(ER36:ER41)*('Summary Page'!$C$4+1))*('Summary Page'!$C$4+1))*('Summary Page'!$C$4+1)</f>
        <v>40.617707865168533</v>
      </c>
      <c r="EX41" s="11">
        <f t="shared" si="31"/>
        <v>30.09737827715356</v>
      </c>
      <c r="EY41" s="11">
        <f t="shared" si="32"/>
        <v>30.901373283395756</v>
      </c>
      <c r="EZ41" s="11">
        <f t="shared" si="33"/>
        <v>37.081647940074902</v>
      </c>
      <c r="FA41" s="11">
        <f t="shared" si="41"/>
        <v>42.804795925093629</v>
      </c>
      <c r="FB41" s="11">
        <f t="shared" si="35"/>
        <v>53.560978464419478</v>
      </c>
      <c r="FC41" s="11">
        <f t="shared" si="36"/>
        <v>47.387325842696626</v>
      </c>
    </row>
    <row r="42" spans="1:159" ht="15.75" x14ac:dyDescent="0.25">
      <c r="A42" s="10">
        <v>44166</v>
      </c>
      <c r="B42" s="67">
        <v>123</v>
      </c>
      <c r="C42" s="67">
        <v>44</v>
      </c>
      <c r="D42" s="67">
        <v>36</v>
      </c>
      <c r="E42" s="67">
        <f t="shared" si="1"/>
        <v>83.5</v>
      </c>
      <c r="F42" s="67"/>
      <c r="G42" s="67"/>
      <c r="H42" s="67">
        <v>14</v>
      </c>
      <c r="I42" s="67">
        <v>51</v>
      </c>
      <c r="J42" s="67"/>
      <c r="K42" s="67">
        <v>76</v>
      </c>
      <c r="L42" s="67">
        <v>99</v>
      </c>
      <c r="M42" s="67">
        <v>39</v>
      </c>
      <c r="N42" s="67">
        <v>31</v>
      </c>
      <c r="O42" s="67">
        <f t="shared" si="8"/>
        <v>69</v>
      </c>
      <c r="P42" s="67"/>
      <c r="Q42" s="67"/>
      <c r="R42" s="67">
        <v>19</v>
      </c>
      <c r="S42" s="67">
        <v>79</v>
      </c>
      <c r="T42" s="67"/>
      <c r="U42" s="67">
        <v>54</v>
      </c>
      <c r="V42" s="13"/>
      <c r="W42" s="13"/>
      <c r="X42" s="13"/>
      <c r="Y42" s="13"/>
      <c r="Z42" s="13"/>
      <c r="AA42" s="13"/>
      <c r="AB42" s="13"/>
      <c r="AC42" s="13"/>
      <c r="AD42" s="43">
        <v>103</v>
      </c>
      <c r="AE42" s="67">
        <v>85</v>
      </c>
      <c r="AF42" s="67"/>
      <c r="AG42" s="43">
        <v>854</v>
      </c>
      <c r="AH42">
        <v>898</v>
      </c>
      <c r="AN42" s="13">
        <f t="shared" si="23"/>
        <v>64.8</v>
      </c>
      <c r="AO42" s="7">
        <f>((AVERAGE(K37:K42)*('Summary Page'!$C$2+1))*('Summary Page'!$C$2+1))*('Summary Page'!$C$2+1)</f>
        <v>125.00175466666664</v>
      </c>
      <c r="AP42" s="7">
        <f>((AVERAGE(K37:K42)*('Summary Page'!$C$3+1))*('Summary Page'!$C$3+1))*('Summary Page'!$C$3+1)</f>
        <v>156.41276041666663</v>
      </c>
      <c r="AQ42" s="7">
        <f>((AVERAGE(K37:K42)*('Summary Page'!$C$4+1))*('Summary Page'!$C$4+1))*('Summary Page'!$C$4+1)</f>
        <v>138.38399999999999</v>
      </c>
      <c r="AR42" s="7">
        <f t="shared" si="24"/>
        <v>80</v>
      </c>
      <c r="AS42" s="5">
        <f t="shared" si="38"/>
        <v>47.5</v>
      </c>
      <c r="AT42" s="13">
        <f t="shared" si="39"/>
        <v>59</v>
      </c>
      <c r="AU42" s="13">
        <f t="shared" si="40"/>
        <v>70.8</v>
      </c>
      <c r="AV42" s="7">
        <f>((AVERAGE(AS31:AS42,AU31:AU42)*('Summary Page'!$C$2+1))*('Summary Page'!$C$2+1))*('Summary Page'!$C$2+1)</f>
        <v>86.402097333333316</v>
      </c>
      <c r="AW42" s="7">
        <f>((AVERAGE(AS31:AS42,AU31:AU42)*('Summary Page'!$C$3+1))*('Summary Page'!$C$3+1))*('Summary Page'!$C$3+1)</f>
        <v>108.11360677083331</v>
      </c>
      <c r="AX42" s="7">
        <f>((AVERAGE(AS31:AS42,AU31:AU42)*('Summary Page'!$C$4+1))*('Summary Page'!$C$4+1))*('Summary Page'!$C$4+1)</f>
        <v>95.651999999999987</v>
      </c>
      <c r="BA42" s="43">
        <f t="shared" si="42"/>
        <v>118.8</v>
      </c>
      <c r="BB42" s="7">
        <f>((AVERAGE(B37:B42)*(+'Summary Page'!$C$2+1))*('Summary Page'!$C$2+1))*('Summary Page'!$C$2+1)</f>
        <v>170.137664</v>
      </c>
      <c r="BC42" s="7">
        <f>((AVERAGE(B37:B42)*('Summary Page'!$C$3+1))*('Summary Page'!$C$3+1))*('Summary Page'!$C$3+1)</f>
        <v>212.890625</v>
      </c>
      <c r="BD42" s="7">
        <f>((AVERAGE(B37:B42)*('Summary Page'!$C$4+1))*('Summary Page'!$C$4+1))*('Summary Page'!$C$4+1)</f>
        <v>188.35199999999998</v>
      </c>
      <c r="CQ42" s="43">
        <f t="shared" si="25"/>
        <v>46.8</v>
      </c>
      <c r="CR42" s="7">
        <f>((AVERAGE(C37:C42)*('Summary Page'!$C$2+1))*('Summary Page'!$C$2+1))*('Summary Page'!$C$2+1)</f>
        <v>89.49137066666664</v>
      </c>
      <c r="CS42" s="7">
        <f>((AVERAGE(C37:C42)*('Summary Page'!$C$3+1))*('Summary Page'!$C$3+1))*('Summary Page'!$C$3+1)</f>
        <v>111.97916666666669</v>
      </c>
      <c r="CT42" s="8">
        <f>((AVERAGE(C37:C42)*('Summary Page'!$C$4+1))*('Summary Page'!$C$4+1))*('Summary Page'!$C$4+1)</f>
        <v>99.071999999999989</v>
      </c>
      <c r="CW42" s="43">
        <f t="shared" si="26"/>
        <v>37.199999999999996</v>
      </c>
      <c r="CX42" s="7">
        <f>((AVERAGE(D37:D42)*('Summary Page'!$C$2+1))*('Summary Page'!$C$2+1))*('Summary Page'!$C$2+1)</f>
        <v>79.34554666666665</v>
      </c>
      <c r="CY42" s="7">
        <f>((AVERAGE(D37:D42)*('Summary Page'!$C$3+1))*('Summary Page'!$C$3+1))*('Summary Page'!$C$3+1)</f>
        <v>99.283854166666686</v>
      </c>
      <c r="CZ42" s="8">
        <f>((AVERAGE(D37:D42)*('Summary Page'!$C$4+1))*('Summary Page'!$C$4+1))*('Summary Page'!$C$4+1)</f>
        <v>87.84</v>
      </c>
      <c r="DO42" s="43"/>
      <c r="DP42" s="7"/>
      <c r="DQ42" s="7"/>
      <c r="DR42" s="8"/>
      <c r="DU42" s="43"/>
      <c r="DV42" s="7"/>
      <c r="DW42" s="7"/>
      <c r="DX42" s="8"/>
      <c r="EA42" s="43">
        <f t="shared" si="27"/>
        <v>22.8</v>
      </c>
      <c r="EB42" s="7">
        <f>((AVERAGE(H37:H42)*('Summary Page'!$C$2+1))*('Summary Page'!$C$2+1))*('Summary Page'!$C$2+1)</f>
        <v>23.673589333333329</v>
      </c>
      <c r="EC42" s="7">
        <f>((AVERAGE(H37:H42)*('Summary Page'!$C$3+1))*('Summary Page'!$C$3+1))*('Summary Page'!$C$3+1)</f>
        <v>29.622395833333329</v>
      </c>
      <c r="ED42" s="8">
        <f>((AVERAGE(H37:H42)*('Summary Page'!$C$4+1))*('Summary Page'!$C$4+1))*('Summary Page'!$C$4+1)</f>
        <v>26.207999999999998</v>
      </c>
      <c r="EG42" s="43">
        <f t="shared" si="28"/>
        <v>94.8</v>
      </c>
      <c r="EH42" s="7">
        <f>((AVERAGE(I37:I42)*('Summary Page'!$C$2+1))*('Summary Page'!$C$2+1))*('Summary Page'!$C$2+1)</f>
        <v>95.734954666666653</v>
      </c>
      <c r="EI42" s="7">
        <f>((AVERAGE(I37:I42)*('Summary Page'!$C$3+1))*('Summary Page'!$C$3+1))*('Summary Page'!$C$3+1)</f>
        <v>119.79166666666669</v>
      </c>
      <c r="EJ42" s="8">
        <f>((AVERAGE(I37:I42)*('Summary Page'!$C$4+1))*('Summary Page'!$C$4+1))*('Summary Page'!$C$4+1)</f>
        <v>105.98399999999999</v>
      </c>
      <c r="EM42" s="43">
        <f t="shared" si="22"/>
        <v>102</v>
      </c>
      <c r="EN42" s="7">
        <f>((AVERAGE(AD37:AD42)*('Summary Page'!$C$2+1))*('Summary Page'!$C$2+1))*('Summary Page'!$C$2+1)</f>
        <v>188.08796799999999</v>
      </c>
      <c r="EO42" s="7">
        <f>((AVERAGE(AD37:AD42)*('Summary Page'!$C$3+1))*('Summary Page'!$C$3+1))*('Summary Page'!$C$3+1)</f>
        <v>235.3515625</v>
      </c>
      <c r="EP42" s="7">
        <f>((AVERAGE(AD37:AD42)*('Summary Page'!$C$4+1))*('Summary Page'!$C$4+1))*('Summary Page'!$C$4+1)</f>
        <v>208.22399999999996</v>
      </c>
      <c r="EQ42" s="7">
        <f t="shared" si="29"/>
        <v>100</v>
      </c>
      <c r="ER42" s="16">
        <f t="shared" si="17"/>
        <v>25.588014981273407</v>
      </c>
      <c r="ES42" s="16">
        <f t="shared" si="18"/>
        <v>26.9063670411985</v>
      </c>
      <c r="ET42" s="7">
        <f t="shared" si="30"/>
        <v>32.2876404494382</v>
      </c>
      <c r="EU42" s="7">
        <f>((AVERAGE(ER37:ER42)*('Summary Page'!$C$2+1))*('Summary Page'!$C$2+1))*('Summary Page'!$C$2+1)</f>
        <v>37.991546087390759</v>
      </c>
      <c r="EV42" s="7">
        <f>((AVERAGE(ER37:ER42)*('Summary Page'!$C$3+1))*('Summary Page'!$C$3+1))*('Summary Page'!$C$3+1)</f>
        <v>47.538233458177281</v>
      </c>
      <c r="EW42" s="7">
        <f>((AVERAGE(ER37:ER42)*('Summary Page'!$C$4+1))*('Summary Page'!$C$4+1))*('Summary Page'!$C$4+1)</f>
        <v>42.058786516853928</v>
      </c>
      <c r="EX42" s="11">
        <f t="shared" si="31"/>
        <v>29.852684144818973</v>
      </c>
      <c r="EY42" s="11">
        <f t="shared" si="32"/>
        <v>31.390761548064916</v>
      </c>
      <c r="EZ42" s="11">
        <f t="shared" si="33"/>
        <v>37.6689138576779</v>
      </c>
      <c r="FA42" s="11">
        <f t="shared" si="41"/>
        <v>44.323470435289217</v>
      </c>
      <c r="FB42" s="11">
        <f t="shared" si="35"/>
        <v>55.461272367873491</v>
      </c>
      <c r="FC42" s="11">
        <f t="shared" si="36"/>
        <v>49.068584269662914</v>
      </c>
    </row>
    <row r="43" spans="1:159" ht="15.75" x14ac:dyDescent="0.25">
      <c r="A43" s="10">
        <v>44230</v>
      </c>
      <c r="B43" s="67">
        <v>134</v>
      </c>
      <c r="C43" s="67">
        <v>47</v>
      </c>
      <c r="D43" s="67">
        <v>38</v>
      </c>
      <c r="E43" s="67">
        <f t="shared" si="1"/>
        <v>90.5</v>
      </c>
      <c r="F43" s="67"/>
      <c r="G43" s="67"/>
      <c r="H43" s="67">
        <v>19</v>
      </c>
      <c r="I43" s="67">
        <v>56</v>
      </c>
      <c r="J43" s="67"/>
      <c r="K43" s="67">
        <v>70</v>
      </c>
      <c r="L43" s="67">
        <v>74</v>
      </c>
      <c r="M43" s="67">
        <v>35</v>
      </c>
      <c r="N43" s="67">
        <v>28</v>
      </c>
      <c r="O43" s="67">
        <f t="shared" si="8"/>
        <v>54.5</v>
      </c>
      <c r="P43" s="67"/>
      <c r="Q43" s="67"/>
      <c r="R43" s="67">
        <v>16</v>
      </c>
      <c r="S43" s="67">
        <v>75</v>
      </c>
      <c r="T43" s="67"/>
      <c r="U43" s="67">
        <v>46</v>
      </c>
      <c r="V43" s="13"/>
      <c r="W43" s="13"/>
      <c r="X43" s="13"/>
      <c r="Y43" s="13"/>
      <c r="Z43" s="13"/>
      <c r="AA43" s="13"/>
      <c r="AB43" s="13"/>
      <c r="AC43" s="13"/>
      <c r="AD43" s="43">
        <v>104</v>
      </c>
      <c r="AE43" s="67">
        <v>70</v>
      </c>
      <c r="AF43" s="67"/>
      <c r="AG43" s="43">
        <v>888</v>
      </c>
      <c r="AH43">
        <v>927</v>
      </c>
      <c r="AN43" s="13">
        <f t="shared" si="23"/>
        <v>55.199999999999996</v>
      </c>
      <c r="AO43" s="7">
        <f>((AVERAGE(K38:K43)*('Summary Page'!$C$2+1))*('Summary Page'!$C$2+1))*('Summary Page'!$C$2+1)</f>
        <v>126.30250133333331</v>
      </c>
      <c r="AP43" s="7">
        <f>((AVERAGE(K38:K43)*('Summary Page'!$C$3+1))*('Summary Page'!$C$3+1))*('Summary Page'!$C$3+1)</f>
        <v>158.04036458333337</v>
      </c>
      <c r="AQ43" s="7">
        <f>((AVERAGE(K38:K43)*('Summary Page'!$C$4+1))*('Summary Page'!$C$4+1))*('Summary Page'!$C$4+1)</f>
        <v>139.82400000000001</v>
      </c>
      <c r="AR43" s="7">
        <f t="shared" si="24"/>
        <v>80</v>
      </c>
      <c r="AS43" s="5">
        <f t="shared" si="38"/>
        <v>51.5</v>
      </c>
      <c r="AT43" s="13">
        <f t="shared" si="39"/>
        <v>55</v>
      </c>
      <c r="AU43" s="13">
        <f t="shared" si="40"/>
        <v>66</v>
      </c>
      <c r="AV43" s="7">
        <f>((AVERAGE(AS32:AS43,AU32:AU43)*('Summary Page'!$C$2+1))*('Summary Page'!$C$2+1))*('Summary Page'!$C$2+1)</f>
        <v>87.202056533333305</v>
      </c>
      <c r="AW43" s="7">
        <f>((AVERAGE(AS32:AS43,AU32:AU43)*('Summary Page'!$C$3+1))*('Summary Page'!$C$3+1))*('Summary Page'!$C$3+1)</f>
        <v>109.11458333333331</v>
      </c>
      <c r="AX43" s="7">
        <f>((AVERAGE(AS32:AS43,AU32:AU43)*('Summary Page'!$C$4+1))*('Summary Page'!$C$4+1))*('Summary Page'!$C$4+1)</f>
        <v>96.537599999999983</v>
      </c>
      <c r="BA43" s="43">
        <f t="shared" si="42"/>
        <v>88.8</v>
      </c>
      <c r="BB43" s="7">
        <f>((AVERAGE(B38:B43)*(+'Summary Page'!$C$2+1))*('Summary Page'!$C$2+1))*('Summary Page'!$C$2+1)</f>
        <v>188.34811733333328</v>
      </c>
      <c r="BC43" s="7">
        <f>((AVERAGE(B38:B43)*('Summary Page'!$C$3+1))*('Summary Page'!$C$3+1))*('Summary Page'!$C$3+1)</f>
        <v>235.67708333333337</v>
      </c>
      <c r="BD43" s="7">
        <f>((AVERAGE(B38:B43)*('Summary Page'!$C$4+1))*('Summary Page'!$C$4+1))*('Summary Page'!$C$4+1)</f>
        <v>208.51200000000003</v>
      </c>
      <c r="CQ43" s="43">
        <f t="shared" si="25"/>
        <v>42</v>
      </c>
      <c r="CR43" s="7">
        <f>((AVERAGE(C38:C43)*('Summary Page'!$C$2+1))*('Summary Page'!$C$2+1))*('Summary Page'!$C$2+1)</f>
        <v>81.947039999999987</v>
      </c>
      <c r="CS43" s="7">
        <f>((AVERAGE(C38:C43)*('Summary Page'!$C$3+1))*('Summary Page'!$C$3+1))*('Summary Page'!$C$3+1)</f>
        <v>102.5390625</v>
      </c>
      <c r="CT43" s="8">
        <f>((AVERAGE(C38:C43)*('Summary Page'!$C$4+1))*('Summary Page'!$C$4+1))*('Summary Page'!$C$4+1)</f>
        <v>90.719999999999985</v>
      </c>
      <c r="CW43" s="43">
        <f t="shared" si="26"/>
        <v>33.6</v>
      </c>
      <c r="CX43" s="7">
        <f>((AVERAGE(D38:D43)*('Summary Page'!$C$2+1))*('Summary Page'!$C$2+1))*('Summary Page'!$C$2+1)</f>
        <v>69.720021333333321</v>
      </c>
      <c r="CY43" s="7">
        <f>((AVERAGE(D38:D43)*('Summary Page'!$C$3+1))*('Summary Page'!$C$3+1))*('Summary Page'!$C$3+1)</f>
        <v>87.239583333333314</v>
      </c>
      <c r="CZ43" s="8">
        <f>((AVERAGE(D38:D43)*('Summary Page'!$C$4+1))*('Summary Page'!$C$4+1))*('Summary Page'!$C$4+1)</f>
        <v>77.183999999999983</v>
      </c>
      <c r="DO43" s="43"/>
      <c r="DP43" s="7"/>
      <c r="DQ43" s="7"/>
      <c r="DR43" s="8"/>
      <c r="DU43" s="43"/>
      <c r="DV43" s="7"/>
      <c r="DW43" s="7"/>
      <c r="DX43" s="8"/>
      <c r="EA43" s="43">
        <f t="shared" si="27"/>
        <v>19.2</v>
      </c>
      <c r="EB43" s="7">
        <f>((AVERAGE(H38:H43)*('Summary Page'!$C$2+1))*('Summary Page'!$C$2+1))*('Summary Page'!$C$2+1)</f>
        <v>24.974335999999997</v>
      </c>
      <c r="EC43" s="7">
        <f>((AVERAGE(H38:H43)*('Summary Page'!$C$3+1))*('Summary Page'!$C$3+1))*('Summary Page'!$C$3+1)</f>
        <v>31.25</v>
      </c>
      <c r="ED43" s="8">
        <f>((AVERAGE(H38:H43)*('Summary Page'!$C$4+1))*('Summary Page'!$C$4+1))*('Summary Page'!$C$4+1)</f>
        <v>27.648</v>
      </c>
      <c r="EG43" s="43">
        <f t="shared" si="28"/>
        <v>90</v>
      </c>
      <c r="EH43" s="7">
        <f>((AVERAGE(I38:I43)*('Summary Page'!$C$2+1))*('Summary Page'!$C$2+1))*('Summary Page'!$C$2+1)</f>
        <v>91.312415999999985</v>
      </c>
      <c r="EI43" s="7">
        <f>((AVERAGE(I38:I43)*('Summary Page'!$C$3+1))*('Summary Page'!$C$3+1))*('Summary Page'!$C$3+1)</f>
        <v>114.2578125</v>
      </c>
      <c r="EJ43" s="8">
        <f>((AVERAGE(I38:I43)*('Summary Page'!$C$4+1))*('Summary Page'!$C$4+1))*('Summary Page'!$C$4+1)</f>
        <v>101.08799999999999</v>
      </c>
      <c r="EM43" s="43">
        <f t="shared" si="22"/>
        <v>84</v>
      </c>
      <c r="EN43" s="7">
        <f>((AVERAGE(AD38:AD43)*('Summary Page'!$C$2+1))*('Summary Page'!$C$2+1))*('Summary Page'!$C$2+1)</f>
        <v>187.5676693333333</v>
      </c>
      <c r="EO43" s="7">
        <f>((AVERAGE(AD38:AD43)*('Summary Page'!$C$3+1))*('Summary Page'!$C$3+1))*('Summary Page'!$C$3+1)</f>
        <v>234.70052083333337</v>
      </c>
      <c r="EP43" s="7">
        <f>((AVERAGE(AD38:AD43)*('Summary Page'!$C$4+1))*('Summary Page'!$C$4+1))*('Summary Page'!$C$4+1)</f>
        <v>207.648</v>
      </c>
      <c r="EQ43" s="7">
        <f t="shared" si="29"/>
        <v>100</v>
      </c>
      <c r="ER43" s="16">
        <f t="shared" si="17"/>
        <v>26.606741573033709</v>
      </c>
      <c r="ES43" s="16">
        <f t="shared" si="18"/>
        <v>27.7752808988764</v>
      </c>
      <c r="ET43" s="7">
        <f t="shared" si="30"/>
        <v>33.330337078651681</v>
      </c>
      <c r="EU43" s="7">
        <f>((AVERAGE(ER38:ER43)*('Summary Page'!$C$2+1))*('Summary Page'!$C$2+1))*('Summary Page'!$C$2+1)</f>
        <v>38.669688169787754</v>
      </c>
      <c r="EV43" s="7">
        <f>((AVERAGE(ER38:ER43)*('Summary Page'!$C$3+1))*('Summary Page'!$C$3+1))*('Summary Page'!$C$3+1)</f>
        <v>48.386782147315856</v>
      </c>
      <c r="EW43" s="7">
        <f>((AVERAGE(ER38:ER43)*('Summary Page'!$C$4+1))*('Summary Page'!$C$4+1))*('Summary Page'!$C$4+1)</f>
        <v>42.809528089887628</v>
      </c>
      <c r="EX43" s="11">
        <f t="shared" si="31"/>
        <v>31.04119850187266</v>
      </c>
      <c r="EY43" s="11">
        <f t="shared" si="32"/>
        <v>32.404494382022463</v>
      </c>
      <c r="EZ43" s="11">
        <f t="shared" si="33"/>
        <v>38.885393258426959</v>
      </c>
      <c r="FA43" s="11">
        <f t="shared" si="41"/>
        <v>45.114636198085712</v>
      </c>
      <c r="FB43" s="11">
        <f t="shared" si="35"/>
        <v>56.451245838535165</v>
      </c>
      <c r="FC43" s="11">
        <f t="shared" si="36"/>
        <v>49.944449438202234</v>
      </c>
    </row>
    <row r="44" spans="1:159" ht="15.75" x14ac:dyDescent="0.25">
      <c r="A44" s="10">
        <v>44292</v>
      </c>
      <c r="B44" s="67">
        <v>110</v>
      </c>
      <c r="C44" s="67">
        <v>44</v>
      </c>
      <c r="D44" s="67">
        <v>36</v>
      </c>
      <c r="E44" s="67">
        <f t="shared" si="1"/>
        <v>77</v>
      </c>
      <c r="F44" s="67"/>
      <c r="G44" s="67"/>
      <c r="H44" s="67">
        <v>24</v>
      </c>
      <c r="I44" s="67">
        <v>89</v>
      </c>
      <c r="J44" s="67"/>
      <c r="K44" s="67">
        <v>69</v>
      </c>
      <c r="L44" s="67">
        <v>104</v>
      </c>
      <c r="M44" s="67">
        <v>47</v>
      </c>
      <c r="N44" s="67">
        <v>37</v>
      </c>
      <c r="O44" s="67">
        <f t="shared" si="8"/>
        <v>75.5</v>
      </c>
      <c r="P44" s="67"/>
      <c r="Q44" s="67"/>
      <c r="R44" s="67">
        <v>21</v>
      </c>
      <c r="S44" s="67">
        <v>71</v>
      </c>
      <c r="T44" s="67"/>
      <c r="U44" s="67">
        <v>49</v>
      </c>
      <c r="V44" s="13"/>
      <c r="W44" s="13"/>
      <c r="X44" s="13"/>
      <c r="Y44" s="13"/>
      <c r="Z44" s="13"/>
      <c r="AA44" s="13"/>
      <c r="AB44" s="13"/>
      <c r="AC44" s="13"/>
      <c r="AD44" s="43">
        <v>95</v>
      </c>
      <c r="AE44" s="67">
        <v>80</v>
      </c>
      <c r="AF44" s="67"/>
      <c r="AG44" s="43">
        <v>904</v>
      </c>
      <c r="AH44">
        <v>803</v>
      </c>
      <c r="AN44" s="13">
        <f t="shared" si="23"/>
        <v>58.8</v>
      </c>
      <c r="AO44" s="7">
        <f>((AVERAGE(K39:K44)*('Summary Page'!$C$2+1))*('Summary Page'!$C$2+1))*('Summary Page'!$C$2+1)</f>
        <v>126.56265066666664</v>
      </c>
      <c r="AP44" s="7">
        <f>((AVERAGE(K39:K44)*('Summary Page'!$C$3+1))*('Summary Page'!$C$3+1))*('Summary Page'!$C$3+1)</f>
        <v>158.36588541666663</v>
      </c>
      <c r="AQ44" s="7">
        <f>((AVERAGE(K39:K44)*('Summary Page'!$C$4+1))*('Summary Page'!$C$4+1))*('Summary Page'!$C$4+1)</f>
        <v>140.11199999999999</v>
      </c>
      <c r="AR44" s="7">
        <f t="shared" si="24"/>
        <v>80</v>
      </c>
      <c r="AS44" s="5">
        <f t="shared" si="38"/>
        <v>66.5</v>
      </c>
      <c r="AT44" s="13">
        <f t="shared" si="39"/>
        <v>59</v>
      </c>
      <c r="AU44" s="13">
        <f t="shared" si="40"/>
        <v>70.8</v>
      </c>
      <c r="AV44" s="7">
        <f>((AVERAGE(AS33:AS44,AU33:AU44)*('Summary Page'!$C$2+1))*('Summary Page'!$C$2+1))*('Summary Page'!$C$2+1)</f>
        <v>90.050691733333309</v>
      </c>
      <c r="AW44" s="7">
        <f>((AVERAGE(AS33:AS44,AU33:AU44)*('Summary Page'!$C$3+1))*('Summary Page'!$C$3+1))*('Summary Page'!$C$3+1)</f>
        <v>112.67903645833336</v>
      </c>
      <c r="AX44" s="7">
        <f>((AVERAGE(AS33:AS44,AU33:AU44)*('Summary Page'!$C$4+1))*('Summary Page'!$C$4+1))*('Summary Page'!$C$4+1)</f>
        <v>99.691200000000009</v>
      </c>
      <c r="BA44" s="43">
        <f t="shared" si="42"/>
        <v>124.8</v>
      </c>
      <c r="BB44" s="7">
        <f>((AVERAGE(B39:B44)*(+'Summary Page'!$C$2+1))*('Summary Page'!$C$2+1))*('Summary Page'!$C$2+1)</f>
        <v>194.59170133333328</v>
      </c>
      <c r="BC44" s="7">
        <f>((AVERAGE(B39:B44)*('Summary Page'!$C$3+1))*('Summary Page'!$C$3+1))*('Summary Page'!$C$3+1)</f>
        <v>243.48958333333337</v>
      </c>
      <c r="BD44" s="7">
        <f>((AVERAGE(B39:B44)*('Summary Page'!$C$4+1))*('Summary Page'!$C$4+1))*('Summary Page'!$C$4+1)</f>
        <v>215.42399999999998</v>
      </c>
      <c r="CQ44" s="43">
        <f t="shared" si="25"/>
        <v>56.4</v>
      </c>
      <c r="CR44" s="7">
        <f>((AVERAGE(C39:C44)*('Summary Page'!$C$2+1))*('Summary Page'!$C$2+1))*('Summary Page'!$C$2+1)</f>
        <v>78.565098666666657</v>
      </c>
      <c r="CS44" s="7">
        <f>((AVERAGE(C39:C44)*('Summary Page'!$C$3+1))*('Summary Page'!$C$3+1))*('Summary Page'!$C$3+1)</f>
        <v>98.307291666666686</v>
      </c>
      <c r="CT44" s="8">
        <f>((AVERAGE(C39:C44)*('Summary Page'!$C$4+1))*('Summary Page'!$C$4+1))*('Summary Page'!$C$4+1)</f>
        <v>86.975999999999985</v>
      </c>
      <c r="CW44" s="43">
        <f t="shared" si="26"/>
        <v>44.4</v>
      </c>
      <c r="CX44" s="7">
        <f>((AVERAGE(D39:D44)*('Summary Page'!$C$2+1))*('Summary Page'!$C$2+1))*('Summary Page'!$C$2+1)</f>
        <v>65.557631999999984</v>
      </c>
      <c r="CY44" s="7">
        <f>((AVERAGE(D39:D44)*('Summary Page'!$C$3+1))*('Summary Page'!$C$3+1))*('Summary Page'!$C$3+1)</f>
        <v>82.03125</v>
      </c>
      <c r="CZ44" s="8">
        <f>((AVERAGE(D39:D44)*('Summary Page'!$C$4+1))*('Summary Page'!$C$4+1))*('Summary Page'!$C$4+1)</f>
        <v>72.575999999999993</v>
      </c>
      <c r="DO44" s="43"/>
      <c r="DP44" s="7"/>
      <c r="DQ44" s="7"/>
      <c r="DR44" s="8"/>
      <c r="DU44" s="43"/>
      <c r="DV44" s="7"/>
      <c r="DW44" s="7"/>
      <c r="DX44" s="8"/>
      <c r="EA44" s="43">
        <f t="shared" si="27"/>
        <v>25.2</v>
      </c>
      <c r="EB44" s="7">
        <f>((AVERAGE(H39:H44)*('Summary Page'!$C$2+1))*('Summary Page'!$C$2+1))*('Summary Page'!$C$2+1)</f>
        <v>28.356277333333331</v>
      </c>
      <c r="EC44" s="7">
        <f>((AVERAGE(H39:H44)*('Summary Page'!$C$3+1))*('Summary Page'!$C$3+1))*('Summary Page'!$C$3+1)</f>
        <v>35.481770833333343</v>
      </c>
      <c r="ED44" s="8">
        <f>((AVERAGE(H39:H44)*('Summary Page'!$C$4+1))*('Summary Page'!$C$4+1))*('Summary Page'!$C$4+1)</f>
        <v>31.391999999999999</v>
      </c>
      <c r="EG44" s="43">
        <f t="shared" si="28"/>
        <v>85.2</v>
      </c>
      <c r="EH44" s="7">
        <f>((AVERAGE(I39:I44)*('Summary Page'!$C$2+1))*('Summary Page'!$C$2+1))*('Summary Page'!$C$2+1)</f>
        <v>100.41764266666664</v>
      </c>
      <c r="EI44" s="7">
        <f>((AVERAGE(I39:I44)*('Summary Page'!$C$3+1))*('Summary Page'!$C$3+1))*('Summary Page'!$C$3+1)</f>
        <v>125.65104166666664</v>
      </c>
      <c r="EJ44" s="8">
        <f>((AVERAGE(I39:I44)*('Summary Page'!$C$4+1))*('Summary Page'!$C$4+1))*('Summary Page'!$C$4+1)</f>
        <v>111.16799999999998</v>
      </c>
      <c r="EM44" s="43">
        <f t="shared" si="22"/>
        <v>96</v>
      </c>
      <c r="EN44" s="7">
        <f>((AVERAGE(AD39:AD44)*('Summary Page'!$C$2+1))*('Summary Page'!$C$2+1))*('Summary Page'!$C$2+1)</f>
        <v>186.00677333333329</v>
      </c>
      <c r="EO44" s="7">
        <f>((AVERAGE(AD39:AD44)*('Summary Page'!$C$3+1))*('Summary Page'!$C$3+1))*('Summary Page'!$C$3+1)</f>
        <v>232.74739583333337</v>
      </c>
      <c r="EP44" s="7">
        <f>((AVERAGE(AD39:AD44)*('Summary Page'!$C$4+1))*('Summary Page'!$C$4+1))*('Summary Page'!$C$4+1)</f>
        <v>205.92</v>
      </c>
      <c r="EQ44" s="7">
        <f t="shared" si="29"/>
        <v>100</v>
      </c>
      <c r="ER44" s="16">
        <f t="shared" si="17"/>
        <v>27.08614232209738</v>
      </c>
      <c r="ES44" s="16">
        <f t="shared" si="18"/>
        <v>24.059925093632959</v>
      </c>
      <c r="ET44" s="7">
        <f t="shared" si="30"/>
        <v>28.871910112359551</v>
      </c>
      <c r="EU44" s="7">
        <f>((AVERAGE(ER39:ER44)*('Summary Page'!$C$2+1))*('Summary Page'!$C$2+1))*('Summary Page'!$C$2+1)</f>
        <v>39.067219735330831</v>
      </c>
      <c r="EV44" s="7">
        <f>((AVERAGE(ER39:ER44)*('Summary Page'!$C$3+1))*('Summary Page'!$C$3+1))*('Summary Page'!$C$3+1)</f>
        <v>48.884207240948811</v>
      </c>
      <c r="EW44" s="7">
        <f>((AVERAGE(ER39:ER44)*('Summary Page'!$C$4+1))*('Summary Page'!$C$4+1))*('Summary Page'!$C$4+1)</f>
        <v>43.249617977528082</v>
      </c>
      <c r="EX44" s="11">
        <f t="shared" si="31"/>
        <v>31.600499375780277</v>
      </c>
      <c r="EY44" s="11">
        <f t="shared" si="32"/>
        <v>28.06991260923845</v>
      </c>
      <c r="EZ44" s="11">
        <f t="shared" si="33"/>
        <v>33.683895131086146</v>
      </c>
      <c r="FA44" s="11">
        <f t="shared" si="41"/>
        <v>45.578423024552635</v>
      </c>
      <c r="FB44" s="11">
        <f t="shared" si="35"/>
        <v>57.03157511444028</v>
      </c>
      <c r="FC44" s="11">
        <f t="shared" si="36"/>
        <v>50.457887640449428</v>
      </c>
    </row>
    <row r="45" spans="1:159" ht="15.75" x14ac:dyDescent="0.25">
      <c r="A45" s="10">
        <v>44363</v>
      </c>
      <c r="B45" s="67">
        <v>122</v>
      </c>
      <c r="C45" s="67">
        <v>65</v>
      </c>
      <c r="D45" s="67">
        <v>61</v>
      </c>
      <c r="E45" s="67">
        <f t="shared" si="1"/>
        <v>93.5</v>
      </c>
      <c r="F45" s="67"/>
      <c r="G45" s="67"/>
      <c r="H45" s="67">
        <v>76</v>
      </c>
      <c r="I45" s="67">
        <v>88</v>
      </c>
      <c r="J45" s="67"/>
      <c r="K45" s="67">
        <v>73.5</v>
      </c>
      <c r="L45" s="67">
        <v>131</v>
      </c>
      <c r="M45" s="67">
        <v>53</v>
      </c>
      <c r="N45" s="67">
        <v>39</v>
      </c>
      <c r="O45" s="67">
        <f t="shared" si="8"/>
        <v>92</v>
      </c>
      <c r="P45" s="67"/>
      <c r="Q45" s="67"/>
      <c r="R45" s="67">
        <v>43</v>
      </c>
      <c r="S45" s="67">
        <v>48</v>
      </c>
      <c r="T45" s="67"/>
      <c r="U45" s="67">
        <v>96</v>
      </c>
      <c r="V45" s="13"/>
      <c r="W45" s="13"/>
      <c r="X45" s="13"/>
      <c r="Y45" s="13"/>
      <c r="Z45" s="13"/>
      <c r="AA45" s="13"/>
      <c r="AB45" s="13"/>
      <c r="AC45" s="13"/>
      <c r="AD45" s="43">
        <v>107</v>
      </c>
      <c r="AE45" s="67">
        <v>102</v>
      </c>
      <c r="AF45" s="67"/>
      <c r="AG45" s="43">
        <v>1016</v>
      </c>
      <c r="AH45">
        <v>1077</v>
      </c>
      <c r="AN45" s="13">
        <f t="shared" si="23"/>
        <v>115.19999999999999</v>
      </c>
      <c r="AO45" s="7">
        <f>((AVERAGE(K40:K45)*('Summary Page'!$C$2+1))*('Summary Page'!$C$2+1))*('Summary Page'!$C$2+1)</f>
        <v>124.48145599999998</v>
      </c>
      <c r="AP45" s="7">
        <f>((AVERAGE(K40:K45)*('Summary Page'!$C$3+1))*('Summary Page'!$C$3+1))*('Summary Page'!$C$3+1)</f>
        <v>155.76171875</v>
      </c>
      <c r="AQ45" s="7">
        <f>((AVERAGE(K40:K45)*('Summary Page'!$C$4+1))*('Summary Page'!$C$4+1))*('Summary Page'!$C$4+1)</f>
        <v>137.80799999999999</v>
      </c>
      <c r="AR45" s="7">
        <f t="shared" si="24"/>
        <v>80</v>
      </c>
      <c r="AS45" s="5">
        <f t="shared" si="38"/>
        <v>76.5</v>
      </c>
      <c r="AT45" s="13">
        <f t="shared" si="39"/>
        <v>50.5</v>
      </c>
      <c r="AU45" s="13">
        <f t="shared" si="40"/>
        <v>60.599999999999994</v>
      </c>
      <c r="AV45" s="7">
        <f>((AVERAGE(AS34:AS45,AU34:AU45)*('Summary Page'!$C$2+1))*('Summary Page'!$C$2+1))*('Summary Page'!$C$2+1)</f>
        <v>92.821282133333298</v>
      </c>
      <c r="AW45" s="7">
        <f>((AVERAGE(AS34:AS45,AU34:AU45)*('Summary Page'!$C$3+1))*('Summary Page'!$C$3+1))*('Summary Page'!$C$3+1)</f>
        <v>116.14583333333336</v>
      </c>
      <c r="AX45" s="7">
        <f>((AVERAGE(AS34:AS45,AU34:AU45)*('Summary Page'!$C$4+1))*('Summary Page'!$C$4+1))*('Summary Page'!$C$4+1)</f>
        <v>102.75839999999998</v>
      </c>
      <c r="BA45" s="43">
        <f t="shared" si="42"/>
        <v>157.19999999999999</v>
      </c>
      <c r="BB45" s="7">
        <f>((AVERAGE(B40:B45)*(+'Summary Page'!$C$2+1))*('Summary Page'!$C$2+1))*('Summary Page'!$C$2+1)</f>
        <v>196.41274666666661</v>
      </c>
      <c r="BC45" s="7">
        <f>((AVERAGE(B40:B45)*('Summary Page'!$C$3+1))*('Summary Page'!$C$3+1))*('Summary Page'!$C$3+1)</f>
        <v>245.76822916666663</v>
      </c>
      <c r="BD45" s="7">
        <f>((AVERAGE(B40:B45)*('Summary Page'!$C$4+1))*('Summary Page'!$C$4+1))*('Summary Page'!$C$4+1)</f>
        <v>217.43999999999997</v>
      </c>
      <c r="CQ45" s="43">
        <f t="shared" si="25"/>
        <v>63.599999999999994</v>
      </c>
      <c r="CR45" s="7">
        <f>((AVERAGE(C40:C45)*('Summary Page'!$C$2+1))*('Summary Page'!$C$2+1))*('Summary Page'!$C$2+1)</f>
        <v>81.16659199999998</v>
      </c>
      <c r="CS45" s="7">
        <f>((AVERAGE(C40:C45)*('Summary Page'!$C$3+1))*('Summary Page'!$C$3+1))*('Summary Page'!$C$3+1)</f>
        <v>101.5625</v>
      </c>
      <c r="CT45" s="8">
        <f>((AVERAGE(C40:C45)*('Summary Page'!$C$4+1))*('Summary Page'!$C$4+1))*('Summary Page'!$C$4+1)</f>
        <v>89.855999999999995</v>
      </c>
      <c r="CW45" s="43">
        <f t="shared" si="26"/>
        <v>46.8</v>
      </c>
      <c r="CX45" s="7">
        <f>((AVERAGE(D40:D45)*('Summary Page'!$C$2+1))*('Summary Page'!$C$2+1))*('Summary Page'!$C$2+1)</f>
        <v>68.939573333333314</v>
      </c>
      <c r="CY45" s="7">
        <f>((AVERAGE(D40:D45)*('Summary Page'!$C$3+1))*('Summary Page'!$C$3+1))*('Summary Page'!$C$3+1)</f>
        <v>86.263020833333314</v>
      </c>
      <c r="CZ45" s="8">
        <f>((AVERAGE(D40:D45)*('Summary Page'!$C$4+1))*('Summary Page'!$C$4+1))*('Summary Page'!$C$4+1)</f>
        <v>76.319999999999979</v>
      </c>
      <c r="DO45" s="43"/>
      <c r="DP45" s="7"/>
      <c r="DQ45" s="7"/>
      <c r="DR45" s="8"/>
      <c r="DU45" s="43"/>
      <c r="DV45" s="7"/>
      <c r="DW45" s="7"/>
      <c r="DX45" s="8"/>
      <c r="EA45" s="43">
        <f t="shared" si="27"/>
        <v>51.6</v>
      </c>
      <c r="EB45" s="7">
        <f>((AVERAGE(H40:H45)*('Summary Page'!$C$2+1))*('Summary Page'!$C$2+1))*('Summary Page'!$C$2+1)</f>
        <v>43.965237333333327</v>
      </c>
      <c r="EC45" s="7">
        <f>((AVERAGE(H40:H45)*('Summary Page'!$C$3+1))*('Summary Page'!$C$3+1))*('Summary Page'!$C$3+1)</f>
        <v>55.013020833333343</v>
      </c>
      <c r="ED45" s="8">
        <f>((AVERAGE(H40:H45)*('Summary Page'!$C$4+1))*('Summary Page'!$C$4+1))*('Summary Page'!$C$4+1)</f>
        <v>48.67199999999999</v>
      </c>
      <c r="EG45" s="43">
        <f t="shared" si="28"/>
        <v>57.599999999999994</v>
      </c>
      <c r="EH45" s="7">
        <f>((AVERAGE(I40:I45)*('Summary Page'!$C$2+1))*('Summary Page'!$C$2+1))*('Summary Page'!$C$2+1)</f>
        <v>104.84018133333332</v>
      </c>
      <c r="EI45" s="7">
        <f>((AVERAGE(I40:I45)*('Summary Page'!$C$3+1))*('Summary Page'!$C$3+1))*('Summary Page'!$C$3+1)</f>
        <v>131.18489583333337</v>
      </c>
      <c r="EJ45" s="8">
        <f>((AVERAGE(I40:I45)*('Summary Page'!$C$4+1))*('Summary Page'!$C$4+1))*('Summary Page'!$C$4+1)</f>
        <v>116.06400000000001</v>
      </c>
      <c r="EM45" s="43">
        <f t="shared" si="22"/>
        <v>122.39999999999999</v>
      </c>
      <c r="EN45" s="7">
        <f>((AVERAGE(AD40:AD45)*('Summary Page'!$C$2+1))*('Summary Page'!$C$2+1))*('Summary Page'!$C$2+1)</f>
        <v>178.98274133333328</v>
      </c>
      <c r="EO45" s="7">
        <f>((AVERAGE(AD40:AD45)*('Summary Page'!$C$3+1))*('Summary Page'!$C$3+1))*('Summary Page'!$C$3+1)</f>
        <v>223.95833333333337</v>
      </c>
      <c r="EP45" s="7">
        <f>((AVERAGE(AD40:AD45)*('Summary Page'!$C$4+1))*('Summary Page'!$C$4+1))*('Summary Page'!$C$4+1)</f>
        <v>198.14399999999998</v>
      </c>
      <c r="EQ45" s="7">
        <f t="shared" si="29"/>
        <v>100</v>
      </c>
      <c r="ER45" s="16">
        <f t="shared" si="17"/>
        <v>30.441947565543067</v>
      </c>
      <c r="ES45" s="16">
        <f t="shared" si="18"/>
        <v>32.269662921348313</v>
      </c>
      <c r="ET45" s="7">
        <f t="shared" si="30"/>
        <v>38.723595505617972</v>
      </c>
      <c r="EU45" s="7">
        <f>((AVERAGE(ER40:ER45)*('Summary Page'!$C$2+1))*('Summary Page'!$C$2+1))*('Summary Page'!$C$2+1)</f>
        <v>40.93795651435704</v>
      </c>
      <c r="EV45" s="7">
        <f>((AVERAGE(ER40:ER45)*('Summary Page'!$C$3+1))*('Summary Page'!$C$3+1))*('Summary Page'!$C$3+1)</f>
        <v>51.225031210986273</v>
      </c>
      <c r="EW45" s="7">
        <f>((AVERAGE(ER40:ER45)*('Summary Page'!$C$4+1))*('Summary Page'!$C$4+1))*('Summary Page'!$C$4+1)</f>
        <v>45.320629213483137</v>
      </c>
      <c r="EX45" s="11">
        <f t="shared" si="31"/>
        <v>35.515605493133577</v>
      </c>
      <c r="EY45" s="11">
        <f t="shared" si="32"/>
        <v>37.647940074906366</v>
      </c>
      <c r="EZ45" s="11">
        <f t="shared" si="33"/>
        <v>45.17752808988763</v>
      </c>
      <c r="FA45" s="11">
        <f t="shared" si="41"/>
        <v>47.760949266749883</v>
      </c>
      <c r="FB45" s="11">
        <f t="shared" si="35"/>
        <v>59.762536412817319</v>
      </c>
      <c r="FC45" s="11">
        <f t="shared" si="36"/>
        <v>52.874067415730323</v>
      </c>
    </row>
    <row r="46" spans="1:159" ht="15.75" x14ac:dyDescent="0.25">
      <c r="A46" s="10">
        <v>44419</v>
      </c>
      <c r="B46" s="67">
        <v>108</v>
      </c>
      <c r="C46" s="67">
        <v>40</v>
      </c>
      <c r="D46" s="67">
        <v>30</v>
      </c>
      <c r="E46" s="67">
        <f t="shared" si="1"/>
        <v>74</v>
      </c>
      <c r="F46" s="67"/>
      <c r="G46" s="67"/>
      <c r="H46" s="67">
        <v>49</v>
      </c>
      <c r="I46" s="67">
        <v>60</v>
      </c>
      <c r="J46" s="67"/>
      <c r="K46" s="67">
        <v>79</v>
      </c>
      <c r="L46" s="67">
        <v>95</v>
      </c>
      <c r="M46" s="67">
        <v>64</v>
      </c>
      <c r="N46" s="67">
        <v>54</v>
      </c>
      <c r="O46" s="67">
        <f t="shared" si="8"/>
        <v>79.5</v>
      </c>
      <c r="P46" s="67"/>
      <c r="Q46" s="67"/>
      <c r="R46" s="67">
        <v>31</v>
      </c>
      <c r="S46" s="67">
        <v>37</v>
      </c>
      <c r="T46" s="67"/>
      <c r="U46" s="67">
        <v>88</v>
      </c>
      <c r="V46" s="13"/>
      <c r="W46" s="13"/>
      <c r="X46" s="13"/>
      <c r="Y46" s="13"/>
      <c r="Z46" s="13"/>
      <c r="AA46" s="13"/>
      <c r="AB46" s="13"/>
      <c r="AC46" s="13"/>
      <c r="AD46" s="43">
        <v>94</v>
      </c>
      <c r="AE46" s="67">
        <v>97</v>
      </c>
      <c r="AF46" s="67"/>
      <c r="AG46" s="43">
        <v>981</v>
      </c>
      <c r="AH46">
        <v>966</v>
      </c>
      <c r="AN46" s="13">
        <f t="shared" si="23"/>
        <v>105.6</v>
      </c>
      <c r="AO46" s="7">
        <f>((AVERAGE(K41:K46)*('Summary Page'!$C$2+1))*('Summary Page'!$C$2+1))*('Summary Page'!$C$2+1)</f>
        <v>119.01831999999996</v>
      </c>
      <c r="AP46" s="7">
        <f>((AVERAGE(K41:K46)*('Summary Page'!$C$3+1))*('Summary Page'!$C$3+1))*('Summary Page'!$C$3+1)</f>
        <v>148.92578125</v>
      </c>
      <c r="AQ46" s="7">
        <f>((AVERAGE(K41:K46)*('Summary Page'!$C$4+1))*('Summary Page'!$C$4+1))*('Summary Page'!$C$4+1)</f>
        <v>131.76</v>
      </c>
      <c r="AR46" s="7">
        <f t="shared" si="24"/>
        <v>80</v>
      </c>
      <c r="AS46" s="5">
        <f t="shared" si="38"/>
        <v>50</v>
      </c>
      <c r="AT46" s="13">
        <f t="shared" si="39"/>
        <v>50.5</v>
      </c>
      <c r="AU46" s="13">
        <f t="shared" si="40"/>
        <v>60.599999999999994</v>
      </c>
      <c r="AV46" s="7">
        <f>((AVERAGE(AS35:AS46,AU35:AU46)*('Summary Page'!$C$2+1))*('Summary Page'!$C$2+1))*('Summary Page'!$C$2+1)</f>
        <v>93.400114399999964</v>
      </c>
      <c r="AW46" s="7">
        <f>((AVERAGE(AS35:AS46,AU35:AU46)*('Summary Page'!$C$3+1))*('Summary Page'!$C$3+1))*('Summary Page'!$C$3+1)</f>
        <v>116.8701171875</v>
      </c>
      <c r="AX46" s="7">
        <f>((AVERAGE(AS35:AS46,AU35:AU46)*('Summary Page'!$C$4+1))*('Summary Page'!$C$4+1))*('Summary Page'!$C$4+1)</f>
        <v>103.39919999999998</v>
      </c>
      <c r="BA46" s="43">
        <f t="shared" si="42"/>
        <v>114</v>
      </c>
      <c r="BB46" s="7">
        <f>((AVERAGE(B41:B46)*(+'Summary Page'!$C$2+1))*('Summary Page'!$C$2+1))*('Summary Page'!$C$2+1)</f>
        <v>188.60826666666662</v>
      </c>
      <c r="BC46" s="7">
        <f>((AVERAGE(B41:B46)*('Summary Page'!$C$3+1))*('Summary Page'!$C$3+1))*('Summary Page'!$C$3+1)</f>
        <v>236.00260416666663</v>
      </c>
      <c r="BD46" s="7">
        <f>((AVERAGE(B41:B46)*('Summary Page'!$C$4+1))*('Summary Page'!$C$4+1))*('Summary Page'!$C$4+1)</f>
        <v>208.79999999999998</v>
      </c>
      <c r="CQ46" s="43">
        <f t="shared" si="25"/>
        <v>76.8</v>
      </c>
      <c r="CR46" s="7">
        <f>((AVERAGE(C41:C46)*('Summary Page'!$C$2+1))*('Summary Page'!$C$2+1))*('Summary Page'!$C$2+1)</f>
        <v>78.565098666666657</v>
      </c>
      <c r="CS46" s="7">
        <f>((AVERAGE(C41:C46)*('Summary Page'!$C$3+1))*('Summary Page'!$C$3+1))*('Summary Page'!$C$3+1)</f>
        <v>98.307291666666686</v>
      </c>
      <c r="CT46" s="8">
        <f>((AVERAGE(C41:C46)*('Summary Page'!$C$4+1))*('Summary Page'!$C$4+1))*('Summary Page'!$C$4+1)</f>
        <v>86.975999999999985</v>
      </c>
      <c r="CW46" s="43">
        <f t="shared" si="26"/>
        <v>64.8</v>
      </c>
      <c r="CX46" s="7">
        <f>((AVERAGE(D41:D46)*('Summary Page'!$C$2+1))*('Summary Page'!$C$2+1))*('Summary Page'!$C$2+1)</f>
        <v>65.817781333333315</v>
      </c>
      <c r="CY46" s="7">
        <f>((AVERAGE(D41:D46)*('Summary Page'!$C$3+1))*('Summary Page'!$C$3+1))*('Summary Page'!$C$3+1)</f>
        <v>82.356770833333314</v>
      </c>
      <c r="CZ46" s="8">
        <f>((AVERAGE(D41:D46)*('Summary Page'!$C$4+1))*('Summary Page'!$C$4+1))*('Summary Page'!$C$4+1)</f>
        <v>72.86399999999999</v>
      </c>
      <c r="DO46" s="43"/>
      <c r="DP46" s="7"/>
      <c r="DQ46" s="7"/>
      <c r="DR46" s="8"/>
      <c r="DU46" s="43"/>
      <c r="DV46" s="7"/>
      <c r="DW46" s="7"/>
      <c r="DX46" s="8"/>
      <c r="EA46" s="43">
        <f t="shared" si="27"/>
        <v>37.199999999999996</v>
      </c>
      <c r="EB46" s="7">
        <f>((AVERAGE(H41:H46)*('Summary Page'!$C$2+1))*('Summary Page'!$C$2+1))*('Summary Page'!$C$2+1)</f>
        <v>52.550165333333318</v>
      </c>
      <c r="EC46" s="7">
        <f>((AVERAGE(H41:H46)*('Summary Page'!$C$3+1))*('Summary Page'!$C$3+1))*('Summary Page'!$C$3+1)</f>
        <v>65.755208333333314</v>
      </c>
      <c r="ED46" s="8">
        <f>((AVERAGE(H41:H46)*('Summary Page'!$C$4+1))*('Summary Page'!$C$4+1))*('Summary Page'!$C$4+1)</f>
        <v>58.175999999999995</v>
      </c>
      <c r="EG46" s="43">
        <f t="shared" si="28"/>
        <v>44.4</v>
      </c>
      <c r="EH46" s="7">
        <f>((AVERAGE(I41:I46)*('Summary Page'!$C$2+1))*('Summary Page'!$C$2+1))*('Summary Page'!$C$2+1)</f>
        <v>104.58003199999999</v>
      </c>
      <c r="EI46" s="7">
        <f>((AVERAGE(I41:I46)*('Summary Page'!$C$3+1))*('Summary Page'!$C$3+1))*('Summary Page'!$C$3+1)</f>
        <v>130.859375</v>
      </c>
      <c r="EJ46" s="8">
        <f>((AVERAGE(I41:I46)*('Summary Page'!$C$4+1))*('Summary Page'!$C$4+1))*('Summary Page'!$C$4+1)</f>
        <v>115.77599999999998</v>
      </c>
      <c r="EM46" s="43">
        <f t="shared" si="22"/>
        <v>116.39999999999999</v>
      </c>
      <c r="EN46" s="7">
        <f>((AVERAGE(AD41:AD46)*('Summary Page'!$C$2+1))*('Summary Page'!$C$2+1))*('Summary Page'!$C$2+1)</f>
        <v>163.63393066666663</v>
      </c>
      <c r="EO46" s="7">
        <f>((AVERAGE(AD41:AD46)*('Summary Page'!$C$3+1))*('Summary Page'!$C$3+1))*('Summary Page'!$C$3+1)</f>
        <v>204.75260416666663</v>
      </c>
      <c r="EP46" s="7">
        <f>((AVERAGE(AD41:AD46)*('Summary Page'!$C$4+1))*('Summary Page'!$C$4+1))*('Summary Page'!$C$4+1)</f>
        <v>181.15199999999996</v>
      </c>
      <c r="EQ46" s="7">
        <f t="shared" si="29"/>
        <v>100</v>
      </c>
      <c r="ER46" s="16">
        <f t="shared" si="17"/>
        <v>29.393258426966291</v>
      </c>
      <c r="ES46" s="16">
        <f t="shared" si="18"/>
        <v>28.943820224719104</v>
      </c>
      <c r="ET46" s="7">
        <f t="shared" si="30"/>
        <v>34.732584269662922</v>
      </c>
      <c r="EU46" s="7">
        <f>((AVERAGE(ER41:ER46)*('Summary Page'!$C$2+1))*('Summary Page'!$C$2+1))*('Summary Page'!$C$2+1)</f>
        <v>42.902230132334566</v>
      </c>
      <c r="EV46" s="7">
        <f>((AVERAGE(ER41:ER46)*('Summary Page'!$C$3+1))*('Summary Page'!$C$3+1))*('Summary Page'!$C$3+1)</f>
        <v>53.682896379525587</v>
      </c>
      <c r="EW46" s="7">
        <f>((AVERAGE(ER41:ER46)*('Summary Page'!$C$4+1))*('Summary Page'!$C$4+1))*('Summary Page'!$C$4+1)</f>
        <v>47.495191011235953</v>
      </c>
      <c r="EX46" s="11">
        <f t="shared" si="31"/>
        <v>34.292134831460672</v>
      </c>
      <c r="EY46" s="11">
        <f t="shared" si="32"/>
        <v>33.767790262172291</v>
      </c>
      <c r="EZ46" s="11">
        <f t="shared" si="33"/>
        <v>40.52134831460674</v>
      </c>
      <c r="FA46" s="11">
        <f t="shared" si="41"/>
        <v>50.052601821056996</v>
      </c>
      <c r="FB46" s="11">
        <f t="shared" si="35"/>
        <v>62.630045776113185</v>
      </c>
      <c r="FC46" s="11">
        <f t="shared" si="36"/>
        <v>55.411056179775279</v>
      </c>
    </row>
    <row r="47" spans="1:159" ht="15.75" x14ac:dyDescent="0.25">
      <c r="A47" s="10">
        <v>44447</v>
      </c>
      <c r="B47" s="67">
        <v>100</v>
      </c>
      <c r="C47" s="67">
        <v>22</v>
      </c>
      <c r="D47" s="67">
        <v>25</v>
      </c>
      <c r="E47" s="67">
        <f t="shared" si="1"/>
        <v>61</v>
      </c>
      <c r="F47" s="67"/>
      <c r="G47" s="67"/>
      <c r="H47" s="67">
        <v>46</v>
      </c>
      <c r="I47" s="67">
        <v>55</v>
      </c>
      <c r="J47" s="67"/>
      <c r="K47" s="67">
        <v>97</v>
      </c>
      <c r="L47" s="67">
        <v>109</v>
      </c>
      <c r="M47" s="67">
        <v>45</v>
      </c>
      <c r="N47" s="67">
        <v>33</v>
      </c>
      <c r="O47" s="67">
        <f t="shared" si="8"/>
        <v>77</v>
      </c>
      <c r="P47" s="67"/>
      <c r="Q47" s="67"/>
      <c r="R47" s="67">
        <v>36</v>
      </c>
      <c r="S47" s="67">
        <v>44</v>
      </c>
      <c r="T47" s="67"/>
      <c r="U47" s="67">
        <v>61</v>
      </c>
      <c r="V47" s="13"/>
      <c r="W47" s="13"/>
      <c r="X47" s="13"/>
      <c r="Y47" s="13"/>
      <c r="Z47" s="13"/>
      <c r="AA47" s="13"/>
      <c r="AB47" s="13"/>
      <c r="AC47" s="13"/>
      <c r="AD47" s="43">
        <v>112</v>
      </c>
      <c r="AE47" s="67">
        <v>85</v>
      </c>
      <c r="AF47" s="67"/>
      <c r="AG47" s="43">
        <v>897</v>
      </c>
      <c r="AH47" s="43">
        <v>878</v>
      </c>
      <c r="AI47" s="43"/>
      <c r="AJ47" s="43"/>
      <c r="AK47" s="43"/>
      <c r="AL47" s="43"/>
      <c r="AM47" s="43"/>
      <c r="AN47" s="13">
        <f>U47*1.2</f>
        <v>73.2</v>
      </c>
      <c r="AO47" s="7">
        <f>((AVERAGE(K42:K47)*('Summary Page'!$C$2+1))*('Summary Page'!$C$2+1))*('Summary Page'!$C$2+1)</f>
        <v>120.83936533333332</v>
      </c>
      <c r="AP47" s="7">
        <f>((AVERAGE(K42:K47)*('Summary Page'!$C$3+1))*('Summary Page'!$C$3+1))*('Summary Page'!$C$3+1)</f>
        <v>151.20442708333337</v>
      </c>
      <c r="AQ47" s="7">
        <f>((AVERAGE(K42:K47)*('Summary Page'!$C$4+1))*('Summary Page'!$C$4+1))*('Summary Page'!$C$4+1)</f>
        <v>133.77600000000001</v>
      </c>
      <c r="AR47" s="7">
        <f t="shared" si="24"/>
        <v>80</v>
      </c>
      <c r="AS47" s="5">
        <f t="shared" si="38"/>
        <v>40</v>
      </c>
      <c r="AT47" s="13">
        <f t="shared" si="39"/>
        <v>44.5</v>
      </c>
      <c r="AU47" s="13">
        <f t="shared" si="40"/>
        <v>53.4</v>
      </c>
      <c r="AV47" s="7">
        <f>((AVERAGE(AS36:AS47,AU36:AU47)*('Summary Page'!$C$2+1))*('Summary Page'!$C$2+1))*('Summary Page'!$C$2+1)</f>
        <v>92.834289599999963</v>
      </c>
      <c r="AW47" s="7">
        <f>((AVERAGE(AS36:AS47,AU36:AU47)*('Summary Page'!$C$3+1))*('Summary Page'!$C$3+1))*('Summary Page'!$C$3+1)</f>
        <v>116.162109375</v>
      </c>
      <c r="AX47" s="7">
        <f>((AVERAGE(AS36:AS47,AU36:AU47)*('Summary Page'!$C$4+1))*('Summary Page'!$C$4+1))*('Summary Page'!$C$4+1)</f>
        <v>102.77279999999999</v>
      </c>
      <c r="BA47" s="43">
        <f t="shared" si="42"/>
        <v>130.79999999999998</v>
      </c>
      <c r="BB47" s="7">
        <f>((AVERAGE(B42:B47)*(+'Summary Page'!$C$2+1))*('Summary Page'!$C$2+1))*('Summary Page'!$C$2+1)</f>
        <v>181.3240853333333</v>
      </c>
      <c r="BC47" s="7">
        <f>((AVERAGE(B42:B47)*('Summary Page'!$C$3+1))*('Summary Page'!$C$3+1))*('Summary Page'!$C$3+1)</f>
        <v>226.88802083333337</v>
      </c>
      <c r="BD47" s="7">
        <f>((AVERAGE(B42:B47)*('Summary Page'!$C$4+1))*('Summary Page'!$C$4+1))*('Summary Page'!$C$4+1)</f>
        <v>200.73599999999999</v>
      </c>
      <c r="CQ47" s="43">
        <f t="shared" si="25"/>
        <v>54</v>
      </c>
      <c r="CR47" s="7">
        <f>((AVERAGE(C42:C47)*('Summary Page'!$C$2+1))*('Summary Page'!$C$2+1))*('Summary Page'!$C$2+1)</f>
        <v>68.159125333333321</v>
      </c>
      <c r="CS47" s="7">
        <f>((AVERAGE(C42:C47)*('Summary Page'!$C$3+1))*('Summary Page'!$C$3+1))*('Summary Page'!$C$3+1)</f>
        <v>85.286458333333314</v>
      </c>
      <c r="CT47" s="8">
        <f>((AVERAGE(C42:C47)*('Summary Page'!$C$4+1))*('Summary Page'!$C$4+1))*('Summary Page'!$C$4+1)</f>
        <v>75.455999999999989</v>
      </c>
      <c r="CW47" s="43">
        <f t="shared" si="26"/>
        <v>39.6</v>
      </c>
      <c r="CX47" s="7">
        <f>((AVERAGE(D42:D47)*('Summary Page'!$C$2+1))*('Summary Page'!$C$2+1))*('Summary Page'!$C$2+1)</f>
        <v>58.793749333333324</v>
      </c>
      <c r="CY47" s="7">
        <f>((AVERAGE(D42:D47)*('Summary Page'!$C$3+1))*('Summary Page'!$C$3+1))*('Summary Page'!$C$3+1)</f>
        <v>73.567708333333314</v>
      </c>
      <c r="CZ47" s="8">
        <f>((AVERAGE(D42:D47)*('Summary Page'!$C$4+1))*('Summary Page'!$C$4+1))*('Summary Page'!$C$4+1)</f>
        <v>65.087999999999994</v>
      </c>
      <c r="DO47" s="43"/>
      <c r="DP47" s="7"/>
      <c r="DQ47" s="7"/>
      <c r="DR47" s="8"/>
      <c r="DU47" s="43"/>
      <c r="DV47" s="7"/>
      <c r="DW47" s="7"/>
      <c r="DX47" s="8"/>
      <c r="EA47" s="43">
        <f t="shared" si="27"/>
        <v>43.199999999999996</v>
      </c>
      <c r="EB47" s="7">
        <f>((AVERAGE(H42:H47)*('Summary Page'!$C$2+1))*('Summary Page'!$C$2+1))*('Summary Page'!$C$2+1)</f>
        <v>59.314047999999993</v>
      </c>
      <c r="EC47" s="7">
        <f>((AVERAGE(H42:H47)*('Summary Page'!$C$3+1))*('Summary Page'!$C$3+1))*('Summary Page'!$C$3+1)</f>
        <v>74.21875</v>
      </c>
      <c r="ED47" s="8">
        <f>((AVERAGE(H42:H47)*('Summary Page'!$C$4+1))*('Summary Page'!$C$4+1))*('Summary Page'!$C$4+1)</f>
        <v>65.664000000000001</v>
      </c>
      <c r="EG47" s="43">
        <f t="shared" si="28"/>
        <v>52.8</v>
      </c>
      <c r="EH47" s="7">
        <f>((AVERAGE(I42:I47)*('Summary Page'!$C$2+1))*('Summary Page'!$C$2+1))*('Summary Page'!$C$2+1)</f>
        <v>103.799584</v>
      </c>
      <c r="EI47" s="7">
        <f>((AVERAGE(I42:I47)*('Summary Page'!$C$3+1))*('Summary Page'!$C$3+1))*('Summary Page'!$C$3+1)</f>
        <v>129.8828125</v>
      </c>
      <c r="EJ47" s="8">
        <f>((AVERAGE(I42:I47)*('Summary Page'!$C$4+1))*('Summary Page'!$C$4+1))*('Summary Page'!$C$4+1)</f>
        <v>114.91199999999999</v>
      </c>
      <c r="EM47" s="43">
        <f t="shared" si="22"/>
        <v>102</v>
      </c>
      <c r="EN47" s="7">
        <f>((AVERAGE(AD42:AD47)*('Summary Page'!$C$2+1))*('Summary Page'!$C$2+1))*('Summary Page'!$C$2+1)</f>
        <v>159.99183999999997</v>
      </c>
      <c r="EO47" s="7">
        <f>((AVERAGE(AD42:AD47)*('Summary Page'!$C$3+1))*('Summary Page'!$C$3+1))*('Summary Page'!$C$3+1)</f>
        <v>200.1953125</v>
      </c>
      <c r="EP47" s="7">
        <f>((AVERAGE(AD42:AD47)*('Summary Page'!$C$4+1))*('Summary Page'!$C$4+1))*('Summary Page'!$C$4+1)</f>
        <v>177.11999999999998</v>
      </c>
      <c r="EQ47" s="7">
        <f t="shared" si="29"/>
        <v>100</v>
      </c>
      <c r="ER47" s="16">
        <f t="shared" si="17"/>
        <v>26.876404494382019</v>
      </c>
      <c r="ES47" s="16">
        <f t="shared" si="18"/>
        <v>26.307116104868914</v>
      </c>
      <c r="ET47" s="7">
        <f t="shared" si="30"/>
        <v>31.568539325842696</v>
      </c>
      <c r="EU47" s="7">
        <f>((AVERAGE(ER42:ER47)*('Summary Page'!$C$2+1))*('Summary Page'!$C$2+1))*('Summary Page'!$C$2+1)</f>
        <v>43.182840649188513</v>
      </c>
      <c r="EV47" s="7">
        <f>((AVERAGE(ER42:ER47)*('Summary Page'!$C$3+1))*('Summary Page'!$C$3+1))*('Summary Page'!$C$3+1)</f>
        <v>54.034019975031228</v>
      </c>
      <c r="EW47" s="7">
        <f>((AVERAGE(ER42:ER47)*('Summary Page'!$C$4+1))*('Summary Page'!$C$4+1))*('Summary Page'!$C$4+1)</f>
        <v>47.805842696629213</v>
      </c>
      <c r="EX47" s="11">
        <f t="shared" si="31"/>
        <v>31.355805243445687</v>
      </c>
      <c r="EY47" s="11">
        <f t="shared" si="32"/>
        <v>30.691635455680398</v>
      </c>
      <c r="EZ47" s="11">
        <f t="shared" si="33"/>
        <v>36.829962546816482</v>
      </c>
      <c r="FA47" s="11">
        <f t="shared" si="41"/>
        <v>50.379980757386598</v>
      </c>
      <c r="FB47" s="11">
        <f t="shared" si="35"/>
        <v>63.039689970869766</v>
      </c>
      <c r="FC47" s="11">
        <f t="shared" si="36"/>
        <v>55.773483146067413</v>
      </c>
    </row>
    <row r="48" spans="1:159" ht="15.75" x14ac:dyDescent="0.25">
      <c r="A48" s="10">
        <v>44475</v>
      </c>
      <c r="B48" s="67">
        <v>125</v>
      </c>
      <c r="C48" s="67">
        <v>21</v>
      </c>
      <c r="D48" s="67">
        <v>24</v>
      </c>
      <c r="E48" s="67">
        <f t="shared" si="1"/>
        <v>73</v>
      </c>
      <c r="F48" s="67"/>
      <c r="G48" s="67"/>
      <c r="H48" s="67">
        <v>43</v>
      </c>
      <c r="I48" s="67">
        <v>51</v>
      </c>
      <c r="J48" s="67"/>
      <c r="K48" s="67">
        <v>109</v>
      </c>
      <c r="L48" s="67">
        <v>90</v>
      </c>
      <c r="M48" s="67">
        <v>70</v>
      </c>
      <c r="N48" s="67">
        <v>48</v>
      </c>
      <c r="O48" s="67">
        <f t="shared" si="8"/>
        <v>80</v>
      </c>
      <c r="P48" s="67"/>
      <c r="Q48" s="67"/>
      <c r="R48" s="67">
        <v>31</v>
      </c>
      <c r="S48" s="67">
        <v>36</v>
      </c>
      <c r="T48" s="67"/>
      <c r="U48" s="67">
        <v>55</v>
      </c>
      <c r="V48" s="13"/>
      <c r="W48" s="13"/>
      <c r="X48" s="13"/>
      <c r="Y48" s="13"/>
      <c r="Z48" s="13"/>
      <c r="AA48" s="13"/>
      <c r="AB48" s="13"/>
      <c r="AC48" s="13"/>
      <c r="AD48" s="43">
        <v>125</v>
      </c>
      <c r="AE48" s="67">
        <v>88</v>
      </c>
      <c r="AF48" s="67"/>
      <c r="AG48" s="43">
        <v>1061</v>
      </c>
      <c r="AH48">
        <v>774</v>
      </c>
      <c r="AN48" s="13">
        <f>U48*1.2</f>
        <v>66</v>
      </c>
      <c r="AO48" s="7">
        <f>((AVERAGE(K43:K48)*('Summary Page'!$C$2+1))*('Summary Page'!$C$2+1))*('Summary Page'!$C$2+1)</f>
        <v>129.42429333333331</v>
      </c>
      <c r="AP48" s="7">
        <f>((AVERAGE(K43:K48)*('Summary Page'!$C$3+1))*('Summary Page'!$C$3+1))*('Summary Page'!$C$3+1)</f>
        <v>161.94661458333337</v>
      </c>
      <c r="AQ48" s="7">
        <f>((AVERAGE(K43:K48)*('Summary Page'!$C$4+1))*('Summary Page'!$C$4+1))*('Summary Page'!$C$4+1)</f>
        <v>143.27999999999997</v>
      </c>
      <c r="AR48" s="7">
        <f t="shared" si="24"/>
        <v>80</v>
      </c>
      <c r="AS48" s="5">
        <f t="shared" si="38"/>
        <v>37.5</v>
      </c>
      <c r="AT48" s="13">
        <f t="shared" si="39"/>
        <v>53</v>
      </c>
      <c r="AU48" s="13">
        <f t="shared" si="40"/>
        <v>63.599999999999994</v>
      </c>
      <c r="AV48" s="7">
        <f>((AVERAGE(AS37:AS48,AU37:AU48)*('Summary Page'!$C$2+1))*('Summary Page'!$C$2+1))*('Summary Page'!$C$2+1)</f>
        <v>91.663617599999967</v>
      </c>
      <c r="AW48" s="7">
        <f>((AVERAGE(AS37:AS48,AU37:AU48)*('Summary Page'!$C$3+1))*('Summary Page'!$C$3+1))*('Summary Page'!$C$3+1)</f>
        <v>114.697265625</v>
      </c>
      <c r="AX48" s="7">
        <f>((AVERAGE(AS37:AS48,AU37:AU48)*('Summary Page'!$C$4+1))*('Summary Page'!$C$4+1))*('Summary Page'!$C$4+1)</f>
        <v>101.47679999999997</v>
      </c>
      <c r="BA48" s="43">
        <f t="shared" si="42"/>
        <v>108</v>
      </c>
      <c r="BB48" s="7">
        <f>((AVERAGE(B43:B48)*(+'Summary Page'!$C$2+1))*('Summary Page'!$C$2+1))*('Summary Page'!$C$2+1)</f>
        <v>181.84438399999996</v>
      </c>
      <c r="BC48" s="7">
        <f>((AVERAGE(B43:B48)*('Summary Page'!$C$3+1))*('Summary Page'!$C$3+1))*('Summary Page'!$C$3+1)</f>
        <v>227.5390625</v>
      </c>
      <c r="BD48" s="7">
        <f>((AVERAGE(B43:B48)*('Summary Page'!$C$4+1))*('Summary Page'!$C$4+1))*('Summary Page'!$C$4+1)</f>
        <v>201.31199999999995</v>
      </c>
      <c r="CQ48" s="43">
        <f t="shared" si="25"/>
        <v>84</v>
      </c>
      <c r="CR48" s="7">
        <f>((AVERAGE(C43:C48)*('Summary Page'!$C$2+1))*('Summary Page'!$C$2+1))*('Summary Page'!$C$2+1)</f>
        <v>62.175690666666654</v>
      </c>
      <c r="CS48" s="7">
        <f>((AVERAGE(C43:C48)*('Summary Page'!$C$3+1))*('Summary Page'!$C$3+1))*('Summary Page'!$C$3+1)</f>
        <v>77.799479166666686</v>
      </c>
      <c r="CT48" s="8">
        <f>((AVERAGE(C43:C48)*('Summary Page'!$C$4+1))*('Summary Page'!$C$4+1))*('Summary Page'!$C$4+1)</f>
        <v>68.832000000000008</v>
      </c>
      <c r="CW48" s="43">
        <f t="shared" si="26"/>
        <v>57.599999999999994</v>
      </c>
      <c r="CX48" s="7">
        <f>((AVERAGE(D43:D48)*('Summary Page'!$C$2+1))*('Summary Page'!$C$2+1))*('Summary Page'!$C$2+1)</f>
        <v>55.671957333333317</v>
      </c>
      <c r="CY48" s="7">
        <f>((AVERAGE(D43:D48)*('Summary Page'!$C$3+1))*('Summary Page'!$C$3+1))*('Summary Page'!$C$3+1)</f>
        <v>69.661458333333314</v>
      </c>
      <c r="CZ48" s="8">
        <f>((AVERAGE(D43:D48)*('Summary Page'!$C$4+1))*('Summary Page'!$C$4+1))*('Summary Page'!$C$4+1)</f>
        <v>61.631999999999991</v>
      </c>
      <c r="DO48" s="43"/>
      <c r="DP48" s="7"/>
      <c r="DQ48" s="7"/>
      <c r="DR48" s="8"/>
      <c r="DU48" s="43"/>
      <c r="DV48" s="7"/>
      <c r="DW48" s="7"/>
      <c r="DX48" s="8"/>
      <c r="EA48" s="43">
        <f t="shared" si="27"/>
        <v>37.199999999999996</v>
      </c>
      <c r="EB48" s="7">
        <f>((AVERAGE(H43:H48)*('Summary Page'!$C$2+1))*('Summary Page'!$C$2+1))*('Summary Page'!$C$2+1)</f>
        <v>66.858378666666667</v>
      </c>
      <c r="EC48" s="7">
        <f>((AVERAGE(H43:H48)*('Summary Page'!$C$3+1))*('Summary Page'!$C$3+1))*('Summary Page'!$C$3+1)</f>
        <v>83.658854166666686</v>
      </c>
      <c r="ED48" s="8">
        <f>((AVERAGE(H43:H48)*('Summary Page'!$C$4+1))*('Summary Page'!$C$4+1))*('Summary Page'!$C$4+1)</f>
        <v>74.015999999999991</v>
      </c>
      <c r="EG48" s="43">
        <f t="shared" si="28"/>
        <v>43.199999999999996</v>
      </c>
      <c r="EH48" s="7">
        <f>((AVERAGE(I43:I48)*('Summary Page'!$C$2+1))*('Summary Page'!$C$2+1))*('Summary Page'!$C$2+1)</f>
        <v>103.799584</v>
      </c>
      <c r="EI48" s="7">
        <f>((AVERAGE(I43:I48)*('Summary Page'!$C$3+1))*('Summary Page'!$C$3+1))*('Summary Page'!$C$3+1)</f>
        <v>129.8828125</v>
      </c>
      <c r="EJ48" s="8">
        <f>((AVERAGE(I43:I48)*('Summary Page'!$C$4+1))*('Summary Page'!$C$4+1))*('Summary Page'!$C$4+1)</f>
        <v>114.91199999999999</v>
      </c>
      <c r="EM48" s="43">
        <f t="shared" si="22"/>
        <v>105.6</v>
      </c>
      <c r="EN48" s="7">
        <f>((AVERAGE(AD43:AD48)*('Summary Page'!$C$2+1))*('Summary Page'!$C$2+1))*('Summary Page'!$C$2+1)</f>
        <v>165.71512533333333</v>
      </c>
      <c r="EO48" s="7">
        <f>((AVERAGE(AD43:AD48)*('Summary Page'!$C$3+1))*('Summary Page'!$C$3+1))*('Summary Page'!$C$3+1)</f>
        <v>207.35677083333337</v>
      </c>
      <c r="EP48" s="7">
        <f>((AVERAGE(AD43:AD48)*('Summary Page'!$C$4+1))*('Summary Page'!$C$4+1))*('Summary Page'!$C$4+1)</f>
        <v>183.45599999999999</v>
      </c>
      <c r="EQ48" s="7">
        <f t="shared" si="29"/>
        <v>100</v>
      </c>
      <c r="ER48" s="16">
        <f t="shared" si="17"/>
        <v>31.790262172284645</v>
      </c>
      <c r="ES48" s="16">
        <f t="shared" si="18"/>
        <v>23.191011235955056</v>
      </c>
      <c r="ET48" s="7">
        <f t="shared" si="30"/>
        <v>27.829213483146066</v>
      </c>
      <c r="EU48" s="7">
        <f>((AVERAGE(ER43:ER48)*('Summary Page'!$C$2+1))*('Summary Page'!$C$2+1))*('Summary Page'!$C$2+1)</f>
        <v>44.796351121098617</v>
      </c>
      <c r="EV48" s="7">
        <f>((AVERAGE(ER43:ER48)*('Summary Page'!$C$3+1))*('Summary Page'!$C$3+1))*('Summary Page'!$C$3+1)</f>
        <v>56.05298064918852</v>
      </c>
      <c r="EW48" s="7">
        <f>((AVERAGE(ER43:ER48)*('Summary Page'!$C$4+1))*('Summary Page'!$C$4+1))*('Summary Page'!$C$4+1)</f>
        <v>49.592089887640448</v>
      </c>
      <c r="EX48" s="11">
        <f t="shared" si="31"/>
        <v>37.088639200998756</v>
      </c>
      <c r="EY48" s="11">
        <f t="shared" si="32"/>
        <v>27.056179775280899</v>
      </c>
      <c r="EZ48" s="11">
        <f t="shared" si="33"/>
        <v>32.467415730337081</v>
      </c>
      <c r="FA48" s="11">
        <f t="shared" si="41"/>
        <v>52.262409641281721</v>
      </c>
      <c r="FB48" s="11">
        <f t="shared" si="35"/>
        <v>65.395144090719938</v>
      </c>
      <c r="FC48" s="11">
        <f t="shared" si="36"/>
        <v>57.857438202247188</v>
      </c>
    </row>
    <row r="49" spans="1:156" ht="15.75" x14ac:dyDescent="0.25">
      <c r="A49" s="10">
        <v>44501</v>
      </c>
      <c r="B49" s="67">
        <v>125</v>
      </c>
      <c r="C49" s="67">
        <v>82</v>
      </c>
      <c r="D49" s="67">
        <v>52</v>
      </c>
      <c r="E49" s="67">
        <f t="shared" si="1"/>
        <v>103.5</v>
      </c>
      <c r="F49" s="67"/>
      <c r="G49" s="67"/>
      <c r="H49" s="67">
        <v>36</v>
      </c>
      <c r="I49" s="67">
        <v>43</v>
      </c>
      <c r="J49" s="67"/>
      <c r="K49" s="67">
        <v>98</v>
      </c>
      <c r="L49" s="67">
        <v>83</v>
      </c>
      <c r="M49" s="67">
        <v>41</v>
      </c>
      <c r="N49" s="67">
        <v>39</v>
      </c>
      <c r="O49" s="67">
        <f t="shared" si="8"/>
        <v>62</v>
      </c>
      <c r="P49" s="67"/>
      <c r="Q49" s="67"/>
      <c r="R49" s="67">
        <v>44</v>
      </c>
      <c r="S49" s="67">
        <v>50</v>
      </c>
      <c r="T49" s="67"/>
      <c r="U49" s="67">
        <v>68</v>
      </c>
      <c r="V49" s="13"/>
      <c r="W49" s="13"/>
      <c r="X49" s="13"/>
      <c r="Y49" s="13"/>
      <c r="Z49" s="13"/>
      <c r="AA49" s="13"/>
      <c r="AB49" s="13"/>
      <c r="AC49" s="13"/>
      <c r="AD49" s="43">
        <v>113</v>
      </c>
      <c r="AE49" s="67">
        <v>74</v>
      </c>
      <c r="AF49" s="67"/>
      <c r="AG49" s="43">
        <v>987</v>
      </c>
      <c r="AH49">
        <v>1026</v>
      </c>
      <c r="AN49" s="13">
        <f>U49*1.2</f>
        <v>81.599999999999994</v>
      </c>
      <c r="AS49" s="5">
        <f t="shared" si="38"/>
        <v>62.5</v>
      </c>
      <c r="AT49" s="13">
        <f t="shared" si="39"/>
        <v>45.5</v>
      </c>
      <c r="AU49" s="13">
        <f t="shared" si="40"/>
        <v>54.6</v>
      </c>
      <c r="BA49" s="43">
        <f t="shared" si="42"/>
        <v>99.6</v>
      </c>
      <c r="CQ49" s="43">
        <f t="shared" si="25"/>
        <v>49.199999999999996</v>
      </c>
      <c r="CW49" s="43">
        <f t="shared" si="26"/>
        <v>46.8</v>
      </c>
      <c r="EA49" s="43">
        <f t="shared" si="27"/>
        <v>52.8</v>
      </c>
      <c r="EG49" s="43">
        <f t="shared" si="28"/>
        <v>60</v>
      </c>
      <c r="EM49" s="43">
        <f t="shared" si="22"/>
        <v>88.8</v>
      </c>
      <c r="ER49" s="16">
        <f t="shared" si="17"/>
        <v>29.573033707865164</v>
      </c>
      <c r="ES49" s="16">
        <f t="shared" si="18"/>
        <v>30.741573033707869</v>
      </c>
      <c r="ET49" s="7">
        <f t="shared" si="30"/>
        <v>36.889887640449444</v>
      </c>
      <c r="EX49" s="11">
        <f t="shared" si="31"/>
        <v>34.501872659176023</v>
      </c>
      <c r="EY49" s="11">
        <f t="shared" si="32"/>
        <v>35.86516853932585</v>
      </c>
      <c r="EZ49" s="11">
        <f t="shared" si="33"/>
        <v>43.038202247191016</v>
      </c>
    </row>
    <row r="50" spans="1:156" ht="15.75" x14ac:dyDescent="0.25">
      <c r="A50" s="10">
        <v>44531</v>
      </c>
      <c r="B50" s="67">
        <v>158</v>
      </c>
      <c r="C50" s="67">
        <v>110</v>
      </c>
      <c r="D50" s="67">
        <v>75</v>
      </c>
      <c r="E50" s="67">
        <f t="shared" si="1"/>
        <v>134</v>
      </c>
      <c r="F50" s="67"/>
      <c r="G50" s="67"/>
      <c r="H50" s="67">
        <v>47</v>
      </c>
      <c r="I50" s="67">
        <v>52</v>
      </c>
      <c r="J50" s="67"/>
      <c r="K50" s="67">
        <v>66</v>
      </c>
      <c r="L50" s="67">
        <v>92</v>
      </c>
      <c r="M50" s="67">
        <v>34</v>
      </c>
      <c r="N50" s="67">
        <v>27</v>
      </c>
      <c r="O50" s="67">
        <f t="shared" si="8"/>
        <v>63</v>
      </c>
      <c r="P50" s="67"/>
      <c r="Q50" s="67"/>
      <c r="R50" s="67">
        <v>29</v>
      </c>
      <c r="S50" s="67">
        <v>35</v>
      </c>
      <c r="T50" s="67"/>
      <c r="U50" s="67">
        <v>46</v>
      </c>
      <c r="AD50" s="43">
        <v>113</v>
      </c>
      <c r="AE50" s="67">
        <v>62</v>
      </c>
      <c r="AF50" s="67"/>
      <c r="AG50" s="43">
        <v>1110</v>
      </c>
      <c r="AH50">
        <v>1231</v>
      </c>
      <c r="AS50" s="5">
        <f t="shared" si="38"/>
        <v>81</v>
      </c>
      <c r="EM50" s="43">
        <f t="shared" si="22"/>
        <v>74.399999999999991</v>
      </c>
      <c r="ER50" s="16">
        <f t="shared" si="17"/>
        <v>33.258426966292134</v>
      </c>
      <c r="ES50" s="16">
        <f t="shared" si="18"/>
        <v>36.883895131086135</v>
      </c>
      <c r="ET50" s="7">
        <f t="shared" si="30"/>
        <v>44.260674157303363</v>
      </c>
      <c r="EX50" s="11">
        <f t="shared" si="31"/>
        <v>38.801498127340821</v>
      </c>
      <c r="EY50" s="11">
        <f t="shared" si="32"/>
        <v>43.031210986267155</v>
      </c>
      <c r="EZ50" s="11">
        <f t="shared" si="33"/>
        <v>51.637453183520591</v>
      </c>
    </row>
    <row r="51" spans="1:156" x14ac:dyDescent="0.25">
      <c r="A51" s="10">
        <v>44581</v>
      </c>
      <c r="B51" s="67">
        <v>156</v>
      </c>
      <c r="C51" s="67">
        <v>115</v>
      </c>
      <c r="D51" s="67">
        <v>78</v>
      </c>
      <c r="E51" s="67">
        <f t="shared" si="1"/>
        <v>135.5</v>
      </c>
      <c r="F51" s="67"/>
      <c r="G51" s="67"/>
      <c r="H51" s="67">
        <v>67</v>
      </c>
      <c r="I51" s="67">
        <v>82</v>
      </c>
      <c r="J51" s="67"/>
      <c r="K51" s="67">
        <v>60</v>
      </c>
      <c r="L51" s="67">
        <v>82</v>
      </c>
      <c r="M51" s="67">
        <v>37</v>
      </c>
      <c r="N51" s="67">
        <v>35</v>
      </c>
      <c r="O51" s="67">
        <f t="shared" si="8"/>
        <v>59.5</v>
      </c>
      <c r="P51" s="67"/>
      <c r="Q51" s="67"/>
      <c r="R51" s="67">
        <v>18</v>
      </c>
      <c r="S51" s="67">
        <v>29</v>
      </c>
      <c r="T51" s="67"/>
      <c r="U51" s="67">
        <v>29</v>
      </c>
      <c r="AE51" s="67"/>
      <c r="AF51" s="67"/>
    </row>
    <row r="52" spans="1:156" x14ac:dyDescent="0.25">
      <c r="A52" s="10">
        <v>44593</v>
      </c>
      <c r="B52" s="67">
        <v>161</v>
      </c>
      <c r="C52" s="67">
        <v>116</v>
      </c>
      <c r="D52" s="67">
        <v>78</v>
      </c>
      <c r="E52" s="67">
        <f t="shared" ref="E52:E59" si="43">AVERAGE(B52:C52)</f>
        <v>138.5</v>
      </c>
      <c r="F52" s="67"/>
      <c r="G52" s="67"/>
      <c r="H52" s="67">
        <v>42</v>
      </c>
      <c r="I52" s="67">
        <v>55</v>
      </c>
      <c r="J52" s="67"/>
      <c r="K52" s="67">
        <v>60</v>
      </c>
      <c r="L52" s="67">
        <v>78</v>
      </c>
      <c r="M52" s="67">
        <v>30</v>
      </c>
      <c r="N52" s="67">
        <v>27</v>
      </c>
      <c r="O52" s="67">
        <f t="shared" ref="O52:O66" si="44">AVERAGE(L52:M52)</f>
        <v>54</v>
      </c>
      <c r="P52" s="67"/>
      <c r="Q52" s="67"/>
      <c r="R52" s="67">
        <v>35</v>
      </c>
      <c r="S52" s="67">
        <v>47</v>
      </c>
      <c r="T52" s="67"/>
      <c r="U52" s="67">
        <v>26</v>
      </c>
      <c r="V52" s="67">
        <v>136</v>
      </c>
      <c r="W52" s="67">
        <v>55</v>
      </c>
      <c r="X52" s="67">
        <v>45</v>
      </c>
      <c r="Y52" s="67">
        <f t="shared" ref="Y52:Y60" si="45">AVERAGE(V52:W52)</f>
        <v>95.5</v>
      </c>
      <c r="Z52" s="67">
        <v>34</v>
      </c>
      <c r="AA52" s="67">
        <v>43</v>
      </c>
      <c r="AB52" s="67"/>
      <c r="AC52" s="67">
        <v>57</v>
      </c>
      <c r="AD52" s="43">
        <v>110</v>
      </c>
      <c r="AE52" s="67">
        <v>46</v>
      </c>
      <c r="AF52" s="67">
        <v>85</v>
      </c>
      <c r="AG52" s="43">
        <v>1162</v>
      </c>
      <c r="AH52">
        <v>1272</v>
      </c>
      <c r="AI52">
        <v>1172</v>
      </c>
      <c r="AJ52" s="16">
        <f t="shared" ref="AJ52:AL63" si="46">((AG52/37.5)/0.83)*(AD52/100)</f>
        <v>41.06666666666667</v>
      </c>
      <c r="AK52" s="11">
        <f t="shared" si="46"/>
        <v>18.799036144578317</v>
      </c>
      <c r="AL52" s="1355">
        <f t="shared" si="46"/>
        <v>32.006425702811242</v>
      </c>
    </row>
    <row r="53" spans="1:156" ht="15.75" thickBot="1" x14ac:dyDescent="0.3">
      <c r="A53" s="10">
        <v>44617</v>
      </c>
      <c r="B53" s="67">
        <v>153</v>
      </c>
      <c r="C53" s="67">
        <v>100</v>
      </c>
      <c r="D53" s="67">
        <v>64</v>
      </c>
      <c r="E53" s="67">
        <f t="shared" si="43"/>
        <v>126.5</v>
      </c>
      <c r="F53" s="67"/>
      <c r="G53" s="67"/>
      <c r="H53" s="67">
        <v>63</v>
      </c>
      <c r="I53" s="67">
        <v>80</v>
      </c>
      <c r="J53" s="67"/>
      <c r="K53" s="67">
        <v>56</v>
      </c>
      <c r="L53" s="67">
        <v>123</v>
      </c>
      <c r="M53" s="67">
        <v>42</v>
      </c>
      <c r="N53" s="67">
        <v>38</v>
      </c>
      <c r="O53" s="67">
        <f t="shared" si="44"/>
        <v>82.5</v>
      </c>
      <c r="P53" s="67"/>
      <c r="Q53" s="67"/>
      <c r="R53" s="67">
        <v>50</v>
      </c>
      <c r="S53" s="67">
        <v>58</v>
      </c>
      <c r="T53" s="67"/>
      <c r="U53" s="67">
        <v>33</v>
      </c>
      <c r="V53" s="67">
        <v>105</v>
      </c>
      <c r="W53" s="67">
        <v>52</v>
      </c>
      <c r="X53" s="67">
        <v>40</v>
      </c>
      <c r="Y53" s="67">
        <f t="shared" si="45"/>
        <v>78.5</v>
      </c>
      <c r="Z53" s="67">
        <v>28</v>
      </c>
      <c r="AA53" s="67">
        <v>36</v>
      </c>
      <c r="AB53" s="67"/>
      <c r="AC53" s="67">
        <v>57</v>
      </c>
      <c r="AD53" s="43">
        <v>114</v>
      </c>
      <c r="AE53" s="67">
        <v>73</v>
      </c>
      <c r="AF53" s="67">
        <v>85</v>
      </c>
      <c r="AG53" s="43">
        <v>1071</v>
      </c>
      <c r="AH53">
        <v>1151</v>
      </c>
      <c r="AI53">
        <v>1051</v>
      </c>
      <c r="AJ53" s="16">
        <f t="shared" si="46"/>
        <v>39.226987951807224</v>
      </c>
      <c r="AK53" s="11">
        <f t="shared" si="46"/>
        <v>26.995341365461844</v>
      </c>
      <c r="AL53" s="1355">
        <f t="shared" si="46"/>
        <v>28.702008032128514</v>
      </c>
    </row>
    <row r="54" spans="1:156" ht="15.75" thickBot="1" x14ac:dyDescent="0.3">
      <c r="A54" s="10">
        <v>44655</v>
      </c>
      <c r="B54" s="198">
        <v>155</v>
      </c>
      <c r="C54" s="1308">
        <v>77</v>
      </c>
      <c r="D54" s="1309">
        <v>63</v>
      </c>
      <c r="E54" s="411">
        <f t="shared" si="43"/>
        <v>116</v>
      </c>
      <c r="F54" s="43"/>
      <c r="G54" s="67"/>
      <c r="H54" s="67">
        <v>66</v>
      </c>
      <c r="I54" s="67">
        <v>84</v>
      </c>
      <c r="J54" s="67"/>
      <c r="K54" s="67">
        <v>46</v>
      </c>
      <c r="L54" s="198">
        <v>116</v>
      </c>
      <c r="M54" s="1308">
        <v>50</v>
      </c>
      <c r="N54" s="1309">
        <v>47</v>
      </c>
      <c r="O54" s="411">
        <f t="shared" si="44"/>
        <v>83</v>
      </c>
      <c r="R54" s="67">
        <v>26</v>
      </c>
      <c r="S54" s="67">
        <v>34</v>
      </c>
      <c r="T54" s="67"/>
      <c r="U54" s="67">
        <v>38</v>
      </c>
      <c r="V54" s="198">
        <v>117</v>
      </c>
      <c r="W54" s="1308">
        <v>41</v>
      </c>
      <c r="X54" s="1309">
        <v>31</v>
      </c>
      <c r="Y54" s="411">
        <f t="shared" si="45"/>
        <v>79</v>
      </c>
      <c r="Z54" s="67">
        <v>31</v>
      </c>
      <c r="AA54" s="67">
        <v>41</v>
      </c>
      <c r="AB54" s="67"/>
      <c r="AC54" s="67">
        <v>56</v>
      </c>
      <c r="AD54" s="67">
        <v>110</v>
      </c>
      <c r="AE54" s="67">
        <v>69</v>
      </c>
      <c r="AF54" s="67">
        <v>92</v>
      </c>
      <c r="AG54" s="43">
        <v>1060</v>
      </c>
      <c r="AH54">
        <v>1169</v>
      </c>
      <c r="AI54">
        <v>1052</v>
      </c>
      <c r="AJ54" s="16">
        <f t="shared" si="46"/>
        <v>37.46184738955823</v>
      </c>
      <c r="AK54" s="11">
        <f t="shared" si="46"/>
        <v>25.915180722891563</v>
      </c>
      <c r="AL54" s="1355">
        <f t="shared" si="46"/>
        <v>31.095261044176709</v>
      </c>
    </row>
    <row r="55" spans="1:156" ht="15.75" thickBot="1" x14ac:dyDescent="0.3">
      <c r="A55" s="10">
        <v>44691</v>
      </c>
      <c r="B55" s="198">
        <v>140</v>
      </c>
      <c r="C55" s="1308">
        <v>61</v>
      </c>
      <c r="D55" s="1309">
        <v>50</v>
      </c>
      <c r="E55" s="411">
        <f t="shared" si="43"/>
        <v>100.5</v>
      </c>
      <c r="F55" s="43"/>
      <c r="G55" s="67"/>
      <c r="H55" s="67">
        <v>53</v>
      </c>
      <c r="I55" s="67">
        <v>80</v>
      </c>
      <c r="J55" s="67"/>
      <c r="K55" s="67">
        <v>41</v>
      </c>
      <c r="L55" s="198">
        <v>117</v>
      </c>
      <c r="M55" s="1308">
        <v>53</v>
      </c>
      <c r="N55" s="1309">
        <v>47</v>
      </c>
      <c r="O55" s="411">
        <f t="shared" si="44"/>
        <v>85</v>
      </c>
      <c r="R55" s="67">
        <v>52</v>
      </c>
      <c r="S55" s="67">
        <v>62</v>
      </c>
      <c r="T55" s="67"/>
      <c r="U55" s="67">
        <v>47</v>
      </c>
      <c r="V55" s="198">
        <v>85</v>
      </c>
      <c r="W55" s="1308">
        <v>40</v>
      </c>
      <c r="X55" s="1309">
        <v>31</v>
      </c>
      <c r="Y55" s="411">
        <f t="shared" si="45"/>
        <v>62.5</v>
      </c>
      <c r="Z55" s="67">
        <v>35</v>
      </c>
      <c r="AA55" s="67">
        <v>46</v>
      </c>
      <c r="AB55" s="67"/>
      <c r="AC55" s="67">
        <v>47</v>
      </c>
      <c r="AD55" s="67">
        <v>100</v>
      </c>
      <c r="AE55" s="67">
        <v>88</v>
      </c>
      <c r="AF55" s="67">
        <v>76</v>
      </c>
      <c r="AG55" s="43">
        <v>1025</v>
      </c>
      <c r="AH55">
        <v>1090</v>
      </c>
      <c r="AI55">
        <v>979</v>
      </c>
      <c r="AJ55" s="16">
        <f t="shared" si="46"/>
        <v>32.931726907630519</v>
      </c>
      <c r="AK55" s="11">
        <f t="shared" si="46"/>
        <v>30.817670682730924</v>
      </c>
      <c r="AL55" s="1355">
        <f t="shared" si="46"/>
        <v>23.904899598393573</v>
      </c>
    </row>
    <row r="56" spans="1:156" ht="15.75" thickBot="1" x14ac:dyDescent="0.3">
      <c r="A56" s="10">
        <v>44714</v>
      </c>
      <c r="B56" s="198">
        <v>145</v>
      </c>
      <c r="C56" s="1308">
        <v>49</v>
      </c>
      <c r="D56" s="1309">
        <v>46</v>
      </c>
      <c r="E56" s="411">
        <f t="shared" si="43"/>
        <v>97</v>
      </c>
      <c r="F56" s="43"/>
      <c r="G56" s="67"/>
      <c r="H56" s="67">
        <v>66</v>
      </c>
      <c r="I56" s="67">
        <v>81</v>
      </c>
      <c r="J56" s="67"/>
      <c r="K56" s="67">
        <v>37</v>
      </c>
      <c r="L56" s="198">
        <v>119</v>
      </c>
      <c r="M56" s="1308">
        <v>50</v>
      </c>
      <c r="N56" s="1309">
        <v>43</v>
      </c>
      <c r="O56" s="411">
        <f t="shared" si="44"/>
        <v>84.5</v>
      </c>
      <c r="R56" s="67">
        <v>41</v>
      </c>
      <c r="S56" s="67">
        <v>60</v>
      </c>
      <c r="T56" s="67"/>
      <c r="U56" s="67">
        <v>43</v>
      </c>
      <c r="V56" s="198">
        <v>83</v>
      </c>
      <c r="W56" s="1308">
        <v>28</v>
      </c>
      <c r="X56" s="1309">
        <v>21</v>
      </c>
      <c r="Y56" s="411">
        <f t="shared" si="45"/>
        <v>55.5</v>
      </c>
      <c r="Z56" s="67">
        <v>20</v>
      </c>
      <c r="AA56" s="67">
        <v>28</v>
      </c>
      <c r="AB56" s="67"/>
      <c r="AC56" s="67">
        <v>45</v>
      </c>
      <c r="AD56" s="67">
        <v>94</v>
      </c>
      <c r="AE56" s="67">
        <v>85</v>
      </c>
      <c r="AF56" s="67">
        <v>70</v>
      </c>
      <c r="AG56" s="43">
        <v>1043</v>
      </c>
      <c r="AH56">
        <v>1090</v>
      </c>
      <c r="AI56">
        <v>979</v>
      </c>
      <c r="AJ56" s="16">
        <f t="shared" si="46"/>
        <v>31.499437751004013</v>
      </c>
      <c r="AK56" s="11">
        <f t="shared" si="46"/>
        <v>29.76706827309237</v>
      </c>
      <c r="AL56" s="1355">
        <f t="shared" si="46"/>
        <v>22.017670682730923</v>
      </c>
    </row>
    <row r="57" spans="1:156" ht="15.75" thickBot="1" x14ac:dyDescent="0.3">
      <c r="A57" s="10">
        <v>44753</v>
      </c>
      <c r="B57" s="198">
        <v>116</v>
      </c>
      <c r="C57" s="1308">
        <v>50</v>
      </c>
      <c r="D57" s="1309">
        <v>47</v>
      </c>
      <c r="E57" s="411">
        <f t="shared" si="43"/>
        <v>83</v>
      </c>
      <c r="F57" s="43"/>
      <c r="G57" s="67"/>
      <c r="H57" s="67">
        <v>54</v>
      </c>
      <c r="I57" s="67">
        <v>75</v>
      </c>
      <c r="J57" s="67"/>
      <c r="K57" s="67">
        <v>44</v>
      </c>
      <c r="L57" s="198">
        <v>86</v>
      </c>
      <c r="M57" s="1308">
        <v>43</v>
      </c>
      <c r="N57" s="1309">
        <v>33</v>
      </c>
      <c r="O57" s="411">
        <f t="shared" si="44"/>
        <v>64.5</v>
      </c>
      <c r="R57" s="67">
        <v>30</v>
      </c>
      <c r="S57" s="67">
        <v>41</v>
      </c>
      <c r="T57" s="67"/>
      <c r="U57" s="67">
        <v>41</v>
      </c>
      <c r="V57" s="198">
        <v>86</v>
      </c>
      <c r="W57" s="1308">
        <v>17</v>
      </c>
      <c r="X57" s="1309">
        <v>16</v>
      </c>
      <c r="Y57" s="411">
        <f t="shared" si="45"/>
        <v>51.5</v>
      </c>
      <c r="Z57" s="67">
        <v>23</v>
      </c>
      <c r="AA57" s="67">
        <v>31</v>
      </c>
      <c r="AB57" s="67"/>
      <c r="AC57" s="67">
        <v>33.5</v>
      </c>
      <c r="AD57" s="67">
        <v>98</v>
      </c>
      <c r="AE57" s="67">
        <v>75</v>
      </c>
      <c r="AF57" s="67">
        <v>65</v>
      </c>
      <c r="AG57" s="43">
        <v>1031</v>
      </c>
      <c r="AH57">
        <v>869</v>
      </c>
      <c r="AI57">
        <v>989</v>
      </c>
      <c r="AJ57" s="16">
        <f t="shared" si="46"/>
        <v>32.462008032128516</v>
      </c>
      <c r="AK57" s="11">
        <f t="shared" si="46"/>
        <v>20.939759036144579</v>
      </c>
      <c r="AL57" s="1355">
        <f t="shared" si="46"/>
        <v>20.65381526104418</v>
      </c>
    </row>
    <row r="58" spans="1:156" ht="15.75" thickBot="1" x14ac:dyDescent="0.3">
      <c r="A58" s="10">
        <v>44774</v>
      </c>
      <c r="B58" s="198">
        <v>82</v>
      </c>
      <c r="C58" s="1308">
        <v>48</v>
      </c>
      <c r="D58" s="1309">
        <v>48</v>
      </c>
      <c r="E58" s="411">
        <f t="shared" si="43"/>
        <v>65</v>
      </c>
      <c r="F58" s="43"/>
      <c r="G58" s="67"/>
      <c r="H58" s="67">
        <v>69</v>
      </c>
      <c r="I58" s="67">
        <v>92</v>
      </c>
      <c r="J58" s="67"/>
      <c r="K58" s="67">
        <v>38</v>
      </c>
      <c r="L58" s="198">
        <v>92</v>
      </c>
      <c r="M58" s="1308">
        <v>46</v>
      </c>
      <c r="N58" s="1309">
        <v>33</v>
      </c>
      <c r="O58" s="411">
        <f t="shared" si="44"/>
        <v>69</v>
      </c>
      <c r="R58" s="67">
        <v>17</v>
      </c>
      <c r="S58" s="67">
        <v>25</v>
      </c>
      <c r="T58" s="67"/>
      <c r="U58" s="67">
        <v>45</v>
      </c>
      <c r="V58" s="198">
        <v>88</v>
      </c>
      <c r="W58" s="1308">
        <v>18</v>
      </c>
      <c r="X58" s="1309">
        <v>17</v>
      </c>
      <c r="Y58" s="411">
        <f t="shared" si="45"/>
        <v>53</v>
      </c>
      <c r="Z58" s="67">
        <v>21</v>
      </c>
      <c r="AA58" s="67">
        <v>30</v>
      </c>
      <c r="AB58" s="67"/>
      <c r="AC58" s="67">
        <v>35</v>
      </c>
      <c r="AD58" s="67">
        <v>104</v>
      </c>
      <c r="AE58" s="67">
        <v>92</v>
      </c>
      <c r="AF58" s="67">
        <v>78</v>
      </c>
      <c r="AG58" s="43">
        <v>854</v>
      </c>
      <c r="AH58">
        <v>720</v>
      </c>
      <c r="AI58">
        <v>827</v>
      </c>
      <c r="AJ58" s="16">
        <f t="shared" si="46"/>
        <v>28.535261044176707</v>
      </c>
      <c r="AK58" s="11">
        <f t="shared" si="46"/>
        <v>21.281927710843373</v>
      </c>
      <c r="AL58" s="1355">
        <f t="shared" si="46"/>
        <v>20.724819277108438</v>
      </c>
    </row>
    <row r="59" spans="1:156" ht="15.75" thickBot="1" x14ac:dyDescent="0.3">
      <c r="A59" s="10">
        <v>44805</v>
      </c>
      <c r="B59" s="198">
        <v>87</v>
      </c>
      <c r="C59" s="1308">
        <v>54</v>
      </c>
      <c r="D59" s="1309">
        <v>43</v>
      </c>
      <c r="E59" s="411">
        <f t="shared" si="43"/>
        <v>70.5</v>
      </c>
      <c r="F59" s="43"/>
      <c r="G59" s="67"/>
      <c r="H59" s="67">
        <v>50</v>
      </c>
      <c r="I59" s="67">
        <v>72</v>
      </c>
      <c r="J59" s="67"/>
      <c r="K59" s="67">
        <v>43</v>
      </c>
      <c r="L59" s="198">
        <v>115</v>
      </c>
      <c r="M59" s="1308">
        <v>33</v>
      </c>
      <c r="N59" s="1309">
        <v>24</v>
      </c>
      <c r="O59" s="411">
        <f t="shared" si="44"/>
        <v>74</v>
      </c>
      <c r="R59" s="67">
        <v>13</v>
      </c>
      <c r="S59" s="67">
        <v>19</v>
      </c>
      <c r="T59" s="67"/>
      <c r="U59" s="67">
        <v>47</v>
      </c>
      <c r="V59" s="198">
        <v>80</v>
      </c>
      <c r="W59" s="1308">
        <v>29</v>
      </c>
      <c r="X59" s="1309">
        <v>25</v>
      </c>
      <c r="Y59" s="411">
        <f t="shared" si="45"/>
        <v>54.5</v>
      </c>
      <c r="Z59" s="67">
        <v>26</v>
      </c>
      <c r="AA59" s="67">
        <v>34</v>
      </c>
      <c r="AB59" s="67"/>
      <c r="AC59" s="67">
        <v>35</v>
      </c>
      <c r="AD59" s="67">
        <v>93</v>
      </c>
      <c r="AE59" s="67">
        <v>96</v>
      </c>
      <c r="AF59" s="67">
        <v>73</v>
      </c>
      <c r="AG59" s="43">
        <v>898</v>
      </c>
      <c r="AH59">
        <v>743</v>
      </c>
      <c r="AI59">
        <v>876</v>
      </c>
      <c r="AJ59" s="16">
        <f t="shared" si="46"/>
        <v>26.831807228915665</v>
      </c>
      <c r="AK59" s="11">
        <f t="shared" si="46"/>
        <v>22.916626506024098</v>
      </c>
      <c r="AL59" s="1355">
        <f t="shared" si="46"/>
        <v>20.5455421686747</v>
      </c>
    </row>
    <row r="60" spans="1:156" ht="15.75" thickBot="1" x14ac:dyDescent="0.3">
      <c r="A60" s="10">
        <v>44838</v>
      </c>
      <c r="B60" s="198">
        <v>75</v>
      </c>
      <c r="C60" s="1308">
        <v>66</v>
      </c>
      <c r="D60" s="1309">
        <v>55</v>
      </c>
      <c r="E60" s="411">
        <f t="shared" ref="E60:E66" si="47">AVERAGE(B60:C60)</f>
        <v>70.5</v>
      </c>
      <c r="F60" s="43"/>
      <c r="G60" s="67"/>
      <c r="H60" s="67">
        <v>30</v>
      </c>
      <c r="I60" s="67">
        <v>42</v>
      </c>
      <c r="J60" s="67"/>
      <c r="K60" s="67">
        <v>47</v>
      </c>
      <c r="L60" s="198">
        <v>114</v>
      </c>
      <c r="M60" s="1308">
        <v>29</v>
      </c>
      <c r="N60" s="1309">
        <v>19</v>
      </c>
      <c r="O60" s="411">
        <f t="shared" si="44"/>
        <v>71.5</v>
      </c>
      <c r="R60" s="67">
        <v>18</v>
      </c>
      <c r="S60" s="67">
        <v>22</v>
      </c>
      <c r="T60" s="67"/>
      <c r="U60" s="67">
        <v>37</v>
      </c>
      <c r="V60" s="198">
        <v>83</v>
      </c>
      <c r="W60" s="1308">
        <v>32</v>
      </c>
      <c r="X60" s="1309">
        <v>27</v>
      </c>
      <c r="Y60" s="411">
        <f t="shared" si="45"/>
        <v>57.5</v>
      </c>
      <c r="Z60" s="67">
        <v>23</v>
      </c>
      <c r="AA60" s="67">
        <v>30</v>
      </c>
      <c r="AB60" s="67"/>
      <c r="AC60" s="67">
        <v>33</v>
      </c>
      <c r="AD60" s="67">
        <v>99</v>
      </c>
      <c r="AE60" s="67">
        <v>96</v>
      </c>
      <c r="AF60" s="67">
        <v>79</v>
      </c>
      <c r="AG60" s="43">
        <v>696</v>
      </c>
      <c r="AH60">
        <v>799</v>
      </c>
      <c r="AI60">
        <v>812</v>
      </c>
      <c r="AJ60" s="16">
        <f t="shared" si="46"/>
        <v>22.137831325301207</v>
      </c>
      <c r="AK60" s="11">
        <f t="shared" si="46"/>
        <v>24.643855421686748</v>
      </c>
      <c r="AL60" s="1355">
        <f t="shared" si="46"/>
        <v>20.609799196787151</v>
      </c>
    </row>
    <row r="61" spans="1:156" ht="15.75" thickBot="1" x14ac:dyDescent="0.3">
      <c r="A61" s="10">
        <v>44868</v>
      </c>
      <c r="B61" s="198">
        <v>82</v>
      </c>
      <c r="C61" s="1308">
        <v>55</v>
      </c>
      <c r="D61" s="1309">
        <v>50</v>
      </c>
      <c r="E61" s="411">
        <f t="shared" si="47"/>
        <v>68.5</v>
      </c>
      <c r="F61" s="43"/>
      <c r="G61" s="67"/>
      <c r="H61" s="67">
        <v>20</v>
      </c>
      <c r="I61" s="67">
        <v>32</v>
      </c>
      <c r="J61" s="67"/>
      <c r="K61" s="67">
        <v>36</v>
      </c>
      <c r="L61" s="198">
        <v>96</v>
      </c>
      <c r="M61" s="1308">
        <v>33</v>
      </c>
      <c r="N61" s="1309">
        <v>27</v>
      </c>
      <c r="O61" s="411">
        <f t="shared" si="44"/>
        <v>64.5</v>
      </c>
      <c r="R61" s="67">
        <v>25</v>
      </c>
      <c r="S61" s="67">
        <v>32</v>
      </c>
      <c r="T61" s="67"/>
      <c r="U61" s="67">
        <v>28</v>
      </c>
      <c r="V61" s="198">
        <v>75</v>
      </c>
      <c r="W61" s="1308">
        <v>29</v>
      </c>
      <c r="X61" s="1309">
        <v>24</v>
      </c>
      <c r="Y61" s="411">
        <f t="shared" ref="Y61:Y66" si="48">AVERAGE(V61:W61)</f>
        <v>52</v>
      </c>
      <c r="Z61" s="67">
        <v>23</v>
      </c>
      <c r="AA61" s="67">
        <v>28</v>
      </c>
      <c r="AB61" s="67"/>
      <c r="AC61" s="67">
        <v>28</v>
      </c>
      <c r="AD61" s="67">
        <v>87</v>
      </c>
      <c r="AE61" s="67">
        <v>77</v>
      </c>
      <c r="AF61" s="67">
        <v>66</v>
      </c>
      <c r="AG61" s="43">
        <v>839</v>
      </c>
      <c r="AH61">
        <v>847</v>
      </c>
      <c r="AI61">
        <v>882</v>
      </c>
      <c r="AJ61" s="16">
        <f>((AG61/37.5)/0.83)*(AD61/100)</f>
        <v>23.451566265060244</v>
      </c>
      <c r="AK61" s="11">
        <f t="shared" si="46"/>
        <v>20.95389558232932</v>
      </c>
      <c r="AL61" s="1355">
        <f t="shared" si="46"/>
        <v>18.702650602409641</v>
      </c>
    </row>
    <row r="62" spans="1:156" ht="15.75" thickBot="1" x14ac:dyDescent="0.3">
      <c r="A62" s="10">
        <v>44908</v>
      </c>
      <c r="B62" s="198">
        <v>75</v>
      </c>
      <c r="C62" s="1308">
        <v>42</v>
      </c>
      <c r="D62" s="1309">
        <v>35</v>
      </c>
      <c r="E62" s="411">
        <f t="shared" si="47"/>
        <v>58.5</v>
      </c>
      <c r="F62" s="43"/>
      <c r="G62" s="67"/>
      <c r="H62" s="67">
        <v>19</v>
      </c>
      <c r="I62" s="67">
        <v>28</v>
      </c>
      <c r="J62" s="67"/>
      <c r="K62" s="67">
        <v>35</v>
      </c>
      <c r="L62" s="198">
        <v>76</v>
      </c>
      <c r="M62" s="1308">
        <v>21</v>
      </c>
      <c r="N62" s="1309">
        <v>20</v>
      </c>
      <c r="O62" s="411">
        <f t="shared" si="44"/>
        <v>48.5</v>
      </c>
      <c r="R62" s="67">
        <v>22</v>
      </c>
      <c r="S62" s="67">
        <v>25</v>
      </c>
      <c r="T62" s="67"/>
      <c r="U62" s="67">
        <v>26</v>
      </c>
      <c r="V62" s="198">
        <v>68</v>
      </c>
      <c r="W62" s="1308">
        <v>30</v>
      </c>
      <c r="X62" s="1309">
        <v>25</v>
      </c>
      <c r="Y62" s="411">
        <f t="shared" si="48"/>
        <v>49</v>
      </c>
      <c r="Z62" s="67">
        <v>24</v>
      </c>
      <c r="AA62" s="67">
        <v>30</v>
      </c>
      <c r="AB62" s="67"/>
      <c r="AC62" s="67">
        <v>31</v>
      </c>
      <c r="AD62" s="67">
        <v>100</v>
      </c>
      <c r="AE62" s="67">
        <v>87</v>
      </c>
      <c r="AF62" s="67">
        <v>94</v>
      </c>
      <c r="AG62" s="43">
        <v>650</v>
      </c>
      <c r="AH62">
        <v>584</v>
      </c>
      <c r="AI62">
        <v>613</v>
      </c>
      <c r="AJ62" s="16">
        <f>((AG62/37.5)/0.83)*(AD62/100)</f>
        <v>20.883534136546185</v>
      </c>
      <c r="AK62" s="11">
        <f t="shared" si="46"/>
        <v>16.323855421686748</v>
      </c>
      <c r="AL62" s="1355">
        <f>((AI62/37.5)/0.83)*(AF62/100)</f>
        <v>18.513092369477913</v>
      </c>
    </row>
    <row r="63" spans="1:156" ht="15.75" thickBot="1" x14ac:dyDescent="0.3">
      <c r="A63" s="10">
        <v>44965</v>
      </c>
      <c r="B63" s="198">
        <v>100</v>
      </c>
      <c r="C63" s="1308">
        <v>32</v>
      </c>
      <c r="D63" s="1309">
        <v>26</v>
      </c>
      <c r="E63" s="411">
        <f t="shared" si="47"/>
        <v>66</v>
      </c>
      <c r="F63" s="43"/>
      <c r="G63" s="67"/>
      <c r="H63" s="67">
        <v>23</v>
      </c>
      <c r="I63" s="67">
        <v>30</v>
      </c>
      <c r="J63" s="67"/>
      <c r="K63" s="67">
        <v>33</v>
      </c>
      <c r="L63" s="198">
        <v>53</v>
      </c>
      <c r="M63" s="1308">
        <v>17</v>
      </c>
      <c r="N63" s="1309">
        <v>17</v>
      </c>
      <c r="O63" s="411">
        <f t="shared" si="44"/>
        <v>35</v>
      </c>
      <c r="R63" s="67">
        <v>15</v>
      </c>
      <c r="S63" s="67">
        <v>18</v>
      </c>
      <c r="T63" s="67"/>
      <c r="U63" s="67">
        <v>25</v>
      </c>
      <c r="V63" s="198">
        <v>90</v>
      </c>
      <c r="W63" s="1308">
        <v>44</v>
      </c>
      <c r="X63" s="1309">
        <v>36</v>
      </c>
      <c r="Y63" s="411">
        <f t="shared" si="48"/>
        <v>67</v>
      </c>
      <c r="Z63" s="67">
        <v>24</v>
      </c>
      <c r="AA63" s="67">
        <v>31</v>
      </c>
      <c r="AB63" s="67"/>
      <c r="AC63" s="67">
        <v>40</v>
      </c>
      <c r="AD63" s="67">
        <v>101</v>
      </c>
      <c r="AE63" s="67">
        <v>77</v>
      </c>
      <c r="AF63" s="67">
        <v>125</v>
      </c>
      <c r="AG63" s="43">
        <v>692</v>
      </c>
      <c r="AH63">
        <v>618</v>
      </c>
      <c r="AI63">
        <v>622</v>
      </c>
      <c r="AJ63" s="16">
        <f>((AG63/37.5)/0.83)*(AD63/100)</f>
        <v>22.455261044176705</v>
      </c>
      <c r="AK63" s="11">
        <f t="shared" si="46"/>
        <v>15.288674698795182</v>
      </c>
      <c r="AL63" s="1355">
        <f>((AI63/37.5)/0.83)*(AF63/100)</f>
        <v>24.979919678714857</v>
      </c>
    </row>
    <row r="64" spans="1:156" ht="15.75" thickBot="1" x14ac:dyDescent="0.3">
      <c r="A64" s="10">
        <v>44992</v>
      </c>
      <c r="B64" s="198">
        <v>102</v>
      </c>
      <c r="C64" s="1308">
        <v>32</v>
      </c>
      <c r="D64" s="1309">
        <v>27</v>
      </c>
      <c r="E64" s="411">
        <f t="shared" si="47"/>
        <v>67</v>
      </c>
      <c r="F64" s="43"/>
      <c r="G64" s="67"/>
      <c r="H64" s="67">
        <v>26</v>
      </c>
      <c r="I64" s="67">
        <v>36</v>
      </c>
      <c r="J64" s="67"/>
      <c r="K64" s="67">
        <v>39</v>
      </c>
      <c r="L64" s="198">
        <v>67</v>
      </c>
      <c r="M64" s="1308">
        <v>25</v>
      </c>
      <c r="N64" s="1309">
        <v>22</v>
      </c>
      <c r="O64" s="411">
        <f t="shared" si="44"/>
        <v>46</v>
      </c>
      <c r="R64" s="67">
        <v>23</v>
      </c>
      <c r="S64" s="67">
        <v>26</v>
      </c>
      <c r="T64" s="67"/>
      <c r="U64" s="67">
        <v>31</v>
      </c>
      <c r="V64" s="198">
        <v>112</v>
      </c>
      <c r="W64" s="1308">
        <v>44</v>
      </c>
      <c r="X64" s="1309">
        <v>35</v>
      </c>
      <c r="Y64" s="411">
        <f t="shared" si="48"/>
        <v>78</v>
      </c>
      <c r="Z64" s="67">
        <v>29</v>
      </c>
      <c r="AA64" s="67">
        <v>36</v>
      </c>
      <c r="AB64" s="67"/>
      <c r="AC64" s="67">
        <v>46</v>
      </c>
      <c r="AD64" s="67">
        <v>107</v>
      </c>
      <c r="AE64" s="67">
        <v>97</v>
      </c>
      <c r="AF64" s="67">
        <v>117</v>
      </c>
      <c r="AG64" s="43">
        <v>683</v>
      </c>
      <c r="AH64">
        <v>581</v>
      </c>
      <c r="AI64">
        <v>746</v>
      </c>
      <c r="AJ64" s="16">
        <f t="shared" ref="AJ64:AL66" si="49">((AG64/37.5)/0.85)*(AD64/100)</f>
        <v>22.927372549019612</v>
      </c>
      <c r="AK64" s="11">
        <f t="shared" si="49"/>
        <v>17.680627450980396</v>
      </c>
      <c r="AL64" s="1355">
        <f t="shared" si="49"/>
        <v>27.382588235294119</v>
      </c>
    </row>
    <row r="65" spans="1:38" ht="15.75" thickBot="1" x14ac:dyDescent="0.3">
      <c r="A65" s="10">
        <v>45020</v>
      </c>
      <c r="B65" s="198">
        <v>87</v>
      </c>
      <c r="C65" s="1308">
        <v>37</v>
      </c>
      <c r="D65" s="1309">
        <v>34</v>
      </c>
      <c r="E65" s="411">
        <f t="shared" si="47"/>
        <v>62</v>
      </c>
      <c r="F65" s="43"/>
      <c r="G65" s="67"/>
      <c r="H65" s="67">
        <v>40</v>
      </c>
      <c r="I65" s="67">
        <v>46</v>
      </c>
      <c r="J65" s="67"/>
      <c r="K65" s="67">
        <v>40</v>
      </c>
      <c r="L65" s="198">
        <v>88</v>
      </c>
      <c r="M65" s="1308">
        <v>34</v>
      </c>
      <c r="N65" s="1309">
        <v>28</v>
      </c>
      <c r="O65" s="411">
        <f t="shared" si="44"/>
        <v>61</v>
      </c>
      <c r="R65" s="67">
        <v>26</v>
      </c>
      <c r="S65" s="67">
        <v>33</v>
      </c>
      <c r="T65" s="67"/>
      <c r="U65" s="67">
        <v>38</v>
      </c>
      <c r="V65" s="198">
        <v>82</v>
      </c>
      <c r="W65" s="1308">
        <v>42</v>
      </c>
      <c r="X65" s="1309">
        <v>33</v>
      </c>
      <c r="Y65" s="411">
        <f t="shared" si="48"/>
        <v>62</v>
      </c>
      <c r="Z65" s="67">
        <v>19</v>
      </c>
      <c r="AA65" s="67">
        <v>27</v>
      </c>
      <c r="AB65" s="67"/>
      <c r="AC65" s="67">
        <v>42</v>
      </c>
      <c r="AD65" s="67">
        <v>100</v>
      </c>
      <c r="AE65" s="67">
        <v>94</v>
      </c>
      <c r="AF65" s="67">
        <v>107</v>
      </c>
      <c r="AG65" s="43">
        <v>741</v>
      </c>
      <c r="AH65">
        <v>785</v>
      </c>
      <c r="AI65">
        <v>764</v>
      </c>
      <c r="AJ65" s="16">
        <f t="shared" si="49"/>
        <v>23.247058823529414</v>
      </c>
      <c r="AK65" s="11">
        <f t="shared" si="49"/>
        <v>23.149803921568626</v>
      </c>
      <c r="AL65" s="1355">
        <f t="shared" si="49"/>
        <v>25.646431372549024</v>
      </c>
    </row>
    <row r="66" spans="1:38" ht="15.75" thickBot="1" x14ac:dyDescent="0.3">
      <c r="A66" s="10">
        <v>45047</v>
      </c>
      <c r="B66" s="198">
        <v>90</v>
      </c>
      <c r="C66" s="1308">
        <v>37</v>
      </c>
      <c r="D66" s="1309">
        <v>31</v>
      </c>
      <c r="E66" s="411">
        <f t="shared" si="47"/>
        <v>63.5</v>
      </c>
      <c r="F66" s="43"/>
      <c r="G66" s="67"/>
      <c r="H66" s="67">
        <v>39</v>
      </c>
      <c r="I66" s="67">
        <v>46</v>
      </c>
      <c r="J66" s="67">
        <v>5</v>
      </c>
      <c r="K66" s="67">
        <v>43</v>
      </c>
      <c r="L66" s="198">
        <v>83</v>
      </c>
      <c r="M66" s="1308">
        <v>42</v>
      </c>
      <c r="N66" s="1309">
        <v>35</v>
      </c>
      <c r="O66" s="411">
        <f t="shared" si="44"/>
        <v>62.5</v>
      </c>
      <c r="R66" s="67">
        <v>32</v>
      </c>
      <c r="S66" s="67">
        <v>40</v>
      </c>
      <c r="T66" s="67">
        <v>21</v>
      </c>
      <c r="U66" s="67">
        <v>38</v>
      </c>
      <c r="V66" s="198">
        <v>92</v>
      </c>
      <c r="W66" s="1308">
        <v>37</v>
      </c>
      <c r="X66" s="1309">
        <v>30</v>
      </c>
      <c r="Y66" s="411">
        <f t="shared" si="48"/>
        <v>64.5</v>
      </c>
      <c r="Z66" s="67">
        <v>27</v>
      </c>
      <c r="AA66" s="67">
        <v>34</v>
      </c>
      <c r="AB66" s="67">
        <v>47</v>
      </c>
      <c r="AC66" s="67">
        <v>40</v>
      </c>
      <c r="AD66" s="67">
        <v>107</v>
      </c>
      <c r="AE66" s="67">
        <v>102</v>
      </c>
      <c r="AF66" s="67">
        <v>111</v>
      </c>
      <c r="AG66" s="43">
        <v>726</v>
      </c>
      <c r="AH66">
        <v>785</v>
      </c>
      <c r="AI66">
        <v>764</v>
      </c>
      <c r="AJ66" s="16">
        <f t="shared" si="49"/>
        <v>24.370823529411766</v>
      </c>
      <c r="AK66" s="11">
        <f t="shared" si="49"/>
        <v>25.12</v>
      </c>
      <c r="AL66" s="1355">
        <f t="shared" si="49"/>
        <v>26.605176470588241</v>
      </c>
    </row>
  </sheetData>
  <mergeCells count="7">
    <mergeCell ref="ER2:EW2"/>
    <mergeCell ref="EX2:FC2"/>
    <mergeCell ref="AN2:AQ2"/>
    <mergeCell ref="AS2:AX2"/>
    <mergeCell ref="AD2:AF2"/>
    <mergeCell ref="AG2:AI2"/>
    <mergeCell ref="AJ2:AL2"/>
  </mergeCells>
  <phoneticPr fontId="11" type="noConversion"/>
  <conditionalFormatting sqref="BF5:BG25 BK5:BM25 BQ5:BS25 BW5:BY25 CC5:CE25 CI5:CK25 BA5:BD10 C5:D25 L5:M25 L27 BA11:BA49 CQ5:CQ49">
    <cfRule type="cellIs" dxfId="1402" priority="427" operator="lessThan">
      <formula>40</formula>
    </cfRule>
    <cfRule type="cellIs" dxfId="1401" priority="429" operator="greaterThan">
      <formula>80</formula>
    </cfRule>
  </conditionalFormatting>
  <conditionalFormatting sqref="BK5:BK14 BQ5:BQ14 BW5:BW14 CC5:CC14 CI5:CI14 DA5:DA14 DG5:DG14 C5:D25 AH38:AM39 V33:AG40 AN26:AN49 AD47:AD50 L27:N27 F5:AN24 F25:N25 P25:AN25 P27:AF27 V30:AG30 V31:AF32 AD52:AD53 V28:AF29 AG48:AG50 AG47:AM47 V41:AD46 AG41:AG46 AG52:AG54">
    <cfRule type="cellIs" dxfId="1400" priority="428" operator="greaterThan">
      <formula>80</formula>
    </cfRule>
  </conditionalFormatting>
  <conditionalFormatting sqref="CW25:CW49">
    <cfRule type="cellIs" dxfId="1399" priority="423" operator="lessThan">
      <formula>40</formula>
    </cfRule>
    <cfRule type="cellIs" dxfId="1398" priority="424" operator="greaterThan">
      <formula>80</formula>
    </cfRule>
  </conditionalFormatting>
  <conditionalFormatting sqref="DC25">
    <cfRule type="cellIs" dxfId="1397" priority="421" operator="lessThan">
      <formula>40</formula>
    </cfRule>
    <cfRule type="cellIs" dxfId="1396" priority="422" operator="greaterThan">
      <formula>80</formula>
    </cfRule>
  </conditionalFormatting>
  <conditionalFormatting sqref="DI25">
    <cfRule type="cellIs" dxfId="1395" priority="413" operator="lessThan">
      <formula>40</formula>
    </cfRule>
    <cfRule type="cellIs" dxfId="1394" priority="414" operator="greaterThan">
      <formula>80</formula>
    </cfRule>
  </conditionalFormatting>
  <conditionalFormatting sqref="AO5:AR48">
    <cfRule type="cellIs" dxfId="1393" priority="417" operator="lessThan">
      <formula>40</formula>
    </cfRule>
    <cfRule type="cellIs" dxfId="1392" priority="418" operator="greaterThan">
      <formula>80</formula>
    </cfRule>
  </conditionalFormatting>
  <conditionalFormatting sqref="DO25:DO48">
    <cfRule type="cellIs" dxfId="1391" priority="407" operator="lessThan">
      <formula>40</formula>
    </cfRule>
    <cfRule type="cellIs" dxfId="1390" priority="408" operator="greaterThan">
      <formula>80</formula>
    </cfRule>
  </conditionalFormatting>
  <conditionalFormatting sqref="DU25:DU48">
    <cfRule type="cellIs" dxfId="1389" priority="401" operator="lessThan">
      <formula>40</formula>
    </cfRule>
    <cfRule type="cellIs" dxfId="1388" priority="402" operator="greaterThan">
      <formula>80</formula>
    </cfRule>
  </conditionalFormatting>
  <conditionalFormatting sqref="EA25:EA49">
    <cfRule type="cellIs" dxfId="1387" priority="395" operator="lessThan">
      <formula>40</formula>
    </cfRule>
    <cfRule type="cellIs" dxfId="1386" priority="396" operator="greaterThan">
      <formula>80</formula>
    </cfRule>
  </conditionalFormatting>
  <conditionalFormatting sqref="EG25:EG49">
    <cfRule type="cellIs" dxfId="1385" priority="389" operator="lessThan">
      <formula>40</formula>
    </cfRule>
    <cfRule type="cellIs" dxfId="1384" priority="390" operator="greaterThan">
      <formula>80</formula>
    </cfRule>
  </conditionalFormatting>
  <conditionalFormatting sqref="AS5:AU49 AS50">
    <cfRule type="cellIs" dxfId="1383" priority="386" operator="greaterThan">
      <formula>80</formula>
    </cfRule>
  </conditionalFormatting>
  <conditionalFormatting sqref="AV5:AX15">
    <cfRule type="cellIs" dxfId="1382" priority="384" operator="lessThan">
      <formula>40</formula>
    </cfRule>
    <cfRule type="cellIs" dxfId="1381" priority="385" operator="greaterThan">
      <formula>80</formula>
    </cfRule>
  </conditionalFormatting>
  <conditionalFormatting sqref="B5">
    <cfRule type="cellIs" dxfId="1380" priority="383" operator="greaterThan">
      <formula>80</formula>
    </cfRule>
  </conditionalFormatting>
  <conditionalFormatting sqref="B6:B11">
    <cfRule type="cellIs" dxfId="1379" priority="382" operator="greaterThan">
      <formula>80</formula>
    </cfRule>
  </conditionalFormatting>
  <conditionalFormatting sqref="B12">
    <cfRule type="cellIs" dxfId="1378" priority="381" operator="greaterThan">
      <formula>80</formula>
    </cfRule>
  </conditionalFormatting>
  <conditionalFormatting sqref="BK5:BK25 BQ5:BQ25 BW5:BW25 CC5:CC25 CI5:CI25 DA5:DA25 DG5:DG25 B5:D12 M27:N27 C13:D25 F5:J25 P27:AC27">
    <cfRule type="cellIs" dxfId="1377" priority="380" operator="lessThan">
      <formula>35</formula>
    </cfRule>
  </conditionalFormatting>
  <conditionalFormatting sqref="BE5">
    <cfRule type="cellIs" dxfId="1376" priority="366" operator="greaterThan">
      <formula>80</formula>
    </cfRule>
  </conditionalFormatting>
  <conditionalFormatting sqref="BE6:BE11 BE13:BE14">
    <cfRule type="cellIs" dxfId="1375" priority="365" operator="greaterThan">
      <formula>80</formula>
    </cfRule>
  </conditionalFormatting>
  <conditionalFormatting sqref="BE12">
    <cfRule type="cellIs" dxfId="1374" priority="364" operator="greaterThan">
      <formula>80</formula>
    </cfRule>
  </conditionalFormatting>
  <conditionalFormatting sqref="BE5:BE25">
    <cfRule type="cellIs" dxfId="1373" priority="363" operator="lessThan">
      <formula>35</formula>
    </cfRule>
  </conditionalFormatting>
  <conditionalFormatting sqref="AD5:AD14">
    <cfRule type="cellIs" dxfId="1372" priority="360" operator="greaterThan">
      <formula>80</formula>
    </cfRule>
  </conditionalFormatting>
  <conditionalFormatting sqref="EM24:EM50">
    <cfRule type="cellIs" dxfId="1371" priority="358" operator="lessThan">
      <formula>40</formula>
    </cfRule>
    <cfRule type="cellIs" dxfId="1370" priority="359" operator="greaterThan">
      <formula>80</formula>
    </cfRule>
  </conditionalFormatting>
  <conditionalFormatting sqref="AD5:AD25 AG30 AH38:AM39 AH47:AM47 AD27:AD50 AG33:AG50 AD52:AD53 AG52:AG54">
    <cfRule type="cellIs" dxfId="1369" priority="357" operator="lessThan">
      <formula>35</formula>
    </cfRule>
  </conditionalFormatting>
  <conditionalFormatting sqref="AV16:AX48">
    <cfRule type="cellIs" dxfId="1368" priority="353" operator="lessThan">
      <formula>40</formula>
    </cfRule>
    <cfRule type="cellIs" dxfId="1367" priority="354" operator="greaterThan">
      <formula>80</formula>
    </cfRule>
  </conditionalFormatting>
  <conditionalFormatting sqref="BB11:BD48">
    <cfRule type="cellIs" dxfId="1366" priority="351" operator="lessThan">
      <formula>40</formula>
    </cfRule>
    <cfRule type="cellIs" dxfId="1365" priority="352" operator="greaterThan">
      <formula>80</formula>
    </cfRule>
  </conditionalFormatting>
  <conditionalFormatting sqref="BH16:BJ25">
    <cfRule type="cellIs" dxfId="1364" priority="349" operator="lessThan">
      <formula>40</formula>
    </cfRule>
    <cfRule type="cellIs" dxfId="1363" priority="350" operator="greaterThan">
      <formula>80</formula>
    </cfRule>
  </conditionalFormatting>
  <conditionalFormatting sqref="BN16:BP25">
    <cfRule type="cellIs" dxfId="1362" priority="347" operator="lessThan">
      <formula>40</formula>
    </cfRule>
    <cfRule type="cellIs" dxfId="1361" priority="348" operator="greaterThan">
      <formula>80</formula>
    </cfRule>
  </conditionalFormatting>
  <conditionalFormatting sqref="BT16:BV25">
    <cfRule type="cellIs" dxfId="1360" priority="345" operator="lessThan">
      <formula>40</formula>
    </cfRule>
    <cfRule type="cellIs" dxfId="1359" priority="346" operator="greaterThan">
      <formula>80</formula>
    </cfRule>
  </conditionalFormatting>
  <conditionalFormatting sqref="BZ16:CB25">
    <cfRule type="cellIs" dxfId="1358" priority="343" operator="lessThan">
      <formula>40</formula>
    </cfRule>
    <cfRule type="cellIs" dxfId="1357" priority="344" operator="greaterThan">
      <formula>80</formula>
    </cfRule>
  </conditionalFormatting>
  <conditionalFormatting sqref="CF16:CH25">
    <cfRule type="cellIs" dxfId="1356" priority="341" operator="lessThan">
      <formula>40</formula>
    </cfRule>
    <cfRule type="cellIs" dxfId="1355" priority="342" operator="greaterThan">
      <formula>80</formula>
    </cfRule>
  </conditionalFormatting>
  <conditionalFormatting sqref="CL16:CN25">
    <cfRule type="cellIs" dxfId="1354" priority="339" operator="lessThan">
      <formula>40</formula>
    </cfRule>
    <cfRule type="cellIs" dxfId="1353" priority="340" operator="greaterThan">
      <formula>80</formula>
    </cfRule>
  </conditionalFormatting>
  <conditionalFormatting sqref="CR11:CT48">
    <cfRule type="cellIs" dxfId="1352" priority="337" operator="lessThan">
      <formula>40</formula>
    </cfRule>
    <cfRule type="cellIs" dxfId="1351" priority="338" operator="greaterThan">
      <formula>80</formula>
    </cfRule>
  </conditionalFormatting>
  <conditionalFormatting sqref="CX11:CZ48">
    <cfRule type="cellIs" dxfId="1350" priority="335" operator="lessThan">
      <formula>40</formula>
    </cfRule>
    <cfRule type="cellIs" dxfId="1349" priority="336" operator="greaterThan">
      <formula>80</formula>
    </cfRule>
  </conditionalFormatting>
  <conditionalFormatting sqref="DD16:DF25">
    <cfRule type="cellIs" dxfId="1348" priority="333" operator="lessThan">
      <formula>40</formula>
    </cfRule>
    <cfRule type="cellIs" dxfId="1347" priority="334" operator="greaterThan">
      <formula>80</formula>
    </cfRule>
  </conditionalFormatting>
  <conditionalFormatting sqref="DJ16:DL25">
    <cfRule type="cellIs" dxfId="1346" priority="331" operator="lessThan">
      <formula>40</formula>
    </cfRule>
    <cfRule type="cellIs" dxfId="1345" priority="332" operator="greaterThan">
      <formula>80</formula>
    </cfRule>
  </conditionalFormatting>
  <conditionalFormatting sqref="DP16:DR48">
    <cfRule type="cellIs" dxfId="1344" priority="329" operator="lessThan">
      <formula>40</formula>
    </cfRule>
    <cfRule type="cellIs" dxfId="1343" priority="330" operator="greaterThan">
      <formula>80</formula>
    </cfRule>
  </conditionalFormatting>
  <conditionalFormatting sqref="DV16:DX48">
    <cfRule type="cellIs" dxfId="1342" priority="327" operator="lessThan">
      <formula>40</formula>
    </cfRule>
    <cfRule type="cellIs" dxfId="1341" priority="328" operator="greaterThan">
      <formula>80</formula>
    </cfRule>
  </conditionalFormatting>
  <conditionalFormatting sqref="EB11:ED48">
    <cfRule type="cellIs" dxfId="1340" priority="325" operator="lessThan">
      <formula>40</formula>
    </cfRule>
    <cfRule type="cellIs" dxfId="1339" priority="326" operator="greaterThan">
      <formula>80</formula>
    </cfRule>
  </conditionalFormatting>
  <conditionalFormatting sqref="EH11:EJ48">
    <cfRule type="cellIs" dxfId="1338" priority="323" operator="lessThan">
      <formula>40</formula>
    </cfRule>
    <cfRule type="cellIs" dxfId="1337" priority="324" operator="greaterThan">
      <formula>80</formula>
    </cfRule>
  </conditionalFormatting>
  <conditionalFormatting sqref="EN11:EP48">
    <cfRule type="cellIs" dxfId="1336" priority="321" operator="lessThan">
      <formula>40</formula>
    </cfRule>
    <cfRule type="cellIs" dxfId="1335" priority="322" operator="greaterThan">
      <formula>80</formula>
    </cfRule>
  </conditionalFormatting>
  <conditionalFormatting sqref="BH5:BJ15">
    <cfRule type="cellIs" dxfId="1334" priority="319" operator="lessThan">
      <formula>40</formula>
    </cfRule>
    <cfRule type="cellIs" dxfId="1333" priority="320" operator="greaterThan">
      <formula>80</formula>
    </cfRule>
  </conditionalFormatting>
  <conditionalFormatting sqref="BN5:BP15">
    <cfRule type="cellIs" dxfId="1332" priority="317" operator="lessThan">
      <formula>40</formula>
    </cfRule>
    <cfRule type="cellIs" dxfId="1331" priority="318" operator="greaterThan">
      <formula>80</formula>
    </cfRule>
  </conditionalFormatting>
  <conditionalFormatting sqref="BT5:BV15">
    <cfRule type="cellIs" dxfId="1330" priority="315" operator="lessThan">
      <formula>40</formula>
    </cfRule>
    <cfRule type="cellIs" dxfId="1329" priority="316" operator="greaterThan">
      <formula>80</formula>
    </cfRule>
  </conditionalFormatting>
  <conditionalFormatting sqref="BZ5:CB15">
    <cfRule type="cellIs" dxfId="1328" priority="313" operator="lessThan">
      <formula>40</formula>
    </cfRule>
    <cfRule type="cellIs" dxfId="1327" priority="314" operator="greaterThan">
      <formula>80</formula>
    </cfRule>
  </conditionalFormatting>
  <conditionalFormatting sqref="CF5:CH15">
    <cfRule type="cellIs" dxfId="1326" priority="311" operator="lessThan">
      <formula>40</formula>
    </cfRule>
    <cfRule type="cellIs" dxfId="1325" priority="312" operator="greaterThan">
      <formula>80</formula>
    </cfRule>
  </conditionalFormatting>
  <conditionalFormatting sqref="CL5:CN15">
    <cfRule type="cellIs" dxfId="1324" priority="309" operator="lessThan">
      <formula>40</formula>
    </cfRule>
    <cfRule type="cellIs" dxfId="1323" priority="310" operator="greaterThan">
      <formula>80</formula>
    </cfRule>
  </conditionalFormatting>
  <conditionalFormatting sqref="CR5:CT10">
    <cfRule type="cellIs" dxfId="1322" priority="307" operator="lessThan">
      <formula>40</formula>
    </cfRule>
    <cfRule type="cellIs" dxfId="1321" priority="308" operator="greaterThan">
      <formula>80</formula>
    </cfRule>
  </conditionalFormatting>
  <conditionalFormatting sqref="CX5:CZ10">
    <cfRule type="cellIs" dxfId="1320" priority="305" operator="lessThan">
      <formula>40</formula>
    </cfRule>
    <cfRule type="cellIs" dxfId="1319" priority="306" operator="greaterThan">
      <formula>80</formula>
    </cfRule>
  </conditionalFormatting>
  <conditionalFormatting sqref="DD5:DF15">
    <cfRule type="cellIs" dxfId="1318" priority="303" operator="lessThan">
      <formula>40</formula>
    </cfRule>
    <cfRule type="cellIs" dxfId="1317" priority="304" operator="greaterThan">
      <formula>80</formula>
    </cfRule>
  </conditionalFormatting>
  <conditionalFormatting sqref="DJ5:DL15">
    <cfRule type="cellIs" dxfId="1316" priority="301" operator="lessThan">
      <formula>40</formula>
    </cfRule>
    <cfRule type="cellIs" dxfId="1315" priority="302" operator="greaterThan">
      <formula>80</formula>
    </cfRule>
  </conditionalFormatting>
  <conditionalFormatting sqref="DP5:DR15">
    <cfRule type="cellIs" dxfId="1314" priority="299" operator="lessThan">
      <formula>40</formula>
    </cfRule>
    <cfRule type="cellIs" dxfId="1313" priority="300" operator="greaterThan">
      <formula>80</formula>
    </cfRule>
  </conditionalFormatting>
  <conditionalFormatting sqref="DV5:DX15">
    <cfRule type="cellIs" dxfId="1312" priority="297" operator="lessThan">
      <formula>40</formula>
    </cfRule>
    <cfRule type="cellIs" dxfId="1311" priority="298" operator="greaterThan">
      <formula>80</formula>
    </cfRule>
  </conditionalFormatting>
  <conditionalFormatting sqref="EB5:ED10">
    <cfRule type="cellIs" dxfId="1310" priority="295" operator="lessThan">
      <formula>40</formula>
    </cfRule>
    <cfRule type="cellIs" dxfId="1309" priority="296" operator="greaterThan">
      <formula>80</formula>
    </cfRule>
  </conditionalFormatting>
  <conditionalFormatting sqref="EH5:EJ10">
    <cfRule type="cellIs" dxfId="1308" priority="293" operator="lessThan">
      <formula>40</formula>
    </cfRule>
    <cfRule type="cellIs" dxfId="1307" priority="294" operator="greaterThan">
      <formula>80</formula>
    </cfRule>
  </conditionalFormatting>
  <conditionalFormatting sqref="EN5:EQ5 EN6:EP10 EQ6:EQ48">
    <cfRule type="cellIs" dxfId="1306" priority="291" operator="lessThan">
      <formula>40</formula>
    </cfRule>
    <cfRule type="cellIs" dxfId="1305" priority="292" operator="greaterThan">
      <formula>80</formula>
    </cfRule>
  </conditionalFormatting>
  <conditionalFormatting sqref="ET26:ET50">
    <cfRule type="cellIs" dxfId="1304" priority="289" operator="lessThan">
      <formula>40</formula>
    </cfRule>
    <cfRule type="cellIs" dxfId="1303" priority="290" operator="greaterThan">
      <formula>80</formula>
    </cfRule>
  </conditionalFormatting>
  <conditionalFormatting sqref="EU26:EW48">
    <cfRule type="cellIs" dxfId="1302" priority="287" operator="lessThan">
      <formula>40</formula>
    </cfRule>
    <cfRule type="cellIs" dxfId="1301" priority="288" operator="greaterThan">
      <formula>80</formula>
    </cfRule>
  </conditionalFormatting>
  <conditionalFormatting sqref="B13:B25">
    <cfRule type="cellIs" dxfId="1300" priority="286" operator="greaterThan">
      <formula>80</formula>
    </cfRule>
  </conditionalFormatting>
  <conditionalFormatting sqref="B13:B25">
    <cfRule type="cellIs" dxfId="1299" priority="285" operator="lessThan">
      <formula>35</formula>
    </cfRule>
  </conditionalFormatting>
  <conditionalFormatting sqref="V48:AC49">
    <cfRule type="cellIs" dxfId="1298" priority="274" operator="greaterThan">
      <formula>80</formula>
    </cfRule>
  </conditionalFormatting>
  <conditionalFormatting sqref="V47:AC47">
    <cfRule type="cellIs" dxfId="1297" priority="270" operator="greaterThan">
      <formula>80</formula>
    </cfRule>
  </conditionalFormatting>
  <conditionalFormatting sqref="R54:U54">
    <cfRule type="cellIs" dxfId="1296" priority="250" operator="greaterThan">
      <formula>80</formula>
    </cfRule>
  </conditionalFormatting>
  <conditionalFormatting sqref="R54:U54">
    <cfRule type="cellIs" dxfId="1295" priority="248" operator="lessThan">
      <formula>35</formula>
    </cfRule>
  </conditionalFormatting>
  <conditionalFormatting sqref="S54:U54">
    <cfRule type="cellIs" dxfId="1294" priority="244" operator="lessThan">
      <formula>40</formula>
    </cfRule>
    <cfRule type="cellIs" dxfId="1293" priority="245" operator="greaterThan">
      <formula>80</formula>
    </cfRule>
  </conditionalFormatting>
  <conditionalFormatting sqref="L28:U53">
    <cfRule type="cellIs" dxfId="1292" priority="241" operator="lessThan">
      <formula>40</formula>
    </cfRule>
    <cfRule type="cellIs" dxfId="1291" priority="243" operator="greaterThan">
      <formula>80</formula>
    </cfRule>
  </conditionalFormatting>
  <conditionalFormatting sqref="L28:U53">
    <cfRule type="cellIs" dxfId="1290" priority="242" operator="greaterThan">
      <formula>80</formula>
    </cfRule>
  </conditionalFormatting>
  <conditionalFormatting sqref="L28:U53">
    <cfRule type="cellIs" dxfId="1289" priority="240" operator="lessThan">
      <formula>35</formula>
    </cfRule>
  </conditionalFormatting>
  <conditionalFormatting sqref="B26:K54">
    <cfRule type="cellIs" dxfId="1288" priority="237" operator="lessThan">
      <formula>40</formula>
    </cfRule>
    <cfRule type="cellIs" dxfId="1287" priority="239" operator="greaterThan">
      <formula>80</formula>
    </cfRule>
  </conditionalFormatting>
  <conditionalFormatting sqref="B26:K54">
    <cfRule type="cellIs" dxfId="1286" priority="238" operator="greaterThan">
      <formula>80</formula>
    </cfRule>
  </conditionalFormatting>
  <conditionalFormatting sqref="B26:K54">
    <cfRule type="cellIs" dxfId="1285" priority="236" operator="lessThan">
      <formula>35</formula>
    </cfRule>
  </conditionalFormatting>
  <conditionalFormatting sqref="V52:AC53 Z54:AD54">
    <cfRule type="cellIs" dxfId="1284" priority="233" operator="lessThan">
      <formula>40</formula>
    </cfRule>
    <cfRule type="cellIs" dxfId="1283" priority="235" operator="greaterThan">
      <formula>80</formula>
    </cfRule>
  </conditionalFormatting>
  <conditionalFormatting sqref="V52:AC53 Z54:AD54">
    <cfRule type="cellIs" dxfId="1282" priority="234" operator="greaterThan">
      <formula>80</formula>
    </cfRule>
  </conditionalFormatting>
  <conditionalFormatting sqref="V52:AC53 Z54:AD54">
    <cfRule type="cellIs" dxfId="1281" priority="232" operator="lessThan">
      <formula>35</formula>
    </cfRule>
  </conditionalFormatting>
  <conditionalFormatting sqref="AE41:AF54">
    <cfRule type="cellIs" dxfId="1280" priority="229" operator="lessThan">
      <formula>40</formula>
    </cfRule>
    <cfRule type="cellIs" dxfId="1279" priority="231" operator="greaterThan">
      <formula>80</formula>
    </cfRule>
  </conditionalFormatting>
  <conditionalFormatting sqref="AE41:AF54">
    <cfRule type="cellIs" dxfId="1278" priority="230" operator="greaterThan">
      <formula>80</formula>
    </cfRule>
  </conditionalFormatting>
  <conditionalFormatting sqref="AE41:AF54">
    <cfRule type="cellIs" dxfId="1277" priority="228" operator="lessThan">
      <formula>35</formula>
    </cfRule>
  </conditionalFormatting>
  <conditionalFormatting sqref="L54:O54">
    <cfRule type="cellIs" dxfId="1276" priority="225" operator="lessThan">
      <formula>40</formula>
    </cfRule>
    <cfRule type="cellIs" dxfId="1275" priority="227" operator="greaterThan">
      <formula>80</formula>
    </cfRule>
  </conditionalFormatting>
  <conditionalFormatting sqref="L54:O54">
    <cfRule type="cellIs" dxfId="1274" priority="226" operator="greaterThan">
      <formula>80</formula>
    </cfRule>
  </conditionalFormatting>
  <conditionalFormatting sqref="L54:O54">
    <cfRule type="cellIs" dxfId="1273" priority="224" operator="lessThan">
      <formula>35</formula>
    </cfRule>
  </conditionalFormatting>
  <conditionalFormatting sqref="V54:Y54">
    <cfRule type="cellIs" dxfId="1272" priority="221" operator="lessThan">
      <formula>40</formula>
    </cfRule>
    <cfRule type="cellIs" dxfId="1271" priority="223" operator="greaterThan">
      <formula>80</formula>
    </cfRule>
  </conditionalFormatting>
  <conditionalFormatting sqref="V54:Y54">
    <cfRule type="cellIs" dxfId="1270" priority="222" operator="greaterThan">
      <formula>80</formula>
    </cfRule>
  </conditionalFormatting>
  <conditionalFormatting sqref="V54:Y54">
    <cfRule type="cellIs" dxfId="1269" priority="220" operator="lessThan">
      <formula>35</formula>
    </cfRule>
  </conditionalFormatting>
  <conditionalFormatting sqref="AG55:AG56">
    <cfRule type="cellIs" dxfId="1268" priority="219" operator="greaterThan">
      <formula>80</formula>
    </cfRule>
  </conditionalFormatting>
  <conditionalFormatting sqref="AG55:AG56">
    <cfRule type="cellIs" dxfId="1267" priority="218" operator="lessThan">
      <formula>35</formula>
    </cfRule>
  </conditionalFormatting>
  <conditionalFormatting sqref="R55:U56">
    <cfRule type="cellIs" dxfId="1266" priority="217" operator="greaterThan">
      <formula>80</formula>
    </cfRule>
  </conditionalFormatting>
  <conditionalFormatting sqref="R55:U56">
    <cfRule type="cellIs" dxfId="1265" priority="216" operator="lessThan">
      <formula>35</formula>
    </cfRule>
  </conditionalFormatting>
  <conditionalFormatting sqref="S55:U56">
    <cfRule type="cellIs" dxfId="1264" priority="214" operator="lessThan">
      <formula>40</formula>
    </cfRule>
    <cfRule type="cellIs" dxfId="1263" priority="215" operator="greaterThan">
      <formula>80</formula>
    </cfRule>
  </conditionalFormatting>
  <conditionalFormatting sqref="B55:K56">
    <cfRule type="cellIs" dxfId="1262" priority="211" operator="lessThan">
      <formula>40</formula>
    </cfRule>
    <cfRule type="cellIs" dxfId="1261" priority="213" operator="greaterThan">
      <formula>80</formula>
    </cfRule>
  </conditionalFormatting>
  <conditionalFormatting sqref="B55:K56">
    <cfRule type="cellIs" dxfId="1260" priority="212" operator="greaterThan">
      <formula>80</formula>
    </cfRule>
  </conditionalFormatting>
  <conditionalFormatting sqref="B55:K56">
    <cfRule type="cellIs" dxfId="1259" priority="210" operator="lessThan">
      <formula>35</formula>
    </cfRule>
  </conditionalFormatting>
  <conditionalFormatting sqref="Z55:AD56">
    <cfRule type="cellIs" dxfId="1258" priority="207" operator="lessThan">
      <formula>40</formula>
    </cfRule>
    <cfRule type="cellIs" dxfId="1257" priority="209" operator="greaterThan">
      <formula>80</formula>
    </cfRule>
  </conditionalFormatting>
  <conditionalFormatting sqref="Z55:AD56">
    <cfRule type="cellIs" dxfId="1256" priority="208" operator="greaterThan">
      <formula>80</formula>
    </cfRule>
  </conditionalFormatting>
  <conditionalFormatting sqref="Z55:AD56">
    <cfRule type="cellIs" dxfId="1255" priority="206" operator="lessThan">
      <formula>35</formula>
    </cfRule>
  </conditionalFormatting>
  <conditionalFormatting sqref="AE55:AF56">
    <cfRule type="cellIs" dxfId="1254" priority="203" operator="lessThan">
      <formula>40</formula>
    </cfRule>
    <cfRule type="cellIs" dxfId="1253" priority="205" operator="greaterThan">
      <formula>80</formula>
    </cfRule>
  </conditionalFormatting>
  <conditionalFormatting sqref="AE55:AF56">
    <cfRule type="cellIs" dxfId="1252" priority="204" operator="greaterThan">
      <formula>80</formula>
    </cfRule>
  </conditionalFormatting>
  <conditionalFormatting sqref="AE55:AF56">
    <cfRule type="cellIs" dxfId="1251" priority="202" operator="lessThan">
      <formula>35</formula>
    </cfRule>
  </conditionalFormatting>
  <conditionalFormatting sqref="L55:O56">
    <cfRule type="cellIs" dxfId="1250" priority="199" operator="lessThan">
      <formula>40</formula>
    </cfRule>
    <cfRule type="cellIs" dxfId="1249" priority="201" operator="greaterThan">
      <formula>80</formula>
    </cfRule>
  </conditionalFormatting>
  <conditionalFormatting sqref="L55:O56">
    <cfRule type="cellIs" dxfId="1248" priority="200" operator="greaterThan">
      <formula>80</formula>
    </cfRule>
  </conditionalFormatting>
  <conditionalFormatting sqref="L55:O56">
    <cfRule type="cellIs" dxfId="1247" priority="198" operator="lessThan">
      <formula>35</formula>
    </cfRule>
  </conditionalFormatting>
  <conditionalFormatting sqref="V55:Y56 Y57">
    <cfRule type="cellIs" dxfId="1246" priority="195" operator="lessThan">
      <formula>40</formula>
    </cfRule>
    <cfRule type="cellIs" dxfId="1245" priority="197" operator="greaterThan">
      <formula>80</formula>
    </cfRule>
  </conditionalFormatting>
  <conditionalFormatting sqref="V55:Y56 Y57">
    <cfRule type="cellIs" dxfId="1244" priority="196" operator="greaterThan">
      <formula>80</formula>
    </cfRule>
  </conditionalFormatting>
  <conditionalFormatting sqref="V55:Y56 Y57">
    <cfRule type="cellIs" dxfId="1243" priority="194" operator="lessThan">
      <formula>35</formula>
    </cfRule>
  </conditionalFormatting>
  <conditionalFormatting sqref="AG57">
    <cfRule type="cellIs" dxfId="1242" priority="193" operator="greaterThan">
      <formula>80</formula>
    </cfRule>
  </conditionalFormatting>
  <conditionalFormatting sqref="AG57">
    <cfRule type="cellIs" dxfId="1241" priority="192" operator="lessThan">
      <formula>35</formula>
    </cfRule>
  </conditionalFormatting>
  <conditionalFormatting sqref="R57:U57">
    <cfRule type="cellIs" dxfId="1240" priority="191" operator="greaterThan">
      <formula>80</formula>
    </cfRule>
  </conditionalFormatting>
  <conditionalFormatting sqref="R57:U57">
    <cfRule type="cellIs" dxfId="1239" priority="190" operator="lessThan">
      <formula>35</formula>
    </cfRule>
  </conditionalFormatting>
  <conditionalFormatting sqref="S57:U57">
    <cfRule type="cellIs" dxfId="1238" priority="188" operator="lessThan">
      <formula>40</formula>
    </cfRule>
    <cfRule type="cellIs" dxfId="1237" priority="189" operator="greaterThan">
      <formula>80</formula>
    </cfRule>
  </conditionalFormatting>
  <conditionalFormatting sqref="B57:K57">
    <cfRule type="cellIs" dxfId="1236" priority="185" operator="lessThan">
      <formula>40</formula>
    </cfRule>
    <cfRule type="cellIs" dxfId="1235" priority="187" operator="greaterThan">
      <formula>80</formula>
    </cfRule>
  </conditionalFormatting>
  <conditionalFormatting sqref="B57:K57">
    <cfRule type="cellIs" dxfId="1234" priority="186" operator="greaterThan">
      <formula>80</formula>
    </cfRule>
  </conditionalFormatting>
  <conditionalFormatting sqref="B57:K57">
    <cfRule type="cellIs" dxfId="1233" priority="184" operator="lessThan">
      <formula>35</formula>
    </cfRule>
  </conditionalFormatting>
  <conditionalFormatting sqref="Z57:AD57">
    <cfRule type="cellIs" dxfId="1232" priority="181" operator="lessThan">
      <formula>40</formula>
    </cfRule>
    <cfRule type="cellIs" dxfId="1231" priority="183" operator="greaterThan">
      <formula>80</formula>
    </cfRule>
  </conditionalFormatting>
  <conditionalFormatting sqref="Z57:AD57">
    <cfRule type="cellIs" dxfId="1230" priority="182" operator="greaterThan">
      <formula>80</formula>
    </cfRule>
  </conditionalFormatting>
  <conditionalFormatting sqref="Z57:AD57">
    <cfRule type="cellIs" dxfId="1229" priority="180" operator="lessThan">
      <formula>35</formula>
    </cfRule>
  </conditionalFormatting>
  <conditionalFormatting sqref="AE57:AF57">
    <cfRule type="cellIs" dxfId="1228" priority="177" operator="lessThan">
      <formula>40</formula>
    </cfRule>
    <cfRule type="cellIs" dxfId="1227" priority="179" operator="greaterThan">
      <formula>80</formula>
    </cfRule>
  </conditionalFormatting>
  <conditionalFormatting sqref="AE57:AF57">
    <cfRule type="cellIs" dxfId="1226" priority="178" operator="greaterThan">
      <formula>80</formula>
    </cfRule>
  </conditionalFormatting>
  <conditionalFormatting sqref="AE57:AF57">
    <cfRule type="cellIs" dxfId="1225" priority="176" operator="lessThan">
      <formula>35</formula>
    </cfRule>
  </conditionalFormatting>
  <conditionalFormatting sqref="L57:O57">
    <cfRule type="cellIs" dxfId="1224" priority="173" operator="lessThan">
      <formula>40</formula>
    </cfRule>
    <cfRule type="cellIs" dxfId="1223" priority="175" operator="greaterThan">
      <formula>80</formula>
    </cfRule>
  </conditionalFormatting>
  <conditionalFormatting sqref="L57:O57">
    <cfRule type="cellIs" dxfId="1222" priority="174" operator="greaterThan">
      <formula>80</formula>
    </cfRule>
  </conditionalFormatting>
  <conditionalFormatting sqref="L57:O57">
    <cfRule type="cellIs" dxfId="1221" priority="172" operator="lessThan">
      <formula>35</formula>
    </cfRule>
  </conditionalFormatting>
  <conditionalFormatting sqref="V57:X57">
    <cfRule type="cellIs" dxfId="1220" priority="169" operator="lessThan">
      <formula>40</formula>
    </cfRule>
    <cfRule type="cellIs" dxfId="1219" priority="171" operator="greaterThan">
      <formula>80</formula>
    </cfRule>
  </conditionalFormatting>
  <conditionalFormatting sqref="V57:X57">
    <cfRule type="cellIs" dxfId="1218" priority="170" operator="greaterThan">
      <formula>80</formula>
    </cfRule>
  </conditionalFormatting>
  <conditionalFormatting sqref="V57:X57">
    <cfRule type="cellIs" dxfId="1217" priority="168" operator="lessThan">
      <formula>35</formula>
    </cfRule>
  </conditionalFormatting>
  <conditionalFormatting sqref="Y58:Y66">
    <cfRule type="cellIs" dxfId="1216" priority="165" operator="lessThan">
      <formula>40</formula>
    </cfRule>
    <cfRule type="cellIs" dxfId="1215" priority="167" operator="greaterThan">
      <formula>80</formula>
    </cfRule>
  </conditionalFormatting>
  <conditionalFormatting sqref="Y58:Y66">
    <cfRule type="cellIs" dxfId="1214" priority="166" operator="greaterThan">
      <formula>80</formula>
    </cfRule>
  </conditionalFormatting>
  <conditionalFormatting sqref="Y58:Y66">
    <cfRule type="cellIs" dxfId="1213" priority="164" operator="lessThan">
      <formula>35</formula>
    </cfRule>
  </conditionalFormatting>
  <conditionalFormatting sqref="AG58:AG66">
    <cfRule type="cellIs" dxfId="1212" priority="163" operator="greaterThan">
      <formula>80</formula>
    </cfRule>
  </conditionalFormatting>
  <conditionalFormatting sqref="AG58:AG66">
    <cfRule type="cellIs" dxfId="1211" priority="162" operator="lessThan">
      <formula>35</formula>
    </cfRule>
  </conditionalFormatting>
  <conditionalFormatting sqref="R58:U58">
    <cfRule type="cellIs" dxfId="1210" priority="161" operator="greaterThan">
      <formula>80</formula>
    </cfRule>
  </conditionalFormatting>
  <conditionalFormatting sqref="R58:U58">
    <cfRule type="cellIs" dxfId="1209" priority="160" operator="lessThan">
      <formula>35</formula>
    </cfRule>
  </conditionalFormatting>
  <conditionalFormatting sqref="S58:U58">
    <cfRule type="cellIs" dxfId="1208" priority="158" operator="lessThan">
      <formula>40</formula>
    </cfRule>
    <cfRule type="cellIs" dxfId="1207" priority="159" operator="greaterThan">
      <formula>80</formula>
    </cfRule>
  </conditionalFormatting>
  <conditionalFormatting sqref="B58:K66">
    <cfRule type="cellIs" dxfId="1206" priority="155" operator="lessThan">
      <formula>40</formula>
    </cfRule>
    <cfRule type="cellIs" dxfId="1205" priority="157" operator="greaterThan">
      <formula>80</formula>
    </cfRule>
  </conditionalFormatting>
  <conditionalFormatting sqref="B58:K66">
    <cfRule type="cellIs" dxfId="1204" priority="156" operator="greaterThan">
      <formula>80</formula>
    </cfRule>
  </conditionalFormatting>
  <conditionalFormatting sqref="B58:K66">
    <cfRule type="cellIs" dxfId="1203" priority="154" operator="lessThan">
      <formula>35</formula>
    </cfRule>
  </conditionalFormatting>
  <conditionalFormatting sqref="Z58:AD58">
    <cfRule type="cellIs" dxfId="1202" priority="151" operator="lessThan">
      <formula>40</formula>
    </cfRule>
    <cfRule type="cellIs" dxfId="1201" priority="153" operator="greaterThan">
      <formula>80</formula>
    </cfRule>
  </conditionalFormatting>
  <conditionalFormatting sqref="Z58:AD58">
    <cfRule type="cellIs" dxfId="1200" priority="152" operator="greaterThan">
      <formula>80</formula>
    </cfRule>
  </conditionalFormatting>
  <conditionalFormatting sqref="Z58:AD58">
    <cfRule type="cellIs" dxfId="1199" priority="150" operator="lessThan">
      <formula>35</formula>
    </cfRule>
  </conditionalFormatting>
  <conditionalFormatting sqref="AE58:AF58">
    <cfRule type="cellIs" dxfId="1198" priority="147" operator="lessThan">
      <formula>40</formula>
    </cfRule>
    <cfRule type="cellIs" dxfId="1197" priority="149" operator="greaterThan">
      <formula>80</formula>
    </cfRule>
  </conditionalFormatting>
  <conditionalFormatting sqref="AE58:AF58">
    <cfRule type="cellIs" dxfId="1196" priority="148" operator="greaterThan">
      <formula>80</formula>
    </cfRule>
  </conditionalFormatting>
  <conditionalFormatting sqref="AE58:AF58">
    <cfRule type="cellIs" dxfId="1195" priority="146" operator="lessThan">
      <formula>35</formula>
    </cfRule>
  </conditionalFormatting>
  <conditionalFormatting sqref="L58:O66">
    <cfRule type="cellIs" dxfId="1194" priority="143" operator="lessThan">
      <formula>40</formula>
    </cfRule>
    <cfRule type="cellIs" dxfId="1193" priority="145" operator="greaterThan">
      <formula>80</formula>
    </cfRule>
  </conditionalFormatting>
  <conditionalFormatting sqref="L58:O66">
    <cfRule type="cellIs" dxfId="1192" priority="144" operator="greaterThan">
      <formula>80</formula>
    </cfRule>
  </conditionalFormatting>
  <conditionalFormatting sqref="L58:O66">
    <cfRule type="cellIs" dxfId="1191" priority="142" operator="lessThan">
      <formula>35</formula>
    </cfRule>
  </conditionalFormatting>
  <conditionalFormatting sqref="V58:X58">
    <cfRule type="cellIs" dxfId="1190" priority="139" operator="lessThan">
      <formula>40</formula>
    </cfRule>
    <cfRule type="cellIs" dxfId="1189" priority="141" operator="greaterThan">
      <formula>80</formula>
    </cfRule>
  </conditionalFormatting>
  <conditionalFormatting sqref="V58:X58">
    <cfRule type="cellIs" dxfId="1188" priority="140" operator="greaterThan">
      <formula>80</formula>
    </cfRule>
  </conditionalFormatting>
  <conditionalFormatting sqref="V58:X58">
    <cfRule type="cellIs" dxfId="1187" priority="138" operator="lessThan">
      <formula>35</formula>
    </cfRule>
  </conditionalFormatting>
  <conditionalFormatting sqref="AG26:AM51 AG52:AI60 AM52:AM60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:U59">
    <cfRule type="cellIs" dxfId="1186" priority="136" operator="greaterThan">
      <formula>80</formula>
    </cfRule>
  </conditionalFormatting>
  <conditionalFormatting sqref="R59:U59">
    <cfRule type="cellIs" dxfId="1185" priority="135" operator="lessThan">
      <formula>35</formula>
    </cfRule>
  </conditionalFormatting>
  <conditionalFormatting sqref="S59:U59">
    <cfRule type="cellIs" dxfId="1184" priority="133" operator="lessThan">
      <formula>40</formula>
    </cfRule>
    <cfRule type="cellIs" dxfId="1183" priority="134" operator="greaterThan">
      <formula>80</formula>
    </cfRule>
  </conditionalFormatting>
  <conditionalFormatting sqref="Z59:AD59">
    <cfRule type="cellIs" dxfId="1182" priority="130" operator="lessThan">
      <formula>40</formula>
    </cfRule>
    <cfRule type="cellIs" dxfId="1181" priority="132" operator="greaterThan">
      <formula>80</formula>
    </cfRule>
  </conditionalFormatting>
  <conditionalFormatting sqref="Z59:AD59">
    <cfRule type="cellIs" dxfId="1180" priority="131" operator="greaterThan">
      <formula>80</formula>
    </cfRule>
  </conditionalFormatting>
  <conditionalFormatting sqref="Z59:AD59">
    <cfRule type="cellIs" dxfId="1179" priority="129" operator="lessThan">
      <formula>35</formula>
    </cfRule>
  </conditionalFormatting>
  <conditionalFormatting sqref="AE59:AF59">
    <cfRule type="cellIs" dxfId="1178" priority="126" operator="lessThan">
      <formula>40</formula>
    </cfRule>
    <cfRule type="cellIs" dxfId="1177" priority="128" operator="greaterThan">
      <formula>80</formula>
    </cfRule>
  </conditionalFormatting>
  <conditionalFormatting sqref="AE59:AF59">
    <cfRule type="cellIs" dxfId="1176" priority="127" operator="greaterThan">
      <formula>80</formula>
    </cfRule>
  </conditionalFormatting>
  <conditionalFormatting sqref="AE59:AF59">
    <cfRule type="cellIs" dxfId="1175" priority="125" operator="lessThan">
      <formula>35</formula>
    </cfRule>
  </conditionalFormatting>
  <conditionalFormatting sqref="V59:X59">
    <cfRule type="cellIs" dxfId="1174" priority="122" operator="lessThan">
      <formula>40</formula>
    </cfRule>
    <cfRule type="cellIs" dxfId="1173" priority="124" operator="greaterThan">
      <formula>80</formula>
    </cfRule>
  </conditionalFormatting>
  <conditionalFormatting sqref="V59:X59">
    <cfRule type="cellIs" dxfId="1172" priority="123" operator="greaterThan">
      <formula>80</formula>
    </cfRule>
  </conditionalFormatting>
  <conditionalFormatting sqref="V59:X59">
    <cfRule type="cellIs" dxfId="1171" priority="121" operator="lessThan">
      <formula>35</formula>
    </cfRule>
  </conditionalFormatting>
  <conditionalFormatting sqref="R60:U60">
    <cfRule type="cellIs" dxfId="1170" priority="120" operator="greaterThan">
      <formula>80</formula>
    </cfRule>
  </conditionalFormatting>
  <conditionalFormatting sqref="R60:U60">
    <cfRule type="cellIs" dxfId="1169" priority="119" operator="lessThan">
      <formula>35</formula>
    </cfRule>
  </conditionalFormatting>
  <conditionalFormatting sqref="S60:U60">
    <cfRule type="cellIs" dxfId="1168" priority="117" operator="lessThan">
      <formula>40</formula>
    </cfRule>
    <cfRule type="cellIs" dxfId="1167" priority="118" operator="greaterThan">
      <formula>80</formula>
    </cfRule>
  </conditionalFormatting>
  <conditionalFormatting sqref="Z60:AD60">
    <cfRule type="cellIs" dxfId="1166" priority="114" operator="lessThan">
      <formula>40</formula>
    </cfRule>
    <cfRule type="cellIs" dxfId="1165" priority="116" operator="greaterThan">
      <formula>80</formula>
    </cfRule>
  </conditionalFormatting>
  <conditionalFormatting sqref="Z60:AD60">
    <cfRule type="cellIs" dxfId="1164" priority="115" operator="greaterThan">
      <formula>80</formula>
    </cfRule>
  </conditionalFormatting>
  <conditionalFormatting sqref="Z60:AD60">
    <cfRule type="cellIs" dxfId="1163" priority="113" operator="lessThan">
      <formula>35</formula>
    </cfRule>
  </conditionalFormatting>
  <conditionalFormatting sqref="AE60:AF60">
    <cfRule type="cellIs" dxfId="1162" priority="110" operator="lessThan">
      <formula>40</formula>
    </cfRule>
    <cfRule type="cellIs" dxfId="1161" priority="112" operator="greaterThan">
      <formula>80</formula>
    </cfRule>
  </conditionalFormatting>
  <conditionalFormatting sqref="AE60:AF60">
    <cfRule type="cellIs" dxfId="1160" priority="111" operator="greaterThan">
      <formula>80</formula>
    </cfRule>
  </conditionalFormatting>
  <conditionalFormatting sqref="AE60:AF60">
    <cfRule type="cellIs" dxfId="1159" priority="109" operator="lessThan">
      <formula>35</formula>
    </cfRule>
  </conditionalFormatting>
  <conditionalFormatting sqref="V60:X60">
    <cfRule type="cellIs" dxfId="1158" priority="106" operator="lessThan">
      <formula>40</formula>
    </cfRule>
    <cfRule type="cellIs" dxfId="1157" priority="108" operator="greaterThan">
      <formula>80</formula>
    </cfRule>
  </conditionalFormatting>
  <conditionalFormatting sqref="V60:X60">
    <cfRule type="cellIs" dxfId="1156" priority="107" operator="greaterThan">
      <formula>80</formula>
    </cfRule>
  </conditionalFormatting>
  <conditionalFormatting sqref="V60:X60">
    <cfRule type="cellIs" dxfId="1155" priority="105" operator="lessThan">
      <formula>35</formula>
    </cfRule>
  </conditionalFormatting>
  <conditionalFormatting sqref="AM61:AM66 AG61:AI66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1:U61">
    <cfRule type="cellIs" dxfId="1154" priority="103" operator="greaterThan">
      <formula>80</formula>
    </cfRule>
  </conditionalFormatting>
  <conditionalFormatting sqref="R61:U61">
    <cfRule type="cellIs" dxfId="1153" priority="102" operator="lessThan">
      <formula>35</formula>
    </cfRule>
  </conditionalFormatting>
  <conditionalFormatting sqref="S61:U61">
    <cfRule type="cellIs" dxfId="1152" priority="100" operator="lessThan">
      <formula>40</formula>
    </cfRule>
    <cfRule type="cellIs" dxfId="1151" priority="101" operator="greaterThan">
      <formula>80</formula>
    </cfRule>
  </conditionalFormatting>
  <conditionalFormatting sqref="Z61:AD61">
    <cfRule type="cellIs" dxfId="1150" priority="97" operator="lessThan">
      <formula>40</formula>
    </cfRule>
    <cfRule type="cellIs" dxfId="1149" priority="99" operator="greaterThan">
      <formula>80</formula>
    </cfRule>
  </conditionalFormatting>
  <conditionalFormatting sqref="Z61:AD61">
    <cfRule type="cellIs" dxfId="1148" priority="98" operator="greaterThan">
      <formula>80</formula>
    </cfRule>
  </conditionalFormatting>
  <conditionalFormatting sqref="Z61:AD61">
    <cfRule type="cellIs" dxfId="1147" priority="96" operator="lessThan">
      <formula>35</formula>
    </cfRule>
  </conditionalFormatting>
  <conditionalFormatting sqref="AE61:AF61">
    <cfRule type="cellIs" dxfId="1146" priority="93" operator="lessThan">
      <formula>40</formula>
    </cfRule>
    <cfRule type="cellIs" dxfId="1145" priority="95" operator="greaterThan">
      <formula>80</formula>
    </cfRule>
  </conditionalFormatting>
  <conditionalFormatting sqref="AE61:AF61">
    <cfRule type="cellIs" dxfId="1144" priority="94" operator="greaterThan">
      <formula>80</formula>
    </cfRule>
  </conditionalFormatting>
  <conditionalFormatting sqref="AE61:AF61">
    <cfRule type="cellIs" dxfId="1143" priority="92" operator="lessThan">
      <formula>35</formula>
    </cfRule>
  </conditionalFormatting>
  <conditionalFormatting sqref="V61:X61">
    <cfRule type="cellIs" dxfId="1142" priority="89" operator="lessThan">
      <formula>40</formula>
    </cfRule>
    <cfRule type="cellIs" dxfId="1141" priority="91" operator="greaterThan">
      <formula>80</formula>
    </cfRule>
  </conditionalFormatting>
  <conditionalFormatting sqref="V61:X61">
    <cfRule type="cellIs" dxfId="1140" priority="90" operator="greaterThan">
      <formula>80</formula>
    </cfRule>
  </conditionalFormatting>
  <conditionalFormatting sqref="V61:X61">
    <cfRule type="cellIs" dxfId="1139" priority="88" operator="lessThan">
      <formula>35</formula>
    </cfRule>
  </conditionalFormatting>
  <conditionalFormatting sqref="AJ52:AJ6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2:AK6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2:AL6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2:U62">
    <cfRule type="cellIs" dxfId="1138" priority="84" operator="greaterThan">
      <formula>80</formula>
    </cfRule>
  </conditionalFormatting>
  <conditionalFormatting sqref="R62:U62">
    <cfRule type="cellIs" dxfId="1137" priority="83" operator="lessThan">
      <formula>35</formula>
    </cfRule>
  </conditionalFormatting>
  <conditionalFormatting sqref="S62:U62">
    <cfRule type="cellIs" dxfId="1136" priority="81" operator="lessThan">
      <formula>40</formula>
    </cfRule>
    <cfRule type="cellIs" dxfId="1135" priority="82" operator="greaterThan">
      <formula>80</formula>
    </cfRule>
  </conditionalFormatting>
  <conditionalFormatting sqref="Z62:AD62">
    <cfRule type="cellIs" dxfId="1134" priority="78" operator="lessThan">
      <formula>40</formula>
    </cfRule>
    <cfRule type="cellIs" dxfId="1133" priority="80" operator="greaterThan">
      <formula>80</formula>
    </cfRule>
  </conditionalFormatting>
  <conditionalFormatting sqref="Z62:AD62">
    <cfRule type="cellIs" dxfId="1132" priority="79" operator="greaterThan">
      <formula>80</formula>
    </cfRule>
  </conditionalFormatting>
  <conditionalFormatting sqref="Z62:AD62">
    <cfRule type="cellIs" dxfId="1131" priority="77" operator="lessThan">
      <formula>35</formula>
    </cfRule>
  </conditionalFormatting>
  <conditionalFormatting sqref="AE62:AF62">
    <cfRule type="cellIs" dxfId="1130" priority="74" operator="lessThan">
      <formula>40</formula>
    </cfRule>
    <cfRule type="cellIs" dxfId="1129" priority="76" operator="greaterThan">
      <formula>80</formula>
    </cfRule>
  </conditionalFormatting>
  <conditionalFormatting sqref="AE62:AF62">
    <cfRule type="cellIs" dxfId="1128" priority="75" operator="greaterThan">
      <formula>80</formula>
    </cfRule>
  </conditionalFormatting>
  <conditionalFormatting sqref="AE62:AF62">
    <cfRule type="cellIs" dxfId="1127" priority="73" operator="lessThan">
      <formula>35</formula>
    </cfRule>
  </conditionalFormatting>
  <conditionalFormatting sqref="V62:X62">
    <cfRule type="cellIs" dxfId="1126" priority="70" operator="lessThan">
      <formula>40</formula>
    </cfRule>
    <cfRule type="cellIs" dxfId="1125" priority="72" operator="greaterThan">
      <formula>80</formula>
    </cfRule>
  </conditionalFormatting>
  <conditionalFormatting sqref="V62:X62">
    <cfRule type="cellIs" dxfId="1124" priority="71" operator="greaterThan">
      <formula>80</formula>
    </cfRule>
  </conditionalFormatting>
  <conditionalFormatting sqref="V62:X62">
    <cfRule type="cellIs" dxfId="1123" priority="69" operator="lessThan">
      <formula>35</formula>
    </cfRule>
  </conditionalFormatting>
  <conditionalFormatting sqref="BD4 AX4">
    <cfRule type="cellIs" dxfId="1122" priority="67" operator="lessThan">
      <formula>40</formula>
    </cfRule>
    <cfRule type="cellIs" dxfId="1121" priority="68" operator="greaterThan">
      <formula>80</formula>
    </cfRule>
  </conditionalFormatting>
  <conditionalFormatting sqref="B4:AW4">
    <cfRule type="cellIs" dxfId="1120" priority="65" operator="lessThan">
      <formula>40</formula>
    </cfRule>
    <cfRule type="cellIs" dxfId="1119" priority="66" operator="greaterThan">
      <formula>80</formula>
    </cfRule>
  </conditionalFormatting>
  <conditionalFormatting sqref="R63:U63">
    <cfRule type="cellIs" dxfId="1118" priority="64" operator="greaterThan">
      <formula>80</formula>
    </cfRule>
  </conditionalFormatting>
  <conditionalFormatting sqref="R63:U63">
    <cfRule type="cellIs" dxfId="1117" priority="63" operator="lessThan">
      <formula>35</formula>
    </cfRule>
  </conditionalFormatting>
  <conditionalFormatting sqref="S63:U63">
    <cfRule type="cellIs" dxfId="1116" priority="61" operator="lessThan">
      <formula>40</formula>
    </cfRule>
    <cfRule type="cellIs" dxfId="1115" priority="62" operator="greaterThan">
      <formula>80</formula>
    </cfRule>
  </conditionalFormatting>
  <conditionalFormatting sqref="Z63:AD63">
    <cfRule type="cellIs" dxfId="1114" priority="58" operator="lessThan">
      <formula>40</formula>
    </cfRule>
    <cfRule type="cellIs" dxfId="1113" priority="60" operator="greaterThan">
      <formula>80</formula>
    </cfRule>
  </conditionalFormatting>
  <conditionalFormatting sqref="Z63:AD63">
    <cfRule type="cellIs" dxfId="1112" priority="59" operator="greaterThan">
      <formula>80</formula>
    </cfRule>
  </conditionalFormatting>
  <conditionalFormatting sqref="Z63:AD63">
    <cfRule type="cellIs" dxfId="1111" priority="57" operator="lessThan">
      <formula>35</formula>
    </cfRule>
  </conditionalFormatting>
  <conditionalFormatting sqref="AE63:AF63">
    <cfRule type="cellIs" dxfId="1110" priority="54" operator="lessThan">
      <formula>40</formula>
    </cfRule>
    <cfRule type="cellIs" dxfId="1109" priority="56" operator="greaterThan">
      <formula>80</formula>
    </cfRule>
  </conditionalFormatting>
  <conditionalFormatting sqref="AE63:AF63">
    <cfRule type="cellIs" dxfId="1108" priority="55" operator="greaterThan">
      <formula>80</formula>
    </cfRule>
  </conditionalFormatting>
  <conditionalFormatting sqref="AE63:AF63">
    <cfRule type="cellIs" dxfId="1107" priority="53" operator="lessThan">
      <formula>35</formula>
    </cfRule>
  </conditionalFormatting>
  <conditionalFormatting sqref="V63:X63">
    <cfRule type="cellIs" dxfId="1106" priority="50" operator="lessThan">
      <formula>40</formula>
    </cfRule>
    <cfRule type="cellIs" dxfId="1105" priority="52" operator="greaterThan">
      <formula>80</formula>
    </cfRule>
  </conditionalFormatting>
  <conditionalFormatting sqref="V63:X63">
    <cfRule type="cellIs" dxfId="1104" priority="51" operator="greaterThan">
      <formula>80</formula>
    </cfRule>
  </conditionalFormatting>
  <conditionalFormatting sqref="V63:X63">
    <cfRule type="cellIs" dxfId="1103" priority="49" operator="lessThan">
      <formula>35</formula>
    </cfRule>
  </conditionalFormatting>
  <conditionalFormatting sqref="R64:U64">
    <cfRule type="cellIs" dxfId="1102" priority="48" operator="greaterThan">
      <formula>80</formula>
    </cfRule>
  </conditionalFormatting>
  <conditionalFormatting sqref="R64:U64">
    <cfRule type="cellIs" dxfId="1101" priority="47" operator="lessThan">
      <formula>35</formula>
    </cfRule>
  </conditionalFormatting>
  <conditionalFormatting sqref="S64:U64">
    <cfRule type="cellIs" dxfId="1100" priority="45" operator="lessThan">
      <formula>40</formula>
    </cfRule>
    <cfRule type="cellIs" dxfId="1099" priority="46" operator="greaterThan">
      <formula>80</formula>
    </cfRule>
  </conditionalFormatting>
  <conditionalFormatting sqref="Z64:AD64">
    <cfRule type="cellIs" dxfId="1098" priority="42" operator="lessThan">
      <formula>40</formula>
    </cfRule>
    <cfRule type="cellIs" dxfId="1097" priority="44" operator="greaterThan">
      <formula>80</formula>
    </cfRule>
  </conditionalFormatting>
  <conditionalFormatting sqref="Z64:AD64">
    <cfRule type="cellIs" dxfId="1096" priority="43" operator="greaterThan">
      <formula>80</formula>
    </cfRule>
  </conditionalFormatting>
  <conditionalFormatting sqref="Z64:AD64">
    <cfRule type="cellIs" dxfId="1095" priority="41" operator="lessThan">
      <formula>35</formula>
    </cfRule>
  </conditionalFormatting>
  <conditionalFormatting sqref="AE64:AF64">
    <cfRule type="cellIs" dxfId="1094" priority="38" operator="lessThan">
      <formula>40</formula>
    </cfRule>
    <cfRule type="cellIs" dxfId="1093" priority="40" operator="greaterThan">
      <formula>80</formula>
    </cfRule>
  </conditionalFormatting>
  <conditionalFormatting sqref="AE64:AF64">
    <cfRule type="cellIs" dxfId="1092" priority="39" operator="greaterThan">
      <formula>80</formula>
    </cfRule>
  </conditionalFormatting>
  <conditionalFormatting sqref="AE64:AF64">
    <cfRule type="cellIs" dxfId="1091" priority="37" operator="lessThan">
      <formula>35</formula>
    </cfRule>
  </conditionalFormatting>
  <conditionalFormatting sqref="V64:X64">
    <cfRule type="cellIs" dxfId="1090" priority="34" operator="lessThan">
      <formula>40</formula>
    </cfRule>
    <cfRule type="cellIs" dxfId="1089" priority="36" operator="greaterThan">
      <formula>80</formula>
    </cfRule>
  </conditionalFormatting>
  <conditionalFormatting sqref="V64:X64">
    <cfRule type="cellIs" dxfId="1088" priority="35" operator="greaterThan">
      <formula>80</formula>
    </cfRule>
  </conditionalFormatting>
  <conditionalFormatting sqref="V64:X64">
    <cfRule type="cellIs" dxfId="1087" priority="33" operator="lessThan">
      <formula>35</formula>
    </cfRule>
  </conditionalFormatting>
  <conditionalFormatting sqref="R65:U65">
    <cfRule type="cellIs" dxfId="1086" priority="32" operator="greaterThan">
      <formula>80</formula>
    </cfRule>
  </conditionalFormatting>
  <conditionalFormatting sqref="R65:U65">
    <cfRule type="cellIs" dxfId="1085" priority="31" operator="lessThan">
      <formula>35</formula>
    </cfRule>
  </conditionalFormatting>
  <conditionalFormatting sqref="S65:U65">
    <cfRule type="cellIs" dxfId="1084" priority="29" operator="lessThan">
      <formula>40</formula>
    </cfRule>
    <cfRule type="cellIs" dxfId="1083" priority="30" operator="greaterThan">
      <formula>80</formula>
    </cfRule>
  </conditionalFormatting>
  <conditionalFormatting sqref="Z65:AD65">
    <cfRule type="cellIs" dxfId="1082" priority="26" operator="lessThan">
      <formula>40</formula>
    </cfRule>
    <cfRule type="cellIs" dxfId="1081" priority="28" operator="greaterThan">
      <formula>80</formula>
    </cfRule>
  </conditionalFormatting>
  <conditionalFormatting sqref="Z65:AD65">
    <cfRule type="cellIs" dxfId="1080" priority="27" operator="greaterThan">
      <formula>80</formula>
    </cfRule>
  </conditionalFormatting>
  <conditionalFormatting sqref="Z65:AD65">
    <cfRule type="cellIs" dxfId="1079" priority="25" operator="lessThan">
      <formula>35</formula>
    </cfRule>
  </conditionalFormatting>
  <conditionalFormatting sqref="AE65:AF65">
    <cfRule type="cellIs" dxfId="1078" priority="22" operator="lessThan">
      <formula>40</formula>
    </cfRule>
    <cfRule type="cellIs" dxfId="1077" priority="24" operator="greaterThan">
      <formula>80</formula>
    </cfRule>
  </conditionalFormatting>
  <conditionalFormatting sqref="AE65:AF65">
    <cfRule type="cellIs" dxfId="1076" priority="23" operator="greaterThan">
      <formula>80</formula>
    </cfRule>
  </conditionalFormatting>
  <conditionalFormatting sqref="AE65:AF65">
    <cfRule type="cellIs" dxfId="1075" priority="21" operator="lessThan">
      <formula>35</formula>
    </cfRule>
  </conditionalFormatting>
  <conditionalFormatting sqref="V65:X65">
    <cfRule type="cellIs" dxfId="1074" priority="18" operator="lessThan">
      <formula>40</formula>
    </cfRule>
    <cfRule type="cellIs" dxfId="1073" priority="20" operator="greaterThan">
      <formula>80</formula>
    </cfRule>
  </conditionalFormatting>
  <conditionalFormatting sqref="V65:X65">
    <cfRule type="cellIs" dxfId="1072" priority="19" operator="greaterThan">
      <formula>80</formula>
    </cfRule>
  </conditionalFormatting>
  <conditionalFormatting sqref="V65:X65">
    <cfRule type="cellIs" dxfId="1071" priority="17" operator="lessThan">
      <formula>35</formula>
    </cfRule>
  </conditionalFormatting>
  <conditionalFormatting sqref="R66:U66">
    <cfRule type="cellIs" dxfId="1070" priority="16" operator="greaterThan">
      <formula>80</formula>
    </cfRule>
  </conditionalFormatting>
  <conditionalFormatting sqref="R66:U66">
    <cfRule type="cellIs" dxfId="1069" priority="15" operator="lessThan">
      <formula>35</formula>
    </cfRule>
  </conditionalFormatting>
  <conditionalFormatting sqref="S66:U66">
    <cfRule type="cellIs" dxfId="1068" priority="13" operator="lessThan">
      <formula>40</formula>
    </cfRule>
    <cfRule type="cellIs" dxfId="1067" priority="14" operator="greaterThan">
      <formula>80</formula>
    </cfRule>
  </conditionalFormatting>
  <conditionalFormatting sqref="Z66:AD66">
    <cfRule type="cellIs" dxfId="1066" priority="10" operator="lessThan">
      <formula>40</formula>
    </cfRule>
    <cfRule type="cellIs" dxfId="1065" priority="12" operator="greaterThan">
      <formula>80</formula>
    </cfRule>
  </conditionalFormatting>
  <conditionalFormatting sqref="Z66:AD66">
    <cfRule type="cellIs" dxfId="1064" priority="11" operator="greaterThan">
      <formula>80</formula>
    </cfRule>
  </conditionalFormatting>
  <conditionalFormatting sqref="Z66:AD66">
    <cfRule type="cellIs" dxfId="1063" priority="9" operator="lessThan">
      <formula>35</formula>
    </cfRule>
  </conditionalFormatting>
  <conditionalFormatting sqref="AE66:AF66">
    <cfRule type="cellIs" dxfId="1062" priority="6" operator="lessThan">
      <formula>40</formula>
    </cfRule>
    <cfRule type="cellIs" dxfId="1061" priority="8" operator="greaterThan">
      <formula>80</formula>
    </cfRule>
  </conditionalFormatting>
  <conditionalFormatting sqref="AE66:AF66">
    <cfRule type="cellIs" dxfId="1060" priority="7" operator="greaterThan">
      <formula>80</formula>
    </cfRule>
  </conditionalFormatting>
  <conditionalFormatting sqref="AE66:AF66">
    <cfRule type="cellIs" dxfId="1059" priority="5" operator="lessThan">
      <formula>35</formula>
    </cfRule>
  </conditionalFormatting>
  <conditionalFormatting sqref="V66:X66">
    <cfRule type="cellIs" dxfId="1058" priority="2" operator="lessThan">
      <formula>40</formula>
    </cfRule>
    <cfRule type="cellIs" dxfId="1057" priority="4" operator="greaterThan">
      <formula>80</formula>
    </cfRule>
  </conditionalFormatting>
  <conditionalFormatting sqref="V66:X66">
    <cfRule type="cellIs" dxfId="1056" priority="3" operator="greaterThan">
      <formula>80</formula>
    </cfRule>
  </conditionalFormatting>
  <conditionalFormatting sqref="V66:X66">
    <cfRule type="cellIs" dxfId="1055" priority="1" operator="lessThan">
      <formula>35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159A2-E862-4CCC-A72A-0B92D08608DC}">
  <sheetPr>
    <tabColor rgb="FF00B050"/>
  </sheetPr>
  <dimension ref="A1:IG66"/>
  <sheetViews>
    <sheetView zoomScale="130" zoomScaleNormal="130" workbookViewId="0">
      <pane ySplit="4" topLeftCell="A50" activePane="bottomLeft" state="frozen"/>
      <selection activeCell="O1" sqref="O1"/>
      <selection pane="bottomLeft" activeCell="A66" sqref="A66"/>
    </sheetView>
  </sheetViews>
  <sheetFormatPr defaultRowHeight="15" outlineLevelCol="2" x14ac:dyDescent="0.25"/>
  <cols>
    <col min="1" max="1" width="11.85546875" bestFit="1" customWidth="1"/>
    <col min="2" max="10" width="5.5703125" customWidth="1"/>
    <col min="11" max="12" width="5.5703125" hidden="1" customWidth="1" outlineLevel="1"/>
    <col min="13" max="13" width="5.5703125" customWidth="1" collapsed="1"/>
    <col min="14" max="14" width="5.5703125" style="218" customWidth="1"/>
    <col min="15" max="22" width="5.5703125" customWidth="1"/>
    <col min="23" max="24" width="5.5703125" hidden="1" customWidth="1" outlineLevel="1"/>
    <col min="25" max="25" width="5.5703125" style="49" customWidth="1" collapsed="1"/>
    <col min="26" max="34" width="5.5703125" customWidth="1"/>
    <col min="35" max="36" width="5.5703125" hidden="1" customWidth="1" outlineLevel="1"/>
    <col min="37" max="37" width="5.5703125" customWidth="1" collapsed="1"/>
    <col min="38" max="142" width="7" customWidth="1"/>
    <col min="143" max="143" width="24.5703125" customWidth="1" outlineLevel="1"/>
    <col min="144" max="161" width="8" customWidth="1" outlineLevel="1"/>
    <col min="162" max="162" width="11.85546875" style="9" customWidth="1" outlineLevel="1"/>
    <col min="163" max="164" width="9.140625" customWidth="1" outlineLevel="1"/>
    <col min="165" max="168" width="7" customWidth="1" outlineLevel="2"/>
    <col min="169" max="170" width="9.140625" customWidth="1" outlineLevel="1"/>
    <col min="171" max="174" width="7" customWidth="1" outlineLevel="2"/>
    <col min="175" max="176" width="9.140625" customWidth="1" outlineLevel="1"/>
    <col min="177" max="180" width="7" customWidth="1" outlineLevel="2"/>
    <col min="181" max="182" width="9.140625" customWidth="1" outlineLevel="1"/>
    <col min="183" max="186" width="7" customWidth="1" outlineLevel="2"/>
    <col min="187" max="188" width="9.140625" customWidth="1" outlineLevel="1"/>
    <col min="189" max="192" width="7" customWidth="1" outlineLevel="2"/>
    <col min="193" max="194" width="9.140625" customWidth="1" outlineLevel="1"/>
    <col min="195" max="198" width="7" customWidth="1" outlineLevel="2"/>
    <col min="199" max="200" width="9.140625" customWidth="1" outlineLevel="1"/>
    <col min="201" max="204" width="7" customWidth="1" outlineLevel="2"/>
    <col min="205" max="206" width="9.140625" customWidth="1" outlineLevel="1"/>
    <col min="207" max="210" width="7" customWidth="1" outlineLevel="2"/>
    <col min="211" max="212" width="9.140625" customWidth="1" outlineLevel="1"/>
    <col min="213" max="216" width="7" customWidth="1" outlineLevel="2"/>
    <col min="217" max="218" width="9.140625" customWidth="1" outlineLevel="1"/>
    <col min="219" max="222" width="7" customWidth="1" outlineLevel="2"/>
    <col min="223" max="224" width="9.140625" customWidth="1" outlineLevel="1"/>
    <col min="225" max="229" width="7" customWidth="1" outlineLevel="2"/>
    <col min="230" max="241" width="9.140625" customWidth="1" outlineLevel="1"/>
  </cols>
  <sheetData>
    <row r="1" spans="1:241" ht="15.75" thickBot="1" x14ac:dyDescent="0.3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 s="43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</row>
    <row r="2" spans="1:241" ht="29.1" customHeight="1" thickBot="1" x14ac:dyDescent="0.3">
      <c r="B2">
        <v>950</v>
      </c>
      <c r="C2" s="41">
        <v>980</v>
      </c>
      <c r="D2" s="42">
        <v>981</v>
      </c>
      <c r="E2" s="1281">
        <v>983</v>
      </c>
      <c r="F2" s="1282">
        <v>984</v>
      </c>
      <c r="G2" s="1282" t="s">
        <v>84</v>
      </c>
      <c r="H2" s="1283" t="s">
        <v>85</v>
      </c>
      <c r="I2" s="1284" t="s">
        <v>86</v>
      </c>
      <c r="J2" s="183">
        <v>986</v>
      </c>
      <c r="K2" s="181">
        <v>987</v>
      </c>
      <c r="L2" s="181" t="s">
        <v>87</v>
      </c>
      <c r="M2" s="41" t="s">
        <v>88</v>
      </c>
      <c r="N2" s="224">
        <v>950</v>
      </c>
      <c r="O2" s="41">
        <v>980</v>
      </c>
      <c r="P2" s="42">
        <v>981</v>
      </c>
      <c r="Q2" s="41">
        <v>983</v>
      </c>
      <c r="R2" s="42">
        <v>984</v>
      </c>
      <c r="S2" s="42" t="s">
        <v>84</v>
      </c>
      <c r="T2" s="41" t="s">
        <v>85</v>
      </c>
      <c r="U2" s="183" t="s">
        <v>86</v>
      </c>
      <c r="V2" s="42">
        <v>986</v>
      </c>
      <c r="W2" s="41">
        <v>987</v>
      </c>
      <c r="X2" s="183" t="s">
        <v>87</v>
      </c>
      <c r="Y2" s="1322" t="s">
        <v>88</v>
      </c>
      <c r="Z2" s="42">
        <v>950</v>
      </c>
      <c r="AA2" s="41">
        <v>980</v>
      </c>
      <c r="AB2" s="42">
        <v>981</v>
      </c>
      <c r="AC2" s="41">
        <v>983</v>
      </c>
      <c r="AD2" s="42">
        <v>984</v>
      </c>
      <c r="AE2" s="42" t="s">
        <v>84</v>
      </c>
      <c r="AF2" s="41" t="s">
        <v>85</v>
      </c>
      <c r="AG2" s="183" t="s">
        <v>86</v>
      </c>
      <c r="AH2" s="42">
        <v>986</v>
      </c>
      <c r="AI2" s="41">
        <v>987</v>
      </c>
      <c r="AJ2" s="225" t="s">
        <v>87</v>
      </c>
      <c r="AK2" s="41" t="s">
        <v>88</v>
      </c>
      <c r="AL2" s="1564" t="s">
        <v>89</v>
      </c>
      <c r="AM2" s="1562"/>
      <c r="AN2" s="183"/>
      <c r="AO2" s="1564" t="s">
        <v>90</v>
      </c>
      <c r="AP2" s="1545"/>
      <c r="AQ2" s="1562"/>
      <c r="AR2" s="1570" t="s">
        <v>62</v>
      </c>
      <c r="AS2" s="1571"/>
      <c r="AT2" s="1571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565" t="s">
        <v>91</v>
      </c>
      <c r="EN2" s="1566"/>
      <c r="EO2" s="1566"/>
      <c r="EP2" s="1566"/>
      <c r="EQ2" s="1566"/>
      <c r="ER2" s="1567"/>
      <c r="ES2" s="184"/>
      <c r="ET2" s="1565" t="s">
        <v>92</v>
      </c>
      <c r="EU2" s="1566"/>
      <c r="EV2" s="1566"/>
      <c r="EW2" s="1566"/>
      <c r="EX2" s="1566"/>
      <c r="EY2" s="1567"/>
      <c r="EZ2" s="1566" t="s">
        <v>93</v>
      </c>
      <c r="FA2" s="1566"/>
      <c r="FB2" s="1566"/>
      <c r="FC2" s="1566"/>
      <c r="FD2" s="1566"/>
      <c r="FE2" s="1567"/>
      <c r="FF2" s="1565" t="s">
        <v>94</v>
      </c>
      <c r="FI2" s="44">
        <v>980</v>
      </c>
      <c r="FJ2" s="44">
        <v>980</v>
      </c>
      <c r="FK2" s="44">
        <v>980</v>
      </c>
      <c r="FL2" s="44">
        <v>980</v>
      </c>
      <c r="FO2" s="45">
        <v>981</v>
      </c>
      <c r="FP2" s="45">
        <v>981</v>
      </c>
      <c r="FQ2" s="45">
        <v>981</v>
      </c>
      <c r="FR2" s="45">
        <v>981</v>
      </c>
      <c r="FU2" s="44">
        <v>983</v>
      </c>
      <c r="FV2" s="44">
        <v>983</v>
      </c>
      <c r="FW2" s="44">
        <v>983</v>
      </c>
      <c r="FX2" s="44">
        <v>983</v>
      </c>
      <c r="GA2" s="45">
        <v>984</v>
      </c>
      <c r="GB2" s="45">
        <v>984</v>
      </c>
      <c r="GC2" s="45">
        <v>984</v>
      </c>
      <c r="GD2" s="45">
        <v>984</v>
      </c>
      <c r="GG2" s="44">
        <v>985</v>
      </c>
      <c r="GH2" s="44">
        <v>985</v>
      </c>
      <c r="GI2" s="44">
        <v>985</v>
      </c>
      <c r="GJ2" s="44">
        <v>985</v>
      </c>
      <c r="GM2" s="45" t="s">
        <v>84</v>
      </c>
      <c r="GN2" s="45" t="s">
        <v>84</v>
      </c>
      <c r="GO2" s="45" t="s">
        <v>84</v>
      </c>
      <c r="GP2" s="45" t="s">
        <v>84</v>
      </c>
      <c r="GS2" s="44" t="s">
        <v>85</v>
      </c>
      <c r="GT2" s="44" t="s">
        <v>85</v>
      </c>
      <c r="GU2" s="44" t="s">
        <v>85</v>
      </c>
      <c r="GV2" s="44" t="s">
        <v>85</v>
      </c>
      <c r="GY2" s="18">
        <v>986</v>
      </c>
      <c r="GZ2" s="18">
        <v>986</v>
      </c>
      <c r="HA2" s="18">
        <v>986</v>
      </c>
      <c r="HB2" s="18">
        <v>986</v>
      </c>
      <c r="HE2" s="46">
        <v>987</v>
      </c>
      <c r="HF2" s="46">
        <v>987</v>
      </c>
      <c r="HG2" s="46">
        <v>987</v>
      </c>
      <c r="HH2" s="46">
        <v>987</v>
      </c>
      <c r="HK2" s="46">
        <v>988</v>
      </c>
      <c r="HL2" s="46">
        <v>988</v>
      </c>
      <c r="HM2" s="46">
        <v>988</v>
      </c>
      <c r="HN2" s="46">
        <v>988</v>
      </c>
      <c r="HQ2" s="46" t="s">
        <v>95</v>
      </c>
      <c r="HR2" s="46" t="s">
        <v>96</v>
      </c>
      <c r="HS2" s="46" t="s">
        <v>97</v>
      </c>
      <c r="HT2" s="46" t="s">
        <v>98</v>
      </c>
      <c r="HU2" s="46" t="s">
        <v>99</v>
      </c>
      <c r="HV2" s="1564" t="s">
        <v>100</v>
      </c>
      <c r="HW2" s="1545"/>
      <c r="HX2" s="1545"/>
      <c r="HY2" s="1545"/>
      <c r="HZ2" s="1545"/>
      <c r="IA2" s="1562"/>
      <c r="IB2" s="1564" t="s">
        <v>101</v>
      </c>
      <c r="IC2" s="1545"/>
      <c r="ID2" s="1545"/>
      <c r="IE2" s="1545"/>
      <c r="IF2" s="1545"/>
      <c r="IG2" s="1545"/>
    </row>
    <row r="3" spans="1:241" ht="63.75" customHeight="1" thickBot="1" x14ac:dyDescent="0.3">
      <c r="A3" t="s">
        <v>22</v>
      </c>
      <c r="B3" t="s">
        <v>23</v>
      </c>
      <c r="C3" s="181" t="s">
        <v>75</v>
      </c>
      <c r="D3" s="183" t="s">
        <v>75</v>
      </c>
      <c r="E3" s="181" t="s">
        <v>75</v>
      </c>
      <c r="F3" s="183" t="s">
        <v>75</v>
      </c>
      <c r="G3" s="183" t="s">
        <v>75</v>
      </c>
      <c r="H3" s="181" t="s">
        <v>75</v>
      </c>
      <c r="I3" s="183" t="s">
        <v>75</v>
      </c>
      <c r="J3" s="183" t="s">
        <v>75</v>
      </c>
      <c r="K3" s="181" t="s">
        <v>75</v>
      </c>
      <c r="L3" s="181" t="s">
        <v>75</v>
      </c>
      <c r="M3" s="181" t="s">
        <v>75</v>
      </c>
      <c r="N3" s="216" t="s">
        <v>24</v>
      </c>
      <c r="O3" s="183" t="s">
        <v>24</v>
      </c>
      <c r="P3" s="183" t="s">
        <v>24</v>
      </c>
      <c r="Q3" s="183" t="s">
        <v>24</v>
      </c>
      <c r="R3" s="183" t="s">
        <v>24</v>
      </c>
      <c r="S3" s="183" t="s">
        <v>24</v>
      </c>
      <c r="T3" s="183" t="s">
        <v>24</v>
      </c>
      <c r="U3" s="183" t="s">
        <v>24</v>
      </c>
      <c r="V3" s="183" t="s">
        <v>24</v>
      </c>
      <c r="W3" s="183" t="s">
        <v>24</v>
      </c>
      <c r="X3" s="183" t="s">
        <v>24</v>
      </c>
      <c r="Y3" s="182" t="s">
        <v>24</v>
      </c>
      <c r="Z3" s="183" t="s">
        <v>25</v>
      </c>
      <c r="AA3" s="183" t="s">
        <v>25</v>
      </c>
      <c r="AB3" s="183" t="s">
        <v>25</v>
      </c>
      <c r="AC3" s="183" t="s">
        <v>25</v>
      </c>
      <c r="AD3" s="183" t="s">
        <v>25</v>
      </c>
      <c r="AE3" s="183" t="s">
        <v>25</v>
      </c>
      <c r="AF3" s="183" t="s">
        <v>25</v>
      </c>
      <c r="AG3" s="183" t="s">
        <v>25</v>
      </c>
      <c r="AH3" s="183" t="s">
        <v>25</v>
      </c>
      <c r="AI3" s="183" t="s">
        <v>25</v>
      </c>
      <c r="AJ3" s="183" t="s">
        <v>25</v>
      </c>
      <c r="AK3" s="183" t="s">
        <v>25</v>
      </c>
      <c r="AL3" s="183" t="s">
        <v>75</v>
      </c>
      <c r="AM3" s="183" t="s">
        <v>24</v>
      </c>
      <c r="AN3" s="183" t="s">
        <v>25</v>
      </c>
      <c r="AO3" s="181" t="s">
        <v>75</v>
      </c>
      <c r="AP3" s="183" t="s">
        <v>24</v>
      </c>
      <c r="AQ3" s="183" t="s">
        <v>25</v>
      </c>
      <c r="AR3" s="181" t="s">
        <v>75</v>
      </c>
      <c r="AS3" s="183" t="s">
        <v>24</v>
      </c>
      <c r="AT3" s="183" t="s">
        <v>25</v>
      </c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21" t="s">
        <v>75</v>
      </c>
      <c r="EN3" s="22" t="s">
        <v>24</v>
      </c>
      <c r="EO3" s="22" t="s">
        <v>102</v>
      </c>
      <c r="EP3" s="22" t="s">
        <v>79</v>
      </c>
      <c r="EQ3" s="22" t="s">
        <v>80</v>
      </c>
      <c r="ER3" s="22" t="s">
        <v>81</v>
      </c>
      <c r="ES3" s="22" t="s">
        <v>103</v>
      </c>
      <c r="ET3" s="21" t="s">
        <v>75</v>
      </c>
      <c r="EU3" s="22" t="s">
        <v>24</v>
      </c>
      <c r="EV3" s="22" t="s">
        <v>102</v>
      </c>
      <c r="EW3" s="22" t="s">
        <v>79</v>
      </c>
      <c r="EX3" s="22" t="s">
        <v>80</v>
      </c>
      <c r="EY3" s="22" t="s">
        <v>81</v>
      </c>
      <c r="EZ3" s="21" t="s">
        <v>75</v>
      </c>
      <c r="FA3" s="22" t="s">
        <v>24</v>
      </c>
      <c r="FB3" s="22" t="s">
        <v>24</v>
      </c>
      <c r="FC3" s="22" t="s">
        <v>79</v>
      </c>
      <c r="FD3" s="22" t="s">
        <v>80</v>
      </c>
      <c r="FE3" s="22" t="s">
        <v>81</v>
      </c>
      <c r="FF3" s="1572"/>
      <c r="FI3" s="183" t="s">
        <v>24</v>
      </c>
      <c r="FJ3" s="183" t="s">
        <v>79</v>
      </c>
      <c r="FK3" s="183" t="s">
        <v>80</v>
      </c>
      <c r="FL3" s="182" t="s">
        <v>81</v>
      </c>
      <c r="FO3" s="183" t="s">
        <v>24</v>
      </c>
      <c r="FP3" s="183" t="s">
        <v>79</v>
      </c>
      <c r="FQ3" s="183" t="s">
        <v>80</v>
      </c>
      <c r="FR3" s="183" t="s">
        <v>81</v>
      </c>
      <c r="FU3" s="183" t="s">
        <v>24</v>
      </c>
      <c r="FV3" s="183" t="s">
        <v>79</v>
      </c>
      <c r="FW3" s="183" t="s">
        <v>80</v>
      </c>
      <c r="FX3" s="182" t="s">
        <v>81</v>
      </c>
      <c r="GA3" s="183" t="s">
        <v>24</v>
      </c>
      <c r="GB3" s="183" t="s">
        <v>79</v>
      </c>
      <c r="GC3" s="183" t="s">
        <v>80</v>
      </c>
      <c r="GD3" s="183" t="s">
        <v>81</v>
      </c>
      <c r="GG3" s="183" t="s">
        <v>24</v>
      </c>
      <c r="GH3" s="183" t="s">
        <v>79</v>
      </c>
      <c r="GI3" s="183" t="s">
        <v>80</v>
      </c>
      <c r="GJ3" s="182" t="s">
        <v>81</v>
      </c>
      <c r="GM3" s="183" t="s">
        <v>24</v>
      </c>
      <c r="GN3" s="183" t="s">
        <v>79</v>
      </c>
      <c r="GO3" s="183" t="s">
        <v>80</v>
      </c>
      <c r="GP3" s="183" t="s">
        <v>81</v>
      </c>
      <c r="GS3" s="183" t="s">
        <v>24</v>
      </c>
      <c r="GT3" s="183" t="s">
        <v>79</v>
      </c>
      <c r="GU3" s="183" t="s">
        <v>80</v>
      </c>
      <c r="GV3" s="182" t="s">
        <v>81</v>
      </c>
      <c r="GY3" s="183" t="s">
        <v>24</v>
      </c>
      <c r="GZ3" s="183" t="s">
        <v>79</v>
      </c>
      <c r="HA3" s="183" t="s">
        <v>80</v>
      </c>
      <c r="HB3" s="183" t="s">
        <v>81</v>
      </c>
      <c r="HE3" s="183" t="s">
        <v>24</v>
      </c>
      <c r="HF3" s="183" t="s">
        <v>79</v>
      </c>
      <c r="HG3" s="183" t="s">
        <v>80</v>
      </c>
      <c r="HH3" s="182" t="s">
        <v>81</v>
      </c>
      <c r="HK3" s="183" t="s">
        <v>78</v>
      </c>
      <c r="HL3" s="183" t="s">
        <v>79</v>
      </c>
      <c r="HM3" s="183" t="s">
        <v>80</v>
      </c>
      <c r="HN3" s="182" t="s">
        <v>81</v>
      </c>
      <c r="HQ3" s="183" t="s">
        <v>24</v>
      </c>
      <c r="HR3" s="183" t="s">
        <v>79</v>
      </c>
      <c r="HS3" s="183" t="s">
        <v>80</v>
      </c>
      <c r="HT3" s="183" t="s">
        <v>81</v>
      </c>
      <c r="HU3" s="183" t="s">
        <v>83</v>
      </c>
      <c r="HV3" s="181" t="s">
        <v>75</v>
      </c>
      <c r="HW3" s="183" t="s">
        <v>24</v>
      </c>
      <c r="HX3" s="183" t="s">
        <v>24</v>
      </c>
      <c r="HY3" s="183" t="s">
        <v>79</v>
      </c>
      <c r="HZ3" s="183" t="s">
        <v>80</v>
      </c>
      <c r="IA3" s="183" t="s">
        <v>81</v>
      </c>
      <c r="IB3" s="181" t="s">
        <v>75</v>
      </c>
      <c r="IC3" s="183" t="s">
        <v>24</v>
      </c>
      <c r="ID3" s="183" t="s">
        <v>24</v>
      </c>
      <c r="IE3" s="183" t="s">
        <v>79</v>
      </c>
      <c r="IF3" s="183" t="s">
        <v>80</v>
      </c>
      <c r="IG3" s="183" t="s">
        <v>81</v>
      </c>
    </row>
    <row r="4" spans="1:241" x14ac:dyDescent="0.25">
      <c r="A4" s="10">
        <v>45047</v>
      </c>
      <c r="B4" s="7">
        <f>VLOOKUP($A$4,$A$5:$AY$100,B1,FALSE)</f>
        <v>8</v>
      </c>
      <c r="C4" s="7">
        <f t="shared" ref="C4:AT4" si="0">VLOOKUP($A$4,$A$5:$AY$100,C1,FALSE)</f>
        <v>30</v>
      </c>
      <c r="D4" s="7">
        <f t="shared" si="0"/>
        <v>18</v>
      </c>
      <c r="E4" s="7">
        <f t="shared" si="0"/>
        <v>30</v>
      </c>
      <c r="F4" s="7">
        <f t="shared" si="0"/>
        <v>21</v>
      </c>
      <c r="G4" s="7">
        <f t="shared" si="0"/>
        <v>22</v>
      </c>
      <c r="H4" s="7">
        <f t="shared" si="0"/>
        <v>28</v>
      </c>
      <c r="I4" s="7">
        <f t="shared" si="0"/>
        <v>25.25</v>
      </c>
      <c r="J4" s="7">
        <f t="shared" si="0"/>
        <v>16</v>
      </c>
      <c r="K4" s="7">
        <f t="shared" si="0"/>
        <v>0</v>
      </c>
      <c r="L4" s="7">
        <f t="shared" si="0"/>
        <v>0</v>
      </c>
      <c r="M4" s="7">
        <f t="shared" si="0"/>
        <v>15</v>
      </c>
      <c r="N4" s="7">
        <f t="shared" si="0"/>
        <v>12</v>
      </c>
      <c r="O4" s="7">
        <f t="shared" si="0"/>
        <v>37</v>
      </c>
      <c r="P4" s="7">
        <f t="shared" si="0"/>
        <v>1</v>
      </c>
      <c r="Q4" s="7">
        <f t="shared" si="0"/>
        <v>45</v>
      </c>
      <c r="R4" s="7">
        <f t="shared" si="0"/>
        <v>21</v>
      </c>
      <c r="S4" s="7">
        <f t="shared" si="0"/>
        <v>36</v>
      </c>
      <c r="T4" s="7">
        <f t="shared" si="0"/>
        <v>38</v>
      </c>
      <c r="U4" s="7">
        <f t="shared" si="0"/>
        <v>35</v>
      </c>
      <c r="V4" s="7">
        <f t="shared" si="0"/>
        <v>14</v>
      </c>
      <c r="W4" s="7">
        <f t="shared" si="0"/>
        <v>0</v>
      </c>
      <c r="X4" s="7">
        <f t="shared" si="0"/>
        <v>0</v>
      </c>
      <c r="Y4" s="7">
        <f t="shared" si="0"/>
        <v>21</v>
      </c>
      <c r="Z4" s="7">
        <f t="shared" si="0"/>
        <v>16</v>
      </c>
      <c r="AA4" s="7">
        <f t="shared" si="0"/>
        <v>53</v>
      </c>
      <c r="AB4" s="7">
        <f t="shared" si="0"/>
        <v>2</v>
      </c>
      <c r="AC4" s="7">
        <f t="shared" si="0"/>
        <v>58</v>
      </c>
      <c r="AD4" s="7">
        <f t="shared" si="0"/>
        <v>39</v>
      </c>
      <c r="AE4" s="7">
        <f t="shared" si="0"/>
        <v>69</v>
      </c>
      <c r="AF4" s="7">
        <f t="shared" si="0"/>
        <v>53</v>
      </c>
      <c r="AG4" s="7">
        <f t="shared" si="0"/>
        <v>54.75</v>
      </c>
      <c r="AH4" s="7">
        <f t="shared" si="0"/>
        <v>29</v>
      </c>
      <c r="AI4" s="7">
        <f t="shared" si="0"/>
        <v>0</v>
      </c>
      <c r="AJ4" s="7">
        <f t="shared" si="0"/>
        <v>0</v>
      </c>
      <c r="AK4" s="7">
        <f t="shared" si="0"/>
        <v>30</v>
      </c>
      <c r="AL4" s="7">
        <f t="shared" si="0"/>
        <v>103</v>
      </c>
      <c r="AM4" s="7">
        <f t="shared" si="0"/>
        <v>124</v>
      </c>
      <c r="AN4" s="7">
        <f t="shared" si="0"/>
        <v>185</v>
      </c>
      <c r="AO4" s="7">
        <f t="shared" si="0"/>
        <v>270</v>
      </c>
      <c r="AP4" s="7">
        <f t="shared" si="0"/>
        <v>314</v>
      </c>
      <c r="AQ4" s="7">
        <f t="shared" si="0"/>
        <v>305</v>
      </c>
      <c r="AR4" s="7">
        <f t="shared" si="0"/>
        <v>8.7247058823529411</v>
      </c>
      <c r="AS4" s="7">
        <f t="shared" si="0"/>
        <v>12.21521568627451</v>
      </c>
      <c r="AT4" s="7">
        <f t="shared" si="0"/>
        <v>17.701960784313727</v>
      </c>
      <c r="AU4" s="7"/>
      <c r="BA4" s="7"/>
      <c r="FF4"/>
    </row>
    <row r="5" spans="1:241" ht="15.75" x14ac:dyDescent="0.25">
      <c r="A5" s="20">
        <v>43367</v>
      </c>
      <c r="B5" s="168"/>
      <c r="C5" s="67">
        <v>200</v>
      </c>
      <c r="D5" s="43">
        <v>81</v>
      </c>
      <c r="E5" s="67">
        <v>21</v>
      </c>
      <c r="F5" s="43">
        <v>90</v>
      </c>
      <c r="G5" s="43">
        <v>76</v>
      </c>
      <c r="H5" s="67">
        <v>57</v>
      </c>
      <c r="I5" s="14">
        <f t="shared" ref="I5:I51" si="1">AVERAGE(E5:H5)</f>
        <v>61</v>
      </c>
      <c r="J5" s="43">
        <v>15</v>
      </c>
      <c r="K5" s="67">
        <v>96</v>
      </c>
      <c r="L5" s="67"/>
      <c r="M5" s="67">
        <v>95</v>
      </c>
      <c r="N5" s="168"/>
      <c r="O5" s="43"/>
      <c r="P5" s="43"/>
      <c r="Q5" s="43"/>
      <c r="R5" s="43"/>
      <c r="S5" s="43"/>
      <c r="T5" s="43"/>
      <c r="U5" s="14" t="e">
        <f t="shared" ref="U5:U51" si="2">AVERAGE(Q5:T5)</f>
        <v>#DIV/0!</v>
      </c>
      <c r="V5" s="43"/>
      <c r="W5" s="43"/>
      <c r="X5" s="43"/>
      <c r="Y5" s="81"/>
      <c r="Z5" s="43"/>
      <c r="AA5" s="43"/>
      <c r="AB5" s="43"/>
      <c r="AC5" s="43"/>
      <c r="AD5" s="43"/>
      <c r="AE5" s="43"/>
      <c r="AF5" s="43"/>
      <c r="AG5" s="14" t="e">
        <f t="shared" ref="AG5:AG51" si="3">AVERAGE(AC5:AF5)</f>
        <v>#DIV/0!</v>
      </c>
      <c r="AH5" s="43"/>
      <c r="AI5" s="43"/>
      <c r="AJ5" s="43"/>
      <c r="AK5" s="43"/>
      <c r="AL5" s="43"/>
      <c r="EM5" s="5">
        <f t="shared" ref="EM5:EM51" si="4">AVERAGE(C5,D5,E5,F5,M5,G5,H5,K5,L5)</f>
        <v>89.5</v>
      </c>
      <c r="EN5" s="13"/>
      <c r="EO5" s="13"/>
      <c r="EP5" s="7">
        <f>((AVERAGE(EM5,EO5)*('Summary Page'!$C$2+1))*('Summary Page'!$C$2+1))*('Summary Page'!$C$2+1)</f>
        <v>139.70019199999999</v>
      </c>
      <c r="EQ5" s="7">
        <f>((AVERAGE(EM5,EO5)*('Summary Page'!$C$3+1))*('Summary Page'!$C$3+1))*('Summary Page'!$C$3+1)</f>
        <v>174.8046875</v>
      </c>
      <c r="ER5" s="7">
        <f>((AVERAGE(EM5,EO5)*('Summary Page'!$C$4+1))*('Summary Page'!$C$4+1))*('Summary Page'!$C$4+1)</f>
        <v>154.65599999999998</v>
      </c>
      <c r="ES5" s="7">
        <v>80</v>
      </c>
      <c r="ET5" s="5">
        <f t="shared" ref="ET5:ET55" si="5">AVERAGE(E5,F5,G5,H5)</f>
        <v>61</v>
      </c>
      <c r="EU5" s="13"/>
      <c r="EV5" s="13"/>
      <c r="EW5" s="7">
        <f>((AVERAGE(ET5,EV5)*('Summary Page'!$C$2+1))*('Summary Page'!$C$2+1))*('Summary Page'!$C$2+1)</f>
        <v>95.214655999999977</v>
      </c>
      <c r="EX5" s="7">
        <f>((AVERAGE(ET5,EV5)*('Summary Page'!$C$3+1))*('Summary Page'!$C$3+1))*('Summary Page'!$C$3+1)</f>
        <v>119.140625</v>
      </c>
      <c r="EY5" s="7">
        <f>((AVERAGE(ET5,EV5)*('Summary Page'!$C$4+1))*('Summary Page'!$C$4+1))*('Summary Page'!$C$4+1)</f>
        <v>105.408</v>
      </c>
      <c r="EZ5" s="5">
        <f t="shared" ref="EZ5:EZ51" si="6">AVERAGE(M5,K5,L5)</f>
        <v>95.5</v>
      </c>
      <c r="FA5" s="13"/>
      <c r="FB5" s="13"/>
      <c r="FC5" s="7">
        <f>((AVERAGE(EZ5,FB5)*('Summary Page'!$C$2+1))*('Summary Page'!$C$2+1))*('Summary Page'!$C$2+1)</f>
        <v>149.06556799999998</v>
      </c>
      <c r="FD5" s="7">
        <f>((AVERAGE(EZ5,FB5)*('Summary Page'!$C$3+1))*('Summary Page'!$C$3+1))*('Summary Page'!$C$3+1)</f>
        <v>186.5234375</v>
      </c>
      <c r="FE5" s="7">
        <f>((AVERAGE(EZ5,FB5)*('Summary Page'!$C$4+1))*('Summary Page'!$C$4+1))*('Summary Page'!$C$4+1)</f>
        <v>165.02399999999997</v>
      </c>
      <c r="FF5" s="5">
        <f t="shared" ref="FF5:FF55" si="7">AVERAGE(D5:M5,K5)</f>
        <v>68.8</v>
      </c>
      <c r="FI5" s="43"/>
      <c r="FJ5" s="7">
        <f>((AVERAGE(C5)*('Summary Page'!$C$2+1))*('Summary Page'!$C$2+1))*('Summary Page'!$C$2+1)</f>
        <v>312.17919999999992</v>
      </c>
      <c r="FK5" s="7">
        <f>((AVERAGE(C5)*('Summary Page'!$C$3+1))*('Summary Page'!$C$3+1))*('Summary Page'!$C$3+1)</f>
        <v>390.625</v>
      </c>
      <c r="FL5" s="7">
        <f>((AVERAGE(C5)*('Summary Page'!$C$4+1))*('Summary Page'!$C$4+1))*('Summary Page'!$C$4+1)</f>
        <v>345.59999999999997</v>
      </c>
      <c r="FO5" s="43"/>
      <c r="FP5" s="7">
        <f>((AVERAGE(D5)*('Summary Page'!$C$2+1))*('Summary Page'!$C$2+1))*('Summary Page'!$C$2+1)</f>
        <v>126.43257599999997</v>
      </c>
      <c r="FQ5" s="7">
        <f>((AVERAGE(D5)*('Summary Page'!$C$3+1))*('Summary Page'!$C$3+1))*('Summary Page'!$C$3+1)</f>
        <v>158.203125</v>
      </c>
      <c r="FR5" s="7">
        <f>((AVERAGE(D5)*('Summary Page'!$C$4+1))*('Summary Page'!$C$4+1))*('Summary Page'!$C$4+1)</f>
        <v>139.96799999999999</v>
      </c>
      <c r="FU5" s="43"/>
      <c r="FV5" s="7">
        <f>((AVERAGE(E5)*('Summary Page'!$C$2+1))*('Summary Page'!$C$2+1))*('Summary Page'!$C$2+1)</f>
        <v>32.778815999999992</v>
      </c>
      <c r="FW5" s="7">
        <f>((AVERAGE(E5)*('Summary Page'!$C$3+1))*('Summary Page'!$C$3+1))*('Summary Page'!$C$3+1)</f>
        <v>41.015625</v>
      </c>
      <c r="FX5" s="7">
        <f>((AVERAGE(E5)*('Summary Page'!$C$4+1))*('Summary Page'!$C$4+1))*('Summary Page'!$C$4+1)</f>
        <v>36.287999999999997</v>
      </c>
      <c r="GA5" s="43"/>
      <c r="GB5" s="7">
        <f>((AVERAGE(F5)*('Summary Page'!$C$2+1))*('Summary Page'!$C$2+1))*('Summary Page'!$C$2+1)</f>
        <v>140.48063999999997</v>
      </c>
      <c r="GC5" s="7">
        <f>((AVERAGE(F5)*('Summary Page'!$C$3+1))*('Summary Page'!$C$3+1))*('Summary Page'!$C$3+1)</f>
        <v>175.78125</v>
      </c>
      <c r="GD5" s="7">
        <f>((AVERAGE(F5)*('Summary Page'!$C$4+1))*('Summary Page'!$C$4+1))*('Summary Page'!$C$4+1)</f>
        <v>155.51999999999998</v>
      </c>
      <c r="GG5" s="43"/>
      <c r="GH5" s="7">
        <f>((AVERAGE(M5)*('Summary Page'!$C$2+1))*('Summary Page'!$C$2+1))*('Summary Page'!$C$2+1)</f>
        <v>148.28511999999998</v>
      </c>
      <c r="GI5" s="7">
        <f>((AVERAGE(M5)*('Summary Page'!$C$3+1))*('Summary Page'!$C$3+1))*('Summary Page'!$C$3+1)</f>
        <v>185.546875</v>
      </c>
      <c r="GJ5" s="7">
        <f>((AVERAGE(M5)*('Summary Page'!$C$4+1))*('Summary Page'!$C$4+1))*('Summary Page'!$C$4+1)</f>
        <v>164.15999999999997</v>
      </c>
      <c r="GM5" s="43"/>
      <c r="GN5" s="7">
        <f>((AVERAGE(G5)*('Summary Page'!$C$2+1))*('Summary Page'!$C$2+1))*('Summary Page'!$C$2+1)</f>
        <v>118.62809599999999</v>
      </c>
      <c r="GO5" s="7">
        <f>((AVERAGE(G5)*('Summary Page'!$C$3+1))*('Summary Page'!$C$3+1))*('Summary Page'!$C$3+1)</f>
        <v>148.4375</v>
      </c>
      <c r="GP5" s="7">
        <f>((AVERAGE(G5)*('Summary Page'!$C$4+1))*('Summary Page'!$C$4+1))*('Summary Page'!$C$4+1)</f>
        <v>131.328</v>
      </c>
      <c r="GS5" s="43"/>
      <c r="GT5" s="7">
        <f>((AVERAGE(H5)*('Summary Page'!$C$2+1))*('Summary Page'!$C$2+1))*('Summary Page'!$C$2+1)</f>
        <v>88.971071999999978</v>
      </c>
      <c r="GU5" s="7">
        <f>((AVERAGE(H5)*('Summary Page'!$C$3+1))*('Summary Page'!$C$3+1))*('Summary Page'!$C$3+1)</f>
        <v>111.328125</v>
      </c>
      <c r="GV5" s="7">
        <f>((AVERAGE(H5,GS5)*('Summary Page'!$C$4+1))*('Summary Page'!$C$4+1))*('Summary Page'!$C$4+1)</f>
        <v>98.495999999999981</v>
      </c>
      <c r="GY5" s="43"/>
      <c r="GZ5" s="7">
        <f>((AVERAGE(J5)*('Summary Page'!$C$2+1))*('Summary Page'!$C$2+1))*('Summary Page'!$C$2+1)</f>
        <v>23.413439999999994</v>
      </c>
      <c r="HA5" s="7">
        <f>((AVERAGE(J5)*('Summary Page'!$C$3+1))*('Summary Page'!$C$3+1))*('Summary Page'!$C$3+1)</f>
        <v>29.296875</v>
      </c>
      <c r="HB5" s="7">
        <f>((AVERAGE(J5)*('Summary Page'!$C$4+1))*('Summary Page'!$C$4+1))*('Summary Page'!$C$4+1)</f>
        <v>25.919999999999998</v>
      </c>
      <c r="HE5" s="43"/>
      <c r="HF5" s="7">
        <f>((AVERAGE(K5)*('Summary Page'!$C$2+1))*('Summary Page'!$C$2+1))*('Summary Page'!$C$2+1)</f>
        <v>149.84601599999996</v>
      </c>
      <c r="HG5" s="7">
        <f>((AVERAGE(K5)*('Summary Page'!$C$3+1))*('Summary Page'!$C$3+1))*('Summary Page'!$C$3+1)</f>
        <v>187.5</v>
      </c>
      <c r="HH5" s="7">
        <f>((AVERAGE(K5)*('Summary Page'!$C$4+1))*('Summary Page'!$C$4+1))*('Summary Page'!$C$4+1)</f>
        <v>165.88799999999998</v>
      </c>
      <c r="HK5" s="43"/>
      <c r="HL5" s="7" t="e">
        <f>((AVERAGE(L5,HK5)*('Summary Page'!$C$2+1))*('Summary Page'!$C$2+1))*('Summary Page'!$C$2+1)</f>
        <v>#DIV/0!</v>
      </c>
      <c r="HM5" s="7" t="e">
        <f>((AVERAGE(L5,HK5)*('Summary Page'!$C$3+1))*('Summary Page'!$C$3+1))*('Summary Page'!$C$3+1)</f>
        <v>#DIV/0!</v>
      </c>
      <c r="HN5" s="7" t="e">
        <f>((AVERAGE(L5,HK5)*('Summary Page'!$C$4+1))*('Summary Page'!$C$4+1))*('Summary Page'!$C$4+1)</f>
        <v>#DIV/0!</v>
      </c>
      <c r="HR5" s="7" t="e">
        <f>((AVERAGE(AL5,HQ5)*('Summary Page'!$C$2+1))*('Summary Page'!$C$2+1))*('Summary Page'!$C$2+1)</f>
        <v>#DIV/0!</v>
      </c>
      <c r="HS5" s="7" t="e">
        <f>((AVERAGE(AL5,HQ5)*('Summary Page'!$C$3+1))*('Summary Page'!$C$3+1))*('Summary Page'!$C$3+1)</f>
        <v>#DIV/0!</v>
      </c>
      <c r="HT5" s="7" t="e">
        <f>((AVERAGE(AL5,HQ5)*('Summary Page'!$C$4+1))*('Summary Page'!$C$4+1))*('Summary Page'!$C$4+1)</f>
        <v>#DIV/0!</v>
      </c>
      <c r="HU5" s="7">
        <v>100</v>
      </c>
      <c r="HV5" s="9"/>
    </row>
    <row r="6" spans="1:241" ht="15.75" x14ac:dyDescent="0.25">
      <c r="A6" s="20">
        <v>43381</v>
      </c>
      <c r="B6" s="168"/>
      <c r="C6" s="67">
        <v>306</v>
      </c>
      <c r="D6" s="43">
        <v>85</v>
      </c>
      <c r="E6" s="67">
        <v>25</v>
      </c>
      <c r="F6" s="43">
        <v>101</v>
      </c>
      <c r="G6" s="43">
        <v>76</v>
      </c>
      <c r="H6" s="67">
        <v>59</v>
      </c>
      <c r="I6" s="14">
        <f t="shared" si="1"/>
        <v>65.25</v>
      </c>
      <c r="J6" s="43">
        <v>20</v>
      </c>
      <c r="K6" s="67">
        <v>99</v>
      </c>
      <c r="L6" s="67"/>
      <c r="M6" s="67">
        <v>99</v>
      </c>
      <c r="N6" s="168"/>
      <c r="O6" s="43"/>
      <c r="P6" s="43"/>
      <c r="Q6" s="43"/>
      <c r="R6" s="43"/>
      <c r="S6" s="43"/>
      <c r="T6" s="43"/>
      <c r="U6" s="14" t="e">
        <f t="shared" si="2"/>
        <v>#DIV/0!</v>
      </c>
      <c r="V6" s="43"/>
      <c r="W6" s="43"/>
      <c r="X6" s="43"/>
      <c r="Y6" s="81"/>
      <c r="Z6" s="43"/>
      <c r="AA6" s="43"/>
      <c r="AB6" s="43"/>
      <c r="AC6" s="43"/>
      <c r="AD6" s="43"/>
      <c r="AE6" s="43"/>
      <c r="AF6" s="43"/>
      <c r="AG6" s="14" t="e">
        <f t="shared" si="3"/>
        <v>#DIV/0!</v>
      </c>
      <c r="AH6" s="43"/>
      <c r="AI6" s="43"/>
      <c r="AJ6" s="43"/>
      <c r="AK6" s="43"/>
      <c r="AL6" s="43"/>
      <c r="EM6" s="5">
        <f t="shared" si="4"/>
        <v>106.25</v>
      </c>
      <c r="EN6" s="13"/>
      <c r="EO6" s="13"/>
      <c r="EP6" s="7">
        <f>((AVERAGE(EM6,EO6)*('Summary Page'!$C$2+1))*('Summary Page'!$C$2+1))*('Summary Page'!$C$2+1)</f>
        <v>165.84519999999995</v>
      </c>
      <c r="EQ6" s="7">
        <f>((AVERAGE(EM6,EO6)*('Summary Page'!$C$3+1))*('Summary Page'!$C$3+1))*('Summary Page'!$C$3+1)</f>
        <v>207.51953125</v>
      </c>
      <c r="ER6" s="7">
        <f>((AVERAGE(EM6,EO6)*('Summary Page'!$C$4+1))*('Summary Page'!$C$4+1))*('Summary Page'!$C$4+1)</f>
        <v>183.6</v>
      </c>
      <c r="ES6" s="7">
        <v>80</v>
      </c>
      <c r="ET6" s="5">
        <f t="shared" si="5"/>
        <v>65.25</v>
      </c>
      <c r="EU6" s="13"/>
      <c r="EV6" s="13"/>
      <c r="EW6" s="7">
        <f>((AVERAGE(ET6,EV6)*('Summary Page'!$C$2+1))*('Summary Page'!$C$2+1))*('Summary Page'!$C$2+1)</f>
        <v>101.84846399999999</v>
      </c>
      <c r="EX6" s="7">
        <f>((AVERAGE(ET6,EV6)*('Summary Page'!$C$3+1))*('Summary Page'!$C$3+1))*('Summary Page'!$C$3+1)</f>
        <v>127.44140625</v>
      </c>
      <c r="EY6" s="7">
        <f>((AVERAGE(ET6,EV6)*('Summary Page'!$C$4+1))*('Summary Page'!$C$4+1))*('Summary Page'!$C$4+1)</f>
        <v>112.752</v>
      </c>
      <c r="EZ6" s="5">
        <f t="shared" si="6"/>
        <v>99</v>
      </c>
      <c r="FA6" s="13"/>
      <c r="FB6" s="13"/>
      <c r="FC6" s="7">
        <f>((AVERAGE(EZ6,FB6)*('Summary Page'!$C$2+1))*('Summary Page'!$C$2+1))*('Summary Page'!$C$2+1)</f>
        <v>154.52870399999998</v>
      </c>
      <c r="FD6" s="7">
        <f>((AVERAGE(EZ6,FB6)*('Summary Page'!$C$3+1))*('Summary Page'!$C$3+1))*('Summary Page'!$C$3+1)</f>
        <v>193.359375</v>
      </c>
      <c r="FE6" s="7">
        <f>((AVERAGE(EZ6,FB6)*('Summary Page'!$C$4+1))*('Summary Page'!$C$4+1))*('Summary Page'!$C$4+1)</f>
        <v>171.072</v>
      </c>
      <c r="FF6" s="5">
        <f t="shared" si="7"/>
        <v>72.825000000000003</v>
      </c>
      <c r="FI6" s="43"/>
      <c r="FJ6" s="7">
        <f>((AVERAGE(C6)*('Summary Page'!$C$2+1))*('Summary Page'!$C$2+1))*('Summary Page'!$C$2+1)</f>
        <v>477.63417599999991</v>
      </c>
      <c r="FK6" s="7">
        <f>((AVERAGE(C6)*('Summary Page'!$C$3+1))*('Summary Page'!$C$3+1))*('Summary Page'!$C$3+1)</f>
        <v>597.65625</v>
      </c>
      <c r="FL6" s="7">
        <f>((AVERAGE(C6)*('Summary Page'!$C$4+1))*('Summary Page'!$C$4+1))*('Summary Page'!$C$4+1)</f>
        <v>528.76799999999992</v>
      </c>
      <c r="FO6" s="43"/>
      <c r="FP6" s="7">
        <f>((AVERAGE(D6)*('Summary Page'!$C$2+1))*('Summary Page'!$C$2+1))*('Summary Page'!$C$2+1)</f>
        <v>132.67615999999998</v>
      </c>
      <c r="FQ6" s="7">
        <f>((AVERAGE(D6)*('Summary Page'!$C$3+1))*('Summary Page'!$C$3+1))*('Summary Page'!$C$3+1)</f>
        <v>166.015625</v>
      </c>
      <c r="FR6" s="7">
        <f>((AVERAGE(D6)*('Summary Page'!$C$4+1))*('Summary Page'!$C$4+1))*('Summary Page'!$C$4+1)</f>
        <v>146.88</v>
      </c>
      <c r="FU6" s="43"/>
      <c r="FV6" s="7">
        <f>((AVERAGE(E6)*('Summary Page'!$C$2+1))*('Summary Page'!$C$2+1))*('Summary Page'!$C$2+1)</f>
        <v>39.02239999999999</v>
      </c>
      <c r="FW6" s="7">
        <f>((AVERAGE(E6)*('Summary Page'!$C$3+1))*('Summary Page'!$C$3+1))*('Summary Page'!$C$3+1)</f>
        <v>48.828125</v>
      </c>
      <c r="FX6" s="7">
        <f>((AVERAGE(E6)*('Summary Page'!$C$4+1))*('Summary Page'!$C$4+1))*('Summary Page'!$C$4+1)</f>
        <v>43.199999999999996</v>
      </c>
      <c r="GA6" s="43"/>
      <c r="GB6" s="7">
        <f>((AVERAGE(F6)*('Summary Page'!$C$2+1))*('Summary Page'!$C$2+1))*('Summary Page'!$C$2+1)</f>
        <v>157.65049599999998</v>
      </c>
      <c r="GC6" s="7">
        <f>((AVERAGE(F6)*('Summary Page'!$C$3+1))*('Summary Page'!$C$3+1))*('Summary Page'!$C$3+1)</f>
        <v>197.265625</v>
      </c>
      <c r="GD6" s="7">
        <f>((AVERAGE(F6)*('Summary Page'!$C$4+1))*('Summary Page'!$C$4+1))*('Summary Page'!$C$4+1)</f>
        <v>174.52799999999996</v>
      </c>
      <c r="GG6" s="43"/>
      <c r="GH6" s="7">
        <f>((AVERAGE(M6)*('Summary Page'!$C$2+1))*('Summary Page'!$C$2+1))*('Summary Page'!$C$2+1)</f>
        <v>154.52870399999998</v>
      </c>
      <c r="GI6" s="7">
        <f>((AVERAGE(M6)*('Summary Page'!$C$3+1))*('Summary Page'!$C$3+1))*('Summary Page'!$C$3+1)</f>
        <v>193.359375</v>
      </c>
      <c r="GJ6" s="7">
        <f>((AVERAGE(M6)*('Summary Page'!$C$4+1))*('Summary Page'!$C$4+1))*('Summary Page'!$C$4+1)</f>
        <v>171.072</v>
      </c>
      <c r="GM6" s="43"/>
      <c r="GN6" s="7">
        <f>((AVERAGE(G6)*('Summary Page'!$C$2+1))*('Summary Page'!$C$2+1))*('Summary Page'!$C$2+1)</f>
        <v>118.62809599999999</v>
      </c>
      <c r="GO6" s="7">
        <f>((AVERAGE(G6)*('Summary Page'!$C$3+1))*('Summary Page'!$C$3+1))*('Summary Page'!$C$3+1)</f>
        <v>148.4375</v>
      </c>
      <c r="GP6" s="7">
        <f>((AVERAGE(G6)*('Summary Page'!$C$4+1))*('Summary Page'!$C$4+1))*('Summary Page'!$C$4+1)</f>
        <v>131.328</v>
      </c>
      <c r="GS6" s="43"/>
      <c r="GT6" s="7">
        <f>((AVERAGE(H6)*('Summary Page'!$C$2+1))*('Summary Page'!$C$2+1))*('Summary Page'!$C$2+1)</f>
        <v>92.092863999999977</v>
      </c>
      <c r="GU6" s="7">
        <f>((AVERAGE(H6)*('Summary Page'!$C$3+1))*('Summary Page'!$C$3+1))*('Summary Page'!$C$3+1)</f>
        <v>115.234375</v>
      </c>
      <c r="GV6" s="7">
        <f>((AVERAGE(H6,GS6)*('Summary Page'!$C$4+1))*('Summary Page'!$C$4+1))*('Summary Page'!$C$4+1)</f>
        <v>101.95199999999998</v>
      </c>
      <c r="GY6" s="43"/>
      <c r="GZ6" s="7">
        <f>((AVERAGE(J6)*('Summary Page'!$C$2+1))*('Summary Page'!$C$2+1))*('Summary Page'!$C$2+1)</f>
        <v>31.217919999999996</v>
      </c>
      <c r="HA6" s="7">
        <f>((AVERAGE(J6)*('Summary Page'!$C$3+1))*('Summary Page'!$C$3+1))*('Summary Page'!$C$3+1)</f>
        <v>39.0625</v>
      </c>
      <c r="HB6" s="7">
        <f>((AVERAGE(J6)*('Summary Page'!$C$4+1))*('Summary Page'!$C$4+1))*('Summary Page'!$C$4+1)</f>
        <v>34.559999999999995</v>
      </c>
      <c r="HE6" s="43"/>
      <c r="HF6" s="7">
        <f>((AVERAGE(K6)*('Summary Page'!$C$2+1))*('Summary Page'!$C$2+1))*('Summary Page'!$C$2+1)</f>
        <v>154.52870399999998</v>
      </c>
      <c r="HG6" s="7">
        <f>((AVERAGE(K6)*('Summary Page'!$C$3+1))*('Summary Page'!$C$3+1))*('Summary Page'!$C$3+1)</f>
        <v>193.359375</v>
      </c>
      <c r="HH6" s="7">
        <f>((AVERAGE(K6)*('Summary Page'!$C$4+1))*('Summary Page'!$C$4+1))*('Summary Page'!$C$4+1)</f>
        <v>171.072</v>
      </c>
      <c r="HK6" s="43"/>
      <c r="HL6" s="7" t="e">
        <f>((AVERAGE(L6,HK6)*('Summary Page'!$C$2+1))*('Summary Page'!$C$2+1))*('Summary Page'!$C$2+1)</f>
        <v>#DIV/0!</v>
      </c>
      <c r="HM6" s="7" t="e">
        <f>((AVERAGE(L6,HK6)*('Summary Page'!$C$3+1))*('Summary Page'!$C$3+1))*('Summary Page'!$C$3+1)</f>
        <v>#DIV/0!</v>
      </c>
      <c r="HN6" s="7" t="e">
        <f>((AVERAGE(L6,HK6)*('Summary Page'!$C$4+1))*('Summary Page'!$C$4+1))*('Summary Page'!$C$4+1)</f>
        <v>#DIV/0!</v>
      </c>
      <c r="HR6" s="7" t="e">
        <f>((AVERAGE(AL6,HQ6)*('Summary Page'!$C$2+1))*('Summary Page'!$C$2+1))*('Summary Page'!$C$2+1)</f>
        <v>#DIV/0!</v>
      </c>
      <c r="HS6" s="7" t="e">
        <f>((AVERAGE(AL6,HQ6)*('Summary Page'!$C$3+1))*('Summary Page'!$C$3+1))*('Summary Page'!$C$3+1)</f>
        <v>#DIV/0!</v>
      </c>
      <c r="HT6" s="7" t="e">
        <f>((AVERAGE(AL6,HQ6)*('Summary Page'!$C$4+1))*('Summary Page'!$C$4+1))*('Summary Page'!$C$4+1)</f>
        <v>#DIV/0!</v>
      </c>
      <c r="HU6" s="7">
        <v>100</v>
      </c>
      <c r="HV6" s="9"/>
    </row>
    <row r="7" spans="1:241" ht="15.75" x14ac:dyDescent="0.25">
      <c r="A7" s="20">
        <v>43402</v>
      </c>
      <c r="B7" s="168"/>
      <c r="C7" s="3">
        <v>351</v>
      </c>
      <c r="D7" s="6">
        <v>99</v>
      </c>
      <c r="E7" s="3">
        <v>28</v>
      </c>
      <c r="F7" s="6">
        <v>103</v>
      </c>
      <c r="G7" s="6">
        <v>79</v>
      </c>
      <c r="H7" s="3">
        <v>53</v>
      </c>
      <c r="I7" s="1065">
        <f t="shared" si="1"/>
        <v>65.75</v>
      </c>
      <c r="J7" s="6">
        <v>39</v>
      </c>
      <c r="K7" s="3">
        <v>117</v>
      </c>
      <c r="L7" s="3"/>
      <c r="M7" s="3">
        <v>94</v>
      </c>
      <c r="N7" s="168"/>
      <c r="O7" s="6"/>
      <c r="P7" s="6"/>
      <c r="Q7" s="6"/>
      <c r="R7" s="6"/>
      <c r="S7" s="6"/>
      <c r="T7" s="6"/>
      <c r="U7" s="1065" t="e">
        <f t="shared" si="2"/>
        <v>#DIV/0!</v>
      </c>
      <c r="V7" s="6"/>
      <c r="W7" s="43"/>
      <c r="X7" s="43"/>
      <c r="Y7" s="40"/>
      <c r="Z7" s="43"/>
      <c r="AA7" s="43"/>
      <c r="AB7" s="43"/>
      <c r="AC7" s="43"/>
      <c r="AD7" s="43"/>
      <c r="AE7" s="43"/>
      <c r="AF7" s="43"/>
      <c r="AG7" s="1065" t="e">
        <f t="shared" si="3"/>
        <v>#DIV/0!</v>
      </c>
      <c r="AH7" s="43"/>
      <c r="AI7" s="43"/>
      <c r="AJ7" s="43"/>
      <c r="AK7" s="43"/>
      <c r="AL7" s="6"/>
      <c r="EM7" s="5">
        <f t="shared" si="4"/>
        <v>115.5</v>
      </c>
      <c r="EN7" s="13"/>
      <c r="EO7" s="13"/>
      <c r="EP7" s="7">
        <f>((AVERAGE(EM7,EO7)*('Summary Page'!$C$2+1))*('Summary Page'!$C$2+1))*('Summary Page'!$C$2+1)</f>
        <v>180.28348799999995</v>
      </c>
      <c r="EQ7" s="7">
        <f>((AVERAGE(EM7,EO7)*('Summary Page'!$C$3+1))*('Summary Page'!$C$3+1))*('Summary Page'!$C$3+1)</f>
        <v>225.5859375</v>
      </c>
      <c r="ER7" s="7">
        <f>((AVERAGE(EM7,EO7)*('Summary Page'!$C$4+1))*('Summary Page'!$C$4+1))*('Summary Page'!$C$4+1)</f>
        <v>199.58399999999997</v>
      </c>
      <c r="ES7" s="7">
        <v>80</v>
      </c>
      <c r="ET7" s="5">
        <f t="shared" si="5"/>
        <v>65.75</v>
      </c>
      <c r="EU7" s="13"/>
      <c r="EV7" s="13"/>
      <c r="EW7" s="7">
        <f>((AVERAGE(ET7,EV7)*('Summary Page'!$C$2+1))*('Summary Page'!$C$2+1))*('Summary Page'!$C$2+1)</f>
        <v>102.62891199999999</v>
      </c>
      <c r="EX7" s="7">
        <f>((AVERAGE(ET7,EV7)*('Summary Page'!$C$3+1))*('Summary Page'!$C$3+1))*('Summary Page'!$C$3+1)</f>
        <v>128.41796875</v>
      </c>
      <c r="EY7" s="7">
        <f>((AVERAGE(ET7,EV7)*('Summary Page'!$C$4+1))*('Summary Page'!$C$4+1))*('Summary Page'!$C$4+1)</f>
        <v>113.61599999999999</v>
      </c>
      <c r="EZ7" s="5">
        <f t="shared" si="6"/>
        <v>105.5</v>
      </c>
      <c r="FA7" s="13"/>
      <c r="FB7" s="13"/>
      <c r="FC7" s="7">
        <f>((AVERAGE(EZ7,FB7)*('Summary Page'!$C$2+1))*('Summary Page'!$C$2+1))*('Summary Page'!$C$2+1)</f>
        <v>164.67452799999995</v>
      </c>
      <c r="FD7" s="7">
        <f>((AVERAGE(EZ7,FB7)*('Summary Page'!$C$3+1))*('Summary Page'!$C$3+1))*('Summary Page'!$C$3+1)</f>
        <v>206.0546875</v>
      </c>
      <c r="FE7" s="7">
        <f>((AVERAGE(EZ7,FB7)*('Summary Page'!$C$4+1))*('Summary Page'!$C$4+1))*('Summary Page'!$C$4+1)</f>
        <v>182.30399999999997</v>
      </c>
      <c r="FF7" s="5">
        <f t="shared" si="7"/>
        <v>79.474999999999994</v>
      </c>
      <c r="FI7" s="6"/>
      <c r="FJ7" s="7">
        <f>((AVERAGE(C7)*('Summary Page'!$C$2+1))*('Summary Page'!$C$2+1))*('Summary Page'!$C$2+1)</f>
        <v>547.87449599999991</v>
      </c>
      <c r="FK7" s="7">
        <f>((AVERAGE(C7)*('Summary Page'!$C$3+1))*('Summary Page'!$C$3+1))*('Summary Page'!$C$3+1)</f>
        <v>685.546875</v>
      </c>
      <c r="FL7" s="7">
        <f>((AVERAGE(C7)*('Summary Page'!$C$4+1))*('Summary Page'!$C$4+1))*('Summary Page'!$C$4+1)</f>
        <v>606.52799999999991</v>
      </c>
      <c r="FO7" s="6"/>
      <c r="FP7" s="7">
        <f>((AVERAGE(D7)*('Summary Page'!$C$2+1))*('Summary Page'!$C$2+1))*('Summary Page'!$C$2+1)</f>
        <v>154.52870399999998</v>
      </c>
      <c r="FQ7" s="7">
        <f>((AVERAGE(D7)*('Summary Page'!$C$3+1))*('Summary Page'!$C$3+1))*('Summary Page'!$C$3+1)</f>
        <v>193.359375</v>
      </c>
      <c r="FR7" s="7">
        <f>((AVERAGE(D7)*('Summary Page'!$C$4+1))*('Summary Page'!$C$4+1))*('Summary Page'!$C$4+1)</f>
        <v>171.072</v>
      </c>
      <c r="FU7" s="6"/>
      <c r="FV7" s="7">
        <f>((AVERAGE(E7)*('Summary Page'!$C$2+1))*('Summary Page'!$C$2+1))*('Summary Page'!$C$2+1)</f>
        <v>43.705087999999989</v>
      </c>
      <c r="FW7" s="7">
        <f>((AVERAGE(E7)*('Summary Page'!$C$3+1))*('Summary Page'!$C$3+1))*('Summary Page'!$C$3+1)</f>
        <v>54.6875</v>
      </c>
      <c r="FX7" s="7">
        <f>((AVERAGE(E7)*('Summary Page'!$C$4+1))*('Summary Page'!$C$4+1))*('Summary Page'!$C$4+1)</f>
        <v>48.384</v>
      </c>
      <c r="GA7" s="6"/>
      <c r="GB7" s="7">
        <f>((AVERAGE(F7)*('Summary Page'!$C$2+1))*('Summary Page'!$C$2+1))*('Summary Page'!$C$2+1)</f>
        <v>160.77228799999995</v>
      </c>
      <c r="GC7" s="7">
        <f>((AVERAGE(F7)*('Summary Page'!$C$3+1))*('Summary Page'!$C$3+1))*('Summary Page'!$C$3+1)</f>
        <v>201.171875</v>
      </c>
      <c r="GD7" s="7">
        <f>((AVERAGE(F7)*('Summary Page'!$C$4+1))*('Summary Page'!$C$4+1))*('Summary Page'!$C$4+1)</f>
        <v>177.98399999999998</v>
      </c>
      <c r="GG7" s="6"/>
      <c r="GH7" s="7">
        <f>((AVERAGE(M7)*('Summary Page'!$C$2+1))*('Summary Page'!$C$2+1))*('Summary Page'!$C$2+1)</f>
        <v>146.72422399999996</v>
      </c>
      <c r="GI7" s="7">
        <f>((AVERAGE(M7)*('Summary Page'!$C$3+1))*('Summary Page'!$C$3+1))*('Summary Page'!$C$3+1)</f>
        <v>183.59375</v>
      </c>
      <c r="GJ7" s="7">
        <f>((AVERAGE(M7)*('Summary Page'!$C$4+1))*('Summary Page'!$C$4+1))*('Summary Page'!$C$4+1)</f>
        <v>162.43199999999999</v>
      </c>
      <c r="GM7" s="6"/>
      <c r="GN7" s="7">
        <f>((AVERAGE(G7)*('Summary Page'!$C$2+1))*('Summary Page'!$C$2+1))*('Summary Page'!$C$2+1)</f>
        <v>123.31078399999998</v>
      </c>
      <c r="GO7" s="7">
        <f>((AVERAGE(G7)*('Summary Page'!$C$3+1))*('Summary Page'!$C$3+1))*('Summary Page'!$C$3+1)</f>
        <v>154.296875</v>
      </c>
      <c r="GP7" s="7">
        <f>((AVERAGE(G7)*('Summary Page'!$C$4+1))*('Summary Page'!$C$4+1))*('Summary Page'!$C$4+1)</f>
        <v>136.51199999999997</v>
      </c>
      <c r="GS7" s="6"/>
      <c r="GT7" s="7">
        <f>((AVERAGE(H7)*('Summary Page'!$C$2+1))*('Summary Page'!$C$2+1))*('Summary Page'!$C$2+1)</f>
        <v>82.72748799999998</v>
      </c>
      <c r="GU7" s="7">
        <f>((AVERAGE(H7)*('Summary Page'!$C$3+1))*('Summary Page'!$C$3+1))*('Summary Page'!$C$3+1)</f>
        <v>103.515625</v>
      </c>
      <c r="GV7" s="7">
        <f>((AVERAGE(H7,GS7)*('Summary Page'!$C$4+1))*('Summary Page'!$C$4+1))*('Summary Page'!$C$4+1)</f>
        <v>91.583999999999989</v>
      </c>
      <c r="GY7" s="6"/>
      <c r="GZ7" s="7">
        <f>((AVERAGE(J7)*('Summary Page'!$C$2+1))*('Summary Page'!$C$2+1))*('Summary Page'!$C$2+1)</f>
        <v>60.874943999999985</v>
      </c>
      <c r="HA7" s="7">
        <f>((AVERAGE(J7)*('Summary Page'!$C$3+1))*('Summary Page'!$C$3+1))*('Summary Page'!$C$3+1)</f>
        <v>76.171875</v>
      </c>
      <c r="HB7" s="7">
        <f>((AVERAGE(J7)*('Summary Page'!$C$4+1))*('Summary Page'!$C$4+1))*('Summary Page'!$C$4+1)</f>
        <v>67.391999999999996</v>
      </c>
      <c r="HE7" s="43"/>
      <c r="HF7" s="7">
        <f>((AVERAGE(K7)*('Summary Page'!$C$2+1))*('Summary Page'!$C$2+1))*('Summary Page'!$C$2+1)</f>
        <v>182.62483199999997</v>
      </c>
      <c r="HG7" s="7">
        <f>((AVERAGE(K7)*('Summary Page'!$C$3+1))*('Summary Page'!$C$3+1))*('Summary Page'!$C$3+1)</f>
        <v>228.515625</v>
      </c>
      <c r="HH7" s="7">
        <f>((AVERAGE(K7)*('Summary Page'!$C$4+1))*('Summary Page'!$C$4+1))*('Summary Page'!$C$4+1)</f>
        <v>202.17599999999999</v>
      </c>
      <c r="HK7" s="43"/>
      <c r="HL7" s="7" t="e">
        <f>((AVERAGE(L7,HK7)*('Summary Page'!$C$2+1))*('Summary Page'!$C$2+1))*('Summary Page'!$C$2+1)</f>
        <v>#DIV/0!</v>
      </c>
      <c r="HM7" s="7" t="e">
        <f>((AVERAGE(L7,HK7)*('Summary Page'!$C$3+1))*('Summary Page'!$C$3+1))*('Summary Page'!$C$3+1)</f>
        <v>#DIV/0!</v>
      </c>
      <c r="HN7" s="7" t="e">
        <f>((AVERAGE(L7,HK7)*('Summary Page'!$C$4+1))*('Summary Page'!$C$4+1))*('Summary Page'!$C$4+1)</f>
        <v>#DIV/0!</v>
      </c>
      <c r="HR7" s="7" t="e">
        <f>((AVERAGE(AL7,HQ7)*('Summary Page'!$C$2+1))*('Summary Page'!$C$2+1))*('Summary Page'!$C$2+1)</f>
        <v>#DIV/0!</v>
      </c>
      <c r="HS7" s="7" t="e">
        <f>((AVERAGE(AL7,HQ7)*('Summary Page'!$C$3+1))*('Summary Page'!$C$3+1))*('Summary Page'!$C$3+1)</f>
        <v>#DIV/0!</v>
      </c>
      <c r="HT7" s="7" t="e">
        <f>((AVERAGE(AL7,HQ7)*('Summary Page'!$C$4+1))*('Summary Page'!$C$4+1))*('Summary Page'!$C$4+1)</f>
        <v>#DIV/0!</v>
      </c>
      <c r="HU7" s="7">
        <v>100</v>
      </c>
      <c r="HV7" s="9"/>
    </row>
    <row r="8" spans="1:241" ht="15.75" x14ac:dyDescent="0.25">
      <c r="A8" s="20">
        <v>43409</v>
      </c>
      <c r="B8" s="168"/>
      <c r="C8" s="67">
        <v>336</v>
      </c>
      <c r="D8" s="43">
        <v>89</v>
      </c>
      <c r="E8" s="67">
        <v>24</v>
      </c>
      <c r="F8" s="43">
        <v>105</v>
      </c>
      <c r="G8" s="43">
        <v>82</v>
      </c>
      <c r="H8" s="67">
        <v>52</v>
      </c>
      <c r="I8" s="14">
        <f t="shared" si="1"/>
        <v>65.75</v>
      </c>
      <c r="J8" s="43">
        <v>45</v>
      </c>
      <c r="K8" s="67">
        <v>114</v>
      </c>
      <c r="L8" s="67"/>
      <c r="M8" s="67">
        <v>95</v>
      </c>
      <c r="N8" s="168"/>
      <c r="O8" s="43"/>
      <c r="P8" s="43"/>
      <c r="Q8" s="43"/>
      <c r="R8" s="43"/>
      <c r="S8" s="43"/>
      <c r="T8" s="43"/>
      <c r="U8" s="14" t="e">
        <f t="shared" si="2"/>
        <v>#DIV/0!</v>
      </c>
      <c r="V8" s="43"/>
      <c r="W8" s="43"/>
      <c r="X8" s="43"/>
      <c r="Y8" s="81"/>
      <c r="Z8" s="43"/>
      <c r="AA8" s="43"/>
      <c r="AB8" s="43"/>
      <c r="AC8" s="43"/>
      <c r="AD8" s="43"/>
      <c r="AE8" s="43"/>
      <c r="AF8" s="43"/>
      <c r="AG8" s="14" t="e">
        <f t="shared" si="3"/>
        <v>#DIV/0!</v>
      </c>
      <c r="AH8" s="43"/>
      <c r="AI8" s="43"/>
      <c r="AJ8" s="43"/>
      <c r="AK8" s="43"/>
      <c r="AL8" s="43"/>
      <c r="EM8" s="5">
        <f t="shared" si="4"/>
        <v>112.125</v>
      </c>
      <c r="EN8" s="13"/>
      <c r="EO8" s="13"/>
      <c r="EP8" s="7">
        <f>((AVERAGE(EM8,EO8)*('Summary Page'!$C$2+1))*('Summary Page'!$C$2+1))*('Summary Page'!$C$2+1)</f>
        <v>175.01546399999998</v>
      </c>
      <c r="EQ8" s="7">
        <f>((AVERAGE(EM8,EO8)*('Summary Page'!$C$3+1))*('Summary Page'!$C$3+1))*('Summary Page'!$C$3+1)</f>
        <v>218.994140625</v>
      </c>
      <c r="ER8" s="7">
        <f>((AVERAGE(EM8,EO8)*('Summary Page'!$C$4+1))*('Summary Page'!$C$4+1))*('Summary Page'!$C$4+1)</f>
        <v>193.75199999999998</v>
      </c>
      <c r="ES8" s="7">
        <v>80</v>
      </c>
      <c r="ET8" s="5">
        <f t="shared" si="5"/>
        <v>65.75</v>
      </c>
      <c r="EU8" s="13"/>
      <c r="EV8" s="13"/>
      <c r="EW8" s="7">
        <f>((AVERAGE(ET8,EV8)*('Summary Page'!$C$2+1))*('Summary Page'!$C$2+1))*('Summary Page'!$C$2+1)</f>
        <v>102.62891199999999</v>
      </c>
      <c r="EX8" s="7">
        <f>((AVERAGE(ET8,EV8)*('Summary Page'!$C$3+1))*('Summary Page'!$C$3+1))*('Summary Page'!$C$3+1)</f>
        <v>128.41796875</v>
      </c>
      <c r="EY8" s="7">
        <f>((AVERAGE(ET8,EV8)*('Summary Page'!$C$4+1))*('Summary Page'!$C$4+1))*('Summary Page'!$C$4+1)</f>
        <v>113.61599999999999</v>
      </c>
      <c r="EZ8" s="5">
        <f t="shared" si="6"/>
        <v>104.5</v>
      </c>
      <c r="FA8" s="13"/>
      <c r="FB8" s="13"/>
      <c r="FC8" s="7">
        <f>((AVERAGE(EZ8,FB8)*('Summary Page'!$C$2+1))*('Summary Page'!$C$2+1))*('Summary Page'!$C$2+1)</f>
        <v>163.11363199999994</v>
      </c>
      <c r="FD8" s="7">
        <f>((AVERAGE(EZ8,FB8)*('Summary Page'!$C$3+1))*('Summary Page'!$C$3+1))*('Summary Page'!$C$3+1)</f>
        <v>204.1015625</v>
      </c>
      <c r="FE8" s="7">
        <f>((AVERAGE(EZ8,FB8)*('Summary Page'!$C$4+1))*('Summary Page'!$C$4+1))*('Summary Page'!$C$4+1)</f>
        <v>180.57599999999999</v>
      </c>
      <c r="FF8" s="5">
        <f t="shared" si="7"/>
        <v>78.575000000000003</v>
      </c>
      <c r="FI8" s="43"/>
      <c r="FJ8" s="7">
        <f>((AVERAGE(C8)*('Summary Page'!$C$2+1))*('Summary Page'!$C$2+1))*('Summary Page'!$C$2+1)</f>
        <v>524.46105599999987</v>
      </c>
      <c r="FK8" s="7">
        <f>((AVERAGE(C8)*('Summary Page'!$C$3+1))*('Summary Page'!$C$3+1))*('Summary Page'!$C$3+1)</f>
        <v>656.25</v>
      </c>
      <c r="FL8" s="7">
        <f>((AVERAGE(C8)*('Summary Page'!$C$4+1))*('Summary Page'!$C$4+1))*('Summary Page'!$C$4+1)</f>
        <v>580.60799999999995</v>
      </c>
      <c r="FO8" s="43"/>
      <c r="FP8" s="7">
        <f>((AVERAGE(D8)*('Summary Page'!$C$2+1))*('Summary Page'!$C$2+1))*('Summary Page'!$C$2+1)</f>
        <v>138.91974399999998</v>
      </c>
      <c r="FQ8" s="7">
        <f>((AVERAGE(D8)*('Summary Page'!$C$3+1))*('Summary Page'!$C$3+1))*('Summary Page'!$C$3+1)</f>
        <v>173.828125</v>
      </c>
      <c r="FR8" s="7">
        <f>((AVERAGE(D8)*('Summary Page'!$C$4+1))*('Summary Page'!$C$4+1))*('Summary Page'!$C$4+1)</f>
        <v>153.792</v>
      </c>
      <c r="FU8" s="43"/>
      <c r="FV8" s="7">
        <f>((AVERAGE(E8)*('Summary Page'!$C$2+1))*('Summary Page'!$C$2+1))*('Summary Page'!$C$2+1)</f>
        <v>37.461503999999991</v>
      </c>
      <c r="FW8" s="7">
        <f>((AVERAGE(E8)*('Summary Page'!$C$3+1))*('Summary Page'!$C$3+1))*('Summary Page'!$C$3+1)</f>
        <v>46.875</v>
      </c>
      <c r="FX8" s="7">
        <f>((AVERAGE(E8)*('Summary Page'!$C$4+1))*('Summary Page'!$C$4+1))*('Summary Page'!$C$4+1)</f>
        <v>41.471999999999994</v>
      </c>
      <c r="GA8" s="43"/>
      <c r="GB8" s="7">
        <f>((AVERAGE(F8)*('Summary Page'!$C$2+1))*('Summary Page'!$C$2+1))*('Summary Page'!$C$2+1)</f>
        <v>163.89407999999997</v>
      </c>
      <c r="GC8" s="7">
        <f>((AVERAGE(F8)*('Summary Page'!$C$3+1))*('Summary Page'!$C$3+1))*('Summary Page'!$C$3+1)</f>
        <v>205.078125</v>
      </c>
      <c r="GD8" s="7">
        <f>((AVERAGE(F8)*('Summary Page'!$C$4+1))*('Summary Page'!$C$4+1))*('Summary Page'!$C$4+1)</f>
        <v>181.43999999999997</v>
      </c>
      <c r="GG8" s="43"/>
      <c r="GH8" s="7">
        <f>((AVERAGE(M8)*('Summary Page'!$C$2+1))*('Summary Page'!$C$2+1))*('Summary Page'!$C$2+1)</f>
        <v>148.28511999999998</v>
      </c>
      <c r="GI8" s="7">
        <f>((AVERAGE(M8)*('Summary Page'!$C$3+1))*('Summary Page'!$C$3+1))*('Summary Page'!$C$3+1)</f>
        <v>185.546875</v>
      </c>
      <c r="GJ8" s="7">
        <f>((AVERAGE(M8)*('Summary Page'!$C$4+1))*('Summary Page'!$C$4+1))*('Summary Page'!$C$4+1)</f>
        <v>164.15999999999997</v>
      </c>
      <c r="GM8" s="43"/>
      <c r="GN8" s="7">
        <f>((AVERAGE(G8)*('Summary Page'!$C$2+1))*('Summary Page'!$C$2+1))*('Summary Page'!$C$2+1)</f>
        <v>127.99347199999997</v>
      </c>
      <c r="GO8" s="7">
        <f>((AVERAGE(G8)*('Summary Page'!$C$3+1))*('Summary Page'!$C$3+1))*('Summary Page'!$C$3+1)</f>
        <v>160.15625</v>
      </c>
      <c r="GP8" s="7">
        <f>((AVERAGE(G8)*('Summary Page'!$C$4+1))*('Summary Page'!$C$4+1))*('Summary Page'!$C$4+1)</f>
        <v>141.69599999999997</v>
      </c>
      <c r="GS8" s="43"/>
      <c r="GT8" s="7">
        <f>((AVERAGE(H8)*('Summary Page'!$C$2+1))*('Summary Page'!$C$2+1))*('Summary Page'!$C$2+1)</f>
        <v>81.16659199999998</v>
      </c>
      <c r="GU8" s="7">
        <f>((AVERAGE(H8)*('Summary Page'!$C$3+1))*('Summary Page'!$C$3+1))*('Summary Page'!$C$3+1)</f>
        <v>101.5625</v>
      </c>
      <c r="GV8" s="7">
        <f>((AVERAGE(H8,GS8)*('Summary Page'!$C$4+1))*('Summary Page'!$C$4+1))*('Summary Page'!$C$4+1)</f>
        <v>89.855999999999995</v>
      </c>
      <c r="GY8" s="43"/>
      <c r="GZ8" s="7">
        <f>((AVERAGE(J8)*('Summary Page'!$C$2+1))*('Summary Page'!$C$2+1))*('Summary Page'!$C$2+1)</f>
        <v>70.240319999999983</v>
      </c>
      <c r="HA8" s="7">
        <f>((AVERAGE(J8)*('Summary Page'!$C$3+1))*('Summary Page'!$C$3+1))*('Summary Page'!$C$3+1)</f>
        <v>87.890625</v>
      </c>
      <c r="HB8" s="7">
        <f>((AVERAGE(J8)*('Summary Page'!$C$4+1))*('Summary Page'!$C$4+1))*('Summary Page'!$C$4+1)</f>
        <v>77.759999999999991</v>
      </c>
      <c r="HE8" s="43"/>
      <c r="HF8" s="7">
        <f>((AVERAGE(K8)*('Summary Page'!$C$2+1))*('Summary Page'!$C$2+1))*('Summary Page'!$C$2+1)</f>
        <v>177.94214399999996</v>
      </c>
      <c r="HG8" s="7">
        <f>((AVERAGE(K8)*('Summary Page'!$C$3+1))*('Summary Page'!$C$3+1))*('Summary Page'!$C$3+1)</f>
        <v>222.65625</v>
      </c>
      <c r="HH8" s="7">
        <f>((AVERAGE(K8)*('Summary Page'!$C$4+1))*('Summary Page'!$C$4+1))*('Summary Page'!$C$4+1)</f>
        <v>196.99199999999996</v>
      </c>
      <c r="HK8" s="43"/>
      <c r="HL8" s="7" t="e">
        <f>((AVERAGE(L8,HK8)*('Summary Page'!$C$2+1))*('Summary Page'!$C$2+1))*('Summary Page'!$C$2+1)</f>
        <v>#DIV/0!</v>
      </c>
      <c r="HM8" s="7" t="e">
        <f>((AVERAGE(L8,HK8)*('Summary Page'!$C$3+1))*('Summary Page'!$C$3+1))*('Summary Page'!$C$3+1)</f>
        <v>#DIV/0!</v>
      </c>
      <c r="HN8" s="7" t="e">
        <f>((AVERAGE(L8,HK8)*('Summary Page'!$C$4+1))*('Summary Page'!$C$4+1))*('Summary Page'!$C$4+1)</f>
        <v>#DIV/0!</v>
      </c>
      <c r="HR8" s="7" t="e">
        <f>((AVERAGE(AL8,HQ8)*('Summary Page'!$C$2+1))*('Summary Page'!$C$2+1))*('Summary Page'!$C$2+1)</f>
        <v>#DIV/0!</v>
      </c>
      <c r="HS8" s="7" t="e">
        <f>((AVERAGE(AL8,HQ8)*('Summary Page'!$C$3+1))*('Summary Page'!$C$3+1))*('Summary Page'!$C$3+1)</f>
        <v>#DIV/0!</v>
      </c>
      <c r="HT8" s="7" t="e">
        <f>((AVERAGE(AL8,HQ8)*('Summary Page'!$C$4+1))*('Summary Page'!$C$4+1))*('Summary Page'!$C$4+1)</f>
        <v>#DIV/0!</v>
      </c>
      <c r="HU8" s="7">
        <v>100</v>
      </c>
      <c r="HV8" s="9"/>
    </row>
    <row r="9" spans="1:241" ht="15.75" x14ac:dyDescent="0.25">
      <c r="A9" s="20">
        <v>43423</v>
      </c>
      <c r="B9" s="168"/>
      <c r="C9" s="67">
        <v>267</v>
      </c>
      <c r="D9" s="43">
        <v>90</v>
      </c>
      <c r="E9" s="67">
        <v>38</v>
      </c>
      <c r="F9" s="43">
        <v>107</v>
      </c>
      <c r="G9" s="43">
        <v>86</v>
      </c>
      <c r="H9" s="67">
        <v>57</v>
      </c>
      <c r="I9" s="14">
        <f t="shared" si="1"/>
        <v>72</v>
      </c>
      <c r="J9" s="43">
        <v>54</v>
      </c>
      <c r="K9" s="67">
        <v>137</v>
      </c>
      <c r="L9" s="67"/>
      <c r="M9" s="67">
        <v>89</v>
      </c>
      <c r="N9" s="168"/>
      <c r="O9" s="43"/>
      <c r="P9" s="43"/>
      <c r="Q9" s="43"/>
      <c r="R9" s="43"/>
      <c r="S9" s="43"/>
      <c r="T9" s="43"/>
      <c r="U9" s="14" t="e">
        <f t="shared" si="2"/>
        <v>#DIV/0!</v>
      </c>
      <c r="V9" s="43"/>
      <c r="W9" s="43"/>
      <c r="X9" s="43"/>
      <c r="Y9" s="81"/>
      <c r="Z9" s="43"/>
      <c r="AA9" s="43"/>
      <c r="AB9" s="43"/>
      <c r="AC9" s="43"/>
      <c r="AD9" s="43"/>
      <c r="AE9" s="43"/>
      <c r="AF9" s="43"/>
      <c r="AG9" s="14" t="e">
        <f t="shared" si="3"/>
        <v>#DIV/0!</v>
      </c>
      <c r="AH9" s="43"/>
      <c r="AI9" s="43"/>
      <c r="AJ9" s="43"/>
      <c r="AK9" s="43"/>
      <c r="AL9" s="43"/>
      <c r="EM9" s="5">
        <f t="shared" si="4"/>
        <v>108.875</v>
      </c>
      <c r="EN9" s="13"/>
      <c r="EO9" s="13"/>
      <c r="EP9" s="7">
        <f>((AVERAGE(EM9,EO9)*('Summary Page'!$C$2+1))*('Summary Page'!$C$2+1))*('Summary Page'!$C$2+1)</f>
        <v>169.94255199999998</v>
      </c>
      <c r="EQ9" s="7">
        <f>((AVERAGE(EM9,EO9)*('Summary Page'!$C$3+1))*('Summary Page'!$C$3+1))*('Summary Page'!$C$3+1)</f>
        <v>212.646484375</v>
      </c>
      <c r="ER9" s="7">
        <f>((AVERAGE(EM9,EO9)*('Summary Page'!$C$4+1))*('Summary Page'!$C$4+1))*('Summary Page'!$C$4+1)</f>
        <v>188.136</v>
      </c>
      <c r="ES9" s="7">
        <v>80</v>
      </c>
      <c r="ET9" s="5">
        <f t="shared" si="5"/>
        <v>72</v>
      </c>
      <c r="EU9" s="13"/>
      <c r="EV9" s="13"/>
      <c r="EW9" s="7">
        <f>((AVERAGE(ET9,EV9)*('Summary Page'!$C$2+1))*('Summary Page'!$C$2+1))*('Summary Page'!$C$2+1)</f>
        <v>112.38451199999997</v>
      </c>
      <c r="EX9" s="7">
        <f>((AVERAGE(ET9,EV9)*('Summary Page'!$C$3+1))*('Summary Page'!$C$3+1))*('Summary Page'!$C$3+1)</f>
        <v>140.625</v>
      </c>
      <c r="EY9" s="7">
        <f>((AVERAGE(ET9,EV9)*('Summary Page'!$C$4+1))*('Summary Page'!$C$4+1))*('Summary Page'!$C$4+1)</f>
        <v>124.41599999999998</v>
      </c>
      <c r="EZ9" s="5">
        <f t="shared" si="6"/>
        <v>113</v>
      </c>
      <c r="FA9" s="13"/>
      <c r="FB9" s="13"/>
      <c r="FC9" s="7">
        <f>((AVERAGE(EZ9,FB9)*('Summary Page'!$C$2+1))*('Summary Page'!$C$2+1))*('Summary Page'!$C$2+1)</f>
        <v>176.38124799999994</v>
      </c>
      <c r="FD9" s="7">
        <f>((AVERAGE(EZ9,FB9)*('Summary Page'!$C$3+1))*('Summary Page'!$C$3+1))*('Summary Page'!$C$3+1)</f>
        <v>220.703125</v>
      </c>
      <c r="FE9" s="7">
        <f>((AVERAGE(EZ9,FB9)*('Summary Page'!$C$4+1))*('Summary Page'!$C$4+1))*('Summary Page'!$C$4+1)</f>
        <v>195.26399999999998</v>
      </c>
      <c r="FF9" s="5">
        <f t="shared" si="7"/>
        <v>86.7</v>
      </c>
      <c r="FI9" s="43"/>
      <c r="FJ9" s="7">
        <f>((AVERAGE(C9)*('Summary Page'!$C$2+1))*('Summary Page'!$C$2+1))*('Summary Page'!$C$2+1)</f>
        <v>416.75923199999988</v>
      </c>
      <c r="FK9" s="7">
        <f>((AVERAGE(C9)*('Summary Page'!$C$3+1))*('Summary Page'!$C$3+1))*('Summary Page'!$C$3+1)</f>
        <v>521.484375</v>
      </c>
      <c r="FL9" s="7">
        <f>((AVERAGE(C9)*('Summary Page'!$C$4+1))*('Summary Page'!$C$4+1))*('Summary Page'!$C$4+1)</f>
        <v>461.37599999999992</v>
      </c>
      <c r="FO9" s="43"/>
      <c r="FP9" s="7">
        <f>((AVERAGE(D9)*('Summary Page'!$C$2+1))*('Summary Page'!$C$2+1))*('Summary Page'!$C$2+1)</f>
        <v>140.48063999999997</v>
      </c>
      <c r="FQ9" s="7">
        <f>((AVERAGE(D9)*('Summary Page'!$C$3+1))*('Summary Page'!$C$3+1))*('Summary Page'!$C$3+1)</f>
        <v>175.78125</v>
      </c>
      <c r="FR9" s="7">
        <f>((AVERAGE(D9)*('Summary Page'!$C$4+1))*('Summary Page'!$C$4+1))*('Summary Page'!$C$4+1)</f>
        <v>155.51999999999998</v>
      </c>
      <c r="FU9" s="43"/>
      <c r="FV9" s="7">
        <f>((AVERAGE(E9)*('Summary Page'!$C$2+1))*('Summary Page'!$C$2+1))*('Summary Page'!$C$2+1)</f>
        <v>59.314047999999993</v>
      </c>
      <c r="FW9" s="7">
        <f>((AVERAGE(E9)*('Summary Page'!$C$3+1))*('Summary Page'!$C$3+1))*('Summary Page'!$C$3+1)</f>
        <v>74.21875</v>
      </c>
      <c r="FX9" s="7">
        <f>((AVERAGE(E9)*('Summary Page'!$C$4+1))*('Summary Page'!$C$4+1))*('Summary Page'!$C$4+1)</f>
        <v>65.664000000000001</v>
      </c>
      <c r="GA9" s="43"/>
      <c r="GB9" s="7">
        <f>((AVERAGE(F9)*('Summary Page'!$C$2+1))*('Summary Page'!$C$2+1))*('Summary Page'!$C$2+1)</f>
        <v>167.01587199999997</v>
      </c>
      <c r="GC9" s="7">
        <f>((AVERAGE(F9)*('Summary Page'!$C$3+1))*('Summary Page'!$C$3+1))*('Summary Page'!$C$3+1)</f>
        <v>208.984375</v>
      </c>
      <c r="GD9" s="7">
        <f>((AVERAGE(F9)*('Summary Page'!$C$4+1))*('Summary Page'!$C$4+1))*('Summary Page'!$C$4+1)</f>
        <v>184.89600000000002</v>
      </c>
      <c r="GG9" s="43"/>
      <c r="GH9" s="7">
        <f>((AVERAGE(M9)*('Summary Page'!$C$2+1))*('Summary Page'!$C$2+1))*('Summary Page'!$C$2+1)</f>
        <v>138.91974399999998</v>
      </c>
      <c r="GI9" s="7">
        <f>((AVERAGE(M9)*('Summary Page'!$C$3+1))*('Summary Page'!$C$3+1))*('Summary Page'!$C$3+1)</f>
        <v>173.828125</v>
      </c>
      <c r="GJ9" s="7">
        <f>((AVERAGE(M9)*('Summary Page'!$C$4+1))*('Summary Page'!$C$4+1))*('Summary Page'!$C$4+1)</f>
        <v>153.792</v>
      </c>
      <c r="GM9" s="43"/>
      <c r="GN9" s="7">
        <f>((AVERAGE(G9)*('Summary Page'!$C$2+1))*('Summary Page'!$C$2+1))*('Summary Page'!$C$2+1)</f>
        <v>134.23705599999997</v>
      </c>
      <c r="GO9" s="7">
        <f>((AVERAGE(G9)*('Summary Page'!$C$3+1))*('Summary Page'!$C$3+1))*('Summary Page'!$C$3+1)</f>
        <v>167.96875</v>
      </c>
      <c r="GP9" s="7">
        <f>((AVERAGE(G9)*('Summary Page'!$C$4+1))*('Summary Page'!$C$4+1))*('Summary Page'!$C$4+1)</f>
        <v>148.608</v>
      </c>
      <c r="GS9" s="43"/>
      <c r="GT9" s="7">
        <f>((AVERAGE(H9)*('Summary Page'!$C$2+1))*('Summary Page'!$C$2+1))*('Summary Page'!$C$2+1)</f>
        <v>88.971071999999978</v>
      </c>
      <c r="GU9" s="7">
        <f>((AVERAGE(H9)*('Summary Page'!$C$3+1))*('Summary Page'!$C$3+1))*('Summary Page'!$C$3+1)</f>
        <v>111.328125</v>
      </c>
      <c r="GV9" s="7">
        <f>((AVERAGE(H9,GS9)*('Summary Page'!$C$4+1))*('Summary Page'!$C$4+1))*('Summary Page'!$C$4+1)</f>
        <v>98.495999999999981</v>
      </c>
      <c r="GY9" s="43"/>
      <c r="GZ9" s="7">
        <f>((AVERAGE(J9)*('Summary Page'!$C$2+1))*('Summary Page'!$C$2+1))*('Summary Page'!$C$2+1)</f>
        <v>84.288383999999979</v>
      </c>
      <c r="HA9" s="7">
        <f>((AVERAGE(J9)*('Summary Page'!$C$3+1))*('Summary Page'!$C$3+1))*('Summary Page'!$C$3+1)</f>
        <v>105.46875</v>
      </c>
      <c r="HB9" s="7">
        <f>((AVERAGE(J9)*('Summary Page'!$C$4+1))*('Summary Page'!$C$4+1))*('Summary Page'!$C$4+1)</f>
        <v>93.311999999999983</v>
      </c>
      <c r="HE9" s="43"/>
      <c r="HF9" s="7">
        <f>((AVERAGE(K9)*('Summary Page'!$C$2+1))*('Summary Page'!$C$2+1))*('Summary Page'!$C$2+1)</f>
        <v>213.84275199999996</v>
      </c>
      <c r="HG9" s="7">
        <f>((AVERAGE(K9)*('Summary Page'!$C$3+1))*('Summary Page'!$C$3+1))*('Summary Page'!$C$3+1)</f>
        <v>267.578125</v>
      </c>
      <c r="HH9" s="7">
        <f>((AVERAGE(K9)*('Summary Page'!$C$4+1))*('Summary Page'!$C$4+1))*('Summary Page'!$C$4+1)</f>
        <v>236.73599999999999</v>
      </c>
      <c r="HK9" s="43"/>
      <c r="HL9" s="7" t="e">
        <f>((AVERAGE(L9,HK9)*('Summary Page'!$C$2+1))*('Summary Page'!$C$2+1))*('Summary Page'!$C$2+1)</f>
        <v>#DIV/0!</v>
      </c>
      <c r="HM9" s="7" t="e">
        <f>((AVERAGE(L9,HK9)*('Summary Page'!$C$3+1))*('Summary Page'!$C$3+1))*('Summary Page'!$C$3+1)</f>
        <v>#DIV/0!</v>
      </c>
      <c r="HN9" s="7" t="e">
        <f>((AVERAGE(L9,HK9)*('Summary Page'!$C$4+1))*('Summary Page'!$C$4+1))*('Summary Page'!$C$4+1)</f>
        <v>#DIV/0!</v>
      </c>
      <c r="HR9" s="7" t="e">
        <f>((AVERAGE(AL9,HQ9)*('Summary Page'!$C$2+1))*('Summary Page'!$C$2+1))*('Summary Page'!$C$2+1)</f>
        <v>#DIV/0!</v>
      </c>
      <c r="HS9" s="7" t="e">
        <f>((AVERAGE(AL9,HQ9)*('Summary Page'!$C$3+1))*('Summary Page'!$C$3+1))*('Summary Page'!$C$3+1)</f>
        <v>#DIV/0!</v>
      </c>
      <c r="HT9" s="7" t="e">
        <f>((AVERAGE(AL9,HQ9)*('Summary Page'!$C$4+1))*('Summary Page'!$C$4+1))*('Summary Page'!$C$4+1)</f>
        <v>#DIV/0!</v>
      </c>
      <c r="HU9" s="7">
        <v>100</v>
      </c>
      <c r="HV9" s="9"/>
    </row>
    <row r="10" spans="1:241" ht="15.75" x14ac:dyDescent="0.25">
      <c r="A10" s="20">
        <v>43437</v>
      </c>
      <c r="B10" s="168"/>
      <c r="C10" s="67">
        <v>256</v>
      </c>
      <c r="D10" s="43">
        <v>79</v>
      </c>
      <c r="E10" s="67">
        <v>38</v>
      </c>
      <c r="F10" s="43">
        <v>105</v>
      </c>
      <c r="G10" s="43">
        <v>86</v>
      </c>
      <c r="H10" s="67">
        <v>56</v>
      </c>
      <c r="I10" s="14">
        <f t="shared" si="1"/>
        <v>71.25</v>
      </c>
      <c r="J10" s="43">
        <v>58</v>
      </c>
      <c r="K10" s="67">
        <v>141</v>
      </c>
      <c r="L10" s="67"/>
      <c r="M10" s="67">
        <v>93</v>
      </c>
      <c r="N10" s="168"/>
      <c r="O10" s="43"/>
      <c r="P10" s="43"/>
      <c r="Q10" s="43"/>
      <c r="R10" s="43"/>
      <c r="S10" s="43"/>
      <c r="T10" s="43"/>
      <c r="U10" s="14" t="e">
        <f t="shared" si="2"/>
        <v>#DIV/0!</v>
      </c>
      <c r="V10" s="43"/>
      <c r="W10" s="43"/>
      <c r="X10" s="43"/>
      <c r="Y10" s="81"/>
      <c r="Z10" s="43"/>
      <c r="AA10" s="43"/>
      <c r="AB10" s="43"/>
      <c r="AC10" s="43"/>
      <c r="AD10" s="43"/>
      <c r="AE10" s="43"/>
      <c r="AF10" s="43"/>
      <c r="AG10" s="14" t="e">
        <f t="shared" si="3"/>
        <v>#DIV/0!</v>
      </c>
      <c r="AH10" s="43"/>
      <c r="AI10" s="43"/>
      <c r="AJ10" s="43"/>
      <c r="AK10" s="43"/>
      <c r="AL10" s="43"/>
      <c r="EM10" s="5">
        <f t="shared" si="4"/>
        <v>106.75</v>
      </c>
      <c r="EN10" s="13"/>
      <c r="EO10" s="13"/>
      <c r="EP10" s="30">
        <f>((AVERAGE(EM5:EM10)*('Summary Page'!$C$2+1))*('Summary Page'!$C$2+1))*('Summary Page'!$C$2+1)</f>
        <v>166.23542399999994</v>
      </c>
      <c r="EQ10" s="7">
        <f>((AVERAGE(EM5:EM10)*('Summary Page'!$C$3+1))*('Summary Page'!$C$3+1))*('Summary Page'!$C$3+1)</f>
        <v>208.0078125</v>
      </c>
      <c r="ER10" s="7">
        <f>((AVERAGE(EM5:EM10)*('Summary Page'!$C$4+1))*('Summary Page'!$C$4+1))*('Summary Page'!$C$4+1)</f>
        <v>184.03199999999998</v>
      </c>
      <c r="ES10" s="7">
        <v>80</v>
      </c>
      <c r="ET10" s="5">
        <f t="shared" si="5"/>
        <v>71.25</v>
      </c>
      <c r="EU10" s="13"/>
      <c r="EV10" s="13"/>
      <c r="EW10" s="7">
        <f>((AVERAGE(ET5:ET10)*('Summary Page'!$C$2+1))*('Summary Page'!$C$2+1))*('Summary Page'!$C$2+1)</f>
        <v>104.31988266666664</v>
      </c>
      <c r="EX10" s="7">
        <f>((AVERAGE(ET5:ET10)*('Summary Page'!$C$3+1))*('Summary Page'!$C$3+1))*('Summary Page'!$C$3+1)</f>
        <v>130.53385416666663</v>
      </c>
      <c r="EY10" s="7">
        <f>((AVERAGE(ET5:ET10)*('Summary Page'!$C$4+1))*('Summary Page'!$C$4+1))*('Summary Page'!$C$4+1)</f>
        <v>115.48799999999997</v>
      </c>
      <c r="EZ10" s="5">
        <f t="shared" si="6"/>
        <v>117</v>
      </c>
      <c r="FA10" s="13"/>
      <c r="FB10" s="13"/>
      <c r="FC10" s="7">
        <f>((AVERAGE(EZ5:EZ10)*('Summary Page'!$C$2+1))*('Summary Page'!$C$2+1))*('Summary Page'!$C$2+1)</f>
        <v>165.06475199999997</v>
      </c>
      <c r="FD10" s="7">
        <f>((AVERAGE(EZ5:EZ10)*('Summary Page'!$C$3+1))*('Summary Page'!$C$3+1))*('Summary Page'!$C$3+1)</f>
        <v>206.54296875</v>
      </c>
      <c r="FE10" s="7">
        <f>((AVERAGE(EZ5:EZ10)*('Summary Page'!$C$4+1))*('Summary Page'!$C$4+1))*('Summary Page'!$C$4+1)</f>
        <v>182.73599999999996</v>
      </c>
      <c r="FF10" s="5">
        <f t="shared" si="7"/>
        <v>86.825000000000003</v>
      </c>
      <c r="FI10" s="43"/>
      <c r="FJ10" s="7">
        <f>((AVERAGE(C5:C10)*('Summary Page'!$C$2+1))*('Summary Page'!$C$2+1))*('Summary Page'!$C$2+1)</f>
        <v>446.41625599999992</v>
      </c>
      <c r="FK10" s="7">
        <f>((AVERAGE(C5:C10)*('Summary Page'!$C$3+1))*('Summary Page'!$C$3+1))*('Summary Page'!$C$3+1)</f>
        <v>558.59375</v>
      </c>
      <c r="FL10" s="7">
        <f>((AVERAGE(C5:C10)*('Summary Page'!$C$4+1))*('Summary Page'!$C$4+1))*('Summary Page'!$C$4+1)</f>
        <v>494.20799999999997</v>
      </c>
      <c r="FO10" s="43"/>
      <c r="FP10" s="7">
        <f>((AVERAGE(D5:D10)*('Summary Page'!$C$2+1))*('Summary Page'!$C$2+1))*('Summary Page'!$C$2+1)</f>
        <v>136.0581013333333</v>
      </c>
      <c r="FQ10" s="7">
        <f>((AVERAGE(D5:D10)*('Summary Page'!$C$3+1))*('Summary Page'!$C$3+1))*('Summary Page'!$C$3+1)</f>
        <v>170.24739583333337</v>
      </c>
      <c r="FR10" s="7">
        <f>((AVERAGE(D5:D10)*('Summary Page'!$C$4+1))*('Summary Page'!$C$4+1))*('Summary Page'!$C$4+1)</f>
        <v>150.624</v>
      </c>
      <c r="FU10" s="43"/>
      <c r="FV10" s="7">
        <f>((AVERAGE(E5:E10)*('Summary Page'!$C$2+1))*('Summary Page'!$C$2+1))*('Summary Page'!$C$2+1)</f>
        <v>45.265983999999996</v>
      </c>
      <c r="FW10" s="7">
        <f>((AVERAGE(E5:E10)*('Summary Page'!$C$3+1))*('Summary Page'!$C$3+1))*('Summary Page'!$C$3+1)</f>
        <v>56.640625</v>
      </c>
      <c r="FX10" s="7">
        <f>((AVERAGE(E5:E10)*('Summary Page'!$C$4+1))*('Summary Page'!$C$4+1))*('Summary Page'!$C$4+1)</f>
        <v>50.111999999999995</v>
      </c>
      <c r="GA10" s="43"/>
      <c r="GB10" s="7">
        <f>((AVERAGE(F5:F10)*('Summary Page'!$C$2+1))*('Summary Page'!$C$2+1))*('Summary Page'!$C$2+1)</f>
        <v>158.95124266666664</v>
      </c>
      <c r="GC10" s="7">
        <f>((AVERAGE(F5:F10)*('Summary Page'!$C$3+1))*('Summary Page'!$C$3+1))*('Summary Page'!$C$3+1)</f>
        <v>198.89322916666663</v>
      </c>
      <c r="GD10" s="7">
        <f>((AVERAGE(F5:F10)*('Summary Page'!$C$4+1))*('Summary Page'!$C$4+1))*('Summary Page'!$C$4+1)</f>
        <v>175.96799999999999</v>
      </c>
      <c r="GG10" s="43"/>
      <c r="GH10" s="7">
        <f>((AVERAGE(M5:M10)*('Summary Page'!$C$2+1))*('Summary Page'!$C$2+1))*('Summary Page'!$C$2+1)</f>
        <v>146.98437333333331</v>
      </c>
      <c r="GI10" s="7">
        <f>((AVERAGE(M5:M10)*('Summary Page'!$C$3+1))*('Summary Page'!$C$3+1))*('Summary Page'!$C$3+1)</f>
        <v>183.91927083333337</v>
      </c>
      <c r="GJ10" s="7">
        <f>((AVERAGE(M5:M10)*('Summary Page'!$C$4+1))*('Summary Page'!$C$4+1))*('Summary Page'!$C$4+1)</f>
        <v>162.72</v>
      </c>
      <c r="GM10" s="43"/>
      <c r="GN10" s="7">
        <f>((AVERAGE(G5:G10)*('Summary Page'!$C$2+1))*('Summary Page'!$C$2+1))*('Summary Page'!$C$2+1)</f>
        <v>126.17242666666662</v>
      </c>
      <c r="GO10" s="7">
        <f>((AVERAGE(G5:G10)*('Summary Page'!$C$3+1))*('Summary Page'!$C$3+1))*('Summary Page'!$C$3+1)</f>
        <v>157.87760416666663</v>
      </c>
      <c r="GP10" s="7">
        <f>((AVERAGE(G5:G10)*('Summary Page'!$C$4+1))*('Summary Page'!$C$4+1))*('Summary Page'!$C$4+1)</f>
        <v>139.67999999999998</v>
      </c>
      <c r="GS10" s="43"/>
      <c r="GT10" s="7">
        <f>((AVERAGE(H5:H10)*('Summary Page'!$C$2+1))*('Summary Page'!$C$2+1))*('Summary Page'!$C$2+1)</f>
        <v>86.889877333333317</v>
      </c>
      <c r="GU10" s="7">
        <f>((AVERAGE(H5:H10)*('Summary Page'!$C$3+1))*('Summary Page'!$C$3+1))*('Summary Page'!$C$3+1)</f>
        <v>108.72395833333331</v>
      </c>
      <c r="GV10" s="7">
        <f>((AVERAGE(H5:H10)*('Summary Page'!$C$4+1))*('Summary Page'!$C$4+1))*('Summary Page'!$C$4+1)</f>
        <v>96.191999999999993</v>
      </c>
      <c r="GY10" s="43"/>
      <c r="GZ10" s="7">
        <f>((AVERAGE(J5:J10)*('Summary Page'!$C$2+1))*('Summary Page'!$C$2+1))*('Summary Page'!$C$2+1)</f>
        <v>60.094495999999985</v>
      </c>
      <c r="HA10" s="7">
        <f>((AVERAGE(J5:J10)*('Summary Page'!$C$3+1))*('Summary Page'!$C$3+1))*('Summary Page'!$C$3+1)</f>
        <v>75.1953125</v>
      </c>
      <c r="HB10" s="7">
        <f>((AVERAGE(J5:J10)*('Summary Page'!$C$4+1))*('Summary Page'!$C$4+1))*('Summary Page'!$C$4+1)</f>
        <v>66.527999999999992</v>
      </c>
      <c r="HE10" s="43"/>
      <c r="HF10" s="7">
        <f>((AVERAGE(K5:K10)*('Summary Page'!$C$2+1))*('Summary Page'!$C$2+1))*('Summary Page'!$C$2+1)</f>
        <v>183.14513066666663</v>
      </c>
      <c r="HG10" s="7">
        <f>((AVERAGE(K5:K10)*('Summary Page'!$C$3+1))*('Summary Page'!$C$3+1))*('Summary Page'!$C$3+1)</f>
        <v>229.16666666666663</v>
      </c>
      <c r="HH10" s="7">
        <f>((AVERAGE(K5:K10)*('Summary Page'!$C$4+1))*('Summary Page'!$C$4+1))*('Summary Page'!$C$4+1)</f>
        <v>202.75199999999998</v>
      </c>
      <c r="HK10" s="43"/>
      <c r="HL10" s="7" t="e">
        <f>((AVERAGE(L5:L10)*('Summary Page'!$C$2+1))*('Summary Page'!$C$2+1))*('Summary Page'!$C$2+1)</f>
        <v>#DIV/0!</v>
      </c>
      <c r="HM10" s="7" t="e">
        <f>((AVERAGE(L5:L10)*('Summary Page'!$C$3+1))*('Summary Page'!$C$3+1))*('Summary Page'!$C$3+1)</f>
        <v>#DIV/0!</v>
      </c>
      <c r="HN10" s="7" t="e">
        <f>((AVERAGE(L5:L10)*('Summary Page'!$C$4+1))*('Summary Page'!$C$4+1))*('Summary Page'!$C$4+1)</f>
        <v>#DIV/0!</v>
      </c>
      <c r="HR10" s="7" t="e">
        <f>((AVERAGE(AL5:AL10)*('Summary Page'!$C$2+1))*('Summary Page'!$C$2+1))*('Summary Page'!$C$2+1)</f>
        <v>#DIV/0!</v>
      </c>
      <c r="HS10" s="7" t="e">
        <f>((AVERAGE(AL5:AL10)*('Summary Page'!$C$3+1))*('Summary Page'!$C$3+1))*('Summary Page'!$C$3+1)</f>
        <v>#DIV/0!</v>
      </c>
      <c r="HT10" s="7" t="e">
        <f>((AVERAGE(AL5:AL10)*('Summary Page'!$C$4+1))*('Summary Page'!$C$4+1))*('Summary Page'!$C$4+1)</f>
        <v>#DIV/0!</v>
      </c>
      <c r="HU10" s="7">
        <v>100</v>
      </c>
      <c r="HV10" s="9"/>
    </row>
    <row r="11" spans="1:241" ht="15.75" x14ac:dyDescent="0.25">
      <c r="A11" s="20">
        <v>43451</v>
      </c>
      <c r="B11" s="168"/>
      <c r="C11" s="67">
        <v>131</v>
      </c>
      <c r="D11" s="43">
        <v>76</v>
      </c>
      <c r="E11" s="67">
        <v>39</v>
      </c>
      <c r="F11" s="43">
        <v>106</v>
      </c>
      <c r="G11" s="43">
        <v>85</v>
      </c>
      <c r="H11" s="67">
        <v>57</v>
      </c>
      <c r="I11" s="14">
        <f t="shared" si="1"/>
        <v>71.75</v>
      </c>
      <c r="J11" s="43">
        <v>55</v>
      </c>
      <c r="K11" s="67">
        <v>148</v>
      </c>
      <c r="L11" s="67"/>
      <c r="M11" s="67">
        <v>94</v>
      </c>
      <c r="N11" s="168"/>
      <c r="O11" s="43"/>
      <c r="P11" s="43"/>
      <c r="Q11" s="43"/>
      <c r="R11" s="43"/>
      <c r="S11" s="43"/>
      <c r="T11" s="43"/>
      <c r="U11" s="14" t="e">
        <f t="shared" si="2"/>
        <v>#DIV/0!</v>
      </c>
      <c r="V11" s="43"/>
      <c r="W11" s="43"/>
      <c r="X11" s="43"/>
      <c r="Y11" s="81"/>
      <c r="Z11" s="43"/>
      <c r="AA11" s="43"/>
      <c r="AB11" s="43"/>
      <c r="AC11" s="43"/>
      <c r="AD11" s="43"/>
      <c r="AE11" s="43"/>
      <c r="AF11" s="43"/>
      <c r="AG11" s="14" t="e">
        <f t="shared" si="3"/>
        <v>#DIV/0!</v>
      </c>
      <c r="AH11" s="43"/>
      <c r="AI11" s="43"/>
      <c r="AJ11" s="43"/>
      <c r="AK11" s="43"/>
      <c r="AL11" s="43"/>
      <c r="EM11" s="5">
        <f t="shared" si="4"/>
        <v>92</v>
      </c>
      <c r="EN11" s="13"/>
      <c r="EO11" s="13"/>
      <c r="EP11" s="30">
        <f>((AVERAGE(EM6:EM11)*('Summary Page'!$C$2+1))*('Summary Page'!$C$2+1))*('Summary Page'!$C$2+1)</f>
        <v>166.8857973333333</v>
      </c>
      <c r="EQ11" s="7">
        <f>((AVERAGE(EM6:EM11)*('Summary Page'!$C$3+1))*('Summary Page'!$C$3+1))*('Summary Page'!$C$3+1)</f>
        <v>208.82161458333337</v>
      </c>
      <c r="ER11" s="7">
        <f>((AVERAGE(EM6:EM11)*('Summary Page'!$C$4+1))*('Summary Page'!$C$4+1))*('Summary Page'!$C$4+1)</f>
        <v>184.75200000000001</v>
      </c>
      <c r="ES11" s="7">
        <v>80</v>
      </c>
      <c r="ET11" s="5">
        <f t="shared" si="5"/>
        <v>71.75</v>
      </c>
      <c r="EU11" s="13"/>
      <c r="EV11" s="13"/>
      <c r="EW11" s="7">
        <f>((AVERAGE(ET6:ET11)*('Summary Page'!$C$2+1))*('Summary Page'!$C$2+1))*('Summary Page'!$C$2+1)</f>
        <v>107.11648799999996</v>
      </c>
      <c r="EX11" s="7">
        <f>((AVERAGE(ET6:ET11)*('Summary Page'!$C$3+1))*('Summary Page'!$C$3+1))*('Summary Page'!$C$3+1)</f>
        <v>134.033203125</v>
      </c>
      <c r="EY11" s="7">
        <f>((AVERAGE(ET6:ET11)*('Summary Page'!$C$4+1))*('Summary Page'!$C$4+1))*('Summary Page'!$C$4+1)</f>
        <v>118.58399999999999</v>
      </c>
      <c r="EZ11" s="5">
        <f t="shared" si="6"/>
        <v>121</v>
      </c>
      <c r="FA11" s="13"/>
      <c r="FB11" s="13"/>
      <c r="FC11" s="7">
        <f>((AVERAGE(EZ6:EZ11)*('Summary Page'!$C$2+1))*('Summary Page'!$C$2+1))*('Summary Page'!$C$2+1)</f>
        <v>171.69855999999999</v>
      </c>
      <c r="FD11" s="7">
        <f>((AVERAGE(EZ6:EZ11)*('Summary Page'!$C$3+1))*('Summary Page'!$C$3+1))*('Summary Page'!$C$3+1)</f>
        <v>214.84375</v>
      </c>
      <c r="FE11" s="7">
        <f>((AVERAGE(EZ6:EZ11)*('Summary Page'!$C$4+1))*('Summary Page'!$C$4+1))*('Summary Page'!$C$4+1)</f>
        <v>190.08</v>
      </c>
      <c r="FF11" s="5">
        <f t="shared" si="7"/>
        <v>87.974999999999994</v>
      </c>
      <c r="FI11" s="43"/>
      <c r="FJ11" s="7">
        <f>((AVERAGE(C6:C11)*('Summary Page'!$C$2+1))*('Summary Page'!$C$2+1))*('Summary Page'!$C$2+1)</f>
        <v>428.46595199999985</v>
      </c>
      <c r="FK11" s="7">
        <f>((AVERAGE(C6:C11)*('Summary Page'!$C$3+1))*('Summary Page'!$C$3+1))*('Summary Page'!$C$3+1)</f>
        <v>536.1328125</v>
      </c>
      <c r="FL11" s="7">
        <f>((AVERAGE(C6:C11)*('Summary Page'!$C$4+1))*('Summary Page'!$C$4+1))*('Summary Page'!$C$4+1)</f>
        <v>474.33599999999996</v>
      </c>
      <c r="FO11" s="43"/>
      <c r="FP11" s="7">
        <f>((AVERAGE(D6:D11)*('Summary Page'!$C$2+1))*('Summary Page'!$C$2+1))*('Summary Page'!$C$2+1)</f>
        <v>134.75735466666666</v>
      </c>
      <c r="FQ11" s="7">
        <f>((AVERAGE(D6:D11)*('Summary Page'!$C$3+1))*('Summary Page'!$C$3+1))*('Summary Page'!$C$3+1)</f>
        <v>168.61979166666663</v>
      </c>
      <c r="FR11" s="7">
        <f>((AVERAGE(D6:D11)*('Summary Page'!$C$4+1))*('Summary Page'!$C$4+1))*('Summary Page'!$C$4+1)</f>
        <v>149.184</v>
      </c>
      <c r="FU11" s="43"/>
      <c r="FV11" s="7">
        <f>((AVERAGE(E6:E11)*('Summary Page'!$C$2+1))*('Summary Page'!$C$2+1))*('Summary Page'!$C$2+1)</f>
        <v>49.948671999999995</v>
      </c>
      <c r="FW11" s="7">
        <f>((AVERAGE(E6:E11)*('Summary Page'!$C$3+1))*('Summary Page'!$C$3+1))*('Summary Page'!$C$3+1)</f>
        <v>62.5</v>
      </c>
      <c r="FX11" s="7">
        <f>((AVERAGE(E6:E11)*('Summary Page'!$C$4+1))*('Summary Page'!$C$4+1))*('Summary Page'!$C$4+1)</f>
        <v>55.295999999999999</v>
      </c>
      <c r="GA11" s="43"/>
      <c r="GB11" s="7">
        <f>((AVERAGE(F6:F11)*('Summary Page'!$C$2+1))*('Summary Page'!$C$2+1))*('Summary Page'!$C$2+1)</f>
        <v>163.11363199999994</v>
      </c>
      <c r="GC11" s="7">
        <f>((AVERAGE(F6:F11)*('Summary Page'!$C$3+1))*('Summary Page'!$C$3+1))*('Summary Page'!$C$3+1)</f>
        <v>204.1015625</v>
      </c>
      <c r="GD11" s="7">
        <f>((AVERAGE(F6:F11)*('Summary Page'!$C$4+1))*('Summary Page'!$C$4+1))*('Summary Page'!$C$4+1)</f>
        <v>180.57599999999999</v>
      </c>
      <c r="GG11" s="43"/>
      <c r="GH11" s="7">
        <f>((AVERAGE(M6:M11)*('Summary Page'!$C$2+1))*('Summary Page'!$C$2+1))*('Summary Page'!$C$2+1)</f>
        <v>146.72422399999996</v>
      </c>
      <c r="GI11" s="7">
        <f>((AVERAGE(M6:M11)*('Summary Page'!$C$3+1))*('Summary Page'!$C$3+1))*('Summary Page'!$C$3+1)</f>
        <v>183.59375</v>
      </c>
      <c r="GJ11" s="7">
        <f>((AVERAGE(M6:M11)*('Summary Page'!$C$4+1))*('Summary Page'!$C$4+1))*('Summary Page'!$C$4+1)</f>
        <v>162.43199999999999</v>
      </c>
      <c r="GM11" s="43"/>
      <c r="GN11" s="7">
        <f>((AVERAGE(G6:G11)*('Summary Page'!$C$2+1))*('Summary Page'!$C$2+1))*('Summary Page'!$C$2+1)</f>
        <v>128.51377066666663</v>
      </c>
      <c r="GO11" s="7">
        <f>((AVERAGE(G6:G11)*('Summary Page'!$C$3+1))*('Summary Page'!$C$3+1))*('Summary Page'!$C$3+1)</f>
        <v>160.80729166666663</v>
      </c>
      <c r="GP11" s="7">
        <f>((AVERAGE(G6:G11)*('Summary Page'!$C$4+1))*('Summary Page'!$C$4+1))*('Summary Page'!$C$4+1)</f>
        <v>142.27199999999999</v>
      </c>
      <c r="GS11" s="43"/>
      <c r="GT11" s="7">
        <f>((AVERAGE(H6:H11)*('Summary Page'!$C$2+1))*('Summary Page'!$C$2+1))*('Summary Page'!$C$2+1)</f>
        <v>86.889877333333317</v>
      </c>
      <c r="GU11" s="7">
        <f>((AVERAGE(H6:H11)*('Summary Page'!$C$3+1))*('Summary Page'!$C$3+1))*('Summary Page'!$C$3+1)</f>
        <v>108.72395833333331</v>
      </c>
      <c r="GV11" s="7">
        <f>((AVERAGE(H6:H11)*('Summary Page'!$C$4+1))*('Summary Page'!$C$4+1))*('Summary Page'!$C$4+1)</f>
        <v>96.191999999999993</v>
      </c>
      <c r="GY11" s="43"/>
      <c r="GZ11" s="7">
        <f>((AVERAGE(J6:J11)*('Summary Page'!$C$2+1))*('Summary Page'!$C$2+1))*('Summary Page'!$C$2+1)</f>
        <v>70.500469333333314</v>
      </c>
      <c r="HA11" s="7">
        <f>((AVERAGE(J6:J11)*('Summary Page'!$C$3+1))*('Summary Page'!$C$3+1))*('Summary Page'!$C$3+1)</f>
        <v>88.216145833333314</v>
      </c>
      <c r="HB11" s="7">
        <f>((AVERAGE(J6:J11)*('Summary Page'!$C$4+1))*('Summary Page'!$C$4+1))*('Summary Page'!$C$4+1)</f>
        <v>78.047999999999988</v>
      </c>
      <c r="HE11" s="43"/>
      <c r="HF11" s="7">
        <f>((AVERAGE(K6:K11)*('Summary Page'!$C$2+1))*('Summary Page'!$C$2+1))*('Summary Page'!$C$2+1)</f>
        <v>196.67289599999995</v>
      </c>
      <c r="HG11" s="7">
        <f>((AVERAGE(K6:K11)*('Summary Page'!$C$3+1))*('Summary Page'!$C$3+1))*('Summary Page'!$C$3+1)</f>
        <v>246.09375</v>
      </c>
      <c r="HH11" s="7">
        <f>((AVERAGE(K6:K11)*('Summary Page'!$C$4+1))*('Summary Page'!$C$4+1))*('Summary Page'!$C$4+1)</f>
        <v>217.72799999999995</v>
      </c>
      <c r="HK11" s="43"/>
      <c r="HL11" s="7" t="e">
        <f>((AVERAGE(L6:L11)*('Summary Page'!$C$2+1))*('Summary Page'!$C$2+1))*('Summary Page'!$C$2+1)</f>
        <v>#DIV/0!</v>
      </c>
      <c r="HM11" s="7" t="e">
        <f>((AVERAGE(L6:L11)*('Summary Page'!$C$3+1))*('Summary Page'!$C$3+1))*('Summary Page'!$C$3+1)</f>
        <v>#DIV/0!</v>
      </c>
      <c r="HN11" s="7" t="e">
        <f>((AVERAGE(L6:L11)*('Summary Page'!$C$4+1))*('Summary Page'!$C$4+1))*('Summary Page'!$C$4+1)</f>
        <v>#DIV/0!</v>
      </c>
      <c r="HR11" s="7" t="e">
        <f>((AVERAGE(AL6:AL11)*('Summary Page'!$C$2+1))*('Summary Page'!$C$2+1))*('Summary Page'!$C$2+1)</f>
        <v>#DIV/0!</v>
      </c>
      <c r="HS11" s="7" t="e">
        <f>((AVERAGE(AL6:AL11)*('Summary Page'!$C$3+1))*('Summary Page'!$C$3+1))*('Summary Page'!$C$3+1)</f>
        <v>#DIV/0!</v>
      </c>
      <c r="HT11" s="7" t="e">
        <f>((AVERAGE(AL6:AL11)*('Summary Page'!$C$4+1))*('Summary Page'!$C$4+1))*('Summary Page'!$C$4+1)</f>
        <v>#DIV/0!</v>
      </c>
      <c r="HU11" s="7">
        <v>100</v>
      </c>
      <c r="HV11" s="9"/>
    </row>
    <row r="12" spans="1:241" ht="15.75" x14ac:dyDescent="0.25">
      <c r="A12" s="20">
        <v>43465</v>
      </c>
      <c r="B12" s="168"/>
      <c r="C12" s="67">
        <v>131</v>
      </c>
      <c r="D12" s="43">
        <v>76</v>
      </c>
      <c r="E12" s="67">
        <v>39</v>
      </c>
      <c r="F12" s="43">
        <v>106</v>
      </c>
      <c r="G12" s="43">
        <v>85</v>
      </c>
      <c r="H12" s="67">
        <v>57</v>
      </c>
      <c r="I12" s="14">
        <f t="shared" si="1"/>
        <v>71.75</v>
      </c>
      <c r="J12" s="43">
        <v>55</v>
      </c>
      <c r="K12" s="67">
        <v>148</v>
      </c>
      <c r="L12" s="67"/>
      <c r="M12" s="67">
        <v>94</v>
      </c>
      <c r="N12" s="168"/>
      <c r="O12" s="43"/>
      <c r="P12" s="43"/>
      <c r="Q12" s="43"/>
      <c r="R12" s="43"/>
      <c r="S12" s="43"/>
      <c r="T12" s="43"/>
      <c r="U12" s="14" t="e">
        <f t="shared" si="2"/>
        <v>#DIV/0!</v>
      </c>
      <c r="V12" s="43"/>
      <c r="W12" s="43"/>
      <c r="X12" s="43"/>
      <c r="Y12" s="81"/>
      <c r="Z12" s="43"/>
      <c r="AA12" s="43"/>
      <c r="AB12" s="43"/>
      <c r="AC12" s="43"/>
      <c r="AD12" s="43"/>
      <c r="AE12" s="43"/>
      <c r="AF12" s="43"/>
      <c r="AG12" s="14" t="e">
        <f t="shared" si="3"/>
        <v>#DIV/0!</v>
      </c>
      <c r="AH12" s="43"/>
      <c r="AI12" s="43"/>
      <c r="AJ12" s="43"/>
      <c r="AK12" s="43"/>
      <c r="AL12" s="43"/>
      <c r="EM12" s="5">
        <f t="shared" si="4"/>
        <v>92</v>
      </c>
      <c r="EN12" s="13"/>
      <c r="EO12" s="13"/>
      <c r="EP12" s="30">
        <f>((AVERAGE(EM7:EM12)*('Summary Page'!$C$2+1))*('Summary Page'!$C$2+1))*('Summary Page'!$C$2+1)</f>
        <v>163.17866933333332</v>
      </c>
      <c r="EQ12" s="7">
        <f>((AVERAGE(EM7:EM12)*('Summary Page'!$C$3+1))*('Summary Page'!$C$3+1))*('Summary Page'!$C$3+1)</f>
        <v>204.18294270833337</v>
      </c>
      <c r="ER12" s="7">
        <f>((AVERAGE(EM7:EM12)*('Summary Page'!$C$4+1))*('Summary Page'!$C$4+1))*('Summary Page'!$C$4+1)</f>
        <v>180.648</v>
      </c>
      <c r="ES12" s="7">
        <v>80</v>
      </c>
      <c r="ET12" s="5">
        <f t="shared" si="5"/>
        <v>71.75</v>
      </c>
      <c r="EU12" s="13"/>
      <c r="EV12" s="13"/>
      <c r="EW12" s="7">
        <f>((AVERAGE(ET7:ET12)*('Summary Page'!$C$2+1))*('Summary Page'!$C$2+1))*('Summary Page'!$C$2+1)</f>
        <v>108.80745866666663</v>
      </c>
      <c r="EX12" s="7">
        <f>((AVERAGE(ET7:ET12)*('Summary Page'!$C$3+1))*('Summary Page'!$C$3+1))*('Summary Page'!$C$3+1)</f>
        <v>136.14908854166663</v>
      </c>
      <c r="EY12" s="7">
        <f>((AVERAGE(ET7:ET12)*('Summary Page'!$C$4+1))*('Summary Page'!$C$4+1))*('Summary Page'!$C$4+1)</f>
        <v>120.45599999999997</v>
      </c>
      <c r="EZ12" s="5">
        <f t="shared" si="6"/>
        <v>121</v>
      </c>
      <c r="FA12" s="13"/>
      <c r="FB12" s="13"/>
      <c r="FC12" s="7">
        <f>((AVERAGE(EZ7:EZ12)*('Summary Page'!$C$2+1))*('Summary Page'!$C$2+1))*('Summary Page'!$C$2+1)</f>
        <v>177.42184533333329</v>
      </c>
      <c r="FD12" s="7">
        <f>((AVERAGE(EZ7:EZ12)*('Summary Page'!$C$3+1))*('Summary Page'!$C$3+1))*('Summary Page'!$C$3+1)</f>
        <v>222.00520833333337</v>
      </c>
      <c r="FE12" s="7">
        <f>((AVERAGE(EZ7:EZ12)*('Summary Page'!$C$4+1))*('Summary Page'!$C$4+1))*('Summary Page'!$C$4+1)</f>
        <v>196.416</v>
      </c>
      <c r="FF12" s="5">
        <f t="shared" si="7"/>
        <v>87.974999999999994</v>
      </c>
      <c r="FI12" s="43"/>
      <c r="FJ12" s="7">
        <f>((AVERAGE(C7:C12)*('Summary Page'!$C$2+1))*('Summary Page'!$C$2+1))*('Summary Page'!$C$2+1)</f>
        <v>382.93981866666661</v>
      </c>
      <c r="FK12" s="7">
        <f>((AVERAGE(C7:C12)*('Summary Page'!$C$3+1))*('Summary Page'!$C$3+1))*('Summary Page'!$C$3+1)</f>
        <v>479.16666666666674</v>
      </c>
      <c r="FL12" s="7">
        <f>((AVERAGE(C7:C12)*('Summary Page'!$C$4+1))*('Summary Page'!$C$4+1))*('Summary Page'!$C$4+1)</f>
        <v>423.93599999999998</v>
      </c>
      <c r="FO12" s="43"/>
      <c r="FP12" s="7">
        <f>((AVERAGE(D7:D12)*('Summary Page'!$C$2+1))*('Summary Page'!$C$2+1))*('Summary Page'!$C$2+1)</f>
        <v>132.41601066666664</v>
      </c>
      <c r="FQ12" s="7">
        <f>((AVERAGE(D7:D12)*('Summary Page'!$C$3+1))*('Summary Page'!$C$3+1))*('Summary Page'!$C$3+1)</f>
        <v>165.69010416666663</v>
      </c>
      <c r="FR12" s="7">
        <f>((AVERAGE(D7:D12)*('Summary Page'!$C$4+1))*('Summary Page'!$C$4+1))*('Summary Page'!$C$4+1)</f>
        <v>146.59199999999998</v>
      </c>
      <c r="FU12" s="43"/>
      <c r="FV12" s="7">
        <f>((AVERAGE(E7:E12)*('Summary Page'!$C$2+1))*('Summary Page'!$C$2+1))*('Summary Page'!$C$2+1)</f>
        <v>53.590762666666656</v>
      </c>
      <c r="FW12" s="7">
        <f>((AVERAGE(E7:E12)*('Summary Page'!$C$3+1))*('Summary Page'!$C$3+1))*('Summary Page'!$C$3+1)</f>
        <v>67.057291666666686</v>
      </c>
      <c r="FX12" s="7">
        <f>((AVERAGE(E7:E12)*('Summary Page'!$C$4+1))*('Summary Page'!$C$4+1))*('Summary Page'!$C$4+1)</f>
        <v>59.328000000000003</v>
      </c>
      <c r="GA12" s="43"/>
      <c r="GB12" s="7">
        <f>((AVERAGE(F7:F12)*('Summary Page'!$C$2+1))*('Summary Page'!$C$2+1))*('Summary Page'!$C$2+1)</f>
        <v>164.41437866666664</v>
      </c>
      <c r="GC12" s="7">
        <f>((AVERAGE(F7:F12)*('Summary Page'!$C$3+1))*('Summary Page'!$C$3+1))*('Summary Page'!$C$3+1)</f>
        <v>205.72916666666663</v>
      </c>
      <c r="GD12" s="7">
        <f>((AVERAGE(F7:F12)*('Summary Page'!$C$4+1))*('Summary Page'!$C$4+1))*('Summary Page'!$C$4+1)</f>
        <v>182.01599999999996</v>
      </c>
      <c r="GG12" s="43"/>
      <c r="GH12" s="7">
        <f>((AVERAGE(M7:M12)*('Summary Page'!$C$2+1))*('Summary Page'!$C$2+1))*('Summary Page'!$C$2+1)</f>
        <v>145.42347733333332</v>
      </c>
      <c r="GI12" s="7">
        <f>((AVERAGE(M7:M12)*('Summary Page'!$C$3+1))*('Summary Page'!$C$3+1))*('Summary Page'!$C$3+1)</f>
        <v>181.96614583333337</v>
      </c>
      <c r="GJ12" s="7">
        <f>((AVERAGE(M7:M12)*('Summary Page'!$C$4+1))*('Summary Page'!$C$4+1))*('Summary Page'!$C$4+1)</f>
        <v>160.99199999999999</v>
      </c>
      <c r="GM12" s="43"/>
      <c r="GN12" s="7">
        <f>((AVERAGE(G7:G12)*('Summary Page'!$C$2+1))*('Summary Page'!$C$2+1))*('Summary Page'!$C$2+1)</f>
        <v>130.85511466666662</v>
      </c>
      <c r="GO12" s="7">
        <f>((AVERAGE(G7:G12)*('Summary Page'!$C$3+1))*('Summary Page'!$C$3+1))*('Summary Page'!$C$3+1)</f>
        <v>163.73697916666663</v>
      </c>
      <c r="GP12" s="7">
        <f>((AVERAGE(G7:G12)*('Summary Page'!$C$4+1))*('Summary Page'!$C$4+1))*('Summary Page'!$C$4+1)</f>
        <v>144.86399999999998</v>
      </c>
      <c r="GS12" s="43"/>
      <c r="GT12" s="7">
        <f>((AVERAGE(H7:H12)*('Summary Page'!$C$2+1))*('Summary Page'!$C$2+1))*('Summary Page'!$C$2+1)</f>
        <v>86.369578666666655</v>
      </c>
      <c r="GU12" s="7">
        <f>((AVERAGE(H7:H12)*('Summary Page'!$C$3+1))*('Summary Page'!$C$3+1))*('Summary Page'!$C$3+1)</f>
        <v>108.07291666666669</v>
      </c>
      <c r="GV12" s="7">
        <f>((AVERAGE(H7:H12)*('Summary Page'!$C$4+1))*('Summary Page'!$C$4+1))*('Summary Page'!$C$4+1)</f>
        <v>95.616</v>
      </c>
      <c r="GY12" s="43"/>
      <c r="GZ12" s="7">
        <f>((AVERAGE(J7:J12)*('Summary Page'!$C$2+1))*('Summary Page'!$C$2+1))*('Summary Page'!$C$2+1)</f>
        <v>79.60569599999998</v>
      </c>
      <c r="HA12" s="7">
        <f>((AVERAGE(J7:J12)*('Summary Page'!$C$3+1))*('Summary Page'!$C$3+1))*('Summary Page'!$C$3+1)</f>
        <v>99.609375</v>
      </c>
      <c r="HB12" s="7">
        <f>((AVERAGE(J7:J12)*('Summary Page'!$C$4+1))*('Summary Page'!$C$4+1))*('Summary Page'!$C$4+1)</f>
        <v>88.128</v>
      </c>
      <c r="HE12" s="43"/>
      <c r="HF12" s="7">
        <f>((AVERAGE(K7:K12)*('Summary Page'!$C$2+1))*('Summary Page'!$C$2+1))*('Summary Page'!$C$2+1)</f>
        <v>209.42021333333329</v>
      </c>
      <c r="HG12" s="7">
        <f>((AVERAGE(K7:K12)*('Summary Page'!$C$3+1))*('Summary Page'!$C$3+1))*('Summary Page'!$C$3+1)</f>
        <v>262.04427083333326</v>
      </c>
      <c r="HH12" s="7">
        <f>((AVERAGE(K7:K12)*('Summary Page'!$C$4+1))*('Summary Page'!$C$4+1))*('Summary Page'!$C$4+1)</f>
        <v>231.83999999999995</v>
      </c>
      <c r="HK12" s="43"/>
      <c r="HL12" s="7" t="e">
        <f>((AVERAGE(L7:L12)*('Summary Page'!$C$2+1))*('Summary Page'!$C$2+1))*('Summary Page'!$C$2+1)</f>
        <v>#DIV/0!</v>
      </c>
      <c r="HM12" s="7" t="e">
        <f>((AVERAGE(L7:L12)*('Summary Page'!$C$3+1))*('Summary Page'!$C$3+1))*('Summary Page'!$C$3+1)</f>
        <v>#DIV/0!</v>
      </c>
      <c r="HN12" s="7" t="e">
        <f>((AVERAGE(L7:L12)*('Summary Page'!$C$4+1))*('Summary Page'!$C$4+1))*('Summary Page'!$C$4+1)</f>
        <v>#DIV/0!</v>
      </c>
      <c r="HR12" s="7" t="e">
        <f>((AVERAGE(AL7:AL12)*('Summary Page'!$C$2+1))*('Summary Page'!$C$2+1))*('Summary Page'!$C$2+1)</f>
        <v>#DIV/0!</v>
      </c>
      <c r="HS12" s="7" t="e">
        <f>((AVERAGE(AL7:AL12)*('Summary Page'!$C$3+1))*('Summary Page'!$C$3+1))*('Summary Page'!$C$3+1)</f>
        <v>#DIV/0!</v>
      </c>
      <c r="HT12" s="7" t="e">
        <f>((AVERAGE(AL7:AL12)*('Summary Page'!$C$4+1))*('Summary Page'!$C$4+1))*('Summary Page'!$C$4+1)</f>
        <v>#DIV/0!</v>
      </c>
      <c r="HU12" s="7">
        <v>100</v>
      </c>
      <c r="HV12" s="9"/>
    </row>
    <row r="13" spans="1:241" ht="15.75" x14ac:dyDescent="0.25">
      <c r="A13" s="20">
        <v>43479</v>
      </c>
      <c r="B13" s="168"/>
      <c r="C13" s="67">
        <v>74</v>
      </c>
      <c r="D13" s="43">
        <v>66</v>
      </c>
      <c r="E13" s="67">
        <v>38</v>
      </c>
      <c r="F13" s="43">
        <v>111</v>
      </c>
      <c r="G13" s="43">
        <v>86</v>
      </c>
      <c r="H13" s="67">
        <v>59</v>
      </c>
      <c r="I13" s="14">
        <f t="shared" si="1"/>
        <v>73.5</v>
      </c>
      <c r="J13" s="43">
        <v>50</v>
      </c>
      <c r="K13" s="67">
        <v>150</v>
      </c>
      <c r="L13" s="67"/>
      <c r="M13" s="67">
        <v>101</v>
      </c>
      <c r="N13" s="168"/>
      <c r="O13" s="43"/>
      <c r="P13" s="43"/>
      <c r="Q13" s="43"/>
      <c r="R13" s="43"/>
      <c r="S13" s="43"/>
      <c r="T13" s="43"/>
      <c r="U13" s="14" t="e">
        <f t="shared" si="2"/>
        <v>#DIV/0!</v>
      </c>
      <c r="V13" s="43"/>
      <c r="W13" s="43"/>
      <c r="X13" s="43"/>
      <c r="Y13" s="81"/>
      <c r="Z13" s="43"/>
      <c r="AA13" s="43"/>
      <c r="AB13" s="43"/>
      <c r="AC13" s="43"/>
      <c r="AD13" s="43"/>
      <c r="AE13" s="43"/>
      <c r="AF13" s="43"/>
      <c r="AG13" s="14" t="e">
        <f t="shared" si="3"/>
        <v>#DIV/0!</v>
      </c>
      <c r="AH13" s="43"/>
      <c r="AI13" s="43"/>
      <c r="AJ13" s="43"/>
      <c r="AK13" s="43"/>
      <c r="AL13" s="43"/>
      <c r="EM13" s="5">
        <f t="shared" si="4"/>
        <v>85.625</v>
      </c>
      <c r="EN13" s="13"/>
      <c r="EO13" s="13"/>
      <c r="EP13" s="30">
        <f>((AVERAGE(EM8:EM13)*('Summary Page'!$C$2+1))*('Summary Page'!$C$2+1))*('Summary Page'!$C$2+1)</f>
        <v>155.40670799999998</v>
      </c>
      <c r="EQ13" s="7">
        <f>((AVERAGE(EM8:EM13)*('Summary Page'!$C$3+1))*('Summary Page'!$C$3+1))*('Summary Page'!$C$3+1)</f>
        <v>194.4580078125</v>
      </c>
      <c r="ER13" s="7">
        <f>((AVERAGE(EM8:EM13)*('Summary Page'!$C$4+1))*('Summary Page'!$C$4+1))*('Summary Page'!$C$4+1)</f>
        <v>172.04399999999995</v>
      </c>
      <c r="ES13" s="7">
        <v>80</v>
      </c>
      <c r="ET13" s="5">
        <f t="shared" si="5"/>
        <v>73.5</v>
      </c>
      <c r="EU13" s="13"/>
      <c r="EV13" s="13"/>
      <c r="EW13" s="7">
        <f>((AVERAGE(ET8:ET13)*('Summary Page'!$C$2+1))*('Summary Page'!$C$2+1))*('Summary Page'!$C$2+1)</f>
        <v>110.82361599999999</v>
      </c>
      <c r="EX13" s="7">
        <f>((AVERAGE(ET8:ET13)*('Summary Page'!$C$3+1))*('Summary Page'!$C$3+1))*('Summary Page'!$C$3+1)</f>
        <v>138.671875</v>
      </c>
      <c r="EY13" s="7">
        <f>((AVERAGE(ET8:ET13)*('Summary Page'!$C$4+1))*('Summary Page'!$C$4+1))*('Summary Page'!$C$4+1)</f>
        <v>122.68799999999999</v>
      </c>
      <c r="EZ13" s="5">
        <f t="shared" si="6"/>
        <v>125.5</v>
      </c>
      <c r="FA13" s="13"/>
      <c r="FB13" s="13"/>
      <c r="FC13" s="7">
        <f>((AVERAGE(EZ8:EZ13)*('Summary Page'!$C$2+1))*('Summary Page'!$C$2+1))*('Summary Page'!$C$2+1)</f>
        <v>182.62483199999997</v>
      </c>
      <c r="FD13" s="7">
        <f>((AVERAGE(EZ8:EZ13)*('Summary Page'!$C$3+1))*('Summary Page'!$C$3+1))*('Summary Page'!$C$3+1)</f>
        <v>228.515625</v>
      </c>
      <c r="FE13" s="7">
        <f>((AVERAGE(EZ8:EZ13)*('Summary Page'!$C$4+1))*('Summary Page'!$C$4+1))*('Summary Page'!$C$4+1)</f>
        <v>202.17599999999999</v>
      </c>
      <c r="FF13" s="5">
        <f t="shared" si="7"/>
        <v>88.45</v>
      </c>
      <c r="FI13" s="43"/>
      <c r="FJ13" s="7">
        <f>((AVERAGE(C8:C13)*('Summary Page'!$C$2+1))*('Summary Page'!$C$2+1))*('Summary Page'!$C$2+1)</f>
        <v>310.87845333333325</v>
      </c>
      <c r="FK13" s="7">
        <f>((AVERAGE(C8:C13)*('Summary Page'!$C$3+1))*('Summary Page'!$C$3+1))*('Summary Page'!$C$3+1)</f>
        <v>388.99739583333326</v>
      </c>
      <c r="FL13" s="7">
        <f>((AVERAGE(C8:C13)*('Summary Page'!$C$4+1))*('Summary Page'!$C$4+1))*('Summary Page'!$C$4+1)</f>
        <v>344.15999999999991</v>
      </c>
      <c r="FO13" s="43"/>
      <c r="FP13" s="7">
        <f>((AVERAGE(D8:D13)*('Summary Page'!$C$2+1))*('Summary Page'!$C$2+1))*('Summary Page'!$C$2+1)</f>
        <v>123.83108266666663</v>
      </c>
      <c r="FQ13" s="7">
        <f>((AVERAGE(D8:D13)*('Summary Page'!$C$3+1))*('Summary Page'!$C$3+1))*('Summary Page'!$C$3+1)</f>
        <v>154.94791666666663</v>
      </c>
      <c r="FR13" s="7">
        <f>((AVERAGE(D8:D13)*('Summary Page'!$C$4+1))*('Summary Page'!$C$4+1))*('Summary Page'!$C$4+1)</f>
        <v>137.08799999999997</v>
      </c>
      <c r="FU13" s="43"/>
      <c r="FV13" s="7">
        <f>((AVERAGE(E8:E13)*('Summary Page'!$C$2+1))*('Summary Page'!$C$2+1))*('Summary Page'!$C$2+1)</f>
        <v>56.192255999999986</v>
      </c>
      <c r="FW13" s="7">
        <f>((AVERAGE(E8:E13)*('Summary Page'!$C$3+1))*('Summary Page'!$C$3+1))*('Summary Page'!$C$3+1)</f>
        <v>70.3125</v>
      </c>
      <c r="FX13" s="7">
        <f>((AVERAGE(E8:E13)*('Summary Page'!$C$4+1))*('Summary Page'!$C$4+1))*('Summary Page'!$C$4+1)</f>
        <v>62.207999999999991</v>
      </c>
      <c r="GA13" s="43"/>
      <c r="GB13" s="7">
        <f>((AVERAGE(F8:F13)*('Summary Page'!$C$2+1))*('Summary Page'!$C$2+1))*('Summary Page'!$C$2+1)</f>
        <v>166.49557333333331</v>
      </c>
      <c r="GC13" s="7">
        <f>((AVERAGE(F8:F13)*('Summary Page'!$C$3+1))*('Summary Page'!$C$3+1))*('Summary Page'!$C$3+1)</f>
        <v>208.33333333333337</v>
      </c>
      <c r="GD13" s="7">
        <f>((AVERAGE(F8:F13)*('Summary Page'!$C$4+1))*('Summary Page'!$C$4+1))*('Summary Page'!$C$4+1)</f>
        <v>184.32</v>
      </c>
      <c r="GG13" s="43"/>
      <c r="GH13" s="7">
        <f>((AVERAGE(M8:M13)*('Summary Page'!$C$2+1))*('Summary Page'!$C$2+1))*('Summary Page'!$C$2+1)</f>
        <v>147.24452266666663</v>
      </c>
      <c r="GI13" s="7">
        <f>((AVERAGE(M8:M13)*('Summary Page'!$C$3+1))*('Summary Page'!$C$3+1))*('Summary Page'!$C$3+1)</f>
        <v>184.24479166666663</v>
      </c>
      <c r="GJ13" s="7">
        <f>((AVERAGE(M8:M13)*('Summary Page'!$C$4+1))*('Summary Page'!$C$4+1))*('Summary Page'!$C$4+1)</f>
        <v>163.00799999999995</v>
      </c>
      <c r="GM13" s="43"/>
      <c r="GN13" s="7">
        <f>((AVERAGE(G8:G13)*('Summary Page'!$C$2+1))*('Summary Page'!$C$2+1))*('Summary Page'!$C$2+1)</f>
        <v>132.67615999999998</v>
      </c>
      <c r="GO13" s="7">
        <f>((AVERAGE(G8:G13)*('Summary Page'!$C$3+1))*('Summary Page'!$C$3+1))*('Summary Page'!$C$3+1)</f>
        <v>166.015625</v>
      </c>
      <c r="GP13" s="7">
        <f>((AVERAGE(G8:G13)*('Summary Page'!$C$4+1))*('Summary Page'!$C$4+1))*('Summary Page'!$C$4+1)</f>
        <v>146.88</v>
      </c>
      <c r="GS13" s="43"/>
      <c r="GT13" s="7">
        <f>((AVERAGE(H8:H13)*('Summary Page'!$C$2+1))*('Summary Page'!$C$2+1))*('Summary Page'!$C$2+1)</f>
        <v>87.930474666666655</v>
      </c>
      <c r="GU13" s="7">
        <f>((AVERAGE(H8:H13)*('Summary Page'!$C$3+1))*('Summary Page'!$C$3+1))*('Summary Page'!$C$3+1)</f>
        <v>110.02604166666669</v>
      </c>
      <c r="GV13" s="7">
        <f>((AVERAGE(H8:H13)*('Summary Page'!$C$4+1))*('Summary Page'!$C$4+1))*('Summary Page'!$C$4+1)</f>
        <v>97.34399999999998</v>
      </c>
      <c r="GY13" s="43"/>
      <c r="GZ13" s="7">
        <f>((AVERAGE(J8:J13)*('Summary Page'!$C$2+1))*('Summary Page'!$C$2+1))*('Summary Page'!$C$2+1)</f>
        <v>82.467338666666649</v>
      </c>
      <c r="HA13" s="7">
        <f>((AVERAGE(J8:J13)*('Summary Page'!$C$3+1))*('Summary Page'!$C$3+1))*('Summary Page'!$C$3+1)</f>
        <v>103.19010416666669</v>
      </c>
      <c r="HB13" s="7">
        <f>((AVERAGE(J8:J13)*('Summary Page'!$C$4+1))*('Summary Page'!$C$4+1))*('Summary Page'!$C$4+1)</f>
        <v>91.295999999999992</v>
      </c>
      <c r="HE13" s="43"/>
      <c r="HF13" s="7">
        <f>((AVERAGE(K8:K13)*('Summary Page'!$C$2+1))*('Summary Page'!$C$2+1))*('Summary Page'!$C$2+1)</f>
        <v>218.00514133333328</v>
      </c>
      <c r="HG13" s="7">
        <f>((AVERAGE(K8:K13)*('Summary Page'!$C$3+1))*('Summary Page'!$C$3+1))*('Summary Page'!$C$3+1)</f>
        <v>272.78645833333326</v>
      </c>
      <c r="HH13" s="7">
        <f>((AVERAGE(K8:K13)*('Summary Page'!$C$4+1))*('Summary Page'!$C$4+1))*('Summary Page'!$C$4+1)</f>
        <v>241.34399999999997</v>
      </c>
      <c r="HK13" s="43"/>
      <c r="HL13" s="7" t="e">
        <f>((AVERAGE(L8:L13)*('Summary Page'!$C$2+1))*('Summary Page'!$C$2+1))*('Summary Page'!$C$2+1)</f>
        <v>#DIV/0!</v>
      </c>
      <c r="HM13" s="7" t="e">
        <f>((AVERAGE(L8:L13)*('Summary Page'!$C$3+1))*('Summary Page'!$C$3+1))*('Summary Page'!$C$3+1)</f>
        <v>#DIV/0!</v>
      </c>
      <c r="HN13" s="7" t="e">
        <f>((AVERAGE(L8:L13)*('Summary Page'!$C$4+1))*('Summary Page'!$C$4+1))*('Summary Page'!$C$4+1)</f>
        <v>#DIV/0!</v>
      </c>
      <c r="HR13" s="7" t="e">
        <f>((AVERAGE(AL8:AL13)*('Summary Page'!$C$2+1))*('Summary Page'!$C$2+1))*('Summary Page'!$C$2+1)</f>
        <v>#DIV/0!</v>
      </c>
      <c r="HS13" s="7" t="e">
        <f>((AVERAGE(AL8:AL13)*('Summary Page'!$C$3+1))*('Summary Page'!$C$3+1))*('Summary Page'!$C$3+1)</f>
        <v>#DIV/0!</v>
      </c>
      <c r="HT13" s="7" t="e">
        <f>((AVERAGE(AL8:AL13)*('Summary Page'!$C$4+1))*('Summary Page'!$C$4+1))*('Summary Page'!$C$4+1)</f>
        <v>#DIV/0!</v>
      </c>
      <c r="HU13" s="7">
        <v>100</v>
      </c>
      <c r="HV13" s="9"/>
    </row>
    <row r="14" spans="1:241" ht="15.75" x14ac:dyDescent="0.25">
      <c r="A14" s="20">
        <v>43493</v>
      </c>
      <c r="B14" s="168"/>
      <c r="C14" s="67">
        <v>8</v>
      </c>
      <c r="D14" s="43">
        <v>63</v>
      </c>
      <c r="E14" s="67">
        <v>32</v>
      </c>
      <c r="F14" s="43">
        <v>109</v>
      </c>
      <c r="G14" s="43">
        <v>70</v>
      </c>
      <c r="H14" s="67">
        <v>46</v>
      </c>
      <c r="I14" s="14">
        <f t="shared" si="1"/>
        <v>64.25</v>
      </c>
      <c r="J14" s="43">
        <v>8</v>
      </c>
      <c r="K14" s="67">
        <v>128</v>
      </c>
      <c r="L14" s="67"/>
      <c r="M14" s="67">
        <v>90</v>
      </c>
      <c r="N14" s="168"/>
      <c r="O14" s="43"/>
      <c r="P14" s="43"/>
      <c r="Q14" s="43"/>
      <c r="R14" s="43"/>
      <c r="S14" s="43"/>
      <c r="T14" s="43"/>
      <c r="U14" s="14" t="e">
        <f t="shared" si="2"/>
        <v>#DIV/0!</v>
      </c>
      <c r="V14" s="43"/>
      <c r="W14" s="43"/>
      <c r="X14" s="43"/>
      <c r="Y14" s="81"/>
      <c r="Z14" s="43"/>
      <c r="AA14" s="43"/>
      <c r="AB14" s="43"/>
      <c r="AC14" s="43"/>
      <c r="AD14" s="43"/>
      <c r="AE14" s="43"/>
      <c r="AF14" s="43"/>
      <c r="AG14" s="14" t="e">
        <f t="shared" si="3"/>
        <v>#DIV/0!</v>
      </c>
      <c r="AH14" s="43"/>
      <c r="AI14" s="43"/>
      <c r="AJ14" s="43"/>
      <c r="AK14" s="43"/>
      <c r="AL14" s="43"/>
      <c r="EM14" s="5">
        <f t="shared" si="4"/>
        <v>68.25</v>
      </c>
      <c r="EN14" s="13"/>
      <c r="EO14" s="13"/>
      <c r="EP14" s="30">
        <f>((AVERAGE(EM9:EM14)*('Summary Page'!$C$2+1))*('Summary Page'!$C$2+1))*('Summary Page'!$C$2+1)</f>
        <v>143.99265599999995</v>
      </c>
      <c r="EQ14" s="7">
        <f>((AVERAGE(EM9:EM14)*('Summary Page'!$C$3+1))*('Summary Page'!$C$3+1))*('Summary Page'!$C$3+1)</f>
        <v>180.17578125</v>
      </c>
      <c r="ER14" s="7">
        <f>((AVERAGE(EM9:EM14)*('Summary Page'!$C$4+1))*('Summary Page'!$C$4+1))*('Summary Page'!$C$4+1)</f>
        <v>159.40799999999999</v>
      </c>
      <c r="ES14" s="7">
        <v>80</v>
      </c>
      <c r="ET14" s="5">
        <f t="shared" si="5"/>
        <v>64.25</v>
      </c>
      <c r="EU14" s="13"/>
      <c r="EV14" s="13"/>
      <c r="EW14" s="7">
        <f>((AVERAGE(ET9:ET14)*('Summary Page'!$C$2+1))*('Summary Page'!$C$2+1))*('Summary Page'!$C$2+1)</f>
        <v>110.43339199999997</v>
      </c>
      <c r="EX14" s="7">
        <f>((AVERAGE(ET9:ET14)*('Summary Page'!$C$3+1))*('Summary Page'!$C$3+1))*('Summary Page'!$C$3+1)</f>
        <v>138.18359375</v>
      </c>
      <c r="EY14" s="7">
        <f>((AVERAGE(ET9:ET14)*('Summary Page'!$C$4+1))*('Summary Page'!$C$4+1))*('Summary Page'!$C$4+1)</f>
        <v>122.25599999999997</v>
      </c>
      <c r="EZ14" s="5">
        <f t="shared" si="6"/>
        <v>109</v>
      </c>
      <c r="FA14" s="13"/>
      <c r="FB14" s="13"/>
      <c r="FC14" s="7">
        <f>((AVERAGE(EZ9:EZ14)*('Summary Page'!$C$2+1))*('Summary Page'!$C$2+1))*('Summary Page'!$C$2+1)</f>
        <v>183.79550399999999</v>
      </c>
      <c r="FD14" s="7">
        <f>((AVERAGE(EZ9:EZ14)*('Summary Page'!$C$3+1))*('Summary Page'!$C$3+1))*('Summary Page'!$C$3+1)</f>
        <v>229.98046875</v>
      </c>
      <c r="FE14" s="7">
        <f>((AVERAGE(EZ9:EZ14)*('Summary Page'!$C$4+1))*('Summary Page'!$C$4+1))*('Summary Page'!$C$4+1)</f>
        <v>203.47199999999995</v>
      </c>
      <c r="FF14" s="5">
        <f t="shared" si="7"/>
        <v>73.825000000000003</v>
      </c>
      <c r="FI14" s="43"/>
      <c r="FJ14" s="7">
        <f>((AVERAGE(C9:C14)*('Summary Page'!$C$2+1))*('Summary Page'!$C$2+1))*('Summary Page'!$C$2+1)</f>
        <v>225.54947199999995</v>
      </c>
      <c r="FK14" s="7">
        <f>((AVERAGE(C9:C14)*('Summary Page'!$C$3+1))*('Summary Page'!$C$3+1))*('Summary Page'!$C$3+1)</f>
        <v>282.2265625</v>
      </c>
      <c r="FL14" s="7">
        <f>((AVERAGE(C9:C14)*('Summary Page'!$C$4+1))*('Summary Page'!$C$4+1))*('Summary Page'!$C$4+1)</f>
        <v>249.696</v>
      </c>
      <c r="FO14" s="43"/>
      <c r="FP14" s="7">
        <f>((AVERAGE(D9:D14)*('Summary Page'!$C$2+1))*('Summary Page'!$C$2+1))*('Summary Page'!$C$2+1)</f>
        <v>117.06719999999997</v>
      </c>
      <c r="FQ14" s="7">
        <f>((AVERAGE(D9:D14)*('Summary Page'!$C$3+1))*('Summary Page'!$C$3+1))*('Summary Page'!$C$3+1)</f>
        <v>146.484375</v>
      </c>
      <c r="FR14" s="7">
        <f>((AVERAGE(D9:D14)*('Summary Page'!$C$4+1))*('Summary Page'!$C$4+1))*('Summary Page'!$C$4+1)</f>
        <v>129.6</v>
      </c>
      <c r="FU14" s="43"/>
      <c r="FV14" s="7">
        <f>((AVERAGE(E9:E14)*('Summary Page'!$C$2+1))*('Summary Page'!$C$2+1))*('Summary Page'!$C$2+1)</f>
        <v>58.273450666666655</v>
      </c>
      <c r="FW14" s="7">
        <f>((AVERAGE(E9:E14)*('Summary Page'!$C$3+1))*('Summary Page'!$C$3+1))*('Summary Page'!$C$3+1)</f>
        <v>72.916666666666686</v>
      </c>
      <c r="FX14" s="7">
        <f>((AVERAGE(E9:E14)*('Summary Page'!$C$4+1))*('Summary Page'!$C$4+1))*('Summary Page'!$C$4+1)</f>
        <v>64.512</v>
      </c>
      <c r="GA14" s="43"/>
      <c r="GB14" s="7">
        <f>((AVERAGE(F9:F14)*('Summary Page'!$C$2+1))*('Summary Page'!$C$2+1))*('Summary Page'!$C$2+1)</f>
        <v>167.53617066666661</v>
      </c>
      <c r="GC14" s="7">
        <f>((AVERAGE(F9:F14)*('Summary Page'!$C$3+1))*('Summary Page'!$C$3+1))*('Summary Page'!$C$3+1)</f>
        <v>209.63541666666663</v>
      </c>
      <c r="GD14" s="7">
        <f>((AVERAGE(F9:F14)*('Summary Page'!$C$4+1))*('Summary Page'!$C$4+1))*('Summary Page'!$C$4+1)</f>
        <v>185.47199999999995</v>
      </c>
      <c r="GG14" s="43"/>
      <c r="GH14" s="7">
        <f>((AVERAGE(M9:M14)*('Summary Page'!$C$2+1))*('Summary Page'!$C$2+1))*('Summary Page'!$C$2+1)</f>
        <v>145.94377599999996</v>
      </c>
      <c r="GI14" s="7">
        <f>((AVERAGE(M9:M14)*('Summary Page'!$C$3+1))*('Summary Page'!$C$3+1))*('Summary Page'!$C$3+1)</f>
        <v>182.6171875</v>
      </c>
      <c r="GJ14" s="7">
        <f>((AVERAGE(M9:M14)*('Summary Page'!$C$4+1))*('Summary Page'!$C$4+1))*('Summary Page'!$C$4+1)</f>
        <v>161.56799999999998</v>
      </c>
      <c r="GM14" s="43"/>
      <c r="GN14" s="7">
        <f>((AVERAGE(G9:G14)*('Summary Page'!$C$2+1))*('Summary Page'!$C$2+1))*('Summary Page'!$C$2+1)</f>
        <v>129.55436799999998</v>
      </c>
      <c r="GO14" s="7">
        <f>((AVERAGE(G9:G14)*('Summary Page'!$C$3+1))*('Summary Page'!$C$3+1))*('Summary Page'!$C$3+1)</f>
        <v>162.109375</v>
      </c>
      <c r="GP14" s="7">
        <f>((AVERAGE(G9:G14)*('Summary Page'!$C$4+1))*('Summary Page'!$C$4+1))*('Summary Page'!$C$4+1)</f>
        <v>143.42399999999998</v>
      </c>
      <c r="GS14" s="43"/>
      <c r="GT14" s="7">
        <f>((AVERAGE(H9:H14)*('Summary Page'!$C$2+1))*('Summary Page'!$C$2+1))*('Summary Page'!$C$2+1)</f>
        <v>86.369578666666655</v>
      </c>
      <c r="GU14" s="7">
        <f>((AVERAGE(H9:H14)*('Summary Page'!$C$3+1))*('Summary Page'!$C$3+1))*('Summary Page'!$C$3+1)</f>
        <v>108.07291666666669</v>
      </c>
      <c r="GV14" s="7">
        <f>((AVERAGE(H9:H14)*('Summary Page'!$C$4+1))*('Summary Page'!$C$4+1))*('Summary Page'!$C$4+1)</f>
        <v>95.616</v>
      </c>
      <c r="GY14" s="43"/>
      <c r="GZ14" s="7">
        <f>((AVERAGE(J9:J14)*('Summary Page'!$C$2+1))*('Summary Page'!$C$2+1))*('Summary Page'!$C$2+1)</f>
        <v>72.841813333333306</v>
      </c>
      <c r="HA14" s="7">
        <f>((AVERAGE(J9:J14)*('Summary Page'!$C$3+1))*('Summary Page'!$C$3+1))*('Summary Page'!$C$3+1)</f>
        <v>91.145833333333314</v>
      </c>
      <c r="HB14" s="7">
        <f>((AVERAGE(J9:J14)*('Summary Page'!$C$4+1))*('Summary Page'!$C$4+1))*('Summary Page'!$C$4+1)</f>
        <v>80.639999999999986</v>
      </c>
      <c r="HE14" s="43"/>
      <c r="HF14" s="7">
        <f>((AVERAGE(K9:K14)*('Summary Page'!$C$2+1))*('Summary Page'!$C$2+1))*('Summary Page'!$C$2+1)</f>
        <v>221.64723199999997</v>
      </c>
      <c r="HG14" s="7">
        <f>((AVERAGE(K9:K14)*('Summary Page'!$C$3+1))*('Summary Page'!$C$3+1))*('Summary Page'!$C$3+1)</f>
        <v>277.34375</v>
      </c>
      <c r="HH14" s="7">
        <f>((AVERAGE(K9:K14)*('Summary Page'!$C$4+1))*('Summary Page'!$C$4+1))*('Summary Page'!$C$4+1)</f>
        <v>245.37599999999998</v>
      </c>
      <c r="HK14" s="43"/>
      <c r="HL14" s="7" t="e">
        <f>((AVERAGE(L9:L14)*('Summary Page'!$C$2+1))*('Summary Page'!$C$2+1))*('Summary Page'!$C$2+1)</f>
        <v>#DIV/0!</v>
      </c>
      <c r="HM14" s="7" t="e">
        <f>((AVERAGE(L9:L14)*('Summary Page'!$C$3+1))*('Summary Page'!$C$3+1))*('Summary Page'!$C$3+1)</f>
        <v>#DIV/0!</v>
      </c>
      <c r="HN14" s="7" t="e">
        <f>((AVERAGE(L9:L14)*('Summary Page'!$C$4+1))*('Summary Page'!$C$4+1))*('Summary Page'!$C$4+1)</f>
        <v>#DIV/0!</v>
      </c>
      <c r="HR14" s="7" t="e">
        <f>((AVERAGE(AL9:AL14)*('Summary Page'!$C$2+1))*('Summary Page'!$C$2+1))*('Summary Page'!$C$2+1)</f>
        <v>#DIV/0!</v>
      </c>
      <c r="HS14" s="7" t="e">
        <f>((AVERAGE(AL9:AL14)*('Summary Page'!$C$3+1))*('Summary Page'!$C$3+1))*('Summary Page'!$C$3+1)</f>
        <v>#DIV/0!</v>
      </c>
      <c r="HT14" s="7" t="e">
        <f>((AVERAGE(AL9:AL14)*('Summary Page'!$C$4+1))*('Summary Page'!$C$4+1))*('Summary Page'!$C$4+1)</f>
        <v>#DIV/0!</v>
      </c>
      <c r="HU14" s="7">
        <v>100</v>
      </c>
      <c r="HV14" s="9"/>
    </row>
    <row r="15" spans="1:241" ht="15.75" x14ac:dyDescent="0.25">
      <c r="A15" s="20">
        <v>43510</v>
      </c>
      <c r="B15" s="168"/>
      <c r="C15" s="67">
        <v>46</v>
      </c>
      <c r="D15" s="43">
        <v>23</v>
      </c>
      <c r="E15" s="67">
        <v>26</v>
      </c>
      <c r="F15" s="43">
        <v>83</v>
      </c>
      <c r="G15" s="43">
        <v>57</v>
      </c>
      <c r="H15" s="67">
        <v>28</v>
      </c>
      <c r="I15" s="14">
        <f t="shared" si="1"/>
        <v>48.5</v>
      </c>
      <c r="J15" s="43">
        <v>8</v>
      </c>
      <c r="K15" s="67">
        <v>48</v>
      </c>
      <c r="L15" s="67"/>
      <c r="M15" s="67">
        <v>78</v>
      </c>
      <c r="N15" s="168"/>
      <c r="O15" s="43"/>
      <c r="P15" s="43"/>
      <c r="Q15" s="43"/>
      <c r="R15" s="43"/>
      <c r="S15" s="43"/>
      <c r="T15" s="43"/>
      <c r="U15" s="14" t="e">
        <f t="shared" si="2"/>
        <v>#DIV/0!</v>
      </c>
      <c r="V15" s="43"/>
      <c r="W15" s="43"/>
      <c r="X15" s="43"/>
      <c r="Y15" s="81"/>
      <c r="Z15" s="43"/>
      <c r="AA15" s="43"/>
      <c r="AB15" s="43"/>
      <c r="AC15" s="43"/>
      <c r="AD15" s="43"/>
      <c r="AE15" s="43"/>
      <c r="AF15" s="43"/>
      <c r="AG15" s="14" t="e">
        <f t="shared" si="3"/>
        <v>#DIV/0!</v>
      </c>
      <c r="AH15" s="43"/>
      <c r="AI15" s="43"/>
      <c r="AJ15" s="43"/>
      <c r="AK15" s="43"/>
      <c r="AL15" s="43"/>
      <c r="EM15" s="5">
        <f t="shared" si="4"/>
        <v>48.625</v>
      </c>
      <c r="EN15" s="13"/>
      <c r="EO15" s="13"/>
      <c r="EP15" s="30">
        <f>((AVERAGE(EM10:EM15)*('Summary Page'!$C$2+1))*('Summary Page'!$C$2+1))*('Summary Page'!$C$2+1)</f>
        <v>128.31865866666664</v>
      </c>
      <c r="EQ15" s="7">
        <f>((AVERAGE(EM10:EM15)*('Summary Page'!$C$3+1))*('Summary Page'!$C$3+1))*('Summary Page'!$C$3+1)</f>
        <v>160.56315104166663</v>
      </c>
      <c r="ER15" s="7">
        <f>((AVERAGE(EM10:EM15)*('Summary Page'!$C$4+1))*('Summary Page'!$C$4+1))*('Summary Page'!$C$4+1)</f>
        <v>142.05599999999998</v>
      </c>
      <c r="ES15" s="7">
        <v>80</v>
      </c>
      <c r="ET15" s="5">
        <f t="shared" si="5"/>
        <v>48.5</v>
      </c>
      <c r="EU15" s="13"/>
      <c r="EV15" s="13"/>
      <c r="EW15" s="7">
        <f>((AVERAGE(ET10:ET15)*('Summary Page'!$C$2+1))*('Summary Page'!$C$2+1))*('Summary Page'!$C$2+1)</f>
        <v>104.31988266666664</v>
      </c>
      <c r="EX15" s="7">
        <f>((AVERAGE(ET10:ET15)*('Summary Page'!$C$3+1))*('Summary Page'!$C$3+1))*('Summary Page'!$C$3+1)</f>
        <v>130.53385416666663</v>
      </c>
      <c r="EY15" s="7">
        <f>((AVERAGE(ET10:ET15)*('Summary Page'!$C$4+1))*('Summary Page'!$C$4+1))*('Summary Page'!$C$4+1)</f>
        <v>115.48799999999997</v>
      </c>
      <c r="EZ15" s="5">
        <f t="shared" si="6"/>
        <v>63</v>
      </c>
      <c r="FA15" s="13"/>
      <c r="FB15" s="13"/>
      <c r="FC15" s="7">
        <f>((AVERAGE(EZ10:EZ15)*('Summary Page'!$C$2+1))*('Summary Page'!$C$2+1))*('Summary Page'!$C$2+1)</f>
        <v>170.78803733333331</v>
      </c>
      <c r="FD15" s="7">
        <f>((AVERAGE(EZ10:EZ15)*('Summary Page'!$C$3+1))*('Summary Page'!$C$3+1))*('Summary Page'!$C$3+1)</f>
        <v>213.70442708333337</v>
      </c>
      <c r="FE15" s="7">
        <f>((AVERAGE(EZ10:EZ15)*('Summary Page'!$C$4+1))*('Summary Page'!$C$4+1))*('Summary Page'!$C$4+1)</f>
        <v>189.072</v>
      </c>
      <c r="FF15" s="5">
        <f t="shared" si="7"/>
        <v>44.75</v>
      </c>
      <c r="FI15" s="43"/>
      <c r="FJ15" s="7">
        <f>((AVERAGE(C10:C15)*('Summary Page'!$C$2+1))*('Summary Page'!$C$2+1))*('Summary Page'!$C$2+1)</f>
        <v>168.0564693333333</v>
      </c>
      <c r="FK15" s="7">
        <f>((AVERAGE(C10:C15)*('Summary Page'!$C$3+1))*('Summary Page'!$C$3+1))*('Summary Page'!$C$3+1)</f>
        <v>210.28645833333337</v>
      </c>
      <c r="FL15" s="7">
        <f>((AVERAGE(C10:C15)*('Summary Page'!$C$4+1))*('Summary Page'!$C$4+1))*('Summary Page'!$C$4+1)</f>
        <v>186.04799999999997</v>
      </c>
      <c r="FO15" s="43"/>
      <c r="FP15" s="7">
        <f>((AVERAGE(D10:D15)*('Summary Page'!$C$2+1))*('Summary Page'!$C$2+1))*('Summary Page'!$C$2+1)</f>
        <v>99.637194666666659</v>
      </c>
      <c r="FQ15" s="7">
        <f>((AVERAGE(D10:D15)*('Summary Page'!$C$3+1))*('Summary Page'!$C$3+1))*('Summary Page'!$C$3+1)</f>
        <v>124.67447916666669</v>
      </c>
      <c r="FR15" s="7">
        <f>((AVERAGE(D10:D15)*('Summary Page'!$C$4+1))*('Summary Page'!$C$4+1))*('Summary Page'!$C$4+1)</f>
        <v>110.30399999999999</v>
      </c>
      <c r="FU15" s="43"/>
      <c r="FV15" s="7">
        <f>((AVERAGE(E10:E15)*('Summary Page'!$C$2+1))*('Summary Page'!$C$2+1))*('Summary Page'!$C$2+1)</f>
        <v>55.151658666666656</v>
      </c>
      <c r="FW15" s="7">
        <f>((AVERAGE(E10:E15)*('Summary Page'!$C$3+1))*('Summary Page'!$C$3+1))*('Summary Page'!$C$3+1)</f>
        <v>69.010416666666686</v>
      </c>
      <c r="FX15" s="7">
        <f>((AVERAGE(E10:E15)*('Summary Page'!$C$4+1))*('Summary Page'!$C$4+1))*('Summary Page'!$C$4+1)</f>
        <v>61.05599999999999</v>
      </c>
      <c r="GA15" s="43"/>
      <c r="GB15" s="7">
        <f>((AVERAGE(F10:F15)*('Summary Page'!$C$2+1))*('Summary Page'!$C$2+1))*('Summary Page'!$C$2+1)</f>
        <v>161.29258666666661</v>
      </c>
      <c r="GC15" s="7">
        <f>((AVERAGE(F10:F15)*('Summary Page'!$C$3+1))*('Summary Page'!$C$3+1))*('Summary Page'!$C$3+1)</f>
        <v>201.82291666666663</v>
      </c>
      <c r="GD15" s="7">
        <f>((AVERAGE(F10:F15)*('Summary Page'!$C$4+1))*('Summary Page'!$C$4+1))*('Summary Page'!$C$4+1)</f>
        <v>178.55999999999997</v>
      </c>
      <c r="GG15" s="43"/>
      <c r="GH15" s="7">
        <f>((AVERAGE(M10:M15)*('Summary Page'!$C$2+1))*('Summary Page'!$C$2+1))*('Summary Page'!$C$2+1)</f>
        <v>143.0821333333333</v>
      </c>
      <c r="GI15" s="7">
        <f>((AVERAGE(M10:M15)*('Summary Page'!$C$3+1))*('Summary Page'!$C$3+1))*('Summary Page'!$C$3+1)</f>
        <v>179.03645833333337</v>
      </c>
      <c r="GJ15" s="7">
        <f>((AVERAGE(M10:M15)*('Summary Page'!$C$4+1))*('Summary Page'!$C$4+1))*('Summary Page'!$C$4+1)</f>
        <v>158.4</v>
      </c>
      <c r="GM15" s="43"/>
      <c r="GN15" s="7">
        <f>((AVERAGE(G10:G15)*('Summary Page'!$C$2+1))*('Summary Page'!$C$2+1))*('Summary Page'!$C$2+1)</f>
        <v>122.0100373333333</v>
      </c>
      <c r="GO15" s="7">
        <f>((AVERAGE(G10:G15)*('Summary Page'!$C$3+1))*('Summary Page'!$C$3+1))*('Summary Page'!$C$3+1)</f>
        <v>152.66927083333337</v>
      </c>
      <c r="GP15" s="7">
        <f>((AVERAGE(G10:G15)*('Summary Page'!$C$4+1))*('Summary Page'!$C$4+1))*('Summary Page'!$C$4+1)</f>
        <v>135.07199999999997</v>
      </c>
      <c r="GS15" s="43"/>
      <c r="GT15" s="7">
        <f>((AVERAGE(H10:H15)*('Summary Page'!$C$2+1))*('Summary Page'!$C$2+1))*('Summary Page'!$C$2+1)</f>
        <v>78.825247999999988</v>
      </c>
      <c r="GU15" s="7">
        <f>((AVERAGE(H10:H15)*('Summary Page'!$C$3+1))*('Summary Page'!$C$3+1))*('Summary Page'!$C$3+1)</f>
        <v>98.6328125</v>
      </c>
      <c r="GV15" s="7">
        <f>((AVERAGE(H10:H15)*('Summary Page'!$C$4+1))*('Summary Page'!$C$4+1))*('Summary Page'!$C$4+1)</f>
        <v>87.263999999999982</v>
      </c>
      <c r="GY15" s="43"/>
      <c r="GZ15" s="7">
        <f>((AVERAGE(J10:J15)*('Summary Page'!$C$2+1))*('Summary Page'!$C$2+1))*('Summary Page'!$C$2+1)</f>
        <v>60.874943999999985</v>
      </c>
      <c r="HA15" s="7">
        <f>((AVERAGE(J10:J15)*('Summary Page'!$C$3+1))*('Summary Page'!$C$3+1))*('Summary Page'!$C$3+1)</f>
        <v>76.171875</v>
      </c>
      <c r="HB15" s="7">
        <f>((AVERAGE(J10:J15)*('Summary Page'!$C$4+1))*('Summary Page'!$C$4+1))*('Summary Page'!$C$4+1)</f>
        <v>67.391999999999996</v>
      </c>
      <c r="HE15" s="43"/>
      <c r="HF15" s="7">
        <f>((AVERAGE(K10:K15)*('Summary Page'!$C$2+1))*('Summary Page'!$C$2+1))*('Summary Page'!$C$2+1)</f>
        <v>198.49394133333328</v>
      </c>
      <c r="HG15" s="7">
        <f>((AVERAGE(K10:K15)*('Summary Page'!$C$3+1))*('Summary Page'!$C$3+1))*('Summary Page'!$C$3+1)</f>
        <v>248.37239583333337</v>
      </c>
      <c r="HH15" s="7">
        <f>((AVERAGE(K10:K15)*('Summary Page'!$C$4+1))*('Summary Page'!$C$4+1))*('Summary Page'!$C$4+1)</f>
        <v>219.74399999999997</v>
      </c>
      <c r="HK15" s="43"/>
      <c r="HL15" s="7" t="e">
        <f>((AVERAGE(L10:L15)*('Summary Page'!$C$2+1))*('Summary Page'!$C$2+1))*('Summary Page'!$C$2+1)</f>
        <v>#DIV/0!</v>
      </c>
      <c r="HM15" s="7" t="e">
        <f>((AVERAGE(L10:L15)*('Summary Page'!$C$3+1))*('Summary Page'!$C$3+1))*('Summary Page'!$C$3+1)</f>
        <v>#DIV/0!</v>
      </c>
      <c r="HN15" s="7" t="e">
        <f>((AVERAGE(L10:L15)*('Summary Page'!$C$4+1))*('Summary Page'!$C$4+1))*('Summary Page'!$C$4+1)</f>
        <v>#DIV/0!</v>
      </c>
      <c r="HR15" s="7" t="e">
        <f>((AVERAGE(AL10:AL15)*('Summary Page'!$C$2+1))*('Summary Page'!$C$2+1))*('Summary Page'!$C$2+1)</f>
        <v>#DIV/0!</v>
      </c>
      <c r="HS15" s="7" t="e">
        <f>((AVERAGE(AL10:AL15)*('Summary Page'!$C$3+1))*('Summary Page'!$C$3+1))*('Summary Page'!$C$3+1)</f>
        <v>#DIV/0!</v>
      </c>
      <c r="HT15" s="7" t="e">
        <f>((AVERAGE(AL10:AL15)*('Summary Page'!$C$4+1))*('Summary Page'!$C$4+1))*('Summary Page'!$C$4+1)</f>
        <v>#DIV/0!</v>
      </c>
      <c r="HU15" s="7">
        <v>100</v>
      </c>
      <c r="HV15" s="9"/>
    </row>
    <row r="16" spans="1:241" ht="15.75" x14ac:dyDescent="0.25">
      <c r="A16" s="20">
        <v>43525</v>
      </c>
      <c r="B16" s="20"/>
      <c r="C16" s="190">
        <v>48</v>
      </c>
      <c r="D16" s="191">
        <v>16</v>
      </c>
      <c r="E16" s="191">
        <v>23</v>
      </c>
      <c r="F16" s="191">
        <v>80</v>
      </c>
      <c r="G16" s="191">
        <v>63</v>
      </c>
      <c r="H16" s="191">
        <v>34</v>
      </c>
      <c r="I16" s="30">
        <f t="shared" si="1"/>
        <v>50</v>
      </c>
      <c r="J16" s="191">
        <v>10</v>
      </c>
      <c r="K16" s="191">
        <v>41</v>
      </c>
      <c r="L16" s="191"/>
      <c r="M16" s="191">
        <v>61</v>
      </c>
      <c r="N16" s="20"/>
      <c r="O16" s="191"/>
      <c r="P16" s="191"/>
      <c r="Q16" s="191"/>
      <c r="R16" s="191"/>
      <c r="S16" s="191"/>
      <c r="T16" s="191"/>
      <c r="U16" s="30" t="e">
        <f t="shared" si="2"/>
        <v>#DIV/0!</v>
      </c>
      <c r="V16" s="191"/>
      <c r="W16" s="191"/>
      <c r="X16" s="43"/>
      <c r="Y16" s="192"/>
      <c r="Z16" s="191"/>
      <c r="AA16" s="191"/>
      <c r="AB16" s="191"/>
      <c r="AC16" s="191"/>
      <c r="AD16" s="191"/>
      <c r="AE16" s="191"/>
      <c r="AF16" s="191"/>
      <c r="AG16" s="30" t="e">
        <f t="shared" si="3"/>
        <v>#DIV/0!</v>
      </c>
      <c r="AH16" s="191"/>
      <c r="AI16" s="191"/>
      <c r="AJ16" s="191"/>
      <c r="AK16" s="191"/>
      <c r="AL16" s="191"/>
      <c r="AM16" s="31"/>
      <c r="EM16" s="5">
        <f t="shared" si="4"/>
        <v>45.75</v>
      </c>
      <c r="EN16" s="29"/>
      <c r="EO16" s="29"/>
      <c r="EP16" s="30">
        <f>((AVERAGE(EM11:EM16)*('Summary Page'!$C$2+1))*('Summary Page'!$C$2+1))*('Summary Page'!$C$2+1)</f>
        <v>112.44954933333331</v>
      </c>
      <c r="EQ16" s="7">
        <f>((AVERAGE(EM11:EM16)*('Summary Page'!$C$3+1))*('Summary Page'!$C$3+1))*('Summary Page'!$C$3+1)</f>
        <v>140.70638020833337</v>
      </c>
      <c r="ER16" s="7">
        <f>((AVERAGE(EM11:EM16)*('Summary Page'!$C$4+1))*('Summary Page'!$C$4+1))*('Summary Page'!$C$4+1)</f>
        <v>124.48799999999999</v>
      </c>
      <c r="ES16" s="30">
        <v>80</v>
      </c>
      <c r="ET16" s="28">
        <f t="shared" si="5"/>
        <v>50</v>
      </c>
      <c r="EU16" s="29"/>
      <c r="EV16" s="29"/>
      <c r="EW16" s="7">
        <f>((AVERAGE(ET11:ET16)*('Summary Page'!$C$2+1))*('Summary Page'!$C$2+1))*('Summary Page'!$C$2+1)</f>
        <v>98.791709333333316</v>
      </c>
      <c r="EX16" s="7">
        <f>((AVERAGE(ET11:ET16)*('Summary Page'!$C$3+1))*('Summary Page'!$C$3+1))*('Summary Page'!$C$3+1)</f>
        <v>123.61653645833331</v>
      </c>
      <c r="EY16" s="7">
        <f>((AVERAGE(ET11:ET16)*('Summary Page'!$C$4+1))*('Summary Page'!$C$4+1))*('Summary Page'!$C$4+1)</f>
        <v>109.36799999999998</v>
      </c>
      <c r="EZ16" s="29">
        <f t="shared" si="6"/>
        <v>51</v>
      </c>
      <c r="FA16" s="29"/>
      <c r="FB16" s="29"/>
      <c r="FC16" s="7">
        <f>((AVERAGE(EZ11:EZ16)*('Summary Page'!$C$2+1))*('Summary Page'!$C$2+1))*('Summary Page'!$C$2+1)</f>
        <v>153.6181813333333</v>
      </c>
      <c r="FD16" s="7">
        <f>((AVERAGE(EZ11:EZ16)*('Summary Page'!$C$3+1))*('Summary Page'!$C$3+1))*('Summary Page'!$C$3+1)</f>
        <v>192.22005208333337</v>
      </c>
      <c r="FE16" s="7">
        <f>((AVERAGE(EZ11:EZ16)*('Summary Page'!$C$4+1))*('Summary Page'!$C$4+1))*('Summary Page'!$C$4+1)</f>
        <v>170.06399999999999</v>
      </c>
      <c r="FF16" s="29">
        <f t="shared" si="7"/>
        <v>41.9</v>
      </c>
      <c r="FI16" s="191"/>
      <c r="FJ16" s="7">
        <f>((AVERAGE(C11:C16)*('Summary Page'!$C$2+1))*('Summary Page'!$C$2+1))*('Summary Page'!$C$2+1)</f>
        <v>113.94540799999997</v>
      </c>
      <c r="FK16" s="7">
        <f>((AVERAGE(C11:C16)*('Summary Page'!$C$3+1))*('Summary Page'!$C$3+1))*('Summary Page'!$C$3+1)</f>
        <v>142.578125</v>
      </c>
      <c r="FL16" s="7">
        <f>((AVERAGE(C11:C16)*('Summary Page'!$C$4+1))*('Summary Page'!$C$4+1))*('Summary Page'!$C$4+1)</f>
        <v>126.14399999999998</v>
      </c>
      <c r="FO16" s="191"/>
      <c r="FP16" s="7">
        <f>((AVERAGE(D11:D16)*('Summary Page'!$C$2+1))*('Summary Page'!$C$2+1))*('Summary Page'!$C$2+1)</f>
        <v>83.247786666666656</v>
      </c>
      <c r="FQ16" s="7">
        <f>((AVERAGE(D11:D16)*('Summary Page'!$C$3+1))*('Summary Page'!$C$3+1))*('Summary Page'!$C$3+1)</f>
        <v>104.16666666666669</v>
      </c>
      <c r="FR16" s="7">
        <f>((AVERAGE(D11:D16)*('Summary Page'!$C$4+1))*('Summary Page'!$C$4+1))*('Summary Page'!$C$4+1)</f>
        <v>92.16</v>
      </c>
      <c r="FU16" s="191"/>
      <c r="FV16" s="7">
        <f>((AVERAGE(E11:E16)*('Summary Page'!$C$2+1))*('Summary Page'!$C$2+1))*('Summary Page'!$C$2+1)</f>
        <v>51.249418666666656</v>
      </c>
      <c r="FW16" s="7">
        <f>((AVERAGE(E11:E16)*('Summary Page'!$C$3+1))*('Summary Page'!$C$3+1))*('Summary Page'!$C$3+1)</f>
        <v>64.127604166666686</v>
      </c>
      <c r="FX16" s="7">
        <f>((AVERAGE(E11:E16)*('Summary Page'!$C$4+1))*('Summary Page'!$C$4+1))*('Summary Page'!$C$4+1)</f>
        <v>56.73599999999999</v>
      </c>
      <c r="GA16" s="191"/>
      <c r="GB16" s="7">
        <f>((AVERAGE(F11:F16)*('Summary Page'!$C$2+1))*('Summary Page'!$C$2+1))*('Summary Page'!$C$2+1)</f>
        <v>154.78885333333329</v>
      </c>
      <c r="GC16" s="7">
        <f>((AVERAGE(F11:F16)*('Summary Page'!$C$3+1))*('Summary Page'!$C$3+1))*('Summary Page'!$C$3+1)</f>
        <v>193.68489583333337</v>
      </c>
      <c r="GD16" s="7">
        <f>((AVERAGE(F11:F16)*('Summary Page'!$C$4+1))*('Summary Page'!$C$4+1))*('Summary Page'!$C$4+1)</f>
        <v>171.35999999999999</v>
      </c>
      <c r="GG16" s="191"/>
      <c r="GH16" s="7">
        <f>((AVERAGE(M11:M16)*('Summary Page'!$C$2+1))*('Summary Page'!$C$2+1))*('Summary Page'!$C$2+1)</f>
        <v>134.75735466666666</v>
      </c>
      <c r="GI16" s="7">
        <f>((AVERAGE(M11:M16)*('Summary Page'!$C$3+1))*('Summary Page'!$C$3+1))*('Summary Page'!$C$3+1)</f>
        <v>168.61979166666663</v>
      </c>
      <c r="GJ16" s="7">
        <f>((AVERAGE(M11:M16)*('Summary Page'!$C$4+1))*('Summary Page'!$C$4+1))*('Summary Page'!$C$4+1)</f>
        <v>149.184</v>
      </c>
      <c r="GM16" s="191"/>
      <c r="GN16" s="7">
        <f>((AVERAGE(G11:G16)*('Summary Page'!$C$2+1))*('Summary Page'!$C$2+1))*('Summary Page'!$C$2+1)</f>
        <v>116.02660266666663</v>
      </c>
      <c r="GO16" s="7">
        <f>((AVERAGE(G11:G16)*('Summary Page'!$C$3+1))*('Summary Page'!$C$3+1))*('Summary Page'!$C$3+1)</f>
        <v>145.18229166666663</v>
      </c>
      <c r="GP16" s="7">
        <f>((AVERAGE(G11:G16)*('Summary Page'!$C$4+1))*('Summary Page'!$C$4+1))*('Summary Page'!$C$4+1)</f>
        <v>128.44799999999998</v>
      </c>
      <c r="GS16" s="191"/>
      <c r="GT16" s="7">
        <f>((AVERAGE(H11:H16)*('Summary Page'!$C$2+1))*('Summary Page'!$C$2+1))*('Summary Page'!$C$2+1)</f>
        <v>73.101962666666651</v>
      </c>
      <c r="GU16" s="7">
        <f>((AVERAGE(H11:H16)*('Summary Page'!$C$3+1))*('Summary Page'!$C$3+1))*('Summary Page'!$C$3+1)</f>
        <v>91.471354166666686</v>
      </c>
      <c r="GV16" s="7">
        <f>((AVERAGE(H11:H16)*('Summary Page'!$C$4+1))*('Summary Page'!$C$4+1))*('Summary Page'!$C$4+1)</f>
        <v>80.927999999999997</v>
      </c>
      <c r="GY16" s="191"/>
      <c r="GZ16" s="7">
        <f>((AVERAGE(J11:J16)*('Summary Page'!$C$2+1))*('Summary Page'!$C$2+1))*('Summary Page'!$C$2+1)</f>
        <v>48.387775999999995</v>
      </c>
      <c r="HA16" s="7">
        <f>((AVERAGE(J11:J16)*('Summary Page'!$C$3+1))*('Summary Page'!$C$3+1))*('Summary Page'!$C$3+1)</f>
        <v>60.546875</v>
      </c>
      <c r="HB16" s="7">
        <f>((AVERAGE(J11:J16)*('Summary Page'!$C$4+1))*('Summary Page'!$C$4+1))*('Summary Page'!$C$4+1)</f>
        <v>53.567999999999991</v>
      </c>
      <c r="HE16" s="191"/>
      <c r="HF16" s="7">
        <f>((AVERAGE(K11:K16)*('Summary Page'!$C$2+1))*('Summary Page'!$C$2+1))*('Summary Page'!$C$2+1)</f>
        <v>172.47900799999994</v>
      </c>
      <c r="HG16" s="7">
        <f>((AVERAGE(K11:K16)*('Summary Page'!$C$3+1))*('Summary Page'!$C$3+1))*('Summary Page'!$C$3+1)</f>
        <v>215.8203125</v>
      </c>
      <c r="HH16" s="7">
        <f>((AVERAGE(K11:K16)*('Summary Page'!$C$4+1))*('Summary Page'!$C$4+1))*('Summary Page'!$C$4+1)</f>
        <v>190.94399999999996</v>
      </c>
      <c r="HK16" s="191"/>
      <c r="HL16" s="7" t="e">
        <f>((AVERAGE(L11:L16)*('Summary Page'!$C$2+1))*('Summary Page'!$C$2+1))*('Summary Page'!$C$2+1)</f>
        <v>#DIV/0!</v>
      </c>
      <c r="HM16" s="7" t="e">
        <f>((AVERAGE(L11:L16)*('Summary Page'!$C$3+1))*('Summary Page'!$C$3+1))*('Summary Page'!$C$3+1)</f>
        <v>#DIV/0!</v>
      </c>
      <c r="HN16" s="7" t="e">
        <f>((AVERAGE(L11:L16)*('Summary Page'!$C$4+1))*('Summary Page'!$C$4+1))*('Summary Page'!$C$4+1)</f>
        <v>#DIV/0!</v>
      </c>
      <c r="HQ16" s="31"/>
      <c r="HR16" s="7" t="e">
        <f>((AVERAGE(AL11:AL16)*('Summary Page'!$C$2+1))*('Summary Page'!$C$2+1))*('Summary Page'!$C$2+1)</f>
        <v>#DIV/0!</v>
      </c>
      <c r="HS16" s="7" t="e">
        <f>((AVERAGE(AL11:AL16)*('Summary Page'!$C$3+1))*('Summary Page'!$C$3+1))*('Summary Page'!$C$3+1)</f>
        <v>#DIV/0!</v>
      </c>
      <c r="HT16" s="7" t="e">
        <f>((AVERAGE(AL11:AL16)*('Summary Page'!$C$4+1))*('Summary Page'!$C$4+1))*('Summary Page'!$C$4+1)</f>
        <v>#DIV/0!</v>
      </c>
      <c r="HU16" s="7">
        <v>100</v>
      </c>
    </row>
    <row r="17" spans="1:241" ht="15.75" x14ac:dyDescent="0.25">
      <c r="A17" s="20">
        <v>43538</v>
      </c>
      <c r="B17" s="168"/>
      <c r="C17" s="67">
        <v>43</v>
      </c>
      <c r="D17" s="43">
        <v>5</v>
      </c>
      <c r="E17" s="43">
        <v>20</v>
      </c>
      <c r="F17" s="43">
        <v>71</v>
      </c>
      <c r="G17" s="43">
        <v>66</v>
      </c>
      <c r="H17" s="43">
        <v>35</v>
      </c>
      <c r="I17" s="7">
        <f t="shared" si="1"/>
        <v>48</v>
      </c>
      <c r="J17" s="43">
        <v>10</v>
      </c>
      <c r="K17" s="43">
        <v>39</v>
      </c>
      <c r="L17" s="43"/>
      <c r="M17" s="43">
        <v>51</v>
      </c>
      <c r="N17" s="168"/>
      <c r="O17" s="43"/>
      <c r="P17" s="43"/>
      <c r="Q17" s="43"/>
      <c r="R17" s="43"/>
      <c r="S17" s="43"/>
      <c r="T17" s="43"/>
      <c r="U17" s="7" t="e">
        <f t="shared" si="2"/>
        <v>#DIV/0!</v>
      </c>
      <c r="V17" s="43"/>
      <c r="W17" s="43"/>
      <c r="X17" s="43"/>
      <c r="Y17" s="81"/>
      <c r="Z17" s="43"/>
      <c r="AA17" s="43"/>
      <c r="AB17" s="43"/>
      <c r="AC17" s="43"/>
      <c r="AD17" s="43"/>
      <c r="AE17" s="43"/>
      <c r="AF17" s="43"/>
      <c r="AG17" s="7" t="e">
        <f t="shared" si="3"/>
        <v>#DIV/0!</v>
      </c>
      <c r="AH17" s="43"/>
      <c r="AI17" s="43"/>
      <c r="AJ17" s="43"/>
      <c r="AK17" s="43"/>
      <c r="AL17" s="43"/>
      <c r="EM17" s="5">
        <f t="shared" si="4"/>
        <v>41.25</v>
      </c>
      <c r="EN17" s="13"/>
      <c r="EO17" s="13"/>
      <c r="EP17" s="30">
        <f>((AVERAGE(EM12:EM17)*('Summary Page'!$C$2+1))*('Summary Page'!$C$2+1))*('Summary Page'!$C$2+1)</f>
        <v>99.246970666666641</v>
      </c>
      <c r="EQ17" s="7">
        <f>((AVERAGE(EM12:EM17)*('Summary Page'!$C$3+1))*('Summary Page'!$C$3+1))*('Summary Page'!$C$3+1)</f>
        <v>124.18619791666669</v>
      </c>
      <c r="ER17" s="7">
        <f>((AVERAGE(EM12:EM17)*('Summary Page'!$C$4+1))*('Summary Page'!$C$4+1))*('Summary Page'!$C$4+1)</f>
        <v>109.87199999999999</v>
      </c>
      <c r="ES17" s="7">
        <v>80</v>
      </c>
      <c r="ET17" s="5">
        <f t="shared" si="5"/>
        <v>48</v>
      </c>
      <c r="EU17" s="13"/>
      <c r="EV17" s="13"/>
      <c r="EW17" s="7">
        <f>((AVERAGE(ET12:ET17)*('Summary Page'!$C$2+1))*('Summary Page'!$C$2+1))*('Summary Page'!$C$2+1)</f>
        <v>92.613162666666653</v>
      </c>
      <c r="EX17" s="7">
        <f>((AVERAGE(ET12:ET17)*('Summary Page'!$C$3+1))*('Summary Page'!$C$3+1))*('Summary Page'!$C$3+1)</f>
        <v>115.88541666666669</v>
      </c>
      <c r="EY17" s="7">
        <f>((AVERAGE(ET12:ET17)*('Summary Page'!$C$4+1))*('Summary Page'!$C$4+1))*('Summary Page'!$C$4+1)</f>
        <v>102.52799999999999</v>
      </c>
      <c r="EZ17" s="13">
        <f t="shared" si="6"/>
        <v>45</v>
      </c>
      <c r="FA17" s="13"/>
      <c r="FB17" s="13"/>
      <c r="FC17" s="7">
        <f>((AVERAGE(EZ12:EZ17)*('Summary Page'!$C$2+1))*('Summary Page'!$C$2+1))*('Summary Page'!$C$2+1)</f>
        <v>133.84683199999998</v>
      </c>
      <c r="FD17" s="7">
        <f>((AVERAGE(EZ12:EZ17)*('Summary Page'!$C$3+1))*('Summary Page'!$C$3+1))*('Summary Page'!$C$3+1)</f>
        <v>167.48046875</v>
      </c>
      <c r="FE17" s="7">
        <f>((AVERAGE(EZ12:EZ17)*('Summary Page'!$C$4+1))*('Summary Page'!$C$4+1))*('Summary Page'!$C$4+1)</f>
        <v>148.17599999999999</v>
      </c>
      <c r="FF17" s="13">
        <f t="shared" si="7"/>
        <v>38.4</v>
      </c>
      <c r="FI17" s="43"/>
      <c r="FJ17" s="7">
        <f>((AVERAGE(C12:C17)*('Summary Page'!$C$2+1))*('Summary Page'!$C$2+1))*('Summary Page'!$C$2+1)</f>
        <v>91.052266666666668</v>
      </c>
      <c r="FK17" s="7">
        <f>((AVERAGE(C12:C17)*('Summary Page'!$C$3+1))*('Summary Page'!$C$3+1))*('Summary Page'!$C$3+1)</f>
        <v>113.93229166666669</v>
      </c>
      <c r="FL17" s="7">
        <f>((AVERAGE(C12:C17)*('Summary Page'!$C$4+1))*('Summary Page'!$C$4+1))*('Summary Page'!$C$4+1)</f>
        <v>100.8</v>
      </c>
      <c r="FO17" s="43"/>
      <c r="FP17" s="7">
        <f>((AVERAGE(D12:D17)*('Summary Page'!$C$2+1))*('Summary Page'!$C$2+1))*('Summary Page'!$C$2+1)</f>
        <v>64.777183999999991</v>
      </c>
      <c r="FQ17" s="7">
        <f>((AVERAGE(D12:D17)*('Summary Page'!$C$3+1))*('Summary Page'!$C$3+1))*('Summary Page'!$C$3+1)</f>
        <v>81.0546875</v>
      </c>
      <c r="FR17" s="7">
        <f>((AVERAGE(D12:D17)*('Summary Page'!$C$4+1))*('Summary Page'!$C$4+1))*('Summary Page'!$C$4+1)</f>
        <v>71.711999999999989</v>
      </c>
      <c r="FU17" s="43"/>
      <c r="FV17" s="7">
        <f>((AVERAGE(E12:E17)*('Summary Page'!$C$2+1))*('Summary Page'!$C$2+1))*('Summary Page'!$C$2+1)</f>
        <v>46.306581333333327</v>
      </c>
      <c r="FW17" s="7">
        <f>((AVERAGE(E12:E17)*('Summary Page'!$C$3+1))*('Summary Page'!$C$3+1))*('Summary Page'!$C$3+1)</f>
        <v>57.942708333333343</v>
      </c>
      <c r="FX17" s="7">
        <f>((AVERAGE(E12:E17)*('Summary Page'!$C$4+1))*('Summary Page'!$C$4+1))*('Summary Page'!$C$4+1)</f>
        <v>51.263999999999996</v>
      </c>
      <c r="GA17" s="43"/>
      <c r="GB17" s="7">
        <f>((AVERAGE(F12:F17)*('Summary Page'!$C$2+1))*('Summary Page'!$C$2+1))*('Summary Page'!$C$2+1)</f>
        <v>145.68362666666661</v>
      </c>
      <c r="GC17" s="7">
        <f>((AVERAGE(F12:F17)*('Summary Page'!$C$3+1))*('Summary Page'!$C$3+1))*('Summary Page'!$C$3+1)</f>
        <v>182.29166666666663</v>
      </c>
      <c r="GD17" s="7">
        <f>((AVERAGE(F12:F17)*('Summary Page'!$C$4+1))*('Summary Page'!$C$4+1))*('Summary Page'!$C$4+1)</f>
        <v>161.27999999999997</v>
      </c>
      <c r="GG17" s="43"/>
      <c r="GH17" s="7">
        <f>((AVERAGE(M12:M17)*('Summary Page'!$C$2+1))*('Summary Page'!$C$2+1))*('Summary Page'!$C$2+1)</f>
        <v>123.57093333333331</v>
      </c>
      <c r="GI17" s="7">
        <f>((AVERAGE(M12:M17)*('Summary Page'!$C$3+1))*('Summary Page'!$C$3+1))*('Summary Page'!$C$3+1)</f>
        <v>154.62239583333337</v>
      </c>
      <c r="GJ17" s="7">
        <f>((AVERAGE(M12:M17)*('Summary Page'!$C$4+1))*('Summary Page'!$C$4+1))*('Summary Page'!$C$4+1)</f>
        <v>136.79999999999998</v>
      </c>
      <c r="GM17" s="43"/>
      <c r="GN17" s="7">
        <f>((AVERAGE(G12:G17)*('Summary Page'!$C$2+1))*('Summary Page'!$C$2+1))*('Summary Page'!$C$2+1)</f>
        <v>111.0837653333333</v>
      </c>
      <c r="GO17" s="7">
        <f>((AVERAGE(G12:G17)*('Summary Page'!$C$3+1))*('Summary Page'!$C$3+1))*('Summary Page'!$C$3+1)</f>
        <v>138.99739583333337</v>
      </c>
      <c r="GP17" s="7">
        <f>((AVERAGE(G12:G17)*('Summary Page'!$C$4+1))*('Summary Page'!$C$4+1))*('Summary Page'!$C$4+1)</f>
        <v>122.976</v>
      </c>
      <c r="GS17" s="43"/>
      <c r="GT17" s="7">
        <f>((AVERAGE(H12:H17)*('Summary Page'!$C$2+1))*('Summary Page'!$C$2+1))*('Summary Page'!$C$2+1)</f>
        <v>67.378677333333329</v>
      </c>
      <c r="GU17" s="7">
        <f>((AVERAGE(H12:H17)*('Summary Page'!$C$3+1))*('Summary Page'!$C$3+1))*('Summary Page'!$C$3+1)</f>
        <v>84.309895833333314</v>
      </c>
      <c r="GV17" s="7">
        <f>((AVERAGE(H12:H17)*('Summary Page'!$C$4+1))*('Summary Page'!$C$4+1))*('Summary Page'!$C$4+1)</f>
        <v>74.591999999999999</v>
      </c>
      <c r="GY17" s="43"/>
      <c r="GZ17" s="7">
        <f>((AVERAGE(J12:J17)*('Summary Page'!$C$2+1))*('Summary Page'!$C$2+1))*('Summary Page'!$C$2+1)</f>
        <v>36.681055999999991</v>
      </c>
      <c r="HA17" s="7">
        <f>((AVERAGE(J12:J17)*('Summary Page'!$C$3+1))*('Summary Page'!$C$3+1))*('Summary Page'!$C$3+1)</f>
        <v>45.8984375</v>
      </c>
      <c r="HB17" s="7">
        <f>((AVERAGE(J12:J17)*('Summary Page'!$C$4+1))*('Summary Page'!$C$4+1))*('Summary Page'!$C$4+1)</f>
        <v>40.607999999999997</v>
      </c>
      <c r="HE17" s="43"/>
      <c r="HF17" s="7">
        <f>((AVERAGE(K12:K17)*('Summary Page'!$C$2+1))*('Summary Page'!$C$2+1))*('Summary Page'!$C$2+1)</f>
        <v>144.12273066666663</v>
      </c>
      <c r="HG17" s="7">
        <f>((AVERAGE(K12:K17)*('Summary Page'!$C$3+1))*('Summary Page'!$C$3+1))*('Summary Page'!$C$3+1)</f>
        <v>180.33854166666663</v>
      </c>
      <c r="HH17" s="7">
        <f>((AVERAGE(K12:K17)*('Summary Page'!$C$4+1))*('Summary Page'!$C$4+1))*('Summary Page'!$C$4+1)</f>
        <v>159.55199999999996</v>
      </c>
      <c r="HK17" s="43"/>
      <c r="HL17" s="7" t="e">
        <f>((AVERAGE(L12:L17)*('Summary Page'!$C$2+1))*('Summary Page'!$C$2+1))*('Summary Page'!$C$2+1)</f>
        <v>#DIV/0!</v>
      </c>
      <c r="HM17" s="7" t="e">
        <f>((AVERAGE(L12:L17)*('Summary Page'!$C$3+1))*('Summary Page'!$C$3+1))*('Summary Page'!$C$3+1)</f>
        <v>#DIV/0!</v>
      </c>
      <c r="HN17" s="7" t="e">
        <f>((AVERAGE(L12:L17)*('Summary Page'!$C$4+1))*('Summary Page'!$C$4+1))*('Summary Page'!$C$4+1)</f>
        <v>#DIV/0!</v>
      </c>
      <c r="HR17" s="7" t="e">
        <f>((AVERAGE(AL12:AL17)*('Summary Page'!$C$2+1))*('Summary Page'!$C$2+1))*('Summary Page'!$C$2+1)</f>
        <v>#DIV/0!</v>
      </c>
      <c r="HS17" s="7" t="e">
        <f>((AVERAGE(AL12:AL17)*('Summary Page'!$C$3+1))*('Summary Page'!$C$3+1))*('Summary Page'!$C$3+1)</f>
        <v>#DIV/0!</v>
      </c>
      <c r="HT17" s="7" t="e">
        <f>((AVERAGE(AL12:AL17)*('Summary Page'!$C$4+1))*('Summary Page'!$C$4+1))*('Summary Page'!$C$4+1)</f>
        <v>#DIV/0!</v>
      </c>
      <c r="HU17" s="7">
        <v>100</v>
      </c>
    </row>
    <row r="18" spans="1:241" ht="15.75" x14ac:dyDescent="0.25">
      <c r="A18" s="20">
        <v>43556</v>
      </c>
      <c r="B18" s="168"/>
      <c r="C18" s="67">
        <v>42</v>
      </c>
      <c r="D18" s="43">
        <v>10</v>
      </c>
      <c r="E18" s="43">
        <v>21</v>
      </c>
      <c r="F18" s="43">
        <v>64</v>
      </c>
      <c r="G18" s="43">
        <v>53</v>
      </c>
      <c r="H18" s="43">
        <v>38</v>
      </c>
      <c r="I18" s="7">
        <f t="shared" si="1"/>
        <v>44</v>
      </c>
      <c r="J18" s="43">
        <v>12</v>
      </c>
      <c r="K18" s="43">
        <v>37</v>
      </c>
      <c r="L18" s="43"/>
      <c r="M18" s="43">
        <v>56</v>
      </c>
      <c r="N18" s="168"/>
      <c r="O18" s="43"/>
      <c r="P18" s="43"/>
      <c r="Q18" s="43"/>
      <c r="R18" s="43"/>
      <c r="S18" s="43"/>
      <c r="T18" s="43"/>
      <c r="U18" s="7" t="e">
        <f t="shared" si="2"/>
        <v>#DIV/0!</v>
      </c>
      <c r="V18" s="43"/>
      <c r="W18" s="43"/>
      <c r="X18" s="43"/>
      <c r="Y18" s="81"/>
      <c r="Z18" s="43"/>
      <c r="AA18" s="43"/>
      <c r="AB18" s="43"/>
      <c r="AC18" s="43"/>
      <c r="AD18" s="43"/>
      <c r="AE18" s="43"/>
      <c r="AF18" s="43"/>
      <c r="AG18" s="7" t="e">
        <f t="shared" si="3"/>
        <v>#DIV/0!</v>
      </c>
      <c r="AH18" s="43"/>
      <c r="AI18" s="43"/>
      <c r="AJ18" s="43"/>
      <c r="AK18" s="43"/>
      <c r="AL18" s="43"/>
      <c r="EM18" s="5">
        <f t="shared" si="4"/>
        <v>40.125</v>
      </c>
      <c r="EN18" s="13"/>
      <c r="EO18" s="13"/>
      <c r="EP18" s="30">
        <f>((AVERAGE(EM13:EM18)*('Summary Page'!$C$2+1))*('Summary Page'!$C$2+1))*('Summary Page'!$C$2+1)</f>
        <v>85.751723999999982</v>
      </c>
      <c r="EQ18" s="7">
        <f>((AVERAGE(EM13:EM18)*('Summary Page'!$C$3+1))*('Summary Page'!$C$3+1))*('Summary Page'!$C$3+1)</f>
        <v>107.2998046875</v>
      </c>
      <c r="ER18" s="7">
        <f>((AVERAGE(EM13:EM18)*('Summary Page'!$C$4+1))*('Summary Page'!$C$4+1))*('Summary Page'!$C$4+1)</f>
        <v>94.932000000000002</v>
      </c>
      <c r="ES18" s="7">
        <v>80</v>
      </c>
      <c r="ET18" s="5">
        <f t="shared" si="5"/>
        <v>44</v>
      </c>
      <c r="EU18" s="13"/>
      <c r="EV18" s="13"/>
      <c r="EW18" s="7">
        <f>((AVERAGE(ET13:ET18)*('Summary Page'!$C$2+1))*('Summary Page'!$C$2+1))*('Summary Page'!$C$2+1)</f>
        <v>85.394018666666653</v>
      </c>
      <c r="EX18" s="7">
        <f>((AVERAGE(ET13:ET18)*('Summary Page'!$C$3+1))*('Summary Page'!$C$3+1))*('Summary Page'!$C$3+1)</f>
        <v>106.85221354166669</v>
      </c>
      <c r="EY18" s="7">
        <f>((AVERAGE(ET13:ET18)*('Summary Page'!$C$4+1))*('Summary Page'!$C$4+1))*('Summary Page'!$C$4+1)</f>
        <v>94.536000000000001</v>
      </c>
      <c r="EZ18" s="13">
        <f t="shared" si="6"/>
        <v>46.5</v>
      </c>
      <c r="FA18" s="13"/>
      <c r="FB18" s="13"/>
      <c r="FC18" s="7">
        <f>((AVERAGE(EZ13:EZ18)*('Summary Page'!$C$2+1))*('Summary Page'!$C$2+1))*('Summary Page'!$C$2+1)</f>
        <v>114.46570666666663</v>
      </c>
      <c r="FD18" s="7">
        <f>((AVERAGE(EZ13:EZ18)*('Summary Page'!$C$3+1))*('Summary Page'!$C$3+1))*('Summary Page'!$C$3+1)</f>
        <v>143.22916666666663</v>
      </c>
      <c r="FE18" s="7">
        <f>((AVERAGE(EZ13:EZ18)*('Summary Page'!$C$4+1))*('Summary Page'!$C$4+1))*('Summary Page'!$C$4+1)</f>
        <v>126.71999999999997</v>
      </c>
      <c r="FF18" s="13">
        <f t="shared" si="7"/>
        <v>37.200000000000003</v>
      </c>
      <c r="FI18" s="43"/>
      <c r="FJ18" s="7">
        <f>((AVERAGE(C13:C18)*('Summary Page'!$C$2+1))*('Summary Page'!$C$2+1))*('Summary Page'!$C$2+1)</f>
        <v>67.898975999999976</v>
      </c>
      <c r="FK18" s="7">
        <f>((AVERAGE(C13:C18)*('Summary Page'!$C$3+1))*('Summary Page'!$C$3+1))*('Summary Page'!$C$3+1)</f>
        <v>84.9609375</v>
      </c>
      <c r="FL18" s="7">
        <f>((AVERAGE(C13:C18)*('Summary Page'!$C$4+1))*('Summary Page'!$C$4+1))*('Summary Page'!$C$4+1)</f>
        <v>75.167999999999992</v>
      </c>
      <c r="FO18" s="43"/>
      <c r="FP18" s="7">
        <f>((AVERAGE(D13:D18)*('Summary Page'!$C$2+1))*('Summary Page'!$C$2+1))*('Summary Page'!$C$2+1)</f>
        <v>47.607327999999988</v>
      </c>
      <c r="FQ18" s="7">
        <f>((AVERAGE(D13:D18)*('Summary Page'!$C$3+1))*('Summary Page'!$C$3+1))*('Summary Page'!$C$3+1)</f>
        <v>59.5703125</v>
      </c>
      <c r="FR18" s="7">
        <f>((AVERAGE(D13:D18)*('Summary Page'!$C$4+1))*('Summary Page'!$C$4+1))*('Summary Page'!$C$4+1)</f>
        <v>52.704000000000001</v>
      </c>
      <c r="FU18" s="43"/>
      <c r="FV18" s="7">
        <f>((AVERAGE(E13:E18)*('Summary Page'!$C$2+1))*('Summary Page'!$C$2+1))*('Summary Page'!$C$2+1)</f>
        <v>41.623893333333328</v>
      </c>
      <c r="FW18" s="7">
        <f>((AVERAGE(E13:E18)*('Summary Page'!$C$3+1))*('Summary Page'!$C$3+1))*('Summary Page'!$C$3+1)</f>
        <v>52.083333333333343</v>
      </c>
      <c r="FX18" s="7">
        <f>((AVERAGE(E13:E18)*('Summary Page'!$C$4+1))*('Summary Page'!$C$4+1))*('Summary Page'!$C$4+1)</f>
        <v>46.08</v>
      </c>
      <c r="GA18" s="43"/>
      <c r="GB18" s="7">
        <f>((AVERAGE(F13:F18)*('Summary Page'!$C$2+1))*('Summary Page'!$C$2+1))*('Summary Page'!$C$2+1)</f>
        <v>134.75735466666666</v>
      </c>
      <c r="GC18" s="7">
        <f>((AVERAGE(F13:F18)*('Summary Page'!$C$3+1))*('Summary Page'!$C$3+1))*('Summary Page'!$C$3+1)</f>
        <v>168.61979166666663</v>
      </c>
      <c r="GD18" s="7">
        <f>((AVERAGE(F13:F18)*('Summary Page'!$C$4+1))*('Summary Page'!$C$4+1))*('Summary Page'!$C$4+1)</f>
        <v>149.184</v>
      </c>
      <c r="GG18" s="43"/>
      <c r="GH18" s="7">
        <f>((AVERAGE(M13:M18)*('Summary Page'!$C$2+1))*('Summary Page'!$C$2+1))*('Summary Page'!$C$2+1)</f>
        <v>113.68525866666664</v>
      </c>
      <c r="GI18" s="7">
        <f>((AVERAGE(M13:M18)*('Summary Page'!$C$3+1))*('Summary Page'!$C$3+1))*('Summary Page'!$C$3+1)</f>
        <v>142.25260416666663</v>
      </c>
      <c r="GJ18" s="7">
        <f>((AVERAGE(M13:M18)*('Summary Page'!$C$4+1))*('Summary Page'!$C$4+1))*('Summary Page'!$C$4+1)</f>
        <v>125.85599999999997</v>
      </c>
      <c r="GM18" s="43"/>
      <c r="GN18" s="7">
        <f>((AVERAGE(G13:G18)*('Summary Page'!$C$2+1))*('Summary Page'!$C$2+1))*('Summary Page'!$C$2+1)</f>
        <v>102.75898666666664</v>
      </c>
      <c r="GO18" s="7">
        <f>((AVERAGE(G13:G18)*('Summary Page'!$C$3+1))*('Summary Page'!$C$3+1))*('Summary Page'!$C$3+1)</f>
        <v>128.58072916666663</v>
      </c>
      <c r="GP18" s="7">
        <f>((AVERAGE(G13:G18)*('Summary Page'!$C$4+1))*('Summary Page'!$C$4+1))*('Summary Page'!$C$4+1)</f>
        <v>113.75999999999998</v>
      </c>
      <c r="GS18" s="43"/>
      <c r="GT18" s="7">
        <f>((AVERAGE(H13:H18)*('Summary Page'!$C$2+1))*('Summary Page'!$C$2+1))*('Summary Page'!$C$2+1)</f>
        <v>62.435839999999992</v>
      </c>
      <c r="GU18" s="7">
        <f>((AVERAGE(H13:H18)*('Summary Page'!$C$3+1))*('Summary Page'!$C$3+1))*('Summary Page'!$C$3+1)</f>
        <v>78.125</v>
      </c>
      <c r="GV18" s="7">
        <f>((AVERAGE(H13:H18)*('Summary Page'!$C$4+1))*('Summary Page'!$C$4+1))*('Summary Page'!$C$4+1)</f>
        <v>69.11999999999999</v>
      </c>
      <c r="GY18" s="43"/>
      <c r="GZ18" s="7">
        <f>((AVERAGE(J13:J18)*('Summary Page'!$C$2+1))*('Summary Page'!$C$2+1))*('Summary Page'!$C$2+1)</f>
        <v>25.494634666666659</v>
      </c>
      <c r="HA18" s="7">
        <f>((AVERAGE(J13:J18)*('Summary Page'!$C$3+1))*('Summary Page'!$C$3+1))*('Summary Page'!$C$3+1)</f>
        <v>31.901041666666661</v>
      </c>
      <c r="HB18" s="7">
        <f>((AVERAGE(J13:J18)*('Summary Page'!$C$4+1))*('Summary Page'!$C$4+1))*('Summary Page'!$C$4+1)</f>
        <v>28.223999999999993</v>
      </c>
      <c r="HE18" s="43"/>
      <c r="HF18" s="7">
        <f>((AVERAGE(K13:K18)*('Summary Page'!$C$2+1))*('Summary Page'!$C$2+1))*('Summary Page'!$C$2+1)</f>
        <v>115.24615466666664</v>
      </c>
      <c r="HG18" s="7">
        <f>((AVERAGE(K13:K18)*('Summary Page'!$C$3+1))*('Summary Page'!$C$3+1))*('Summary Page'!$C$3+1)</f>
        <v>144.20572916666663</v>
      </c>
      <c r="HH18" s="7">
        <f>((AVERAGE(K13:K18)*('Summary Page'!$C$4+1))*('Summary Page'!$C$4+1))*('Summary Page'!$C$4+1)</f>
        <v>127.58399999999999</v>
      </c>
      <c r="HK18" s="43"/>
      <c r="HL18" s="7" t="e">
        <f>((AVERAGE(L13:L18)*('Summary Page'!$C$2+1))*('Summary Page'!$C$2+1))*('Summary Page'!$C$2+1)</f>
        <v>#DIV/0!</v>
      </c>
      <c r="HM18" s="7" t="e">
        <f>((AVERAGE(L13:L18)*('Summary Page'!$C$3+1))*('Summary Page'!$C$3+1))*('Summary Page'!$C$3+1)</f>
        <v>#DIV/0!</v>
      </c>
      <c r="HN18" s="7" t="e">
        <f>((AVERAGE(L13:L18)*('Summary Page'!$C$4+1))*('Summary Page'!$C$4+1))*('Summary Page'!$C$4+1)</f>
        <v>#DIV/0!</v>
      </c>
      <c r="HR18" s="7" t="e">
        <f>((AVERAGE(AL13:AL18)*('Summary Page'!$C$2+1))*('Summary Page'!$C$2+1))*('Summary Page'!$C$2+1)</f>
        <v>#DIV/0!</v>
      </c>
      <c r="HS18" s="7" t="e">
        <f>((AVERAGE(AL13:AL18)*('Summary Page'!$C$3+1))*('Summary Page'!$C$3+1))*('Summary Page'!$C$3+1)</f>
        <v>#DIV/0!</v>
      </c>
      <c r="HT18" s="7" t="e">
        <f>((AVERAGE(AL13:AL18)*('Summary Page'!$C$4+1))*('Summary Page'!$C$4+1))*('Summary Page'!$C$4+1)</f>
        <v>#DIV/0!</v>
      </c>
      <c r="HU18" s="7">
        <v>100</v>
      </c>
    </row>
    <row r="19" spans="1:241" ht="15.75" x14ac:dyDescent="0.25">
      <c r="A19" s="20">
        <v>43570</v>
      </c>
      <c r="B19" s="168"/>
      <c r="C19" s="67">
        <v>49</v>
      </c>
      <c r="D19" s="43">
        <v>3</v>
      </c>
      <c r="E19" s="43">
        <v>18</v>
      </c>
      <c r="F19" s="43">
        <v>64</v>
      </c>
      <c r="G19" s="43">
        <v>45</v>
      </c>
      <c r="H19" s="43">
        <v>33</v>
      </c>
      <c r="I19" s="7">
        <f t="shared" si="1"/>
        <v>40</v>
      </c>
      <c r="J19" s="43">
        <v>13</v>
      </c>
      <c r="K19" s="43">
        <v>36</v>
      </c>
      <c r="L19" s="43"/>
      <c r="M19" s="43">
        <v>79</v>
      </c>
      <c r="N19" s="168"/>
      <c r="O19" s="43"/>
      <c r="P19" s="43"/>
      <c r="Q19" s="43"/>
      <c r="R19" s="43"/>
      <c r="S19" s="43"/>
      <c r="T19" s="43"/>
      <c r="U19" s="7" t="e">
        <f t="shared" si="2"/>
        <v>#DIV/0!</v>
      </c>
      <c r="V19" s="43"/>
      <c r="W19" s="43"/>
      <c r="X19" s="43"/>
      <c r="Y19" s="81"/>
      <c r="Z19" s="43"/>
      <c r="AA19" s="43"/>
      <c r="AB19" s="43"/>
      <c r="AC19" s="43"/>
      <c r="AD19" s="43"/>
      <c r="AE19" s="43"/>
      <c r="AF19" s="43"/>
      <c r="AG19" s="7" t="e">
        <f t="shared" si="3"/>
        <v>#DIV/0!</v>
      </c>
      <c r="AH19" s="43"/>
      <c r="AI19" s="43"/>
      <c r="AJ19" s="43"/>
      <c r="AK19" s="43"/>
      <c r="AL19" s="43"/>
      <c r="EM19" s="5">
        <f t="shared" si="4"/>
        <v>40.875</v>
      </c>
      <c r="EN19" s="13"/>
      <c r="EO19" s="13"/>
      <c r="EP19" s="30">
        <f>((AVERAGE(EM14:EM19)*('Summary Page'!$C$2+1))*('Summary Page'!$C$2+1))*('Summary Page'!$C$2+1)</f>
        <v>74.110041333333314</v>
      </c>
      <c r="EQ19" s="7">
        <f>((AVERAGE(EM14:EM19)*('Summary Page'!$C$3+1))*('Summary Page'!$C$3+1))*('Summary Page'!$C$3+1)</f>
        <v>92.732747395833314</v>
      </c>
      <c r="ER19" s="7">
        <f>((AVERAGE(EM14:EM19)*('Summary Page'!$C$4+1))*('Summary Page'!$C$4+1))*('Summary Page'!$C$4+1)</f>
        <v>82.043999999999983</v>
      </c>
      <c r="ES19" s="7">
        <v>80</v>
      </c>
      <c r="ET19" s="5">
        <f t="shared" si="5"/>
        <v>40</v>
      </c>
      <c r="EU19" s="13"/>
      <c r="EV19" s="13"/>
      <c r="EW19" s="7">
        <f>((AVERAGE(ET14:ET19)*('Summary Page'!$C$2+1))*('Summary Page'!$C$2+1))*('Summary Page'!$C$2+1)</f>
        <v>76.67901599999999</v>
      </c>
      <c r="EX19" s="7">
        <f>((AVERAGE(ET14:ET19)*('Summary Page'!$C$3+1))*('Summary Page'!$C$3+1))*('Summary Page'!$C$3+1)</f>
        <v>95.947265625</v>
      </c>
      <c r="EY19" s="7">
        <f>((AVERAGE(ET14:ET19)*('Summary Page'!$C$4+1))*('Summary Page'!$C$4+1))*('Summary Page'!$C$4+1)</f>
        <v>84.887999999999991</v>
      </c>
      <c r="EZ19" s="13">
        <f t="shared" si="6"/>
        <v>57.5</v>
      </c>
      <c r="FA19" s="13"/>
      <c r="FB19" s="13"/>
      <c r="FC19" s="7">
        <f>((AVERAGE(EZ14:EZ19)*('Summary Page'!$C$2+1))*('Summary Page'!$C$2+1))*('Summary Page'!$C$2+1)</f>
        <v>96.77555199999999</v>
      </c>
      <c r="FD19" s="7">
        <f>((AVERAGE(EZ14:EZ19)*('Summary Page'!$C$3+1))*('Summary Page'!$C$3+1))*('Summary Page'!$C$3+1)</f>
        <v>121.09375</v>
      </c>
      <c r="FE19" s="7">
        <f>((AVERAGE(EZ14:EZ19)*('Summary Page'!$C$4+1))*('Summary Page'!$C$4+1))*('Summary Page'!$C$4+1)</f>
        <v>107.13599999999998</v>
      </c>
      <c r="FF19" s="13">
        <f t="shared" si="7"/>
        <v>36.700000000000003</v>
      </c>
      <c r="FI19" s="43"/>
      <c r="FJ19" s="7">
        <f>((AVERAGE(C14:C19)*('Summary Page'!$C$2+1))*('Summary Page'!$C$2+1))*('Summary Page'!$C$2+1)</f>
        <v>61.395242666666661</v>
      </c>
      <c r="FK19" s="7">
        <f>((AVERAGE(C14:C19)*('Summary Page'!$C$3+1))*('Summary Page'!$C$3+1))*('Summary Page'!$C$3+1)</f>
        <v>76.822916666666686</v>
      </c>
      <c r="FL19" s="7">
        <f>((AVERAGE(C14:C19)*('Summary Page'!$C$4+1))*('Summary Page'!$C$4+1))*('Summary Page'!$C$4+1)</f>
        <v>67.968000000000004</v>
      </c>
      <c r="FO19" s="43"/>
      <c r="FP19" s="7">
        <f>((AVERAGE(D14:D19)*('Summary Page'!$C$2+1))*('Summary Page'!$C$2+1))*('Summary Page'!$C$2+1)</f>
        <v>31.217919999999996</v>
      </c>
      <c r="FQ19" s="7">
        <f>((AVERAGE(D14:D19)*('Summary Page'!$C$3+1))*('Summary Page'!$C$3+1))*('Summary Page'!$C$3+1)</f>
        <v>39.0625</v>
      </c>
      <c r="FR19" s="7">
        <f>((AVERAGE(D14:D19)*('Summary Page'!$C$4+1))*('Summary Page'!$C$4+1))*('Summary Page'!$C$4+1)</f>
        <v>34.559999999999995</v>
      </c>
      <c r="FU19" s="43"/>
      <c r="FV19" s="7">
        <f>((AVERAGE(E14:E19)*('Summary Page'!$C$2+1))*('Summary Page'!$C$2+1))*('Summary Page'!$C$2+1)</f>
        <v>36.420906666666653</v>
      </c>
      <c r="FW19" s="7">
        <f>((AVERAGE(E14:E19)*('Summary Page'!$C$3+1))*('Summary Page'!$C$3+1))*('Summary Page'!$C$3+1)</f>
        <v>45.572916666666657</v>
      </c>
      <c r="FX19" s="7">
        <f>((AVERAGE(E14:E19)*('Summary Page'!$C$4+1))*('Summary Page'!$C$4+1))*('Summary Page'!$C$4+1)</f>
        <v>40.319999999999993</v>
      </c>
      <c r="GA19" s="43"/>
      <c r="GB19" s="7">
        <f>((AVERAGE(F14:F19)*('Summary Page'!$C$2+1))*('Summary Page'!$C$2+1))*('Summary Page'!$C$2+1)</f>
        <v>122.53033599999998</v>
      </c>
      <c r="GC19" s="7">
        <f>((AVERAGE(F14:F19)*('Summary Page'!$C$3+1))*('Summary Page'!$C$3+1))*('Summary Page'!$C$3+1)</f>
        <v>153.3203125</v>
      </c>
      <c r="GD19" s="7">
        <f>((AVERAGE(F14:F19)*('Summary Page'!$C$4+1))*('Summary Page'!$C$4+1))*('Summary Page'!$C$4+1)</f>
        <v>135.648</v>
      </c>
      <c r="GG19" s="43"/>
      <c r="GH19" s="7">
        <f>((AVERAGE(M14:M19)*('Summary Page'!$C$2+1))*('Summary Page'!$C$2+1))*('Summary Page'!$C$2+1)</f>
        <v>107.96197333333333</v>
      </c>
      <c r="GI19" s="7">
        <f>((AVERAGE(M14:M19)*('Summary Page'!$C$3+1))*('Summary Page'!$C$3+1))*('Summary Page'!$C$3+1)</f>
        <v>135.09114583333337</v>
      </c>
      <c r="GJ19" s="7">
        <f>((AVERAGE(M14:M19)*('Summary Page'!$C$4+1))*('Summary Page'!$C$4+1))*('Summary Page'!$C$4+1)</f>
        <v>119.51999999999998</v>
      </c>
      <c r="GM19" s="43"/>
      <c r="GN19" s="7">
        <f>((AVERAGE(G14:G19)*('Summary Page'!$C$2+1))*('Summary Page'!$C$2+1))*('Summary Page'!$C$2+1)</f>
        <v>92.092863999999977</v>
      </c>
      <c r="GO19" s="7">
        <f>((AVERAGE(G14:G19)*('Summary Page'!$C$3+1))*('Summary Page'!$C$3+1))*('Summary Page'!$C$3+1)</f>
        <v>115.234375</v>
      </c>
      <c r="GP19" s="7">
        <f>((AVERAGE(G14:G19)*('Summary Page'!$C$4+1))*('Summary Page'!$C$4+1))*('Summary Page'!$C$4+1)</f>
        <v>101.95199999999998</v>
      </c>
      <c r="GS19" s="43"/>
      <c r="GT19" s="7">
        <f>((AVERAGE(H14:H19)*('Summary Page'!$C$2+1))*('Summary Page'!$C$2+1))*('Summary Page'!$C$2+1)</f>
        <v>55.671957333333317</v>
      </c>
      <c r="GU19" s="7">
        <f>((AVERAGE(H14:H19)*('Summary Page'!$C$3+1))*('Summary Page'!$C$3+1))*('Summary Page'!$C$3+1)</f>
        <v>69.661458333333314</v>
      </c>
      <c r="GV19" s="7">
        <f>((AVERAGE(H14:H19)*('Summary Page'!$C$4+1))*('Summary Page'!$C$4+1))*('Summary Page'!$C$4+1)</f>
        <v>61.631999999999991</v>
      </c>
      <c r="GY19" s="43"/>
      <c r="GZ19" s="7">
        <f>((AVERAGE(J14:J19)*('Summary Page'!$C$2+1))*('Summary Page'!$C$2+1))*('Summary Page'!$C$2+1)</f>
        <v>15.869109333333327</v>
      </c>
      <c r="HA19" s="7">
        <f>((AVERAGE(J14:J19)*('Summary Page'!$C$3+1))*('Summary Page'!$C$3+1))*('Summary Page'!$C$3+1)</f>
        <v>19.856770833333329</v>
      </c>
      <c r="HB19" s="7">
        <f>((AVERAGE(J14:J19)*('Summary Page'!$C$4+1))*('Summary Page'!$C$4+1))*('Summary Page'!$C$4+1)</f>
        <v>17.567999999999998</v>
      </c>
      <c r="HE19" s="43"/>
      <c r="HF19" s="7">
        <f>((AVERAGE(K14:K19)*('Summary Page'!$C$2+1))*('Summary Page'!$C$2+1))*('Summary Page'!$C$2+1)</f>
        <v>85.589130666666648</v>
      </c>
      <c r="HG19" s="7">
        <f>((AVERAGE(K14:K19)*('Summary Page'!$C$3+1))*('Summary Page'!$C$3+1))*('Summary Page'!$C$3+1)</f>
        <v>107.09635416666669</v>
      </c>
      <c r="HH19" s="7">
        <f>((AVERAGE(K14:K19)*('Summary Page'!$C$4+1))*('Summary Page'!$C$4+1))*('Summary Page'!$C$4+1)</f>
        <v>94.751999999999995</v>
      </c>
      <c r="HK19" s="43"/>
      <c r="HL19" s="7" t="e">
        <f>((AVERAGE(L14:L19)*('Summary Page'!$C$2+1))*('Summary Page'!$C$2+1))*('Summary Page'!$C$2+1)</f>
        <v>#DIV/0!</v>
      </c>
      <c r="HM19" s="7" t="e">
        <f>((AVERAGE(L14:L19)*('Summary Page'!$C$3+1))*('Summary Page'!$C$3+1))*('Summary Page'!$C$3+1)</f>
        <v>#DIV/0!</v>
      </c>
      <c r="HN19" s="7" t="e">
        <f>((AVERAGE(L14:L19)*('Summary Page'!$C$4+1))*('Summary Page'!$C$4+1))*('Summary Page'!$C$4+1)</f>
        <v>#DIV/0!</v>
      </c>
      <c r="HR19" s="7" t="e">
        <f>((AVERAGE(AL14:AL19)*('Summary Page'!$C$2+1))*('Summary Page'!$C$2+1))*('Summary Page'!$C$2+1)</f>
        <v>#DIV/0!</v>
      </c>
      <c r="HS19" s="7" t="e">
        <f>((AVERAGE(AL14:AL19)*('Summary Page'!$C$3+1))*('Summary Page'!$C$3+1))*('Summary Page'!$C$3+1)</f>
        <v>#DIV/0!</v>
      </c>
      <c r="HT19" s="7" t="e">
        <f>((AVERAGE(AL14:AL19)*('Summary Page'!$C$4+1))*('Summary Page'!$C$4+1))*('Summary Page'!$C$4+1)</f>
        <v>#DIV/0!</v>
      </c>
      <c r="HU19" s="7">
        <v>100</v>
      </c>
    </row>
    <row r="20" spans="1:241" ht="15.75" x14ac:dyDescent="0.25">
      <c r="A20" s="20">
        <v>43586</v>
      </c>
      <c r="B20" s="168"/>
      <c r="C20" s="67">
        <v>38</v>
      </c>
      <c r="D20" s="43">
        <v>3</v>
      </c>
      <c r="E20" s="43">
        <v>14</v>
      </c>
      <c r="F20" s="43">
        <v>60</v>
      </c>
      <c r="G20" s="43">
        <v>55</v>
      </c>
      <c r="H20" s="43">
        <v>29</v>
      </c>
      <c r="I20" s="7">
        <f t="shared" si="1"/>
        <v>39.5</v>
      </c>
      <c r="J20" s="43">
        <v>14</v>
      </c>
      <c r="K20" s="43">
        <v>37</v>
      </c>
      <c r="L20" s="43"/>
      <c r="M20" s="43">
        <v>66</v>
      </c>
      <c r="N20" s="168"/>
      <c r="O20" s="43"/>
      <c r="P20" s="43"/>
      <c r="Q20" s="43"/>
      <c r="R20" s="43"/>
      <c r="S20" s="43"/>
      <c r="T20" s="43"/>
      <c r="U20" s="7" t="e">
        <f t="shared" si="2"/>
        <v>#DIV/0!</v>
      </c>
      <c r="V20" s="43"/>
      <c r="W20" s="43"/>
      <c r="X20" s="43"/>
      <c r="Y20" s="81"/>
      <c r="Z20" s="43"/>
      <c r="AA20" s="43"/>
      <c r="AB20" s="43"/>
      <c r="AC20" s="43"/>
      <c r="AD20" s="43"/>
      <c r="AE20" s="43"/>
      <c r="AF20" s="43"/>
      <c r="AG20" s="7" t="e">
        <f t="shared" si="3"/>
        <v>#DIV/0!</v>
      </c>
      <c r="AH20" s="43"/>
      <c r="AI20" s="43"/>
      <c r="AJ20" s="43"/>
      <c r="AK20" s="43"/>
      <c r="AL20" s="43"/>
      <c r="EM20" s="5">
        <f t="shared" si="4"/>
        <v>37.75</v>
      </c>
      <c r="EN20" s="13"/>
      <c r="EO20" s="13"/>
      <c r="EP20" s="30">
        <f>((AVERAGE(EM15:EM20)*('Summary Page'!$C$2+1))*('Summary Page'!$C$2+1))*('Summary Page'!$C$2+1)</f>
        <v>66.175486666666657</v>
      </c>
      <c r="EQ20" s="7">
        <f>((AVERAGE(EM15:EM20)*('Summary Page'!$C$3+1))*('Summary Page'!$C$3+1))*('Summary Page'!$C$3+1)</f>
        <v>82.804361979166686</v>
      </c>
      <c r="ER20" s="7">
        <f>((AVERAGE(EM15:EM20)*('Summary Page'!$C$4+1))*('Summary Page'!$C$4+1))*('Summary Page'!$C$4+1)</f>
        <v>73.259999999999991</v>
      </c>
      <c r="ES20" s="7">
        <v>80</v>
      </c>
      <c r="ET20" s="5">
        <f t="shared" si="5"/>
        <v>39.5</v>
      </c>
      <c r="EU20" s="13"/>
      <c r="EV20" s="13"/>
      <c r="EW20" s="7">
        <f>((AVERAGE(ET15:ET20)*('Summary Page'!$C$2+1))*('Summary Page'!$C$2+1))*('Summary Page'!$C$2+1)</f>
        <v>70.240319999999983</v>
      </c>
      <c r="EX20" s="7">
        <f>((AVERAGE(ET15:ET20)*('Summary Page'!$C$3+1))*('Summary Page'!$C$3+1))*('Summary Page'!$C$3+1)</f>
        <v>87.890625</v>
      </c>
      <c r="EY20" s="7">
        <f>((AVERAGE(ET15:ET20)*('Summary Page'!$C$4+1))*('Summary Page'!$C$4+1))*('Summary Page'!$C$4+1)</f>
        <v>77.759999999999991</v>
      </c>
      <c r="EZ20" s="13">
        <f t="shared" si="6"/>
        <v>51.5</v>
      </c>
      <c r="FA20" s="13"/>
      <c r="FB20" s="13"/>
      <c r="FC20" s="7">
        <f>((AVERAGE(EZ15:EZ20)*('Summary Page'!$C$2+1))*('Summary Page'!$C$2+1))*('Summary Page'!$C$2+1)</f>
        <v>81.816965333333314</v>
      </c>
      <c r="FD20" s="7">
        <f>((AVERAGE(EZ15:EZ20)*('Summary Page'!$C$3+1))*('Summary Page'!$C$3+1))*('Summary Page'!$C$3+1)</f>
        <v>102.37630208333331</v>
      </c>
      <c r="FE20" s="7">
        <f>((AVERAGE(EZ15:EZ20)*('Summary Page'!$C$4+1))*('Summary Page'!$C$4+1))*('Summary Page'!$C$4+1)</f>
        <v>90.575999999999979</v>
      </c>
      <c r="FF20" s="13">
        <f t="shared" si="7"/>
        <v>35.450000000000003</v>
      </c>
      <c r="FI20" s="43"/>
      <c r="FJ20" s="7">
        <f>((AVERAGE(C15:C20)*('Summary Page'!$C$2+1))*('Summary Page'!$C$2+1))*('Summary Page'!$C$2+1)</f>
        <v>69.199722666666659</v>
      </c>
      <c r="FK20" s="7">
        <f>((AVERAGE(C15:C20)*('Summary Page'!$C$3+1))*('Summary Page'!$C$3+1))*('Summary Page'!$C$3+1)</f>
        <v>86.588541666666686</v>
      </c>
      <c r="FL20" s="7">
        <f>((AVERAGE(C15:C20)*('Summary Page'!$C$4+1))*('Summary Page'!$C$4+1))*('Summary Page'!$C$4+1)</f>
        <v>76.608000000000004</v>
      </c>
      <c r="FO20" s="43"/>
      <c r="FP20" s="7">
        <f>((AVERAGE(D15:D20)*('Summary Page'!$C$2+1))*('Summary Page'!$C$2+1))*('Summary Page'!$C$2+1)</f>
        <v>15.608959999999998</v>
      </c>
      <c r="FQ20" s="7">
        <f>((AVERAGE(D15:D20)*('Summary Page'!$C$3+1))*('Summary Page'!$C$3+1))*('Summary Page'!$C$3+1)</f>
        <v>19.53125</v>
      </c>
      <c r="FR20" s="7">
        <f>((AVERAGE(D15:D20)*('Summary Page'!$C$4+1))*('Summary Page'!$C$4+1))*('Summary Page'!$C$4+1)</f>
        <v>17.279999999999998</v>
      </c>
      <c r="FU20" s="43"/>
      <c r="FV20" s="7">
        <f>((AVERAGE(E15:E20)*('Summary Page'!$C$2+1))*('Summary Page'!$C$2+1))*('Summary Page'!$C$2+1)</f>
        <v>31.738218666666654</v>
      </c>
      <c r="FW20" s="7">
        <f>((AVERAGE(E15:E20)*('Summary Page'!$C$3+1))*('Summary Page'!$C$3+1))*('Summary Page'!$C$3+1)</f>
        <v>39.713541666666657</v>
      </c>
      <c r="FX20" s="7">
        <f>((AVERAGE(E15:E20)*('Summary Page'!$C$4+1))*('Summary Page'!$C$4+1))*('Summary Page'!$C$4+1)</f>
        <v>35.135999999999996</v>
      </c>
      <c r="GA20" s="43"/>
      <c r="GB20" s="7">
        <f>((AVERAGE(F15:F20)*('Summary Page'!$C$2+1))*('Summary Page'!$C$2+1))*('Summary Page'!$C$2+1)</f>
        <v>109.78301866666665</v>
      </c>
      <c r="GC20" s="7">
        <f>((AVERAGE(F15:F20)*('Summary Page'!$C$3+1))*('Summary Page'!$C$3+1))*('Summary Page'!$C$3+1)</f>
        <v>137.36979166666663</v>
      </c>
      <c r="GD20" s="7">
        <f>((AVERAGE(F15:F20)*('Summary Page'!$C$4+1))*('Summary Page'!$C$4+1))*('Summary Page'!$C$4+1)</f>
        <v>121.53599999999997</v>
      </c>
      <c r="GG20" s="43"/>
      <c r="GH20" s="7">
        <f>((AVERAGE(M15:M20)*('Summary Page'!$C$2+1))*('Summary Page'!$C$2+1))*('Summary Page'!$C$2+1)</f>
        <v>101.71838933333332</v>
      </c>
      <c r="GI20" s="7">
        <f>((AVERAGE(M15:M20)*('Summary Page'!$C$3+1))*('Summary Page'!$C$3+1))*('Summary Page'!$C$3+1)</f>
        <v>127.27864583333336</v>
      </c>
      <c r="GJ20" s="7">
        <f>((AVERAGE(M15:M20)*('Summary Page'!$C$4+1))*('Summary Page'!$C$4+1))*('Summary Page'!$C$4+1)</f>
        <v>112.608</v>
      </c>
      <c r="GM20" s="43"/>
      <c r="GN20" s="7">
        <f>((AVERAGE(G15:G20)*('Summary Page'!$C$2+1))*('Summary Page'!$C$2+1))*('Summary Page'!$C$2+1)</f>
        <v>88.190623999999971</v>
      </c>
      <c r="GO20" s="7">
        <f>((AVERAGE(G15:G20)*('Summary Page'!$C$3+1))*('Summary Page'!$C$3+1))*('Summary Page'!$C$3+1)</f>
        <v>110.3515625</v>
      </c>
      <c r="GP20" s="7">
        <f>((AVERAGE(G15:G20)*('Summary Page'!$C$4+1))*('Summary Page'!$C$4+1))*('Summary Page'!$C$4+1)</f>
        <v>97.631999999999991</v>
      </c>
      <c r="GS20" s="43"/>
      <c r="GT20" s="7">
        <f>((AVERAGE(H15:H20)*('Summary Page'!$C$2+1))*('Summary Page'!$C$2+1))*('Summary Page'!$C$2+1)</f>
        <v>51.249418666666656</v>
      </c>
      <c r="GU20" s="7">
        <f>((AVERAGE(H15:H20)*('Summary Page'!$C$3+1))*('Summary Page'!$C$3+1))*('Summary Page'!$C$3+1)</f>
        <v>64.127604166666686</v>
      </c>
      <c r="GV20" s="7">
        <f>((AVERAGE(H15:H20)*('Summary Page'!$C$4+1))*('Summary Page'!$C$4+1))*('Summary Page'!$C$4+1)</f>
        <v>56.73599999999999</v>
      </c>
      <c r="GY20" s="43"/>
      <c r="GZ20" s="7">
        <f>((AVERAGE(J15:J20)*('Summary Page'!$C$2+1))*('Summary Page'!$C$2+1))*('Summary Page'!$C$2+1)</f>
        <v>17.43000533333333</v>
      </c>
      <c r="HA20" s="7">
        <f>((AVERAGE(J15:J20)*('Summary Page'!$C$3+1))*('Summary Page'!$C$3+1))*('Summary Page'!$C$3+1)</f>
        <v>21.809895833333329</v>
      </c>
      <c r="HB20" s="7">
        <f>((AVERAGE(J15:J20)*('Summary Page'!$C$4+1))*('Summary Page'!$C$4+1))*('Summary Page'!$C$4+1)</f>
        <v>19.295999999999996</v>
      </c>
      <c r="HE20" s="43"/>
      <c r="HF20" s="7">
        <f>((AVERAGE(K15:K20)*('Summary Page'!$C$2+1))*('Summary Page'!$C$2+1))*('Summary Page'!$C$2+1)</f>
        <v>61.915541333333316</v>
      </c>
      <c r="HG20" s="7">
        <f>((AVERAGE(K15:K20)*('Summary Page'!$C$3+1))*('Summary Page'!$C$3+1))*('Summary Page'!$C$3+1)</f>
        <v>77.473958333333314</v>
      </c>
      <c r="HH20" s="7">
        <f>((AVERAGE(K15:K20)*('Summary Page'!$C$4+1))*('Summary Page'!$C$4+1))*('Summary Page'!$C$4+1)</f>
        <v>68.543999999999983</v>
      </c>
      <c r="HK20" s="43"/>
      <c r="HL20" s="7" t="e">
        <f>((AVERAGE(L15:L20)*('Summary Page'!$C$2+1))*('Summary Page'!$C$2+1))*('Summary Page'!$C$2+1)</f>
        <v>#DIV/0!</v>
      </c>
      <c r="HM20" s="7" t="e">
        <f>((AVERAGE(L15:L20)*('Summary Page'!$C$3+1))*('Summary Page'!$C$3+1))*('Summary Page'!$C$3+1)</f>
        <v>#DIV/0!</v>
      </c>
      <c r="HN20" s="7" t="e">
        <f>((AVERAGE(L15:L20)*('Summary Page'!$C$4+1))*('Summary Page'!$C$4+1))*('Summary Page'!$C$4+1)</f>
        <v>#DIV/0!</v>
      </c>
      <c r="HR20" s="7" t="e">
        <f>((AVERAGE(AL15:AL20)*('Summary Page'!$C$2+1))*('Summary Page'!$C$2+1))*('Summary Page'!$C$2+1)</f>
        <v>#DIV/0!</v>
      </c>
      <c r="HS20" s="7" t="e">
        <f>((AVERAGE(AL15:AL20)*('Summary Page'!$C$3+1))*('Summary Page'!$C$3+1))*('Summary Page'!$C$3+1)</f>
        <v>#DIV/0!</v>
      </c>
      <c r="HT20" s="7" t="e">
        <f>((AVERAGE(AL15:AL20)*('Summary Page'!$C$4+1))*('Summary Page'!$C$4+1))*('Summary Page'!$C$4+1)</f>
        <v>#DIV/0!</v>
      </c>
      <c r="HU20" s="7">
        <v>100</v>
      </c>
    </row>
    <row r="21" spans="1:241" ht="15.75" x14ac:dyDescent="0.25">
      <c r="A21" s="20">
        <v>43599</v>
      </c>
      <c r="B21" s="168"/>
      <c r="C21" s="67">
        <v>45</v>
      </c>
      <c r="D21" s="43">
        <v>3</v>
      </c>
      <c r="E21" s="43">
        <v>17</v>
      </c>
      <c r="F21" s="43">
        <v>57</v>
      </c>
      <c r="G21" s="43">
        <v>64</v>
      </c>
      <c r="H21" s="43">
        <v>32</v>
      </c>
      <c r="I21" s="7">
        <f t="shared" si="1"/>
        <v>42.5</v>
      </c>
      <c r="J21" s="43">
        <v>16</v>
      </c>
      <c r="K21" s="43">
        <v>36</v>
      </c>
      <c r="L21" s="43"/>
      <c r="M21" s="43">
        <v>72</v>
      </c>
      <c r="N21" s="168"/>
      <c r="O21" s="43"/>
      <c r="P21" s="43"/>
      <c r="Q21" s="43"/>
      <c r="R21" s="43"/>
      <c r="S21" s="43"/>
      <c r="T21" s="43"/>
      <c r="U21" s="7" t="e">
        <f t="shared" si="2"/>
        <v>#DIV/0!</v>
      </c>
      <c r="V21" s="43"/>
      <c r="W21" s="43"/>
      <c r="X21" s="43"/>
      <c r="Y21" s="81"/>
      <c r="Z21" s="43"/>
      <c r="AA21" s="43"/>
      <c r="AB21" s="43"/>
      <c r="AC21" s="43"/>
      <c r="AD21" s="43"/>
      <c r="AE21" s="43"/>
      <c r="AF21" s="43"/>
      <c r="AG21" s="7" t="e">
        <f t="shared" si="3"/>
        <v>#DIV/0!</v>
      </c>
      <c r="AH21" s="43"/>
      <c r="AI21" s="43"/>
      <c r="AJ21" s="43"/>
      <c r="AK21" s="43"/>
      <c r="AL21" s="43"/>
      <c r="EM21" s="5">
        <f t="shared" si="4"/>
        <v>40.75</v>
      </c>
      <c r="EN21" s="13"/>
      <c r="EO21" s="13"/>
      <c r="EP21" s="30">
        <f>((AVERAGE(EM16:EM21)*('Summary Page'!$C$2+1))*('Summary Page'!$C$2+1))*('Summary Page'!$C$2+1)</f>
        <v>64.126810666666657</v>
      </c>
      <c r="EQ21" s="7">
        <f>((AVERAGE(EM16:EM21)*('Summary Page'!$C$3+1))*('Summary Page'!$C$3+1))*('Summary Page'!$C$3+1)</f>
        <v>80.240885416666686</v>
      </c>
      <c r="ER21" s="7">
        <f>((AVERAGE(EM16:EM21)*('Summary Page'!$C$4+1))*('Summary Page'!$C$4+1))*('Summary Page'!$C$4+1)</f>
        <v>70.992000000000004</v>
      </c>
      <c r="ES21" s="7">
        <v>80</v>
      </c>
      <c r="ET21" s="5">
        <f t="shared" si="5"/>
        <v>42.5</v>
      </c>
      <c r="EU21" s="13"/>
      <c r="EV21" s="13"/>
      <c r="EW21" s="7">
        <f>((AVERAGE(ET16:ET21)*('Summary Page'!$C$2+1))*('Summary Page'!$C$2+1))*('Summary Page'!$C$2+1)</f>
        <v>68.679423999999983</v>
      </c>
      <c r="EX21" s="7">
        <f>((AVERAGE(ET16:ET21)*('Summary Page'!$C$3+1))*('Summary Page'!$C$3+1))*('Summary Page'!$C$3+1)</f>
        <v>85.9375</v>
      </c>
      <c r="EY21" s="7">
        <f>((AVERAGE(ET16:ET21)*('Summary Page'!$C$4+1))*('Summary Page'!$C$4+1))*('Summary Page'!$C$4+1)</f>
        <v>76.031999999999982</v>
      </c>
      <c r="EZ21" s="13">
        <f t="shared" si="6"/>
        <v>54</v>
      </c>
      <c r="FA21" s="13"/>
      <c r="FB21" s="13"/>
      <c r="FC21" s="7">
        <f>((AVERAGE(EZ16:EZ21)*('Summary Page'!$C$2+1))*('Summary Page'!$C$2+1))*('Summary Page'!$C$2+1)</f>
        <v>79.475621333333322</v>
      </c>
      <c r="FD21" s="7">
        <f>((AVERAGE(EZ16:EZ21)*('Summary Page'!$C$3+1))*('Summary Page'!$C$3+1))*('Summary Page'!$C$3+1)</f>
        <v>99.446614583333314</v>
      </c>
      <c r="FE21" s="7">
        <f>((AVERAGE(EZ16:EZ21)*('Summary Page'!$C$4+1))*('Summary Page'!$C$4+1))*('Summary Page'!$C$4+1)</f>
        <v>87.983999999999995</v>
      </c>
      <c r="FF21" s="13">
        <f t="shared" si="7"/>
        <v>37.549999999999997</v>
      </c>
      <c r="FI21" s="43"/>
      <c r="FJ21" s="7">
        <f>((AVERAGE(C16:C21)*('Summary Page'!$C$2+1))*('Summary Page'!$C$2+1))*('Summary Page'!$C$2+1)</f>
        <v>68.939573333333314</v>
      </c>
      <c r="FK21" s="7">
        <f>((AVERAGE(C16:C21)*('Summary Page'!$C$3+1))*('Summary Page'!$C$3+1))*('Summary Page'!$C$3+1)</f>
        <v>86.263020833333314</v>
      </c>
      <c r="FL21" s="7">
        <f>((AVERAGE(C16:C21)*('Summary Page'!$C$4+1))*('Summary Page'!$C$4+1))*('Summary Page'!$C$4+1)</f>
        <v>76.319999999999979</v>
      </c>
      <c r="FO21" s="43"/>
      <c r="FP21" s="7">
        <f>((AVERAGE(D16:D21)*('Summary Page'!$C$2+1))*('Summary Page'!$C$2+1))*('Summary Page'!$C$2+1)</f>
        <v>10.405973333333332</v>
      </c>
      <c r="FQ21" s="7">
        <f>((AVERAGE(D16:D21)*('Summary Page'!$C$3+1))*('Summary Page'!$C$3+1))*('Summary Page'!$C$3+1)</f>
        <v>13.020833333333336</v>
      </c>
      <c r="FR21" s="7">
        <f>((AVERAGE(D16:D21)*('Summary Page'!$C$4+1))*('Summary Page'!$C$4+1))*('Summary Page'!$C$4+1)</f>
        <v>11.52</v>
      </c>
      <c r="FU21" s="43"/>
      <c r="FV21" s="7">
        <f>((AVERAGE(E16:E21)*('Summary Page'!$C$2+1))*('Summary Page'!$C$2+1))*('Summary Page'!$C$2+1)</f>
        <v>29.396874666666662</v>
      </c>
      <c r="FW21" s="7">
        <f>((AVERAGE(E16:E21)*('Summary Page'!$C$3+1))*('Summary Page'!$C$3+1))*('Summary Page'!$C$3+1)</f>
        <v>36.783854166666657</v>
      </c>
      <c r="FX21" s="7">
        <f>((AVERAGE(E16:E21)*('Summary Page'!$C$4+1))*('Summary Page'!$C$4+1))*('Summary Page'!$C$4+1)</f>
        <v>32.543999999999997</v>
      </c>
      <c r="GA21" s="43"/>
      <c r="GB21" s="7">
        <f>((AVERAGE(F16:F21)*('Summary Page'!$C$2+1))*('Summary Page'!$C$2+1))*('Summary Page'!$C$2+1)</f>
        <v>103.01913599999996</v>
      </c>
      <c r="GC21" s="7">
        <f>((AVERAGE(F16:F21)*('Summary Page'!$C$3+1))*('Summary Page'!$C$3+1))*('Summary Page'!$C$3+1)</f>
        <v>128.90625</v>
      </c>
      <c r="GD21" s="7">
        <f>((AVERAGE(F16:F21)*('Summary Page'!$C$4+1))*('Summary Page'!$C$4+1))*('Summary Page'!$C$4+1)</f>
        <v>114.048</v>
      </c>
      <c r="GG21" s="43"/>
      <c r="GH21" s="7">
        <f>((AVERAGE(M16:M21)*('Summary Page'!$C$2+1))*('Summary Page'!$C$2+1))*('Summary Page'!$C$2+1)</f>
        <v>100.15749333333332</v>
      </c>
      <c r="GI21" s="7">
        <f>((AVERAGE(M16:M21)*('Summary Page'!$C$3+1))*('Summary Page'!$C$3+1))*('Summary Page'!$C$3+1)</f>
        <v>125.32552083333336</v>
      </c>
      <c r="GJ21" s="7">
        <f>((AVERAGE(M16:M21)*('Summary Page'!$C$4+1))*('Summary Page'!$C$4+1))*('Summary Page'!$C$4+1)</f>
        <v>110.87999999999998</v>
      </c>
      <c r="GM21" s="43"/>
      <c r="GN21" s="7">
        <f>((AVERAGE(G16:G21)*('Summary Page'!$C$2+1))*('Summary Page'!$C$2+1))*('Summary Page'!$C$2+1)</f>
        <v>90.01166933333333</v>
      </c>
      <c r="GO21" s="7">
        <f>((AVERAGE(G16:G21)*('Summary Page'!$C$3+1))*('Summary Page'!$C$3+1))*('Summary Page'!$C$3+1)</f>
        <v>112.63020833333331</v>
      </c>
      <c r="GP21" s="7">
        <f>((AVERAGE(G16:G21)*('Summary Page'!$C$4+1))*('Summary Page'!$C$4+1))*('Summary Page'!$C$4+1)</f>
        <v>99.647999999999968</v>
      </c>
      <c r="GS21" s="43"/>
      <c r="GT21" s="7">
        <f>((AVERAGE(H16:H21)*('Summary Page'!$C$2+1))*('Summary Page'!$C$2+1))*('Summary Page'!$C$2+1)</f>
        <v>52.290015999999994</v>
      </c>
      <c r="GU21" s="7">
        <f>((AVERAGE(H16:H21)*('Summary Page'!$C$3+1))*('Summary Page'!$C$3+1))*('Summary Page'!$C$3+1)</f>
        <v>65.4296875</v>
      </c>
      <c r="GV21" s="7">
        <f>((AVERAGE(H16:H21)*('Summary Page'!$C$4+1))*('Summary Page'!$C$4+1))*('Summary Page'!$C$4+1)</f>
        <v>57.887999999999991</v>
      </c>
      <c r="GY21" s="43"/>
      <c r="GZ21" s="7">
        <f>((AVERAGE(J16:J21)*('Summary Page'!$C$2+1))*('Summary Page'!$C$2+1))*('Summary Page'!$C$2+1)</f>
        <v>19.511199999999995</v>
      </c>
      <c r="HA21" s="7">
        <f>((AVERAGE(J16:J21)*('Summary Page'!$C$3+1))*('Summary Page'!$C$3+1))*('Summary Page'!$C$3+1)</f>
        <v>24.4140625</v>
      </c>
      <c r="HB21" s="7">
        <f>((AVERAGE(J16:J21)*('Summary Page'!$C$4+1))*('Summary Page'!$C$4+1))*('Summary Page'!$C$4+1)</f>
        <v>21.599999999999998</v>
      </c>
      <c r="HE21" s="43"/>
      <c r="HF21" s="7">
        <f>((AVERAGE(K16:K21)*('Summary Page'!$C$2+1))*('Summary Page'!$C$2+1))*('Summary Page'!$C$2+1)</f>
        <v>58.793749333333324</v>
      </c>
      <c r="HG21" s="7">
        <f>((AVERAGE(K16:K21)*('Summary Page'!$C$3+1))*('Summary Page'!$C$3+1))*('Summary Page'!$C$3+1)</f>
        <v>73.567708333333314</v>
      </c>
      <c r="HH21" s="7">
        <f>((AVERAGE(K16:K21)*('Summary Page'!$C$4+1))*('Summary Page'!$C$4+1))*('Summary Page'!$C$4+1)</f>
        <v>65.087999999999994</v>
      </c>
      <c r="HK21" s="43"/>
      <c r="HL21" s="7" t="e">
        <f>((AVERAGE(L16:L21)*('Summary Page'!$C$2+1))*('Summary Page'!$C$2+1))*('Summary Page'!$C$2+1)</f>
        <v>#DIV/0!</v>
      </c>
      <c r="HM21" s="7" t="e">
        <f>((AVERAGE(L16:L21)*('Summary Page'!$C$3+1))*('Summary Page'!$C$3+1))*('Summary Page'!$C$3+1)</f>
        <v>#DIV/0!</v>
      </c>
      <c r="HN21" s="7" t="e">
        <f>((AVERAGE(L16:L21)*('Summary Page'!$C$4+1))*('Summary Page'!$C$4+1))*('Summary Page'!$C$4+1)</f>
        <v>#DIV/0!</v>
      </c>
      <c r="HR21" s="7" t="e">
        <f>((AVERAGE(AL16:AL21)*('Summary Page'!$C$2+1))*('Summary Page'!$C$2+1))*('Summary Page'!$C$2+1)</f>
        <v>#DIV/0!</v>
      </c>
      <c r="HS21" s="7" t="e">
        <f>((AVERAGE(AL16:AL21)*('Summary Page'!$C$3+1))*('Summary Page'!$C$3+1))*('Summary Page'!$C$3+1)</f>
        <v>#DIV/0!</v>
      </c>
      <c r="HT21" s="7" t="e">
        <f>((AVERAGE(AL16:AL21)*('Summary Page'!$C$4+1))*('Summary Page'!$C$4+1))*('Summary Page'!$C$4+1)</f>
        <v>#DIV/0!</v>
      </c>
      <c r="HU21" s="7">
        <v>100</v>
      </c>
    </row>
    <row r="22" spans="1:241" ht="15.75" x14ac:dyDescent="0.25">
      <c r="A22" s="20">
        <v>43617</v>
      </c>
      <c r="B22" s="168"/>
      <c r="C22" s="67">
        <v>47</v>
      </c>
      <c r="D22" s="43">
        <v>7</v>
      </c>
      <c r="E22" s="43">
        <v>21</v>
      </c>
      <c r="F22" s="43">
        <v>69</v>
      </c>
      <c r="G22" s="43">
        <v>80</v>
      </c>
      <c r="H22" s="43">
        <v>33</v>
      </c>
      <c r="I22" s="7">
        <f t="shared" si="1"/>
        <v>50.75</v>
      </c>
      <c r="J22" s="43">
        <v>14</v>
      </c>
      <c r="K22" s="43">
        <v>36</v>
      </c>
      <c r="L22" s="43"/>
      <c r="M22" s="43">
        <v>78</v>
      </c>
      <c r="N22" s="168"/>
      <c r="O22" s="43"/>
      <c r="P22" s="43"/>
      <c r="Q22" s="43"/>
      <c r="R22" s="43"/>
      <c r="S22" s="43"/>
      <c r="T22" s="43"/>
      <c r="U22" s="7" t="e">
        <f t="shared" si="2"/>
        <v>#DIV/0!</v>
      </c>
      <c r="V22" s="43"/>
      <c r="W22" s="43"/>
      <c r="X22" s="43"/>
      <c r="Y22" s="81"/>
      <c r="Z22" s="43"/>
      <c r="AA22" s="43"/>
      <c r="AB22" s="43"/>
      <c r="AC22" s="43"/>
      <c r="AD22" s="43"/>
      <c r="AE22" s="43"/>
      <c r="AF22" s="43"/>
      <c r="AG22" s="7" t="e">
        <f t="shared" si="3"/>
        <v>#DIV/0!</v>
      </c>
      <c r="AH22" s="43"/>
      <c r="AI22" s="43"/>
      <c r="AJ22" s="43"/>
      <c r="AK22" s="43"/>
      <c r="AL22" s="43"/>
      <c r="EM22" s="5">
        <f t="shared" si="4"/>
        <v>46.375</v>
      </c>
      <c r="EN22" s="13"/>
      <c r="EO22" s="13"/>
      <c r="EP22" s="30">
        <f>((AVERAGE(EM17:EM22)*('Summary Page'!$C$2+1))*('Summary Page'!$C$2+1))*('Summary Page'!$C$2+1)</f>
        <v>64.28940399999999</v>
      </c>
      <c r="EQ22" s="7">
        <f>((AVERAGE(EM17:EM22)*('Summary Page'!$C$3+1))*('Summary Page'!$C$3+1))*('Summary Page'!$C$3+1)</f>
        <v>80.4443359375</v>
      </c>
      <c r="ER22" s="7">
        <f>((AVERAGE(EM17:EM22)*('Summary Page'!$C$4+1))*('Summary Page'!$C$4+1))*('Summary Page'!$C$4+1)</f>
        <v>71.171999999999997</v>
      </c>
      <c r="ES22" s="7">
        <v>80</v>
      </c>
      <c r="ET22" s="5">
        <f t="shared" si="5"/>
        <v>50.75</v>
      </c>
      <c r="EU22" s="13"/>
      <c r="EV22" s="13"/>
      <c r="EW22" s="7">
        <f>((AVERAGE(ET17:ET22)*('Summary Page'!$C$2+1))*('Summary Page'!$C$2+1))*('Summary Page'!$C$2+1)</f>
        <v>68.874535999999992</v>
      </c>
      <c r="EX22" s="7">
        <f>((AVERAGE(ET17:ET22)*('Summary Page'!$C$3+1))*('Summary Page'!$C$3+1))*('Summary Page'!$C$3+1)</f>
        <v>86.181640625</v>
      </c>
      <c r="EY22" s="7">
        <f>((AVERAGE(ET17:ET22)*('Summary Page'!$C$4+1))*('Summary Page'!$C$4+1))*('Summary Page'!$C$4+1)</f>
        <v>76.24799999999999</v>
      </c>
      <c r="EZ22" s="13">
        <f t="shared" si="6"/>
        <v>57</v>
      </c>
      <c r="FA22" s="13"/>
      <c r="FB22" s="13"/>
      <c r="FC22" s="7">
        <f>((AVERAGE(EZ17:EZ22)*('Summary Page'!$C$2+1))*('Summary Page'!$C$2+1))*('Summary Page'!$C$2+1)</f>
        <v>81.036517333333322</v>
      </c>
      <c r="FD22" s="7">
        <f>((AVERAGE(EZ17:EZ22)*('Summary Page'!$C$3+1))*('Summary Page'!$C$3+1))*('Summary Page'!$C$3+1)</f>
        <v>101.39973958333331</v>
      </c>
      <c r="FE22" s="7">
        <f>((AVERAGE(EZ17:EZ22)*('Summary Page'!$C$4+1))*('Summary Page'!$C$4+1))*('Summary Page'!$C$4+1)</f>
        <v>89.711999999999989</v>
      </c>
      <c r="FF22" s="13">
        <f t="shared" si="7"/>
        <v>42.475000000000001</v>
      </c>
      <c r="FI22" s="43"/>
      <c r="FJ22" s="7">
        <f>((AVERAGE(C17:C22)*('Summary Page'!$C$2+1))*('Summary Page'!$C$2+1))*('Summary Page'!$C$2+1)</f>
        <v>68.679423999999983</v>
      </c>
      <c r="FK22" s="7">
        <f>((AVERAGE(C17:C22)*('Summary Page'!$C$3+1))*('Summary Page'!$C$3+1))*('Summary Page'!$C$3+1)</f>
        <v>85.9375</v>
      </c>
      <c r="FL22" s="7">
        <f>((AVERAGE(C17:C22)*('Summary Page'!$C$4+1))*('Summary Page'!$C$4+1))*('Summary Page'!$C$4+1)</f>
        <v>76.031999999999982</v>
      </c>
      <c r="FO22" s="43"/>
      <c r="FP22" s="7">
        <f>((AVERAGE(D17:D22)*('Summary Page'!$C$2+1))*('Summary Page'!$C$2+1))*('Summary Page'!$C$2+1)</f>
        <v>8.0646293333333325</v>
      </c>
      <c r="FQ22" s="7">
        <f>((AVERAGE(D17:D22)*('Summary Page'!$C$3+1))*('Summary Page'!$C$3+1))*('Summary Page'!$C$3+1)</f>
        <v>10.091145833333336</v>
      </c>
      <c r="FR22" s="7">
        <f>((AVERAGE(D17:D22)*('Summary Page'!$C$4+1))*('Summary Page'!$C$4+1))*('Summary Page'!$C$4+1)</f>
        <v>8.927999999999999</v>
      </c>
      <c r="FU22" s="43"/>
      <c r="FV22" s="7">
        <f>((AVERAGE(E17:E22)*('Summary Page'!$C$2+1))*('Summary Page'!$C$2+1))*('Summary Page'!$C$2+1)</f>
        <v>28.876575999999993</v>
      </c>
      <c r="FW22" s="7">
        <f>((AVERAGE(E17:E22)*('Summary Page'!$C$3+1))*('Summary Page'!$C$3+1))*('Summary Page'!$C$3+1)</f>
        <v>36.1328125</v>
      </c>
      <c r="FX22" s="7">
        <f>((AVERAGE(E17:E22)*('Summary Page'!$C$4+1))*('Summary Page'!$C$4+1))*('Summary Page'!$C$4+1)</f>
        <v>31.967999999999996</v>
      </c>
      <c r="GA22" s="43"/>
      <c r="GB22" s="7">
        <f>((AVERAGE(F17:F22)*('Summary Page'!$C$2+1))*('Summary Page'!$C$2+1))*('Summary Page'!$C$2+1)</f>
        <v>100.15749333333332</v>
      </c>
      <c r="GC22" s="7">
        <f>((AVERAGE(F17:F22)*('Summary Page'!$C$3+1))*('Summary Page'!$C$3+1))*('Summary Page'!$C$3+1)</f>
        <v>125.32552083333336</v>
      </c>
      <c r="GD22" s="7">
        <f>((AVERAGE(F17:F22)*('Summary Page'!$C$4+1))*('Summary Page'!$C$4+1))*('Summary Page'!$C$4+1)</f>
        <v>110.87999999999998</v>
      </c>
      <c r="GG22" s="43"/>
      <c r="GH22" s="7">
        <f>((AVERAGE(M17:M22)*('Summary Page'!$C$2+1))*('Summary Page'!$C$2+1))*('Summary Page'!$C$2+1)</f>
        <v>104.58003199999999</v>
      </c>
      <c r="GI22" s="7">
        <f>((AVERAGE(M17:M22)*('Summary Page'!$C$3+1))*('Summary Page'!$C$3+1))*('Summary Page'!$C$3+1)</f>
        <v>130.859375</v>
      </c>
      <c r="GJ22" s="7">
        <f>((AVERAGE(M17:M22)*('Summary Page'!$C$4+1))*('Summary Page'!$C$4+1))*('Summary Page'!$C$4+1)</f>
        <v>115.77599999999998</v>
      </c>
      <c r="GM22" s="43"/>
      <c r="GN22" s="7">
        <f>((AVERAGE(G17:G22)*('Summary Page'!$C$2+1))*('Summary Page'!$C$2+1))*('Summary Page'!$C$2+1)</f>
        <v>94.43420799999997</v>
      </c>
      <c r="GO22" s="7">
        <f>((AVERAGE(G17:G22)*('Summary Page'!$C$3+1))*('Summary Page'!$C$3+1))*('Summary Page'!$C$3+1)</f>
        <v>118.1640625</v>
      </c>
      <c r="GP22" s="7">
        <f>((AVERAGE(G17:G22)*('Summary Page'!$C$4+1))*('Summary Page'!$C$4+1))*('Summary Page'!$C$4+1)</f>
        <v>104.54399999999998</v>
      </c>
      <c r="GS22" s="43"/>
      <c r="GT22" s="7">
        <f>((AVERAGE(H17:H22)*('Summary Page'!$C$2+1))*('Summary Page'!$C$2+1))*('Summary Page'!$C$2+1)</f>
        <v>52.029866666666656</v>
      </c>
      <c r="GU22" s="7">
        <f>((AVERAGE(H17:H22)*('Summary Page'!$C$3+1))*('Summary Page'!$C$3+1))*('Summary Page'!$C$3+1)</f>
        <v>65.104166666666686</v>
      </c>
      <c r="GV22" s="7">
        <f>((AVERAGE(H17:H22)*('Summary Page'!$C$4+1))*('Summary Page'!$C$4+1))*('Summary Page'!$C$4+1)</f>
        <v>57.599999999999994</v>
      </c>
      <c r="GY22" s="43"/>
      <c r="GZ22" s="7">
        <f>((AVERAGE(J17:J22)*('Summary Page'!$C$2+1))*('Summary Page'!$C$2+1))*('Summary Page'!$C$2+1)</f>
        <v>20.551797333333329</v>
      </c>
      <c r="HA22" s="7">
        <f>((AVERAGE(J17:J22)*('Summary Page'!$C$3+1))*('Summary Page'!$C$3+1))*('Summary Page'!$C$3+1)</f>
        <v>25.716145833333329</v>
      </c>
      <c r="HB22" s="7">
        <f>((AVERAGE(J17:J22)*('Summary Page'!$C$4+1))*('Summary Page'!$C$4+1))*('Summary Page'!$C$4+1)</f>
        <v>22.751999999999995</v>
      </c>
      <c r="HE22" s="43"/>
      <c r="HF22" s="7">
        <f>((AVERAGE(K17:K22)*('Summary Page'!$C$2+1))*('Summary Page'!$C$2+1))*('Summary Page'!$C$2+1)</f>
        <v>57.493002666666655</v>
      </c>
      <c r="HG22" s="7">
        <f>((AVERAGE(K17:K22)*('Summary Page'!$C$3+1))*('Summary Page'!$C$3+1))*('Summary Page'!$C$3+1)</f>
        <v>71.940104166666686</v>
      </c>
      <c r="HH22" s="7">
        <f>((AVERAGE(K17:K22)*('Summary Page'!$C$4+1))*('Summary Page'!$C$4+1))*('Summary Page'!$C$4+1)</f>
        <v>63.647999999999996</v>
      </c>
      <c r="HK22" s="43"/>
      <c r="HL22" s="7" t="e">
        <f>((AVERAGE(L17:L22)*('Summary Page'!$C$2+1))*('Summary Page'!$C$2+1))*('Summary Page'!$C$2+1)</f>
        <v>#DIV/0!</v>
      </c>
      <c r="HM22" s="7" t="e">
        <f>((AVERAGE(L17:L22)*('Summary Page'!$C$3+1))*('Summary Page'!$C$3+1))*('Summary Page'!$C$3+1)</f>
        <v>#DIV/0!</v>
      </c>
      <c r="HN22" s="7" t="e">
        <f>((AVERAGE(L17:L22)*('Summary Page'!$C$4+1))*('Summary Page'!$C$4+1))*('Summary Page'!$C$4+1)</f>
        <v>#DIV/0!</v>
      </c>
      <c r="HR22" s="7" t="e">
        <f>((AVERAGE(AL17:AL22)*('Summary Page'!$C$2+1))*('Summary Page'!$C$2+1))*('Summary Page'!$C$2+1)</f>
        <v>#DIV/0!</v>
      </c>
      <c r="HS22" s="7" t="e">
        <f>((AVERAGE(AL17:AL22)*('Summary Page'!$C$3+1))*('Summary Page'!$C$3+1))*('Summary Page'!$C$3+1)</f>
        <v>#DIV/0!</v>
      </c>
      <c r="HT22" s="7" t="e">
        <f>((AVERAGE(AL17:AL22)*('Summary Page'!$C$4+1))*('Summary Page'!$C$4+1))*('Summary Page'!$C$4+1)</f>
        <v>#DIV/0!</v>
      </c>
      <c r="HU22" s="7">
        <v>100</v>
      </c>
    </row>
    <row r="23" spans="1:241" ht="15.75" x14ac:dyDescent="0.25">
      <c r="A23" s="20">
        <v>43630</v>
      </c>
      <c r="B23" s="168"/>
      <c r="C23" s="67">
        <v>45</v>
      </c>
      <c r="D23" s="43">
        <v>6</v>
      </c>
      <c r="E23" s="43">
        <v>18</v>
      </c>
      <c r="F23" s="43">
        <v>68</v>
      </c>
      <c r="G23" s="43">
        <v>79</v>
      </c>
      <c r="H23" s="43">
        <v>33</v>
      </c>
      <c r="I23" s="7">
        <f t="shared" si="1"/>
        <v>49.5</v>
      </c>
      <c r="J23" s="43">
        <v>14</v>
      </c>
      <c r="K23" s="43">
        <v>39</v>
      </c>
      <c r="L23" s="43"/>
      <c r="M23" s="43">
        <v>78</v>
      </c>
      <c r="N23" s="168"/>
      <c r="O23" s="43"/>
      <c r="P23" s="43"/>
      <c r="Q23" s="43"/>
      <c r="R23" s="43"/>
      <c r="S23" s="43"/>
      <c r="T23" s="43"/>
      <c r="U23" s="7" t="e">
        <f t="shared" si="2"/>
        <v>#DIV/0!</v>
      </c>
      <c r="V23" s="43"/>
      <c r="W23" s="43"/>
      <c r="X23" s="43"/>
      <c r="Y23" s="81"/>
      <c r="Z23" s="43"/>
      <c r="AA23" s="43"/>
      <c r="AB23" s="43"/>
      <c r="AC23" s="43"/>
      <c r="AD23" s="43"/>
      <c r="AE23" s="43"/>
      <c r="AF23" s="43"/>
      <c r="AG23" s="7" t="e">
        <f t="shared" si="3"/>
        <v>#DIV/0!</v>
      </c>
      <c r="AH23" s="43"/>
      <c r="AI23" s="43"/>
      <c r="AJ23" s="43"/>
      <c r="AK23" s="43"/>
      <c r="AL23" s="43"/>
      <c r="EM23" s="5">
        <f t="shared" si="4"/>
        <v>45.75</v>
      </c>
      <c r="EN23" s="13"/>
      <c r="EO23" s="13"/>
      <c r="EP23" s="30">
        <f>((AVERAGE(EM18:EM23)*('Summary Page'!$C$2+1))*('Summary Page'!$C$2+1))*('Summary Page'!$C$2+1)</f>
        <v>65.460075999999987</v>
      </c>
      <c r="EQ23" s="7">
        <f>((AVERAGE(EM18:EM23)*('Summary Page'!$C$3+1))*('Summary Page'!$C$3+1))*('Summary Page'!$C$3+1)</f>
        <v>81.9091796875</v>
      </c>
      <c r="ER23" s="7">
        <f>((AVERAGE(EM18:EM23)*('Summary Page'!$C$4+1))*('Summary Page'!$C$4+1))*('Summary Page'!$C$4+1)</f>
        <v>72.467999999999989</v>
      </c>
      <c r="ES23" s="7">
        <v>80</v>
      </c>
      <c r="ET23" s="5">
        <f t="shared" si="5"/>
        <v>49.5</v>
      </c>
      <c r="EU23" s="13"/>
      <c r="EV23" s="13"/>
      <c r="EW23" s="7">
        <f>((AVERAGE(ET18:ET23)*('Summary Page'!$C$2+1))*('Summary Page'!$C$2+1))*('Summary Page'!$C$2+1)</f>
        <v>69.264759999999981</v>
      </c>
      <c r="EX23" s="7">
        <f>((AVERAGE(ET18:ET23)*('Summary Page'!$C$3+1))*('Summary Page'!$C$3+1))*('Summary Page'!$C$3+1)</f>
        <v>86.669921875</v>
      </c>
      <c r="EY23" s="7">
        <f>((AVERAGE(ET18:ET23)*('Summary Page'!$C$4+1))*('Summary Page'!$C$4+1))*('Summary Page'!$C$4+1)</f>
        <v>76.679999999999993</v>
      </c>
      <c r="EZ23" s="13">
        <f t="shared" si="6"/>
        <v>58.5</v>
      </c>
      <c r="FA23" s="13"/>
      <c r="FB23" s="13"/>
      <c r="FC23" s="7">
        <f>((AVERAGE(EZ18:EZ23)*('Summary Page'!$C$2+1))*('Summary Page'!$C$2+1))*('Summary Page'!$C$2+1)</f>
        <v>84.54853333333331</v>
      </c>
      <c r="FD23" s="7">
        <f>((AVERAGE(EZ18:EZ23)*('Summary Page'!$C$3+1))*('Summary Page'!$C$3+1))*('Summary Page'!$C$3+1)</f>
        <v>105.79427083333331</v>
      </c>
      <c r="FE23" s="7">
        <f>((AVERAGE(EZ18:EZ23)*('Summary Page'!$C$4+1))*('Summary Page'!$C$4+1))*('Summary Page'!$C$4+1)</f>
        <v>93.6</v>
      </c>
      <c r="FF23" s="13">
        <f t="shared" si="7"/>
        <v>42.35</v>
      </c>
      <c r="FI23" s="43"/>
      <c r="FJ23" s="7">
        <f>((AVERAGE(C18:C23)*('Summary Page'!$C$2+1))*('Summary Page'!$C$2+1))*('Summary Page'!$C$2+1)</f>
        <v>69.199722666666659</v>
      </c>
      <c r="FK23" s="7">
        <f>((AVERAGE(C18:C23)*('Summary Page'!$C$3+1))*('Summary Page'!$C$3+1))*('Summary Page'!$C$3+1)</f>
        <v>86.588541666666686</v>
      </c>
      <c r="FL23" s="7">
        <f>((AVERAGE(C18:C23)*('Summary Page'!$C$4+1))*('Summary Page'!$C$4+1))*('Summary Page'!$C$4+1)</f>
        <v>76.608000000000004</v>
      </c>
      <c r="FO23" s="43"/>
      <c r="FP23" s="7">
        <f>((AVERAGE(D18:D23)*('Summary Page'!$C$2+1))*('Summary Page'!$C$2+1))*('Summary Page'!$C$2+1)</f>
        <v>8.3247786666666634</v>
      </c>
      <c r="FQ23" s="7">
        <f>((AVERAGE(D18:D23)*('Summary Page'!$C$3+1))*('Summary Page'!$C$3+1))*('Summary Page'!$C$3+1)</f>
        <v>10.416666666666664</v>
      </c>
      <c r="FR23" s="7">
        <f>((AVERAGE(D18:D23)*('Summary Page'!$C$4+1))*('Summary Page'!$C$4+1))*('Summary Page'!$C$4+1)</f>
        <v>9.2159999999999975</v>
      </c>
      <c r="FU23" s="43"/>
      <c r="FV23" s="7">
        <f>((AVERAGE(E18:E23)*('Summary Page'!$C$2+1))*('Summary Page'!$C$2+1))*('Summary Page'!$C$2+1)</f>
        <v>28.356277333333331</v>
      </c>
      <c r="FW23" s="7">
        <f>((AVERAGE(E18:E23)*('Summary Page'!$C$3+1))*('Summary Page'!$C$3+1))*('Summary Page'!$C$3+1)</f>
        <v>35.481770833333343</v>
      </c>
      <c r="FX23" s="7">
        <f>((AVERAGE(E18:E23)*('Summary Page'!$C$4+1))*('Summary Page'!$C$4+1))*('Summary Page'!$C$4+1)</f>
        <v>31.391999999999999</v>
      </c>
      <c r="GA23" s="43"/>
      <c r="GB23" s="7">
        <f>((AVERAGE(F18:F23)*('Summary Page'!$C$2+1))*('Summary Page'!$C$2+1))*('Summary Page'!$C$2+1)</f>
        <v>99.377045333333314</v>
      </c>
      <c r="GC23" s="7">
        <f>((AVERAGE(F18:F23)*('Summary Page'!$C$3+1))*('Summary Page'!$C$3+1))*('Summary Page'!$C$3+1)</f>
        <v>124.34895833333331</v>
      </c>
      <c r="GD23" s="7">
        <f>((AVERAGE(F18:F23)*('Summary Page'!$C$4+1))*('Summary Page'!$C$4+1))*('Summary Page'!$C$4+1)</f>
        <v>110.01599999999999</v>
      </c>
      <c r="GG23" s="43"/>
      <c r="GH23" s="7">
        <f>((AVERAGE(M18:M23)*('Summary Page'!$C$2+1))*('Summary Page'!$C$2+1))*('Summary Page'!$C$2+1)</f>
        <v>111.60406399999998</v>
      </c>
      <c r="GI23" s="7">
        <f>((AVERAGE(M18:M23)*('Summary Page'!$C$3+1))*('Summary Page'!$C$3+1))*('Summary Page'!$C$3+1)</f>
        <v>139.6484375</v>
      </c>
      <c r="GJ23" s="7">
        <f>((AVERAGE(M18:M23)*('Summary Page'!$C$4+1))*('Summary Page'!$C$4+1))*('Summary Page'!$C$4+1)</f>
        <v>123.55199999999999</v>
      </c>
      <c r="GM23" s="43"/>
      <c r="GN23" s="7">
        <f>((AVERAGE(G18:G23)*('Summary Page'!$C$2+1))*('Summary Page'!$C$2+1))*('Summary Page'!$C$2+1)</f>
        <v>97.816149333333314</v>
      </c>
      <c r="GO23" s="7">
        <f>((AVERAGE(G18:G23)*('Summary Page'!$C$3+1))*('Summary Page'!$C$3+1))*('Summary Page'!$C$3+1)</f>
        <v>122.39583333333331</v>
      </c>
      <c r="GP23" s="7">
        <f>((AVERAGE(G18:G23)*('Summary Page'!$C$4+1))*('Summary Page'!$C$4+1))*('Summary Page'!$C$4+1)</f>
        <v>108.28799999999997</v>
      </c>
      <c r="GS23" s="43"/>
      <c r="GT23" s="7">
        <f>((AVERAGE(H18:H23)*('Summary Page'!$C$2+1))*('Summary Page'!$C$2+1))*('Summary Page'!$C$2+1)</f>
        <v>51.50956799999998</v>
      </c>
      <c r="GU23" s="7">
        <f>((AVERAGE(H18:H23)*('Summary Page'!$C$3+1))*('Summary Page'!$C$3+1))*('Summary Page'!$C$3+1)</f>
        <v>64.453125</v>
      </c>
      <c r="GV23" s="7">
        <f>((AVERAGE(H18:H23)*('Summary Page'!$C$4+1))*('Summary Page'!$C$4+1))*('Summary Page'!$C$4+1)</f>
        <v>57.024000000000001</v>
      </c>
      <c r="GY23" s="43"/>
      <c r="GZ23" s="7">
        <f>((AVERAGE(J18:J23)*('Summary Page'!$C$2+1))*('Summary Page'!$C$2+1))*('Summary Page'!$C$2+1)</f>
        <v>21.592394666666664</v>
      </c>
      <c r="HA23" s="7">
        <f>((AVERAGE(J18:J23)*('Summary Page'!$C$3+1))*('Summary Page'!$C$3+1))*('Summary Page'!$C$3+1)</f>
        <v>27.018229166666671</v>
      </c>
      <c r="HB23" s="7">
        <f>((AVERAGE(J18:J23)*('Summary Page'!$C$4+1))*('Summary Page'!$C$4+1))*('Summary Page'!$C$4+1)</f>
        <v>23.904</v>
      </c>
      <c r="HE23" s="43"/>
      <c r="HF23" s="7">
        <f>((AVERAGE(K18:K23)*('Summary Page'!$C$2+1))*('Summary Page'!$C$2+1))*('Summary Page'!$C$2+1)</f>
        <v>57.493002666666655</v>
      </c>
      <c r="HG23" s="7">
        <f>((AVERAGE(K18:K23)*('Summary Page'!$C$3+1))*('Summary Page'!$C$3+1))*('Summary Page'!$C$3+1)</f>
        <v>71.940104166666686</v>
      </c>
      <c r="HH23" s="7">
        <f>((AVERAGE(K18:K23)*('Summary Page'!$C$4+1))*('Summary Page'!$C$4+1))*('Summary Page'!$C$4+1)</f>
        <v>63.647999999999996</v>
      </c>
      <c r="HK23" s="43"/>
      <c r="HL23" s="7" t="e">
        <f>((AVERAGE(L18:L23)*('Summary Page'!$C$2+1))*('Summary Page'!$C$2+1))*('Summary Page'!$C$2+1)</f>
        <v>#DIV/0!</v>
      </c>
      <c r="HM23" s="7" t="e">
        <f>((AVERAGE(L18:L23)*('Summary Page'!$C$3+1))*('Summary Page'!$C$3+1))*('Summary Page'!$C$3+1)</f>
        <v>#DIV/0!</v>
      </c>
      <c r="HN23" s="7" t="e">
        <f>((AVERAGE(L18:L23)*('Summary Page'!$C$4+1))*('Summary Page'!$C$4+1))*('Summary Page'!$C$4+1)</f>
        <v>#DIV/0!</v>
      </c>
      <c r="HR23" s="7" t="e">
        <f>((AVERAGE(AL18:AL23)*('Summary Page'!$C$2+1))*('Summary Page'!$C$2+1))*('Summary Page'!$C$2+1)</f>
        <v>#DIV/0!</v>
      </c>
      <c r="HS23" s="7" t="e">
        <f>((AVERAGE(AL18:AL23)*('Summary Page'!$C$3+1))*('Summary Page'!$C$3+1))*('Summary Page'!$C$3+1)</f>
        <v>#DIV/0!</v>
      </c>
      <c r="HT23" s="7" t="e">
        <f>((AVERAGE(AL18:AL23)*('Summary Page'!$C$4+1))*('Summary Page'!$C$4+1))*('Summary Page'!$C$4+1)</f>
        <v>#DIV/0!</v>
      </c>
      <c r="HU23" s="7">
        <v>100</v>
      </c>
    </row>
    <row r="24" spans="1:241" ht="15.75" x14ac:dyDescent="0.25">
      <c r="A24" s="20">
        <v>43647</v>
      </c>
      <c r="B24" s="168"/>
      <c r="C24" s="67">
        <v>36</v>
      </c>
      <c r="D24" s="43">
        <v>4</v>
      </c>
      <c r="E24" s="43">
        <v>19</v>
      </c>
      <c r="F24" s="43">
        <v>57</v>
      </c>
      <c r="G24" s="43">
        <v>82</v>
      </c>
      <c r="H24" s="43">
        <v>24</v>
      </c>
      <c r="I24" s="7">
        <f t="shared" si="1"/>
        <v>45.5</v>
      </c>
      <c r="J24" s="43">
        <v>11</v>
      </c>
      <c r="K24" s="43">
        <v>37</v>
      </c>
      <c r="L24" s="43"/>
      <c r="M24" s="43">
        <v>62</v>
      </c>
      <c r="N24" s="168"/>
      <c r="O24" s="43">
        <v>36</v>
      </c>
      <c r="P24" s="43"/>
      <c r="Q24" s="43"/>
      <c r="R24" s="43"/>
      <c r="S24" s="43"/>
      <c r="T24" s="43"/>
      <c r="U24" s="7" t="e">
        <f t="shared" si="2"/>
        <v>#DIV/0!</v>
      </c>
      <c r="V24" s="43"/>
      <c r="W24" s="43"/>
      <c r="X24" s="43"/>
      <c r="Y24" s="81"/>
      <c r="Z24" s="43"/>
      <c r="AA24" s="43"/>
      <c r="AB24" s="43"/>
      <c r="AC24" s="43"/>
      <c r="AD24" s="43"/>
      <c r="AE24" s="43"/>
      <c r="AF24" s="43"/>
      <c r="AG24" s="7" t="e">
        <f t="shared" si="3"/>
        <v>#DIV/0!</v>
      </c>
      <c r="AH24" s="43"/>
      <c r="AI24" s="43"/>
      <c r="AJ24" s="43"/>
      <c r="AK24" s="43"/>
      <c r="AL24" s="43">
        <v>79</v>
      </c>
      <c r="AM24" s="43">
        <v>88</v>
      </c>
      <c r="AN24" s="43"/>
      <c r="EM24" s="5">
        <f t="shared" si="4"/>
        <v>40.125</v>
      </c>
      <c r="EN24" s="13">
        <v>46</v>
      </c>
      <c r="EO24" s="13">
        <f>EN24</f>
        <v>46</v>
      </c>
      <c r="EP24" s="30">
        <f>((AVERAGE(EM19:EM24)*('Summary Page'!$C$2+1))*('Summary Page'!$C$2+1))*('Summary Page'!$C$2+1)</f>
        <v>65.460075999999987</v>
      </c>
      <c r="EQ24" s="7">
        <f>((AVERAGE(EM19:EM24)*('Summary Page'!$C$3+1))*('Summary Page'!$C$3+1))*('Summary Page'!$C$3+1)</f>
        <v>81.9091796875</v>
      </c>
      <c r="ER24" s="7">
        <f>((AVERAGE(EM19:EM24)*('Summary Page'!$C$4+1))*('Summary Page'!$C$4+1))*('Summary Page'!$C$4+1)</f>
        <v>72.467999999999989</v>
      </c>
      <c r="ES24" s="7">
        <v>80</v>
      </c>
      <c r="ET24" s="5">
        <f t="shared" si="5"/>
        <v>45.5</v>
      </c>
      <c r="EU24" s="13">
        <v>50</v>
      </c>
      <c r="EV24" s="13">
        <f>EU24</f>
        <v>50</v>
      </c>
      <c r="EW24" s="7">
        <f>((AVERAGE(ET19:ET24)*('Summary Page'!$C$2+1))*('Summary Page'!$C$2+1))*('Summary Page'!$C$2+1)</f>
        <v>69.654983999999985</v>
      </c>
      <c r="EX24" s="7">
        <f>((AVERAGE(ET19:ET24)*('Summary Page'!$C$3+1))*('Summary Page'!$C$3+1))*('Summary Page'!$C$3+1)</f>
        <v>87.158203125</v>
      </c>
      <c r="EY24" s="7">
        <f>((AVERAGE(ET19:ET24)*('Summary Page'!$C$4+1))*('Summary Page'!$C$4+1))*('Summary Page'!$C$4+1)</f>
        <v>77.111999999999981</v>
      </c>
      <c r="EZ24" s="13">
        <f t="shared" si="6"/>
        <v>49.5</v>
      </c>
      <c r="FA24" s="13">
        <v>62</v>
      </c>
      <c r="FB24" s="13">
        <f>FA24</f>
        <v>62</v>
      </c>
      <c r="FC24" s="7">
        <f>((AVERAGE(EZ19:EZ24)*('Summary Page'!$C$2+1))*('Summary Page'!$C$2+1))*('Summary Page'!$C$2+1)</f>
        <v>85.328981333333303</v>
      </c>
      <c r="FD24" s="7">
        <f>((AVERAGE(EZ19:EZ24)*('Summary Page'!$C$3+1))*('Summary Page'!$C$3+1))*('Summary Page'!$C$3+1)</f>
        <v>106.77083333333331</v>
      </c>
      <c r="FE24" s="7">
        <f>((AVERAGE(EZ19:EZ24)*('Summary Page'!$C$4+1))*('Summary Page'!$C$4+1))*('Summary Page'!$C$4+1)</f>
        <v>94.463999999999984</v>
      </c>
      <c r="FF24" s="13">
        <f t="shared" si="7"/>
        <v>37.85</v>
      </c>
      <c r="FI24" s="43">
        <f t="shared" ref="FI24:FI55" si="8">O24</f>
        <v>36</v>
      </c>
      <c r="FJ24" s="7">
        <f>((AVERAGE(C19:C24)*('Summary Page'!$C$2+1))*('Summary Page'!$C$2+1))*('Summary Page'!$C$2+1)</f>
        <v>67.63882666666666</v>
      </c>
      <c r="FK24" s="7">
        <f>((AVERAGE(C19:C24)*('Summary Page'!$C$3+1))*('Summary Page'!$C$3+1))*('Summary Page'!$C$3+1)</f>
        <v>84.635416666666686</v>
      </c>
      <c r="FL24" s="7">
        <f>((AVERAGE(C19:C24)*('Summary Page'!$C$4+1))*('Summary Page'!$C$4+1))*('Summary Page'!$C$4+1)</f>
        <v>74.88</v>
      </c>
      <c r="FO24" s="43"/>
      <c r="FP24" s="7">
        <f>((AVERAGE(D19:D24)*('Summary Page'!$C$2+1))*('Summary Page'!$C$2+1))*('Summary Page'!$C$2+1)</f>
        <v>6.7638826666666647</v>
      </c>
      <c r="FQ24" s="7">
        <f>((AVERAGE(D19:D24)*('Summary Page'!$C$3+1))*('Summary Page'!$C$3+1))*('Summary Page'!$C$3+1)</f>
        <v>8.4635416666666643</v>
      </c>
      <c r="FR24" s="7">
        <f>((AVERAGE(D19:D24)*('Summary Page'!$C$4+1))*('Summary Page'!$C$4+1))*('Summary Page'!$C$4+1)</f>
        <v>7.4879999999999987</v>
      </c>
      <c r="FU24" s="43"/>
      <c r="FV24" s="7">
        <f>((AVERAGE(E19:E24)*('Summary Page'!$C$2+1))*('Summary Page'!$C$2+1))*('Summary Page'!$C$2+1)</f>
        <v>27.835978666666659</v>
      </c>
      <c r="FW24" s="7">
        <f>((AVERAGE(E19:E24)*('Summary Page'!$C$3+1))*('Summary Page'!$C$3+1))*('Summary Page'!$C$3+1)</f>
        <v>34.830729166666657</v>
      </c>
      <c r="FX24" s="7">
        <f>((AVERAGE(E19:E24)*('Summary Page'!$C$4+1))*('Summary Page'!$C$4+1))*('Summary Page'!$C$4+1)</f>
        <v>30.815999999999995</v>
      </c>
      <c r="GA24" s="43"/>
      <c r="GB24" s="7">
        <f>((AVERAGE(F19:F24)*('Summary Page'!$C$2+1))*('Summary Page'!$C$2+1))*('Summary Page'!$C$2+1)</f>
        <v>97.555999999999983</v>
      </c>
      <c r="GC24" s="7">
        <f>((AVERAGE(F19:F24)*('Summary Page'!$C$3+1))*('Summary Page'!$C$3+1))*('Summary Page'!$C$3+1)</f>
        <v>122.0703125</v>
      </c>
      <c r="GD24" s="7">
        <f>((AVERAGE(F19:F24)*('Summary Page'!$C$4+1))*('Summary Page'!$C$4+1))*('Summary Page'!$C$4+1)</f>
        <v>108</v>
      </c>
      <c r="GG24" s="43"/>
      <c r="GH24" s="7">
        <f>((AVERAGE(M19:M24)*('Summary Page'!$C$2+1))*('Summary Page'!$C$2+1))*('Summary Page'!$C$2+1)</f>
        <v>113.16495999999998</v>
      </c>
      <c r="GI24" s="7">
        <f>((AVERAGE(M19:M24)*('Summary Page'!$C$3+1))*('Summary Page'!$C$3+1))*('Summary Page'!$C$3+1)</f>
        <v>141.6015625</v>
      </c>
      <c r="GJ24" s="7">
        <f>((AVERAGE(M19:M24)*('Summary Page'!$C$4+1))*('Summary Page'!$C$4+1))*('Summary Page'!$C$4+1)</f>
        <v>125.27999999999999</v>
      </c>
      <c r="GM24" s="43"/>
      <c r="GN24" s="7">
        <f>((AVERAGE(G19:G24)*('Summary Page'!$C$2+1))*('Summary Page'!$C$2+1))*('Summary Page'!$C$2+1)</f>
        <v>105.36047999999998</v>
      </c>
      <c r="GO24" s="7">
        <f>((AVERAGE(G19:G24)*('Summary Page'!$C$3+1))*('Summary Page'!$C$3+1))*('Summary Page'!$C$3+1)</f>
        <v>131.8359375</v>
      </c>
      <c r="GP24" s="7">
        <f>((AVERAGE(G19:G24)*('Summary Page'!$C$4+1))*('Summary Page'!$C$4+1))*('Summary Page'!$C$4+1)</f>
        <v>116.64</v>
      </c>
      <c r="GS24" s="43"/>
      <c r="GT24" s="7">
        <f>((AVERAGE(H19:H24)*('Summary Page'!$C$2+1))*('Summary Page'!$C$2+1))*('Summary Page'!$C$2+1)</f>
        <v>47.867477333333326</v>
      </c>
      <c r="GU24" s="7">
        <f>((AVERAGE(H19:H24)*('Summary Page'!$C$3+1))*('Summary Page'!$C$3+1))*('Summary Page'!$C$3+1)</f>
        <v>59.895833333333343</v>
      </c>
      <c r="GV24" s="7">
        <f>((AVERAGE(H19:H24)*('Summary Page'!$C$4+1))*('Summary Page'!$C$4+1))*('Summary Page'!$C$4+1)</f>
        <v>52.991999999999997</v>
      </c>
      <c r="GY24" s="43"/>
      <c r="GZ24" s="7">
        <f>((AVERAGE(J19:J24)*('Summary Page'!$C$2+1))*('Summary Page'!$C$2+1))*('Summary Page'!$C$2+1)</f>
        <v>21.332245333333326</v>
      </c>
      <c r="HA24" s="7">
        <f>((AVERAGE(J19:J24)*('Summary Page'!$C$3+1))*('Summary Page'!$C$3+1))*('Summary Page'!$C$3+1)</f>
        <v>26.692708333333329</v>
      </c>
      <c r="HB24" s="7">
        <f>((AVERAGE(J19:J24)*('Summary Page'!$C$4+1))*('Summary Page'!$C$4+1))*('Summary Page'!$C$4+1)</f>
        <v>23.615999999999996</v>
      </c>
      <c r="HE24" s="43"/>
      <c r="HF24" s="7">
        <f>((AVERAGE(K19:K24)*('Summary Page'!$C$2+1))*('Summary Page'!$C$2+1))*('Summary Page'!$C$2+1)</f>
        <v>57.493002666666655</v>
      </c>
      <c r="HG24" s="7">
        <f>((AVERAGE(K19:K24)*('Summary Page'!$C$3+1))*('Summary Page'!$C$3+1))*('Summary Page'!$C$3+1)</f>
        <v>71.940104166666686</v>
      </c>
      <c r="HH24" s="7">
        <f>((AVERAGE(K19:K24)*('Summary Page'!$C$4+1))*('Summary Page'!$C$4+1))*('Summary Page'!$C$4+1)</f>
        <v>63.647999999999996</v>
      </c>
      <c r="HK24" s="43"/>
      <c r="HL24" s="7" t="e">
        <f>((AVERAGE(L19:L24)*('Summary Page'!$C$2+1))*('Summary Page'!$C$2+1))*('Summary Page'!$C$2+1)</f>
        <v>#DIV/0!</v>
      </c>
      <c r="HM24" s="7" t="e">
        <f>((AVERAGE(L19:L24)*('Summary Page'!$C$3+1))*('Summary Page'!$C$3+1))*('Summary Page'!$C$3+1)</f>
        <v>#DIV/0!</v>
      </c>
      <c r="HN24" s="7" t="e">
        <f>((AVERAGE(L19:L24)*('Summary Page'!$C$4+1))*('Summary Page'!$C$4+1))*('Summary Page'!$C$4+1)</f>
        <v>#DIV/0!</v>
      </c>
      <c r="HQ24" s="43">
        <f>AM24</f>
        <v>88</v>
      </c>
      <c r="HR24" s="7">
        <f>((AVERAGE(AL19:AL24)*('Summary Page'!$C$2+1))*('Summary Page'!$C$2+1))*('Summary Page'!$C$2+1)</f>
        <v>123.31078399999998</v>
      </c>
      <c r="HS24" s="7">
        <f>((AVERAGE(AL19:AL24)*('Summary Page'!$C$3+1))*('Summary Page'!$C$3+1))*('Summary Page'!$C$3+1)</f>
        <v>154.296875</v>
      </c>
      <c r="HT24" s="7">
        <f>((AVERAGE(AL19:AL24)*('Summary Page'!$C$4+1))*('Summary Page'!$C$4+1))*('Summary Page'!$C$4+1)</f>
        <v>136.51199999999997</v>
      </c>
      <c r="HU24" s="7">
        <v>100</v>
      </c>
    </row>
    <row r="25" spans="1:241" ht="15.75" x14ac:dyDescent="0.25">
      <c r="A25" s="20">
        <v>43661</v>
      </c>
      <c r="B25" s="168"/>
      <c r="C25" s="67">
        <v>34</v>
      </c>
      <c r="D25" s="43">
        <v>7</v>
      </c>
      <c r="E25" s="43">
        <v>17</v>
      </c>
      <c r="F25" s="43">
        <v>66</v>
      </c>
      <c r="G25" s="43">
        <v>80</v>
      </c>
      <c r="H25" s="43">
        <v>29</v>
      </c>
      <c r="I25" s="7">
        <f t="shared" si="1"/>
        <v>48</v>
      </c>
      <c r="J25" s="43">
        <v>11</v>
      </c>
      <c r="K25" s="43">
        <v>38</v>
      </c>
      <c r="L25" s="43"/>
      <c r="M25" s="43">
        <v>61</v>
      </c>
      <c r="N25" s="168"/>
      <c r="O25" s="43">
        <v>34</v>
      </c>
      <c r="P25" s="43">
        <v>5</v>
      </c>
      <c r="Q25" s="43">
        <v>24</v>
      </c>
      <c r="R25" s="43">
        <v>79</v>
      </c>
      <c r="S25" s="43">
        <v>73</v>
      </c>
      <c r="T25" s="43">
        <v>32</v>
      </c>
      <c r="U25" s="7">
        <f t="shared" si="2"/>
        <v>52</v>
      </c>
      <c r="V25" s="43">
        <v>10</v>
      </c>
      <c r="W25" s="43">
        <v>48</v>
      </c>
      <c r="X25" s="43"/>
      <c r="Y25" s="81">
        <v>76</v>
      </c>
      <c r="Z25" s="43"/>
      <c r="AA25" s="43"/>
      <c r="AB25" s="43"/>
      <c r="AC25" s="43"/>
      <c r="AD25" s="43"/>
      <c r="AE25" s="43"/>
      <c r="AF25" s="43"/>
      <c r="AG25" s="7" t="e">
        <f t="shared" si="3"/>
        <v>#DIV/0!</v>
      </c>
      <c r="AH25" s="43"/>
      <c r="AI25" s="43"/>
      <c r="AJ25" s="43"/>
      <c r="AK25" s="43"/>
      <c r="AL25" s="43">
        <v>79</v>
      </c>
      <c r="AM25" s="43">
        <v>88</v>
      </c>
      <c r="AN25" s="43"/>
      <c r="EM25" s="5">
        <f t="shared" si="4"/>
        <v>41.5</v>
      </c>
      <c r="EN25" s="13">
        <f t="shared" ref="EN25:EN55" si="9">AVERAGE(O25,P25,Q25,R25,Y25,S25,T25,HE25,X25)</f>
        <v>46.375</v>
      </c>
      <c r="EO25" s="13">
        <f t="shared" ref="EO25:EO36" si="10">EN25</f>
        <v>46.375</v>
      </c>
      <c r="EP25" s="30">
        <f>((AVERAGE(EM20:EM25)*('Summary Page'!$C$2+1))*('Summary Page'!$C$2+1))*('Summary Page'!$C$2+1)</f>
        <v>65.622669333333306</v>
      </c>
      <c r="EQ25" s="7">
        <f>((AVERAGE(EM20:EM25)*('Summary Page'!$C$3+1))*('Summary Page'!$C$3+1))*('Summary Page'!$C$3+1)</f>
        <v>82.112630208333314</v>
      </c>
      <c r="ER25" s="7">
        <f>((AVERAGE(EM20:EM25)*('Summary Page'!$C$4+1))*('Summary Page'!$C$4+1))*('Summary Page'!$C$4+1)</f>
        <v>72.647999999999982</v>
      </c>
      <c r="ES25" s="7">
        <v>80</v>
      </c>
      <c r="ET25" s="5">
        <f t="shared" si="5"/>
        <v>48</v>
      </c>
      <c r="EU25" s="13">
        <f t="shared" ref="EU25:EU55" si="11">AVERAGE(Q25,R25,S25,T25)</f>
        <v>52</v>
      </c>
      <c r="EV25" s="13">
        <f t="shared" ref="EV25:EV36" si="12">EU25</f>
        <v>52</v>
      </c>
      <c r="EW25" s="7">
        <f>((AVERAGE(ET20:ET25)*('Summary Page'!$C$2+1))*('Summary Page'!$C$2+1))*('Summary Page'!$C$2+1)</f>
        <v>71.73617866666666</v>
      </c>
      <c r="EX25" s="7">
        <f>((AVERAGE(ET20:ET25)*('Summary Page'!$C$3+1))*('Summary Page'!$C$3+1))*('Summary Page'!$C$3+1)</f>
        <v>89.762369791666686</v>
      </c>
      <c r="EY25" s="7">
        <f>((AVERAGE(ET20:ET25)*('Summary Page'!$C$4+1))*('Summary Page'!$C$4+1))*('Summary Page'!$C$4+1)</f>
        <v>79.415999999999983</v>
      </c>
      <c r="EZ25" s="13">
        <f t="shared" si="6"/>
        <v>49.5</v>
      </c>
      <c r="FA25" s="13">
        <f t="shared" ref="FA25:FA55" si="13">AVERAGE(Y25,W25,X25)</f>
        <v>62</v>
      </c>
      <c r="FB25" s="13">
        <f t="shared" ref="FB25:FB36" si="14">FA25</f>
        <v>62</v>
      </c>
      <c r="FC25" s="7">
        <f>((AVERAGE(EZ20:EZ25)*('Summary Page'!$C$2+1))*('Summary Page'!$C$2+1))*('Summary Page'!$C$2+1)</f>
        <v>83.247786666666656</v>
      </c>
      <c r="FD25" s="7">
        <f>((AVERAGE(EZ20:EZ25)*('Summary Page'!$C$3+1))*('Summary Page'!$C$3+1))*('Summary Page'!$C$3+1)</f>
        <v>104.16666666666669</v>
      </c>
      <c r="FE25" s="7">
        <f>((AVERAGE(EZ20:EZ25)*('Summary Page'!$C$4+1))*('Summary Page'!$C$4+1))*('Summary Page'!$C$4+1)</f>
        <v>92.16</v>
      </c>
      <c r="FF25" s="13">
        <f t="shared" si="7"/>
        <v>39.5</v>
      </c>
      <c r="FI25" s="43">
        <f t="shared" si="8"/>
        <v>34</v>
      </c>
      <c r="FJ25" s="7">
        <f>((AVERAGE(C20:C25)*('Summary Page'!$C$2+1))*('Summary Page'!$C$2+1))*('Summary Page'!$C$2+1)</f>
        <v>63.736586666666661</v>
      </c>
      <c r="FK25" s="7">
        <f>((AVERAGE(C20:C25)*('Summary Page'!$C$3+1))*('Summary Page'!$C$3+1))*('Summary Page'!$C$3+1)</f>
        <v>79.752604166666686</v>
      </c>
      <c r="FL25" s="7">
        <f>((AVERAGE(C20:C25)*('Summary Page'!$C$4+1))*('Summary Page'!$C$4+1))*('Summary Page'!$C$4+1)</f>
        <v>70.559999999999988</v>
      </c>
      <c r="FO25" s="43">
        <f t="shared" ref="FO25:FO55" si="15">P25</f>
        <v>5</v>
      </c>
      <c r="FP25" s="7">
        <f>((AVERAGE(D20:D25)*('Summary Page'!$C$2+1))*('Summary Page'!$C$2+1))*('Summary Page'!$C$2+1)</f>
        <v>7.804479999999999</v>
      </c>
      <c r="FQ25" s="7">
        <f>((AVERAGE(D20:D25)*('Summary Page'!$C$3+1))*('Summary Page'!$C$3+1))*('Summary Page'!$C$3+1)</f>
        <v>9.765625</v>
      </c>
      <c r="FR25" s="7">
        <f>((AVERAGE(D20:D25)*('Summary Page'!$C$4+1))*('Summary Page'!$C$4+1))*('Summary Page'!$C$4+1)</f>
        <v>8.6399999999999988</v>
      </c>
      <c r="FU25" s="43">
        <f t="shared" ref="FU25:FU55" si="16">Q25</f>
        <v>24</v>
      </c>
      <c r="FV25" s="7">
        <f>((AVERAGE(E20:E25)*('Summary Page'!$C$2+1))*('Summary Page'!$C$2+1))*('Summary Page'!$C$2+1)</f>
        <v>27.575829333333328</v>
      </c>
      <c r="FW25" s="7">
        <f>((AVERAGE(E20:E25)*('Summary Page'!$C$3+1))*('Summary Page'!$C$3+1))*('Summary Page'!$C$3+1)</f>
        <v>34.505208333333343</v>
      </c>
      <c r="FX25" s="7">
        <f>((AVERAGE(E20:E25)*('Summary Page'!$C$4+1))*('Summary Page'!$C$4+1))*('Summary Page'!$C$4+1)</f>
        <v>30.527999999999995</v>
      </c>
      <c r="GA25" s="43">
        <f t="shared" ref="GA25:GA55" si="17">R25</f>
        <v>79</v>
      </c>
      <c r="GB25" s="7">
        <f>((AVERAGE(F20:F25)*('Summary Page'!$C$2+1))*('Summary Page'!$C$2+1))*('Summary Page'!$C$2+1)</f>
        <v>98.076298666666659</v>
      </c>
      <c r="GC25" s="7">
        <f>((AVERAGE(F20:F25)*('Summary Page'!$C$3+1))*('Summary Page'!$C$3+1))*('Summary Page'!$C$3+1)</f>
        <v>122.72135416666669</v>
      </c>
      <c r="GD25" s="7">
        <f>((AVERAGE(F20:F25)*('Summary Page'!$C$4+1))*('Summary Page'!$C$4+1))*('Summary Page'!$C$4+1)</f>
        <v>108.57600000000001</v>
      </c>
      <c r="GG25" s="43">
        <f t="shared" ref="GG25:GG55" si="18">Y25</f>
        <v>76</v>
      </c>
      <c r="GH25" s="7">
        <f>((AVERAGE(M20:M25)*('Summary Page'!$C$2+1))*('Summary Page'!$C$2+1))*('Summary Page'!$C$2+1)</f>
        <v>108.48227199999998</v>
      </c>
      <c r="GI25" s="7">
        <f>((AVERAGE(M20:M25)*('Summary Page'!$C$3+1))*('Summary Page'!$C$3+1))*('Summary Page'!$C$3+1)</f>
        <v>135.7421875</v>
      </c>
      <c r="GJ25" s="7">
        <f>((AVERAGE(M20:M25)*('Summary Page'!$C$4+1))*('Summary Page'!$C$4+1))*('Summary Page'!$C$4+1)</f>
        <v>120.09599999999998</v>
      </c>
      <c r="GM25" s="43">
        <f t="shared" ref="GM25:GM55" si="19">S25</f>
        <v>73</v>
      </c>
      <c r="GN25" s="7">
        <f>((AVERAGE(G20:G25)*('Summary Page'!$C$2+1))*('Summary Page'!$C$2+1))*('Summary Page'!$C$2+1)</f>
        <v>114.46570666666663</v>
      </c>
      <c r="GO25" s="7">
        <f>((AVERAGE(G20:G25)*('Summary Page'!$C$3+1))*('Summary Page'!$C$3+1))*('Summary Page'!$C$3+1)</f>
        <v>143.22916666666663</v>
      </c>
      <c r="GP25" s="7">
        <f>((AVERAGE(G20:G25)*('Summary Page'!$C$4+1))*('Summary Page'!$C$4+1))*('Summary Page'!$C$4+1)</f>
        <v>126.71999999999997</v>
      </c>
      <c r="GS25" s="43">
        <f t="shared" ref="GS25:GS55" si="20">T25</f>
        <v>32</v>
      </c>
      <c r="GT25" s="7">
        <f>((AVERAGE(H20:H25)*('Summary Page'!$C$2+1))*('Summary Page'!$C$2+1))*('Summary Page'!$C$2+1)</f>
        <v>46.826879999999989</v>
      </c>
      <c r="GU25" s="7">
        <f>((AVERAGE(H20:H25)*('Summary Page'!$C$3+1))*('Summary Page'!$C$3+1))*('Summary Page'!$C$3+1)</f>
        <v>58.59375</v>
      </c>
      <c r="GV25" s="7">
        <f>((AVERAGE(H20:H25)*('Summary Page'!$C$4+1))*('Summary Page'!$C$4+1))*('Summary Page'!$C$4+1)</f>
        <v>51.839999999999996</v>
      </c>
      <c r="GY25" s="43">
        <f t="shared" ref="GY25:GY55" si="21">V25</f>
        <v>10</v>
      </c>
      <c r="GZ25" s="7">
        <f>((AVERAGE(J20:J25)*('Summary Page'!$C$2+1))*('Summary Page'!$C$2+1))*('Summary Page'!$C$2+1)</f>
        <v>20.811946666666664</v>
      </c>
      <c r="HA25" s="7">
        <f>((AVERAGE(J20:J25)*('Summary Page'!$C$3+1))*('Summary Page'!$C$3+1))*('Summary Page'!$C$3+1)</f>
        <v>26.041666666666671</v>
      </c>
      <c r="HB25" s="7">
        <f>((AVERAGE(J20:J25)*('Summary Page'!$C$4+1))*('Summary Page'!$C$4+1))*('Summary Page'!$C$4+1)</f>
        <v>23.04</v>
      </c>
      <c r="HE25" s="43">
        <f t="shared" ref="HE25:HE51" si="22">W25</f>
        <v>48</v>
      </c>
      <c r="HF25" s="7">
        <f>((AVERAGE(K20:K25)*('Summary Page'!$C$2+1))*('Summary Page'!$C$2+1))*('Summary Page'!$C$2+1)</f>
        <v>58.013301333333317</v>
      </c>
      <c r="HG25" s="7">
        <f>((AVERAGE(K20:K25)*('Summary Page'!$C$3+1))*('Summary Page'!$C$3+1))*('Summary Page'!$C$3+1)</f>
        <v>72.591145833333314</v>
      </c>
      <c r="HH25" s="7">
        <f>((AVERAGE(K20:K25)*('Summary Page'!$C$4+1))*('Summary Page'!$C$4+1))*('Summary Page'!$C$4+1)</f>
        <v>64.22399999999999</v>
      </c>
      <c r="HK25" s="43">
        <f>X25*1.2</f>
        <v>0</v>
      </c>
      <c r="HL25" s="7" t="e">
        <f>((AVERAGE(L20:L25)*('Summary Page'!$C$2+1))*('Summary Page'!$C$2+1))*('Summary Page'!$C$2+1)</f>
        <v>#DIV/0!</v>
      </c>
      <c r="HM25" s="7" t="e">
        <f>((AVERAGE(L20:L25)*('Summary Page'!$C$3+1))*('Summary Page'!$C$3+1))*('Summary Page'!$C$3+1)</f>
        <v>#DIV/0!</v>
      </c>
      <c r="HN25" s="7" t="e">
        <f>((AVERAGE(L20:L25)*('Summary Page'!$C$4+1))*('Summary Page'!$C$4+1))*('Summary Page'!$C$4+1)</f>
        <v>#DIV/0!</v>
      </c>
      <c r="HQ25" s="43">
        <f t="shared" ref="HQ25:HQ36" si="23">AM25</f>
        <v>88</v>
      </c>
      <c r="HR25" s="7">
        <f>((AVERAGE(AL20:AL25)*('Summary Page'!$C$2+1))*('Summary Page'!$C$2+1))*('Summary Page'!$C$2+1)</f>
        <v>123.31078399999998</v>
      </c>
      <c r="HS25" s="7">
        <f>((AVERAGE(AL20:AL25)*('Summary Page'!$C$3+1))*('Summary Page'!$C$3+1))*('Summary Page'!$C$3+1)</f>
        <v>154.296875</v>
      </c>
      <c r="HT25" s="7">
        <f>((AVERAGE(AL20:AL25)*('Summary Page'!$C$4+1))*('Summary Page'!$C$4+1))*('Summary Page'!$C$4+1)</f>
        <v>136.51199999999997</v>
      </c>
      <c r="HU25" s="7">
        <v>100</v>
      </c>
    </row>
    <row r="26" spans="1:241" ht="15.75" x14ac:dyDescent="0.25">
      <c r="A26" s="10">
        <v>43678</v>
      </c>
      <c r="B26" s="10"/>
      <c r="C26" s="67">
        <v>44</v>
      </c>
      <c r="D26" s="43">
        <v>9</v>
      </c>
      <c r="E26" s="67">
        <v>20</v>
      </c>
      <c r="F26" s="43">
        <v>74</v>
      </c>
      <c r="G26" s="43">
        <v>62</v>
      </c>
      <c r="H26" s="67">
        <v>28</v>
      </c>
      <c r="I26" s="14">
        <f t="shared" si="1"/>
        <v>46</v>
      </c>
      <c r="J26" s="43">
        <v>8</v>
      </c>
      <c r="K26" s="43">
        <v>41</v>
      </c>
      <c r="L26" s="67"/>
      <c r="M26" s="67">
        <v>60</v>
      </c>
      <c r="N26" s="10"/>
      <c r="O26" s="43">
        <v>49</v>
      </c>
      <c r="P26" s="43">
        <v>6</v>
      </c>
      <c r="Q26" s="43">
        <v>25</v>
      </c>
      <c r="R26" s="43">
        <v>82</v>
      </c>
      <c r="S26" s="43">
        <v>93</v>
      </c>
      <c r="T26" s="43">
        <v>37</v>
      </c>
      <c r="U26" s="7">
        <f t="shared" si="2"/>
        <v>59.25</v>
      </c>
      <c r="V26" s="43">
        <v>9</v>
      </c>
      <c r="W26" s="43">
        <v>42</v>
      </c>
      <c r="Y26" s="81">
        <v>76</v>
      </c>
      <c r="Z26" s="43"/>
      <c r="AA26" s="43"/>
      <c r="AB26" s="43"/>
      <c r="AC26" s="43"/>
      <c r="AD26" s="43"/>
      <c r="AE26" s="43"/>
      <c r="AF26" s="43"/>
      <c r="AG26" s="14" t="e">
        <f t="shared" si="3"/>
        <v>#DIV/0!</v>
      </c>
      <c r="AH26" s="43"/>
      <c r="AI26" s="43"/>
      <c r="AJ26" s="43"/>
      <c r="AK26" s="43"/>
      <c r="AL26" s="43">
        <v>79</v>
      </c>
      <c r="AM26" s="43">
        <v>92</v>
      </c>
      <c r="AN26" s="43"/>
      <c r="AO26" s="43">
        <v>467</v>
      </c>
      <c r="AP26" s="43">
        <v>467</v>
      </c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>
        <f t="shared" si="4"/>
        <v>42.25</v>
      </c>
      <c r="EN26" s="13">
        <f t="shared" si="9"/>
        <v>51.25</v>
      </c>
      <c r="EO26" s="13">
        <f t="shared" si="10"/>
        <v>51.25</v>
      </c>
      <c r="EP26" s="30">
        <f>((AVERAGE(EM21:EM26)*('Summary Page'!$C$2+1))*('Summary Page'!$C$2+1))*('Summary Page'!$C$2+1)</f>
        <v>66.793341333333316</v>
      </c>
      <c r="EQ26" s="7">
        <f>((AVERAGE(EM21:EM26)*('Summary Page'!$C$3+1))*('Summary Page'!$C$3+1))*('Summary Page'!$C$3+1)</f>
        <v>83.577473958333314</v>
      </c>
      <c r="ER26" s="7">
        <f>((AVERAGE(EM21:EM26)*('Summary Page'!$C$4+1))*('Summary Page'!$C$4+1))*('Summary Page'!$C$4+1)</f>
        <v>73.943999999999988</v>
      </c>
      <c r="ES26" s="7">
        <v>80</v>
      </c>
      <c r="ET26" s="43">
        <f t="shared" si="5"/>
        <v>46</v>
      </c>
      <c r="EU26" s="13">
        <f t="shared" si="11"/>
        <v>59.25</v>
      </c>
      <c r="EV26" s="13">
        <f t="shared" si="12"/>
        <v>59.25</v>
      </c>
      <c r="EW26" s="7">
        <f>((AVERAGE(ET21:ET26)*('Summary Page'!$C$2+1))*('Summary Page'!$C$2+1))*('Summary Page'!$C$2+1)</f>
        <v>73.427149333333318</v>
      </c>
      <c r="EX26" s="7">
        <f>((AVERAGE(ET21:ET26)*('Summary Page'!$C$3+1))*('Summary Page'!$C$3+1))*('Summary Page'!$C$3+1)</f>
        <v>91.878255208333314</v>
      </c>
      <c r="EY26" s="7">
        <f>((AVERAGE(ET21:ET26)*('Summary Page'!$C$4+1))*('Summary Page'!$C$4+1))*('Summary Page'!$C$4+1)</f>
        <v>81.287999999999997</v>
      </c>
      <c r="EZ26" s="43">
        <f t="shared" si="6"/>
        <v>50.5</v>
      </c>
      <c r="FA26" s="13">
        <f t="shared" si="13"/>
        <v>59</v>
      </c>
      <c r="FB26" s="13">
        <f t="shared" si="14"/>
        <v>59</v>
      </c>
      <c r="FC26" s="7">
        <f>((AVERAGE(EZ21:EZ26)*('Summary Page'!$C$2+1))*('Summary Page'!$C$2+1))*('Summary Page'!$C$2+1)</f>
        <v>82.987637333333311</v>
      </c>
      <c r="FD26" s="7">
        <f>((AVERAGE(EZ21:EZ26)*('Summary Page'!$C$3+1))*('Summary Page'!$C$3+1))*('Summary Page'!$C$3+1)</f>
        <v>103.84114583333331</v>
      </c>
      <c r="FE26" s="7">
        <f>((AVERAGE(EZ21:EZ26)*('Summary Page'!$C$4+1))*('Summary Page'!$C$4+1))*('Summary Page'!$C$4+1)</f>
        <v>91.871999999999986</v>
      </c>
      <c r="FF26" s="13">
        <f t="shared" si="7"/>
        <v>38.9</v>
      </c>
      <c r="FI26" s="43">
        <f t="shared" si="8"/>
        <v>49</v>
      </c>
      <c r="FJ26" s="7">
        <f>((AVERAGE(C21:C26)*('Summary Page'!$C$2+1))*('Summary Page'!$C$2+1))*('Summary Page'!$C$2+1)</f>
        <v>65.297482666666653</v>
      </c>
      <c r="FK26" s="7">
        <f>((AVERAGE(C21:C26)*('Summary Page'!$C$3+1))*('Summary Page'!$C$3+1))*('Summary Page'!$C$3+1)</f>
        <v>81.705729166666686</v>
      </c>
      <c r="FL26" s="7">
        <f>((AVERAGE(C21:C26)*('Summary Page'!$C$4+1))*('Summary Page'!$C$4+1))*('Summary Page'!$C$4+1)</f>
        <v>72.287999999999997</v>
      </c>
      <c r="FO26" s="43">
        <f t="shared" si="15"/>
        <v>6</v>
      </c>
      <c r="FP26" s="7">
        <f>((AVERAGE(D21:D26)*('Summary Page'!$C$2+1))*('Summary Page'!$C$2+1))*('Summary Page'!$C$2+1)</f>
        <v>9.3653759999999977</v>
      </c>
      <c r="FQ26" s="7">
        <f>((AVERAGE(D21:D26)*('Summary Page'!$C$3+1))*('Summary Page'!$C$3+1))*('Summary Page'!$C$3+1)</f>
        <v>11.71875</v>
      </c>
      <c r="FR26" s="7">
        <f>((AVERAGE(D21:D26)*('Summary Page'!$C$4+1))*('Summary Page'!$C$4+1))*('Summary Page'!$C$4+1)</f>
        <v>10.367999999999999</v>
      </c>
      <c r="FU26" s="43">
        <f t="shared" si="16"/>
        <v>25</v>
      </c>
      <c r="FV26" s="7">
        <f>((AVERAGE(E21:E26)*('Summary Page'!$C$2+1))*('Summary Page'!$C$2+1))*('Summary Page'!$C$2+1)</f>
        <v>29.136725333333327</v>
      </c>
      <c r="FW26" s="7">
        <f>((AVERAGE(E21:E26)*('Summary Page'!$C$3+1))*('Summary Page'!$C$3+1))*('Summary Page'!$C$3+1)</f>
        <v>36.458333333333343</v>
      </c>
      <c r="FX26" s="7">
        <f>((AVERAGE(E21:E26)*('Summary Page'!$C$4+1))*('Summary Page'!$C$4+1))*('Summary Page'!$C$4+1)</f>
        <v>32.256</v>
      </c>
      <c r="GA26" s="43">
        <f t="shared" si="17"/>
        <v>82</v>
      </c>
      <c r="GB26" s="7">
        <f>((AVERAGE(F21:F26)*('Summary Page'!$C$2+1))*('Summary Page'!$C$2+1))*('Summary Page'!$C$2+1)</f>
        <v>101.71838933333332</v>
      </c>
      <c r="GC26" s="7">
        <f>((AVERAGE(F21:F26)*('Summary Page'!$C$3+1))*('Summary Page'!$C$3+1))*('Summary Page'!$C$3+1)</f>
        <v>127.27864583333336</v>
      </c>
      <c r="GD26" s="7">
        <f>((AVERAGE(F21:F26)*('Summary Page'!$C$4+1))*('Summary Page'!$C$4+1))*('Summary Page'!$C$4+1)</f>
        <v>112.608</v>
      </c>
      <c r="GG26" s="43">
        <f t="shared" si="18"/>
        <v>76</v>
      </c>
      <c r="GH26" s="7">
        <f>((AVERAGE(M21:M26)*('Summary Page'!$C$2+1))*('Summary Page'!$C$2+1))*('Summary Page'!$C$2+1)</f>
        <v>106.92137599999998</v>
      </c>
      <c r="GI26" s="7">
        <f>((AVERAGE(M21:M26)*('Summary Page'!$C$3+1))*('Summary Page'!$C$3+1))*('Summary Page'!$C$3+1)</f>
        <v>133.7890625</v>
      </c>
      <c r="GJ26" s="7">
        <f>((AVERAGE(M21:M26)*('Summary Page'!$C$4+1))*('Summary Page'!$C$4+1))*('Summary Page'!$C$4+1)</f>
        <v>118.36799999999999</v>
      </c>
      <c r="GM26" s="43">
        <f t="shared" si="19"/>
        <v>93</v>
      </c>
      <c r="GN26" s="7">
        <f>((AVERAGE(G21:G26)*('Summary Page'!$C$2+1))*('Summary Page'!$C$2+1))*('Summary Page'!$C$2+1)</f>
        <v>116.28675199999996</v>
      </c>
      <c r="GO26" s="7">
        <f>((AVERAGE(G21:G26)*('Summary Page'!$C$3+1))*('Summary Page'!$C$3+1))*('Summary Page'!$C$3+1)</f>
        <v>145.5078125</v>
      </c>
      <c r="GP26" s="7">
        <f>((AVERAGE(G21:G26)*('Summary Page'!$C$4+1))*('Summary Page'!$C$4+1))*('Summary Page'!$C$4+1)</f>
        <v>128.73599999999999</v>
      </c>
      <c r="GS26" s="43">
        <f t="shared" si="20"/>
        <v>37</v>
      </c>
      <c r="GT26" s="7">
        <f>((AVERAGE(H21:H26)*('Summary Page'!$C$2+1))*('Summary Page'!$C$2+1))*('Summary Page'!$C$2+1)</f>
        <v>46.566730666666651</v>
      </c>
      <c r="GU26" s="7">
        <f>((AVERAGE(H21:H26)*('Summary Page'!$C$3+1))*('Summary Page'!$C$3+1))*('Summary Page'!$C$3+1)</f>
        <v>58.268229166666657</v>
      </c>
      <c r="GV26" s="7">
        <f>((AVERAGE(H21:H26)*('Summary Page'!$C$4+1))*('Summary Page'!$C$4+1))*('Summary Page'!$C$4+1)</f>
        <v>51.551999999999992</v>
      </c>
      <c r="GY26" s="43">
        <f t="shared" si="21"/>
        <v>9</v>
      </c>
      <c r="GZ26" s="7">
        <f>((AVERAGE(J21:J26)*('Summary Page'!$C$2+1))*('Summary Page'!$C$2+1))*('Summary Page'!$C$2+1)</f>
        <v>19.251050666666664</v>
      </c>
      <c r="HA26" s="7">
        <f>((AVERAGE(J21:J26)*('Summary Page'!$C$3+1))*('Summary Page'!$C$3+1))*('Summary Page'!$C$3+1)</f>
        <v>24.088541666666671</v>
      </c>
      <c r="HB26" s="7">
        <f>((AVERAGE(J21:J26)*('Summary Page'!$C$4+1))*('Summary Page'!$C$4+1))*('Summary Page'!$C$4+1)</f>
        <v>21.312000000000001</v>
      </c>
      <c r="HE26" s="43">
        <f t="shared" si="22"/>
        <v>42</v>
      </c>
      <c r="HF26" s="7">
        <f>((AVERAGE(K21:K26)*('Summary Page'!$C$2+1))*('Summary Page'!$C$2+1))*('Summary Page'!$C$2+1)</f>
        <v>59.053898666666655</v>
      </c>
      <c r="HG26" s="7">
        <f>((AVERAGE(K21:K26)*('Summary Page'!$C$3+1))*('Summary Page'!$C$3+1))*('Summary Page'!$C$3+1)</f>
        <v>73.893229166666686</v>
      </c>
      <c r="HH26" s="7">
        <f>((AVERAGE(K21:K26)*('Summary Page'!$C$4+1))*('Summary Page'!$C$4+1))*('Summary Page'!$C$4+1)</f>
        <v>65.375999999999991</v>
      </c>
      <c r="HK26" s="43"/>
      <c r="HL26" s="7" t="e">
        <f>((AVERAGE(L21:L26)*('Summary Page'!$C$2+1))*('Summary Page'!$C$2+1))*('Summary Page'!$C$2+1)</f>
        <v>#DIV/0!</v>
      </c>
      <c r="HM26" s="7" t="e">
        <f>((AVERAGE(L21:L26)*('Summary Page'!$C$3+1))*('Summary Page'!$C$3+1))*('Summary Page'!$C$3+1)</f>
        <v>#DIV/0!</v>
      </c>
      <c r="HN26" s="7" t="e">
        <f>((AVERAGE(L21:L26)*('Summary Page'!$C$4+1))*('Summary Page'!$C$4+1))*('Summary Page'!$C$4+1)</f>
        <v>#DIV/0!</v>
      </c>
      <c r="HQ26" s="43">
        <f t="shared" si="23"/>
        <v>92</v>
      </c>
      <c r="HR26" s="7">
        <f>((AVERAGE(AL21:AL26)*('Summary Page'!$C$2+1))*('Summary Page'!$C$2+1))*('Summary Page'!$C$2+1)</f>
        <v>123.31078399999998</v>
      </c>
      <c r="HS26" s="7">
        <f>((AVERAGE(AL21:AL26)*('Summary Page'!$C$3+1))*('Summary Page'!$C$3+1))*('Summary Page'!$C$3+1)</f>
        <v>154.296875</v>
      </c>
      <c r="HT26" s="7">
        <f>((AVERAGE(AL21:AL26)*('Summary Page'!$C$4+1))*('Summary Page'!$C$4+1))*('Summary Page'!$C$4+1)</f>
        <v>136.51199999999997</v>
      </c>
      <c r="HU26" s="7">
        <v>100</v>
      </c>
      <c r="HV26" s="16">
        <f t="shared" ref="HV26:HW28" si="24">AO26/7.5/0.89/5</f>
        <v>13.992509363295881</v>
      </c>
      <c r="HW26" s="16">
        <f t="shared" si="24"/>
        <v>13.992509363295881</v>
      </c>
      <c r="HX26" s="7">
        <f>HW26</f>
        <v>13.992509363295881</v>
      </c>
      <c r="HY26" s="7">
        <f>((AVERAGE(HV15:HV26,HX15:HX26)*('Summary Page'!$C$2+1))*('Summary Page'!$C$2+1))*('Summary Page'!$C$2+1)</f>
        <v>21.840851895131085</v>
      </c>
      <c r="HZ26" s="7">
        <f>((AVERAGE(HV15:HV26,HX15:HX26)*('Summary Page'!$C$3+1))*('Summary Page'!$C$3+1))*('Summary Page'!$C$3+1)</f>
        <v>27.329119850187269</v>
      </c>
      <c r="IA26" s="7">
        <f>((AVERAGE(HV15:HV26,HX15:HX26)*('Summary Page'!$C$4+1))*('Summary Page'!$C$4+1))*('Summary Page'!$C$4+1)</f>
        <v>24.17905617977528</v>
      </c>
      <c r="IB26" s="11">
        <f t="shared" ref="IB26:IB31" si="25">(HV26/6)+HV26</f>
        <v>16.324594257178529</v>
      </c>
      <c r="IC26" s="11">
        <f t="shared" ref="IC26:IC48" si="26">(HW26/6)+HW26</f>
        <v>16.324594257178529</v>
      </c>
      <c r="ID26" s="11">
        <f t="shared" ref="ID26:ID48" si="27">(HX26/6)+HX26</f>
        <v>16.324594257178529</v>
      </c>
      <c r="IE26" s="11">
        <f t="shared" ref="IE26:IE48" si="28">(HY26/6)+HY26</f>
        <v>25.480993877652931</v>
      </c>
      <c r="IF26" s="11">
        <f t="shared" ref="IF26:IF48" si="29">(HZ26/6)+HZ26</f>
        <v>31.883973158551814</v>
      </c>
      <c r="IG26" s="11">
        <f t="shared" ref="IG26:IG48" si="30">(IA26/6)+IA26</f>
        <v>28.208898876404493</v>
      </c>
    </row>
    <row r="27" spans="1:241" ht="15.75" x14ac:dyDescent="0.25">
      <c r="A27" s="10">
        <v>43710</v>
      </c>
      <c r="B27" s="10"/>
      <c r="C27" s="43">
        <v>34</v>
      </c>
      <c r="D27" s="43">
        <v>8</v>
      </c>
      <c r="E27" s="43">
        <v>16</v>
      </c>
      <c r="F27" s="43">
        <v>78</v>
      </c>
      <c r="G27" s="43">
        <v>47</v>
      </c>
      <c r="H27" s="43">
        <v>37</v>
      </c>
      <c r="I27" s="7">
        <f t="shared" si="1"/>
        <v>44.5</v>
      </c>
      <c r="J27" s="43">
        <v>6</v>
      </c>
      <c r="K27" s="43">
        <v>43</v>
      </c>
      <c r="M27" s="43">
        <v>75</v>
      </c>
      <c r="N27" s="10"/>
      <c r="O27" s="43">
        <v>48</v>
      </c>
      <c r="P27" s="43">
        <v>11</v>
      </c>
      <c r="Q27" s="43">
        <v>21</v>
      </c>
      <c r="R27" s="43">
        <v>89</v>
      </c>
      <c r="S27" s="43">
        <v>41</v>
      </c>
      <c r="T27" s="43">
        <v>37</v>
      </c>
      <c r="U27" s="7">
        <f t="shared" si="2"/>
        <v>47</v>
      </c>
      <c r="V27" s="43">
        <v>5</v>
      </c>
      <c r="W27" s="43">
        <v>46</v>
      </c>
      <c r="Y27" s="81">
        <v>60</v>
      </c>
      <c r="AG27" s="7" t="e">
        <f t="shared" si="3"/>
        <v>#DIV/0!</v>
      </c>
      <c r="AL27" s="43">
        <v>90</v>
      </c>
      <c r="AM27" s="43">
        <v>90</v>
      </c>
      <c r="AN27" s="43"/>
      <c r="AO27" s="43">
        <v>467</v>
      </c>
      <c r="AP27" s="43">
        <v>467</v>
      </c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13">
        <f t="shared" si="4"/>
        <v>42.25</v>
      </c>
      <c r="EN27" s="13">
        <f t="shared" si="9"/>
        <v>44.125</v>
      </c>
      <c r="EO27" s="13">
        <f t="shared" si="10"/>
        <v>44.125</v>
      </c>
      <c r="EP27" s="30">
        <f>((AVERAGE(EM22:EM27)*('Summary Page'!$C$2+1))*('Summary Page'!$C$2+1))*('Summary Page'!$C$2+1)</f>
        <v>67.18356533333332</v>
      </c>
      <c r="EQ27" s="7">
        <f>((AVERAGE(EM22:EM27)*('Summary Page'!$C$3+1))*('Summary Page'!$C$3+1))*('Summary Page'!$C$3+1)</f>
        <v>84.065755208333314</v>
      </c>
      <c r="ER27" s="7">
        <f>((AVERAGE(EM22:EM27)*('Summary Page'!$C$4+1))*('Summary Page'!$C$4+1))*('Summary Page'!$C$4+1)</f>
        <v>74.375999999999991</v>
      </c>
      <c r="ES27" s="7">
        <v>80</v>
      </c>
      <c r="ET27" s="13">
        <f t="shared" si="5"/>
        <v>44.5</v>
      </c>
      <c r="EU27" s="13">
        <f t="shared" si="11"/>
        <v>47</v>
      </c>
      <c r="EV27" s="13">
        <f t="shared" si="12"/>
        <v>47</v>
      </c>
      <c r="EW27" s="7">
        <f>((AVERAGE(ET22:ET27)*('Summary Page'!$C$2+1))*('Summary Page'!$C$2+1))*('Summary Page'!$C$2+1)</f>
        <v>73.94744799999998</v>
      </c>
      <c r="EX27" s="7">
        <f>((AVERAGE(ET22:ET27)*('Summary Page'!$C$3+1))*('Summary Page'!$C$3+1))*('Summary Page'!$C$3+1)</f>
        <v>92.529296875</v>
      </c>
      <c r="EY27" s="7">
        <f>((AVERAGE(ET22:ET27)*('Summary Page'!$C$4+1))*('Summary Page'!$C$4+1))*('Summary Page'!$C$4+1)</f>
        <v>81.86399999999999</v>
      </c>
      <c r="EZ27" s="13">
        <f t="shared" si="6"/>
        <v>59</v>
      </c>
      <c r="FA27" s="13">
        <f t="shared" si="13"/>
        <v>53</v>
      </c>
      <c r="FB27" s="13">
        <f t="shared" si="14"/>
        <v>53</v>
      </c>
      <c r="FC27" s="7">
        <f>((AVERAGE(EZ22:EZ27)*('Summary Page'!$C$2+1))*('Summary Page'!$C$2+1))*('Summary Page'!$C$2+1)</f>
        <v>84.288383999999979</v>
      </c>
      <c r="FD27" s="7">
        <f>((AVERAGE(EZ22:EZ27)*('Summary Page'!$C$3+1))*('Summary Page'!$C$3+1))*('Summary Page'!$C$3+1)</f>
        <v>105.46875</v>
      </c>
      <c r="FE27" s="7">
        <f>((AVERAGE(EZ22:EZ27)*('Summary Page'!$C$4+1))*('Summary Page'!$C$4+1))*('Summary Page'!$C$4+1)</f>
        <v>93.311999999999983</v>
      </c>
      <c r="FF27" s="13">
        <f t="shared" si="7"/>
        <v>39.75</v>
      </c>
      <c r="FI27" s="43">
        <f t="shared" si="8"/>
        <v>48</v>
      </c>
      <c r="FJ27" s="7">
        <f>((AVERAGE(C22:C27)*('Summary Page'!$C$2+1))*('Summary Page'!$C$2+1))*('Summary Page'!$C$2+1)</f>
        <v>62.435839999999992</v>
      </c>
      <c r="FK27" s="7">
        <f>((AVERAGE(C22:C27)*('Summary Page'!$C$3+1))*('Summary Page'!$C$3+1))*('Summary Page'!$C$3+1)</f>
        <v>78.125</v>
      </c>
      <c r="FL27" s="7">
        <f>((AVERAGE(C22:C27)*('Summary Page'!$C$4+1))*('Summary Page'!$C$4+1))*('Summary Page'!$C$4+1)</f>
        <v>69.11999999999999</v>
      </c>
      <c r="FO27" s="43">
        <f t="shared" si="15"/>
        <v>11</v>
      </c>
      <c r="FP27" s="7">
        <f>((AVERAGE(D22:D27)*('Summary Page'!$C$2+1))*('Summary Page'!$C$2+1))*('Summary Page'!$C$2+1)</f>
        <v>10.666122666666663</v>
      </c>
      <c r="FQ27" s="7">
        <f>((AVERAGE(D22:D27)*('Summary Page'!$C$3+1))*('Summary Page'!$C$3+1))*('Summary Page'!$C$3+1)</f>
        <v>13.346354166666664</v>
      </c>
      <c r="FR27" s="7">
        <f>((AVERAGE(D22:D27)*('Summary Page'!$C$4+1))*('Summary Page'!$C$4+1))*('Summary Page'!$C$4+1)</f>
        <v>11.807999999999998</v>
      </c>
      <c r="FU27" s="43">
        <f t="shared" si="16"/>
        <v>21</v>
      </c>
      <c r="FV27" s="7">
        <f>((AVERAGE(E22:E27)*('Summary Page'!$C$2+1))*('Summary Page'!$C$2+1))*('Summary Page'!$C$2+1)</f>
        <v>28.876575999999993</v>
      </c>
      <c r="FW27" s="7">
        <f>((AVERAGE(E22:E27)*('Summary Page'!$C$3+1))*('Summary Page'!$C$3+1))*('Summary Page'!$C$3+1)</f>
        <v>36.1328125</v>
      </c>
      <c r="FX27" s="7">
        <f>((AVERAGE(E22:E27)*('Summary Page'!$C$4+1))*('Summary Page'!$C$4+1))*('Summary Page'!$C$4+1)</f>
        <v>31.967999999999996</v>
      </c>
      <c r="GA27" s="43">
        <f t="shared" si="17"/>
        <v>89</v>
      </c>
      <c r="GB27" s="7">
        <f>((AVERAGE(F22:F27)*('Summary Page'!$C$2+1))*('Summary Page'!$C$2+1))*('Summary Page'!$C$2+1)</f>
        <v>107.18152533333331</v>
      </c>
      <c r="GC27" s="7">
        <f>((AVERAGE(F22:F27)*('Summary Page'!$C$3+1))*('Summary Page'!$C$3+1))*('Summary Page'!$C$3+1)</f>
        <v>134.11458333333337</v>
      </c>
      <c r="GD27" s="7">
        <f>((AVERAGE(F22:F27)*('Summary Page'!$C$4+1))*('Summary Page'!$C$4+1))*('Summary Page'!$C$4+1)</f>
        <v>118.65600000000001</v>
      </c>
      <c r="GG27" s="43">
        <f t="shared" si="18"/>
        <v>60</v>
      </c>
      <c r="GH27" s="7">
        <f>((AVERAGE(M22:M27)*('Summary Page'!$C$2+1))*('Summary Page'!$C$2+1))*('Summary Page'!$C$2+1)</f>
        <v>107.70182399999997</v>
      </c>
      <c r="GI27" s="7">
        <f>((AVERAGE(M22:M27)*('Summary Page'!$C$3+1))*('Summary Page'!$C$3+1))*('Summary Page'!$C$3+1)</f>
        <v>134.765625</v>
      </c>
      <c r="GJ27" s="7">
        <f>((AVERAGE(M22:M27)*('Summary Page'!$C$4+1))*('Summary Page'!$C$4+1))*('Summary Page'!$C$4+1)</f>
        <v>119.232</v>
      </c>
      <c r="GM27" s="43">
        <f t="shared" si="19"/>
        <v>41</v>
      </c>
      <c r="GN27" s="7">
        <f>((AVERAGE(G22:G27)*('Summary Page'!$C$2+1))*('Summary Page'!$C$2+1))*('Summary Page'!$C$2+1)</f>
        <v>111.86421333333332</v>
      </c>
      <c r="GO27" s="7">
        <f>((AVERAGE(G22:G27)*('Summary Page'!$C$3+1))*('Summary Page'!$C$3+1))*('Summary Page'!$C$3+1)</f>
        <v>139.97395833333337</v>
      </c>
      <c r="GP27" s="7">
        <f>((AVERAGE(G22:G27)*('Summary Page'!$C$4+1))*('Summary Page'!$C$4+1))*('Summary Page'!$C$4+1)</f>
        <v>123.84</v>
      </c>
      <c r="GS27" s="43">
        <f t="shared" si="20"/>
        <v>37</v>
      </c>
      <c r="GT27" s="7">
        <f>((AVERAGE(H22:H27)*('Summary Page'!$C$2+1))*('Summary Page'!$C$2+1))*('Summary Page'!$C$2+1)</f>
        <v>47.867477333333326</v>
      </c>
      <c r="GU27" s="7">
        <f>((AVERAGE(H22:H27)*('Summary Page'!$C$3+1))*('Summary Page'!$C$3+1))*('Summary Page'!$C$3+1)</f>
        <v>59.895833333333343</v>
      </c>
      <c r="GV27" s="7">
        <f>((AVERAGE(H22:H27)*('Summary Page'!$C$4+1))*('Summary Page'!$C$4+1))*('Summary Page'!$C$4+1)</f>
        <v>52.991999999999997</v>
      </c>
      <c r="GY27" s="43">
        <f t="shared" si="21"/>
        <v>5</v>
      </c>
      <c r="GZ27" s="7">
        <f>((AVERAGE(J22:J27)*('Summary Page'!$C$2+1))*('Summary Page'!$C$2+1))*('Summary Page'!$C$2+1)</f>
        <v>16.649557333333327</v>
      </c>
      <c r="HA27" s="7">
        <f>((AVERAGE(J22:J27)*('Summary Page'!$C$3+1))*('Summary Page'!$C$3+1))*('Summary Page'!$C$3+1)</f>
        <v>20.833333333333329</v>
      </c>
      <c r="HB27" s="7">
        <f>((AVERAGE(J22:J27)*('Summary Page'!$C$4+1))*('Summary Page'!$C$4+1))*('Summary Page'!$C$4+1)</f>
        <v>18.431999999999995</v>
      </c>
      <c r="HE27" s="43">
        <f t="shared" si="22"/>
        <v>46</v>
      </c>
      <c r="HF27" s="7">
        <f>((AVERAGE(K22:K27)*('Summary Page'!$C$2+1))*('Summary Page'!$C$2+1))*('Summary Page'!$C$2+1)</f>
        <v>60.874943999999985</v>
      </c>
      <c r="HG27" s="7">
        <f>((AVERAGE(K22:K27)*('Summary Page'!$C$3+1))*('Summary Page'!$C$3+1))*('Summary Page'!$C$3+1)</f>
        <v>76.171875</v>
      </c>
      <c r="HH27" s="7">
        <f>((AVERAGE(K22:K27)*('Summary Page'!$C$4+1))*('Summary Page'!$C$4+1))*('Summary Page'!$C$4+1)</f>
        <v>67.391999999999996</v>
      </c>
      <c r="HK27" s="43"/>
      <c r="HL27" s="7" t="e">
        <f>((AVERAGE(L22:L27)*('Summary Page'!$C$2+1))*('Summary Page'!$C$2+1))*('Summary Page'!$C$2+1)</f>
        <v>#DIV/0!</v>
      </c>
      <c r="HM27" s="7" t="e">
        <f>((AVERAGE(L22:L27)*('Summary Page'!$C$3+1))*('Summary Page'!$C$3+1))*('Summary Page'!$C$3+1)</f>
        <v>#DIV/0!</v>
      </c>
      <c r="HN27" s="7" t="e">
        <f>((AVERAGE(L22:L27)*('Summary Page'!$C$4+1))*('Summary Page'!$C$4+1))*('Summary Page'!$C$4+1)</f>
        <v>#DIV/0!</v>
      </c>
      <c r="HQ27" s="43">
        <f t="shared" si="23"/>
        <v>90</v>
      </c>
      <c r="HR27" s="7">
        <f>((AVERAGE(AL22:AL27)*('Summary Page'!$C$2+1))*('Summary Page'!$C$2+1))*('Summary Page'!$C$2+1)</f>
        <v>127.60324799999998</v>
      </c>
      <c r="HS27" s="7">
        <f>((AVERAGE(AL22:AL27)*('Summary Page'!$C$3+1))*('Summary Page'!$C$3+1))*('Summary Page'!$C$3+1)</f>
        <v>159.66796875</v>
      </c>
      <c r="HT27" s="7">
        <f>((AVERAGE(AL22:AL27)*('Summary Page'!$C$4+1))*('Summary Page'!$C$4+1))*('Summary Page'!$C$4+1)</f>
        <v>141.26399999999998</v>
      </c>
      <c r="HU27" s="7">
        <v>100</v>
      </c>
      <c r="HV27" s="16">
        <f t="shared" si="24"/>
        <v>13.992509363295881</v>
      </c>
      <c r="HW27" s="16">
        <f t="shared" si="24"/>
        <v>13.992509363295881</v>
      </c>
      <c r="HX27" s="7">
        <f t="shared" ref="HX27:HX36" si="31">HW27</f>
        <v>13.992509363295881</v>
      </c>
      <c r="HY27" s="7">
        <f>((AVERAGE(HV16:HV27,HX16:HX27)*('Summary Page'!$C$2+1))*('Summary Page'!$C$2+1))*('Summary Page'!$C$2+1)</f>
        <v>21.840851895131085</v>
      </c>
      <c r="HZ27" s="7">
        <f>((AVERAGE(HV16:HV27,HX16:HX27)*('Summary Page'!$C$3+1))*('Summary Page'!$C$3+1))*('Summary Page'!$C$3+1)</f>
        <v>27.329119850187269</v>
      </c>
      <c r="IA27" s="7">
        <f>((AVERAGE(HV16:HV27,HX16:HX27)*('Summary Page'!$C$4+1))*('Summary Page'!$C$4+1))*('Summary Page'!$C$4+1)</f>
        <v>24.17905617977528</v>
      </c>
      <c r="IB27" s="11">
        <f t="shared" si="25"/>
        <v>16.324594257178529</v>
      </c>
      <c r="IC27" s="11">
        <f t="shared" si="26"/>
        <v>16.324594257178529</v>
      </c>
      <c r="ID27" s="11">
        <f t="shared" si="27"/>
        <v>16.324594257178529</v>
      </c>
      <c r="IE27" s="11">
        <f t="shared" si="28"/>
        <v>25.480993877652931</v>
      </c>
      <c r="IF27" s="11">
        <f t="shared" si="29"/>
        <v>31.883973158551814</v>
      </c>
      <c r="IG27" s="11">
        <f t="shared" si="30"/>
        <v>28.208898876404493</v>
      </c>
    </row>
    <row r="28" spans="1:241" ht="15.75" x14ac:dyDescent="0.25">
      <c r="A28" s="10">
        <v>43740</v>
      </c>
      <c r="B28" s="10"/>
      <c r="C28" s="43">
        <v>30</v>
      </c>
      <c r="D28" s="43">
        <v>6</v>
      </c>
      <c r="E28" s="43">
        <v>25</v>
      </c>
      <c r="F28" s="43">
        <v>94</v>
      </c>
      <c r="G28" s="43">
        <v>57</v>
      </c>
      <c r="H28" s="43">
        <v>32</v>
      </c>
      <c r="I28" s="7">
        <f t="shared" si="1"/>
        <v>52</v>
      </c>
      <c r="J28" s="43">
        <v>4</v>
      </c>
      <c r="K28" s="43">
        <v>57</v>
      </c>
      <c r="M28" s="43">
        <v>93</v>
      </c>
      <c r="N28" s="10"/>
      <c r="O28" s="43">
        <v>24</v>
      </c>
      <c r="P28" s="43">
        <v>5</v>
      </c>
      <c r="Q28" s="43">
        <v>9</v>
      </c>
      <c r="R28" s="43">
        <v>90</v>
      </c>
      <c r="S28" s="43">
        <v>64</v>
      </c>
      <c r="T28" s="43">
        <v>32</v>
      </c>
      <c r="U28" s="7">
        <f t="shared" si="2"/>
        <v>48.75</v>
      </c>
      <c r="V28" s="43">
        <v>3</v>
      </c>
      <c r="W28" s="43">
        <v>51</v>
      </c>
      <c r="Y28" s="81">
        <v>65</v>
      </c>
      <c r="AG28" s="7" t="e">
        <f t="shared" si="3"/>
        <v>#DIV/0!</v>
      </c>
      <c r="AL28" s="43">
        <v>100</v>
      </c>
      <c r="AM28" s="43">
        <v>89</v>
      </c>
      <c r="AN28" s="43"/>
      <c r="AO28" s="43">
        <v>484</v>
      </c>
      <c r="AP28">
        <v>485</v>
      </c>
      <c r="EM28" s="13">
        <f t="shared" si="4"/>
        <v>49.25</v>
      </c>
      <c r="EN28" s="13">
        <f t="shared" si="9"/>
        <v>42.5</v>
      </c>
      <c r="EO28" s="13">
        <f t="shared" si="10"/>
        <v>42.5</v>
      </c>
      <c r="EP28" s="30">
        <f>((AVERAGE(EM23:EM28)*('Summary Page'!$C$2+1))*('Summary Page'!$C$2+1))*('Summary Page'!$C$2+1)</f>
        <v>67.931494666666666</v>
      </c>
      <c r="EQ28" s="7">
        <f>((AVERAGE(EM23:EM28)*('Summary Page'!$C$3+1))*('Summary Page'!$C$3+1))*('Summary Page'!$C$3+1)</f>
        <v>85.001627604166686</v>
      </c>
      <c r="ER28" s="7">
        <f>((AVERAGE(EM23:EM28)*('Summary Page'!$C$4+1))*('Summary Page'!$C$4+1))*('Summary Page'!$C$4+1)</f>
        <v>75.203999999999994</v>
      </c>
      <c r="ES28" s="7">
        <v>80</v>
      </c>
      <c r="ET28" s="13">
        <f t="shared" si="5"/>
        <v>52</v>
      </c>
      <c r="EU28" s="13">
        <f t="shared" si="11"/>
        <v>48.75</v>
      </c>
      <c r="EV28" s="13">
        <f t="shared" si="12"/>
        <v>48.75</v>
      </c>
      <c r="EW28" s="7">
        <f>((AVERAGE(ET23:ET28)*('Summary Page'!$C$2+1))*('Summary Page'!$C$2+1))*('Summary Page'!$C$2+1)</f>
        <v>74.272634666666661</v>
      </c>
      <c r="EX28" s="7">
        <f>((AVERAGE(ET23:ET28)*('Summary Page'!$C$3+1))*('Summary Page'!$C$3+1))*('Summary Page'!$C$3+1)</f>
        <v>92.936197916666686</v>
      </c>
      <c r="EY28" s="7">
        <f>((AVERAGE(ET23:ET28)*('Summary Page'!$C$4+1))*('Summary Page'!$C$4+1))*('Summary Page'!$C$4+1)</f>
        <v>82.22399999999999</v>
      </c>
      <c r="EZ28" s="13">
        <f t="shared" si="6"/>
        <v>75</v>
      </c>
      <c r="FA28" s="13">
        <f t="shared" si="13"/>
        <v>58</v>
      </c>
      <c r="FB28" s="13">
        <f t="shared" si="14"/>
        <v>58</v>
      </c>
      <c r="FC28" s="7">
        <f>((AVERAGE(EZ23:EZ28)*('Summary Page'!$C$2+1))*('Summary Page'!$C$2+1))*('Summary Page'!$C$2+1)</f>
        <v>88.971071999999978</v>
      </c>
      <c r="FD28" s="7">
        <f>((AVERAGE(EZ23:EZ28)*('Summary Page'!$C$3+1))*('Summary Page'!$C$3+1))*('Summary Page'!$C$3+1)</f>
        <v>111.328125</v>
      </c>
      <c r="FE28" s="7">
        <f>((AVERAGE(EZ23:EZ28)*('Summary Page'!$C$4+1))*('Summary Page'!$C$4+1))*('Summary Page'!$C$4+1)</f>
        <v>98.495999999999981</v>
      </c>
      <c r="FF28" s="13">
        <f t="shared" si="7"/>
        <v>47.7</v>
      </c>
      <c r="FI28" s="43">
        <f t="shared" si="8"/>
        <v>24</v>
      </c>
      <c r="FJ28" s="7">
        <f>((AVERAGE(C23:C28)*('Summary Page'!$C$2+1))*('Summary Page'!$C$2+1))*('Summary Page'!$C$2+1)</f>
        <v>58.013301333333317</v>
      </c>
      <c r="FK28" s="7">
        <f>((AVERAGE(C23:C28)*('Summary Page'!$C$3+1))*('Summary Page'!$C$3+1))*('Summary Page'!$C$3+1)</f>
        <v>72.591145833333314</v>
      </c>
      <c r="FL28" s="7">
        <f>((AVERAGE(C23:C28)*('Summary Page'!$C$4+1))*('Summary Page'!$C$4+1))*('Summary Page'!$C$4+1)</f>
        <v>64.22399999999999</v>
      </c>
      <c r="FO28" s="43">
        <f t="shared" si="15"/>
        <v>5</v>
      </c>
      <c r="FP28" s="7">
        <f>((AVERAGE(D23:D28)*('Summary Page'!$C$2+1))*('Summary Page'!$C$2+1))*('Summary Page'!$C$2+1)</f>
        <v>10.405973333333332</v>
      </c>
      <c r="FQ28" s="7">
        <f>((AVERAGE(D23:D28)*('Summary Page'!$C$3+1))*('Summary Page'!$C$3+1))*('Summary Page'!$C$3+1)</f>
        <v>13.020833333333336</v>
      </c>
      <c r="FR28" s="7">
        <f>((AVERAGE(D23:D28)*('Summary Page'!$C$4+1))*('Summary Page'!$C$4+1))*('Summary Page'!$C$4+1)</f>
        <v>11.52</v>
      </c>
      <c r="FU28" s="43">
        <f t="shared" si="16"/>
        <v>9</v>
      </c>
      <c r="FV28" s="7">
        <f>((AVERAGE(E23:E28)*('Summary Page'!$C$2+1))*('Summary Page'!$C$2+1))*('Summary Page'!$C$2+1)</f>
        <v>29.917173333333331</v>
      </c>
      <c r="FW28" s="7">
        <f>((AVERAGE(E23:E28)*('Summary Page'!$C$3+1))*('Summary Page'!$C$3+1))*('Summary Page'!$C$3+1)</f>
        <v>37.434895833333343</v>
      </c>
      <c r="FX28" s="7">
        <f>((AVERAGE(E23:E28)*('Summary Page'!$C$4+1))*('Summary Page'!$C$4+1))*('Summary Page'!$C$4+1)</f>
        <v>33.119999999999997</v>
      </c>
      <c r="GA28" s="43">
        <f t="shared" si="17"/>
        <v>90</v>
      </c>
      <c r="GB28" s="7">
        <f>((AVERAGE(F23:F28)*('Summary Page'!$C$2+1))*('Summary Page'!$C$2+1))*('Summary Page'!$C$2+1)</f>
        <v>113.68525866666664</v>
      </c>
      <c r="GC28" s="7">
        <f>((AVERAGE(F23:F28)*('Summary Page'!$C$3+1))*('Summary Page'!$C$3+1))*('Summary Page'!$C$3+1)</f>
        <v>142.25260416666663</v>
      </c>
      <c r="GD28" s="7">
        <f>((AVERAGE(F23:F28)*('Summary Page'!$C$4+1))*('Summary Page'!$C$4+1))*('Summary Page'!$C$4+1)</f>
        <v>125.85599999999997</v>
      </c>
      <c r="GG28" s="43">
        <f t="shared" si="18"/>
        <v>65</v>
      </c>
      <c r="GH28" s="7">
        <f>((AVERAGE(M23:M28)*('Summary Page'!$C$2+1))*('Summary Page'!$C$2+1))*('Summary Page'!$C$2+1)</f>
        <v>111.60406399999998</v>
      </c>
      <c r="GI28" s="7">
        <f>((AVERAGE(M23:M28)*('Summary Page'!$C$3+1))*('Summary Page'!$C$3+1))*('Summary Page'!$C$3+1)</f>
        <v>139.6484375</v>
      </c>
      <c r="GJ28" s="7">
        <f>((AVERAGE(M23:M28)*('Summary Page'!$C$4+1))*('Summary Page'!$C$4+1))*('Summary Page'!$C$4+1)</f>
        <v>123.55199999999999</v>
      </c>
      <c r="GM28" s="43">
        <f t="shared" si="19"/>
        <v>64</v>
      </c>
      <c r="GN28" s="7">
        <f>((AVERAGE(G23:G28)*('Summary Page'!$C$2+1))*('Summary Page'!$C$2+1))*('Summary Page'!$C$2+1)</f>
        <v>105.88077866666663</v>
      </c>
      <c r="GO28" s="7">
        <f>((AVERAGE(G23:G28)*('Summary Page'!$C$3+1))*('Summary Page'!$C$3+1))*('Summary Page'!$C$3+1)</f>
        <v>132.48697916666663</v>
      </c>
      <c r="GP28" s="7">
        <f>((AVERAGE(G23:G28)*('Summary Page'!$C$4+1))*('Summary Page'!$C$4+1))*('Summary Page'!$C$4+1)</f>
        <v>117.21599999999998</v>
      </c>
      <c r="GS28" s="43">
        <f t="shared" si="20"/>
        <v>32</v>
      </c>
      <c r="GT28" s="7">
        <f>((AVERAGE(H23:H28)*('Summary Page'!$C$2+1))*('Summary Page'!$C$2+1))*('Summary Page'!$C$2+1)</f>
        <v>47.607327999999988</v>
      </c>
      <c r="GU28" s="7">
        <f>((AVERAGE(H23:H28)*('Summary Page'!$C$3+1))*('Summary Page'!$C$3+1))*('Summary Page'!$C$3+1)</f>
        <v>59.5703125</v>
      </c>
      <c r="GV28" s="7">
        <f>((AVERAGE(H23:H28)*('Summary Page'!$C$4+1))*('Summary Page'!$C$4+1))*('Summary Page'!$C$4+1)</f>
        <v>52.704000000000001</v>
      </c>
      <c r="GY28" s="43">
        <f t="shared" si="21"/>
        <v>3</v>
      </c>
      <c r="GZ28" s="7">
        <f>((AVERAGE(J23:J28)*('Summary Page'!$C$2+1))*('Summary Page'!$C$2+1))*('Summary Page'!$C$2+1)</f>
        <v>14.048063999999997</v>
      </c>
      <c r="HA28" s="7">
        <f>((AVERAGE(J23:J28)*('Summary Page'!$C$3+1))*('Summary Page'!$C$3+1))*('Summary Page'!$C$3+1)</f>
        <v>17.578125</v>
      </c>
      <c r="HB28" s="7">
        <f>((AVERAGE(J23:J28)*('Summary Page'!$C$4+1))*('Summary Page'!$C$4+1))*('Summary Page'!$C$4+1)</f>
        <v>15.551999999999998</v>
      </c>
      <c r="HE28" s="43">
        <f t="shared" si="22"/>
        <v>51</v>
      </c>
      <c r="HF28" s="7">
        <f>((AVERAGE(K23:K28)*('Summary Page'!$C$2+1))*('Summary Page'!$C$2+1))*('Summary Page'!$C$2+1)</f>
        <v>66.338079999999991</v>
      </c>
      <c r="HG28" s="7">
        <f>((AVERAGE(K23:K28)*('Summary Page'!$C$3+1))*('Summary Page'!$C$3+1))*('Summary Page'!$C$3+1)</f>
        <v>83.0078125</v>
      </c>
      <c r="HH28" s="7">
        <f>((AVERAGE(K23:K28)*('Summary Page'!$C$4+1))*('Summary Page'!$C$4+1))*('Summary Page'!$C$4+1)</f>
        <v>73.44</v>
      </c>
      <c r="HK28" s="43"/>
      <c r="HL28" s="7" t="e">
        <f>((AVERAGE(L23:L28)*('Summary Page'!$C$2+1))*('Summary Page'!$C$2+1))*('Summary Page'!$C$2+1)</f>
        <v>#DIV/0!</v>
      </c>
      <c r="HM28" s="7" t="e">
        <f>((AVERAGE(L23:L28)*('Summary Page'!$C$3+1))*('Summary Page'!$C$3+1))*('Summary Page'!$C$3+1)</f>
        <v>#DIV/0!</v>
      </c>
      <c r="HN28" s="7" t="e">
        <f>((AVERAGE(L23:L28)*('Summary Page'!$C$4+1))*('Summary Page'!$C$4+1))*('Summary Page'!$C$4+1)</f>
        <v>#DIV/0!</v>
      </c>
      <c r="HQ28" s="43">
        <f t="shared" si="23"/>
        <v>89</v>
      </c>
      <c r="HR28" s="7">
        <f>((AVERAGE(AL23:AL28)*('Summary Page'!$C$2+1))*('Summary Page'!$C$2+1))*('Summary Page'!$C$2+1)</f>
        <v>133.30051839999996</v>
      </c>
      <c r="HS28" s="7">
        <f>((AVERAGE(AL23:AL28)*('Summary Page'!$C$3+1))*('Summary Page'!$C$3+1))*('Summary Page'!$C$3+1)</f>
        <v>166.796875</v>
      </c>
      <c r="HT28" s="7">
        <f>((AVERAGE(AL23:AL28)*('Summary Page'!$C$4+1))*('Summary Page'!$C$4+1))*('Summary Page'!$C$4+1)</f>
        <v>147.5712</v>
      </c>
      <c r="HU28" s="7">
        <v>100</v>
      </c>
      <c r="HV28" s="16">
        <f t="shared" si="24"/>
        <v>14.50187265917603</v>
      </c>
      <c r="HW28" s="16">
        <f t="shared" si="24"/>
        <v>14.531835205992511</v>
      </c>
      <c r="HX28" s="7">
        <f t="shared" si="31"/>
        <v>14.531835205992511</v>
      </c>
      <c r="HY28" s="7">
        <f>((AVERAGE(HV17:HV28,HX17:HX28)*('Summary Page'!$C$2+1))*('Summary Page'!$C$2+1))*('Summary Page'!$C$2+1)</f>
        <v>22.113667675405733</v>
      </c>
      <c r="HZ28" s="7">
        <f>((AVERAGE(HV17:HV28,HX17:HX28)*('Summary Page'!$C$3+1))*('Summary Page'!$C$3+1))*('Summary Page'!$C$3+1)</f>
        <v>27.670490012484397</v>
      </c>
      <c r="IA28" s="7">
        <f>((AVERAGE(HV17:HV28,HX17:HX28)*('Summary Page'!$C$4+1))*('Summary Page'!$C$4+1))*('Summary Page'!$C$4+1)</f>
        <v>24.48107865168539</v>
      </c>
      <c r="IB28" s="11">
        <f t="shared" si="25"/>
        <v>16.918851435705367</v>
      </c>
      <c r="IC28" s="11">
        <f t="shared" si="26"/>
        <v>16.953807740324596</v>
      </c>
      <c r="ID28" s="11">
        <f t="shared" si="27"/>
        <v>16.953807740324596</v>
      </c>
      <c r="IE28" s="11">
        <f t="shared" si="28"/>
        <v>25.799278954640023</v>
      </c>
      <c r="IF28" s="11">
        <f t="shared" si="29"/>
        <v>32.282238347898463</v>
      </c>
      <c r="IG28" s="11">
        <f t="shared" si="30"/>
        <v>28.56125842696629</v>
      </c>
    </row>
    <row r="29" spans="1:241" ht="15.75" x14ac:dyDescent="0.25">
      <c r="A29" s="10">
        <v>43773</v>
      </c>
      <c r="B29" s="10"/>
      <c r="C29" s="43">
        <v>17</v>
      </c>
      <c r="D29" s="43">
        <v>4</v>
      </c>
      <c r="E29" s="43">
        <v>9</v>
      </c>
      <c r="F29" s="43">
        <v>92</v>
      </c>
      <c r="G29" s="43">
        <v>63</v>
      </c>
      <c r="H29" s="43">
        <v>28</v>
      </c>
      <c r="I29" s="7">
        <f t="shared" si="1"/>
        <v>48</v>
      </c>
      <c r="J29" s="43">
        <v>3</v>
      </c>
      <c r="K29" s="43">
        <v>47</v>
      </c>
      <c r="M29" s="43">
        <v>93</v>
      </c>
      <c r="N29" s="10"/>
      <c r="O29" s="43">
        <v>35</v>
      </c>
      <c r="P29" s="43">
        <v>7</v>
      </c>
      <c r="Q29" s="43">
        <v>11</v>
      </c>
      <c r="R29" s="43">
        <v>73</v>
      </c>
      <c r="S29" s="43">
        <v>39</v>
      </c>
      <c r="T29" s="43">
        <v>35</v>
      </c>
      <c r="U29" s="7">
        <f t="shared" si="2"/>
        <v>39.5</v>
      </c>
      <c r="V29" s="43">
        <v>9</v>
      </c>
      <c r="W29" s="43">
        <v>53</v>
      </c>
      <c r="Y29" s="81">
        <v>65</v>
      </c>
      <c r="AG29" s="7" t="e">
        <f t="shared" si="3"/>
        <v>#DIV/0!</v>
      </c>
      <c r="AL29" s="43">
        <v>91</v>
      </c>
      <c r="AM29" s="43">
        <v>85</v>
      </c>
      <c r="AN29" s="43"/>
      <c r="AO29" s="43">
        <v>498</v>
      </c>
      <c r="AP29">
        <v>509</v>
      </c>
      <c r="EM29" s="13">
        <f t="shared" si="4"/>
        <v>44.125</v>
      </c>
      <c r="EN29" s="13">
        <f t="shared" si="9"/>
        <v>39.75</v>
      </c>
      <c r="EO29" s="13">
        <f t="shared" si="10"/>
        <v>39.75</v>
      </c>
      <c r="EP29" s="30">
        <f>((AVERAGE(EM24:EM29)*('Summary Page'!$C$2+1))*('Summary Page'!$C$2+1))*('Summary Page'!$C$2+1)</f>
        <v>67.508751999999987</v>
      </c>
      <c r="EQ29" s="7">
        <f>((AVERAGE(EM24:EM29)*('Summary Page'!$C$3+1))*('Summary Page'!$C$3+1))*('Summary Page'!$C$3+1)</f>
        <v>84.47265625</v>
      </c>
      <c r="ER29" s="7">
        <f>((AVERAGE(EM24:EM29)*('Summary Page'!$C$4+1))*('Summary Page'!$C$4+1))*('Summary Page'!$C$4+1)</f>
        <v>74.73599999999999</v>
      </c>
      <c r="ES29" s="7">
        <v>80</v>
      </c>
      <c r="ET29" s="13">
        <f t="shared" si="5"/>
        <v>48</v>
      </c>
      <c r="EU29" s="13">
        <f t="shared" si="11"/>
        <v>39.5</v>
      </c>
      <c r="EV29" s="13">
        <f t="shared" si="12"/>
        <v>39.5</v>
      </c>
      <c r="EW29" s="7">
        <f>((AVERAGE(ET24:ET29)*('Summary Page'!$C$2+1))*('Summary Page'!$C$2+1))*('Summary Page'!$C$2+1)</f>
        <v>73.882410666666658</v>
      </c>
      <c r="EX29" s="7">
        <f>((AVERAGE(ET24:ET29)*('Summary Page'!$C$3+1))*('Summary Page'!$C$3+1))*('Summary Page'!$C$3+1)</f>
        <v>92.447916666666686</v>
      </c>
      <c r="EY29" s="7">
        <f>((AVERAGE(ET24:ET29)*('Summary Page'!$C$4+1))*('Summary Page'!$C$4+1))*('Summary Page'!$C$4+1)</f>
        <v>81.791999999999987</v>
      </c>
      <c r="EZ29" s="13">
        <f t="shared" si="6"/>
        <v>70</v>
      </c>
      <c r="FA29" s="13">
        <f t="shared" si="13"/>
        <v>59</v>
      </c>
      <c r="FB29" s="13">
        <f t="shared" si="14"/>
        <v>59</v>
      </c>
      <c r="FC29" s="7">
        <f>((AVERAGE(EZ24:EZ29)*('Summary Page'!$C$2+1))*('Summary Page'!$C$2+1))*('Summary Page'!$C$2+1)</f>
        <v>91.962789333333291</v>
      </c>
      <c r="FD29" s="7">
        <f>((AVERAGE(EZ24:EZ29)*('Summary Page'!$C$3+1))*('Summary Page'!$C$3+1))*('Summary Page'!$C$3+1)</f>
        <v>115.07161458333331</v>
      </c>
      <c r="FE29" s="7">
        <f>((AVERAGE(EZ24:EZ29)*('Summary Page'!$C$4+1))*('Summary Page'!$C$4+1))*('Summary Page'!$C$4+1)</f>
        <v>101.80799999999998</v>
      </c>
      <c r="FF29" s="13">
        <f t="shared" si="7"/>
        <v>43.4</v>
      </c>
      <c r="FI29" s="43">
        <f t="shared" si="8"/>
        <v>35</v>
      </c>
      <c r="FJ29" s="7">
        <f>((AVERAGE(C24:C29)*('Summary Page'!$C$2+1))*('Summary Page'!$C$2+1))*('Summary Page'!$C$2+1)</f>
        <v>50.729119999999988</v>
      </c>
      <c r="FK29" s="7">
        <f>((AVERAGE(C24:C29)*('Summary Page'!$C$3+1))*('Summary Page'!$C$3+1))*('Summary Page'!$C$3+1)</f>
        <v>63.4765625</v>
      </c>
      <c r="FL29" s="7">
        <f>((AVERAGE(C24:C29)*('Summary Page'!$C$4+1))*('Summary Page'!$C$4+1))*('Summary Page'!$C$4+1)</f>
        <v>56.16</v>
      </c>
      <c r="FO29" s="43">
        <f t="shared" si="15"/>
        <v>7</v>
      </c>
      <c r="FP29" s="7">
        <f>((AVERAGE(D24:D29)*('Summary Page'!$C$2+1))*('Summary Page'!$C$2+1))*('Summary Page'!$C$2+1)</f>
        <v>9.8856746666666631</v>
      </c>
      <c r="FQ29" s="7">
        <f>((AVERAGE(D24:D29)*('Summary Page'!$C$3+1))*('Summary Page'!$C$3+1))*('Summary Page'!$C$3+1)</f>
        <v>12.369791666666664</v>
      </c>
      <c r="FR29" s="7">
        <f>((AVERAGE(D24:D29)*('Summary Page'!$C$4+1))*('Summary Page'!$C$4+1))*('Summary Page'!$C$4+1)</f>
        <v>10.943999999999999</v>
      </c>
      <c r="FU29" s="43">
        <f t="shared" si="16"/>
        <v>11</v>
      </c>
      <c r="FV29" s="7">
        <f>((AVERAGE(E24:E29)*('Summary Page'!$C$2+1))*('Summary Page'!$C$2+1))*('Summary Page'!$C$2+1)</f>
        <v>27.575829333333328</v>
      </c>
      <c r="FW29" s="7">
        <f>((AVERAGE(E24:E29)*('Summary Page'!$C$3+1))*('Summary Page'!$C$3+1))*('Summary Page'!$C$3+1)</f>
        <v>34.505208333333343</v>
      </c>
      <c r="FX29" s="7">
        <f>((AVERAGE(E24:E29)*('Summary Page'!$C$4+1))*('Summary Page'!$C$4+1))*('Summary Page'!$C$4+1)</f>
        <v>30.527999999999995</v>
      </c>
      <c r="GA29" s="43">
        <f t="shared" si="17"/>
        <v>73</v>
      </c>
      <c r="GB29" s="7">
        <f>((AVERAGE(F24:F29)*('Summary Page'!$C$2+1))*('Summary Page'!$C$2+1))*('Summary Page'!$C$2+1)</f>
        <v>119.92884266666663</v>
      </c>
      <c r="GC29" s="7">
        <f>((AVERAGE(F24:F29)*('Summary Page'!$C$3+1))*('Summary Page'!$C$3+1))*('Summary Page'!$C$3+1)</f>
        <v>150.06510416666663</v>
      </c>
      <c r="GD29" s="7">
        <f>((AVERAGE(F24:F29)*('Summary Page'!$C$4+1))*('Summary Page'!$C$4+1))*('Summary Page'!$C$4+1)</f>
        <v>132.76799999999997</v>
      </c>
      <c r="GG29" s="43">
        <f t="shared" si="18"/>
        <v>65</v>
      </c>
      <c r="GH29" s="7">
        <f>((AVERAGE(M24:M29)*('Summary Page'!$C$2+1))*('Summary Page'!$C$2+1))*('Summary Page'!$C$2+1)</f>
        <v>115.50630399999997</v>
      </c>
      <c r="GI29" s="7">
        <f>((AVERAGE(M24:M29)*('Summary Page'!$C$3+1))*('Summary Page'!$C$3+1))*('Summary Page'!$C$3+1)</f>
        <v>144.53125</v>
      </c>
      <c r="GJ29" s="7">
        <f>((AVERAGE(M24:M29)*('Summary Page'!$C$4+1))*('Summary Page'!$C$4+1))*('Summary Page'!$C$4+1)</f>
        <v>127.87199999999999</v>
      </c>
      <c r="GM29" s="43">
        <f t="shared" si="19"/>
        <v>39</v>
      </c>
      <c r="GN29" s="7">
        <f>((AVERAGE(G24:G29)*('Summary Page'!$C$2+1))*('Summary Page'!$C$2+1))*('Summary Page'!$C$2+1)</f>
        <v>101.71838933333332</v>
      </c>
      <c r="GO29" s="7">
        <f>((AVERAGE(G24:G29)*('Summary Page'!$C$3+1))*('Summary Page'!$C$3+1))*('Summary Page'!$C$3+1)</f>
        <v>127.27864583333336</v>
      </c>
      <c r="GP29" s="7">
        <f>((AVERAGE(G24:G29)*('Summary Page'!$C$4+1))*('Summary Page'!$C$4+1))*('Summary Page'!$C$4+1)</f>
        <v>112.608</v>
      </c>
      <c r="GS29" s="43">
        <f t="shared" si="20"/>
        <v>35</v>
      </c>
      <c r="GT29" s="7">
        <f>((AVERAGE(H24:H29)*('Summary Page'!$C$2+1))*('Summary Page'!$C$2+1))*('Summary Page'!$C$2+1)</f>
        <v>46.306581333333327</v>
      </c>
      <c r="GU29" s="7">
        <f>((AVERAGE(H24:H29)*('Summary Page'!$C$3+1))*('Summary Page'!$C$3+1))*('Summary Page'!$C$3+1)</f>
        <v>57.942708333333343</v>
      </c>
      <c r="GV29" s="7">
        <f>((AVERAGE(H24:H29)*('Summary Page'!$C$4+1))*('Summary Page'!$C$4+1))*('Summary Page'!$C$4+1)</f>
        <v>51.263999999999996</v>
      </c>
      <c r="GY29" s="43">
        <f t="shared" si="21"/>
        <v>9</v>
      </c>
      <c r="GZ29" s="7">
        <f>((AVERAGE(J24:J29)*('Summary Page'!$C$2+1))*('Summary Page'!$C$2+1))*('Summary Page'!$C$2+1)</f>
        <v>11.18642133333333</v>
      </c>
      <c r="HA29" s="7">
        <f>((AVERAGE(J24:J29)*('Summary Page'!$C$3+1))*('Summary Page'!$C$3+1))*('Summary Page'!$C$3+1)</f>
        <v>13.997395833333336</v>
      </c>
      <c r="HB29" s="7">
        <f>((AVERAGE(J24:J29)*('Summary Page'!$C$4+1))*('Summary Page'!$C$4+1))*('Summary Page'!$C$4+1)</f>
        <v>12.383999999999999</v>
      </c>
      <c r="HE29" s="43">
        <f t="shared" si="22"/>
        <v>53</v>
      </c>
      <c r="HF29" s="7">
        <f>((AVERAGE(K24:K29)*('Summary Page'!$C$2+1))*('Summary Page'!$C$2+1))*('Summary Page'!$C$2+1)</f>
        <v>68.419274666666652</v>
      </c>
      <c r="HG29" s="7">
        <f>((AVERAGE(K24:K29)*('Summary Page'!$C$3+1))*('Summary Page'!$C$3+1))*('Summary Page'!$C$3+1)</f>
        <v>85.611979166666686</v>
      </c>
      <c r="HH29" s="7">
        <f>((AVERAGE(K24:K29)*('Summary Page'!$C$4+1))*('Summary Page'!$C$4+1))*('Summary Page'!$C$4+1)</f>
        <v>75.744</v>
      </c>
      <c r="HK29" s="43"/>
      <c r="HL29" s="7" t="e">
        <f>((AVERAGE(L24:L29)*('Summary Page'!$C$2+1))*('Summary Page'!$C$2+1))*('Summary Page'!$C$2+1)</f>
        <v>#DIV/0!</v>
      </c>
      <c r="HM29" s="7" t="e">
        <f>((AVERAGE(L24:L29)*('Summary Page'!$C$3+1))*('Summary Page'!$C$3+1))*('Summary Page'!$C$3+1)</f>
        <v>#DIV/0!</v>
      </c>
      <c r="HN29" s="7" t="e">
        <f>((AVERAGE(L24:L29)*('Summary Page'!$C$4+1))*('Summary Page'!$C$4+1))*('Summary Page'!$C$4+1)</f>
        <v>#DIV/0!</v>
      </c>
      <c r="HQ29" s="43">
        <f t="shared" si="23"/>
        <v>85</v>
      </c>
      <c r="HR29" s="7">
        <f>((AVERAGE(AL24:AL29)*('Summary Page'!$C$2+1))*('Summary Page'!$C$2+1))*('Summary Page'!$C$2+1)</f>
        <v>134.75735466666666</v>
      </c>
      <c r="HS29" s="7">
        <f>((AVERAGE(AL24:AL29)*('Summary Page'!$C$3+1))*('Summary Page'!$C$3+1))*('Summary Page'!$C$3+1)</f>
        <v>168.61979166666663</v>
      </c>
      <c r="HT29" s="7">
        <f>((AVERAGE(AL24:AL29)*('Summary Page'!$C$4+1))*('Summary Page'!$C$4+1))*('Summary Page'!$C$4+1)</f>
        <v>149.184</v>
      </c>
      <c r="HU29" s="7">
        <v>100</v>
      </c>
      <c r="HV29" s="16">
        <f t="shared" ref="HV29:HV50" si="32">AO29/7.5/0.89/5</f>
        <v>14.921348314606742</v>
      </c>
      <c r="HW29" s="16">
        <f t="shared" ref="HW29:HW50" si="33">AP29/7.5/0.89/5</f>
        <v>15.250936329588011</v>
      </c>
      <c r="HX29" s="7">
        <f t="shared" si="31"/>
        <v>15.250936329588011</v>
      </c>
      <c r="HY29" s="7">
        <f>((AVERAGE(HV18:HV29,HX18:HX29)*('Summary Page'!$C$2+1))*('Summary Page'!$C$2+1))*('Summary Page'!$C$2+1)</f>
        <v>22.472225558052433</v>
      </c>
      <c r="HZ29" s="7">
        <f>((AVERAGE(HV18:HV29,HX18:HX29)*('Summary Page'!$C$3+1))*('Summary Page'!$C$3+1))*('Summary Page'!$C$3+1)</f>
        <v>28.119147940074907</v>
      </c>
      <c r="IA29" s="7">
        <f>((AVERAGE(HV18:HV29,HX18:HX29)*('Summary Page'!$C$4+1))*('Summary Page'!$C$4+1))*('Summary Page'!$C$4+1)</f>
        <v>24.878022471910107</v>
      </c>
      <c r="IB29" s="11">
        <f t="shared" si="25"/>
        <v>17.408239700374533</v>
      </c>
      <c r="IC29" s="11">
        <f t="shared" si="26"/>
        <v>17.792759051186014</v>
      </c>
      <c r="ID29" s="11">
        <f t="shared" si="27"/>
        <v>17.792759051186014</v>
      </c>
      <c r="IE29" s="11">
        <f t="shared" si="28"/>
        <v>26.217596484394505</v>
      </c>
      <c r="IF29" s="11">
        <f t="shared" si="29"/>
        <v>32.805672596754057</v>
      </c>
      <c r="IG29" s="11">
        <f t="shared" si="30"/>
        <v>29.02435955056179</v>
      </c>
    </row>
    <row r="30" spans="1:241" ht="15.75" x14ac:dyDescent="0.25">
      <c r="A30" s="10">
        <v>43801</v>
      </c>
      <c r="B30" s="10"/>
      <c r="C30" s="43">
        <v>47</v>
      </c>
      <c r="D30" s="43">
        <v>9</v>
      </c>
      <c r="E30" s="43">
        <v>11</v>
      </c>
      <c r="F30" s="43">
        <v>95</v>
      </c>
      <c r="G30" s="43">
        <v>71</v>
      </c>
      <c r="H30" s="43">
        <v>30</v>
      </c>
      <c r="I30" s="7">
        <f t="shared" si="1"/>
        <v>51.75</v>
      </c>
      <c r="J30" s="43">
        <v>6</v>
      </c>
      <c r="K30" s="43">
        <v>53</v>
      </c>
      <c r="M30" s="43">
        <v>89</v>
      </c>
      <c r="N30" s="10"/>
      <c r="O30" s="43">
        <v>13</v>
      </c>
      <c r="P30" s="43">
        <v>7</v>
      </c>
      <c r="Q30" s="43">
        <v>10</v>
      </c>
      <c r="R30" s="43">
        <v>76</v>
      </c>
      <c r="S30" s="43">
        <v>49</v>
      </c>
      <c r="T30" s="43">
        <v>38</v>
      </c>
      <c r="U30" s="7">
        <f t="shared" si="2"/>
        <v>43.25</v>
      </c>
      <c r="V30" s="43">
        <v>6</v>
      </c>
      <c r="W30" s="43">
        <v>46</v>
      </c>
      <c r="Y30" s="81">
        <v>65</v>
      </c>
      <c r="AG30" s="7" t="e">
        <f t="shared" si="3"/>
        <v>#DIV/0!</v>
      </c>
      <c r="AL30" s="43">
        <v>101</v>
      </c>
      <c r="AM30" s="43">
        <v>72</v>
      </c>
      <c r="AN30" s="43"/>
      <c r="AO30" s="43">
        <v>501</v>
      </c>
      <c r="AP30">
        <v>358</v>
      </c>
      <c r="EM30" s="13">
        <f t="shared" si="4"/>
        <v>50.625</v>
      </c>
      <c r="EN30" s="13">
        <f t="shared" si="9"/>
        <v>38</v>
      </c>
      <c r="EO30" s="13">
        <f t="shared" si="10"/>
        <v>38</v>
      </c>
      <c r="EP30" s="30">
        <f>((AVERAGE(EM25:EM30)*('Summary Page'!$C$2+1))*('Summary Page'!$C$2+1))*('Summary Page'!$C$2+1)</f>
        <v>70.240319999999983</v>
      </c>
      <c r="EQ30" s="7">
        <f>((AVERAGE(EM25:EM30)*('Summary Page'!$C$3+1))*('Summary Page'!$C$3+1))*('Summary Page'!$C$3+1)</f>
        <v>87.890625</v>
      </c>
      <c r="ER30" s="7">
        <f>((AVERAGE(EM25:EM30)*('Summary Page'!$C$4+1))*('Summary Page'!$C$4+1))*('Summary Page'!$C$4+1)</f>
        <v>77.759999999999991</v>
      </c>
      <c r="ES30" s="7">
        <v>80</v>
      </c>
      <c r="ET30" s="13">
        <f t="shared" si="5"/>
        <v>51.75</v>
      </c>
      <c r="EU30" s="13">
        <f t="shared" si="11"/>
        <v>43.25</v>
      </c>
      <c r="EV30" s="13">
        <f t="shared" si="12"/>
        <v>43.25</v>
      </c>
      <c r="EW30" s="7">
        <f>((AVERAGE(ET25:ET30)*('Summary Page'!$C$2+1))*('Summary Page'!$C$2+1))*('Summary Page'!$C$2+1)</f>
        <v>75.50834399999998</v>
      </c>
      <c r="EX30" s="7">
        <f>((AVERAGE(ET25:ET30)*('Summary Page'!$C$3+1))*('Summary Page'!$C$3+1))*('Summary Page'!$C$3+1)</f>
        <v>94.482421875</v>
      </c>
      <c r="EY30" s="7">
        <f>((AVERAGE(ET25:ET30)*('Summary Page'!$C$4+1))*('Summary Page'!$C$4+1))*('Summary Page'!$C$4+1)</f>
        <v>83.591999999999999</v>
      </c>
      <c r="EZ30" s="13">
        <f t="shared" si="6"/>
        <v>71</v>
      </c>
      <c r="FA30" s="13">
        <f t="shared" si="13"/>
        <v>55.5</v>
      </c>
      <c r="FB30" s="13">
        <f t="shared" si="14"/>
        <v>55.5</v>
      </c>
      <c r="FC30" s="7">
        <f>((AVERAGE(EZ25:EZ30)*('Summary Page'!$C$2+1))*('Summary Page'!$C$2+1))*('Summary Page'!$C$2+1)</f>
        <v>97.555999999999983</v>
      </c>
      <c r="FD30" s="7">
        <f>((AVERAGE(EZ25:EZ30)*('Summary Page'!$C$3+1))*('Summary Page'!$C$3+1))*('Summary Page'!$C$3+1)</f>
        <v>122.0703125</v>
      </c>
      <c r="FE30" s="7">
        <f>((AVERAGE(EZ25:EZ30)*('Summary Page'!$C$4+1))*('Summary Page'!$C$4+1))*('Summary Page'!$C$4+1)</f>
        <v>108</v>
      </c>
      <c r="FF30" s="13">
        <f t="shared" si="7"/>
        <v>46.875</v>
      </c>
      <c r="FI30" s="43">
        <f t="shared" si="8"/>
        <v>13</v>
      </c>
      <c r="FJ30" s="7">
        <f>((AVERAGE(C25:C30)*('Summary Page'!$C$2+1))*('Summary Page'!$C$2+1))*('Summary Page'!$C$2+1)</f>
        <v>53.590762666666656</v>
      </c>
      <c r="FK30" s="7">
        <f>((AVERAGE(C25:C30)*('Summary Page'!$C$3+1))*('Summary Page'!$C$3+1))*('Summary Page'!$C$3+1)</f>
        <v>67.057291666666686</v>
      </c>
      <c r="FL30" s="7">
        <f>((AVERAGE(C25:C30)*('Summary Page'!$C$4+1))*('Summary Page'!$C$4+1))*('Summary Page'!$C$4+1)</f>
        <v>59.328000000000003</v>
      </c>
      <c r="FO30" s="43">
        <f t="shared" si="15"/>
        <v>7</v>
      </c>
      <c r="FP30" s="7">
        <f>((AVERAGE(D25:D30)*('Summary Page'!$C$2+1))*('Summary Page'!$C$2+1))*('Summary Page'!$C$2+1)</f>
        <v>11.18642133333333</v>
      </c>
      <c r="FQ30" s="7">
        <f>((AVERAGE(D25:D30)*('Summary Page'!$C$3+1))*('Summary Page'!$C$3+1))*('Summary Page'!$C$3+1)</f>
        <v>13.997395833333336</v>
      </c>
      <c r="FR30" s="7">
        <f>((AVERAGE(D25:D30)*('Summary Page'!$C$4+1))*('Summary Page'!$C$4+1))*('Summary Page'!$C$4+1)</f>
        <v>12.383999999999999</v>
      </c>
      <c r="FU30" s="43">
        <f t="shared" si="16"/>
        <v>10</v>
      </c>
      <c r="FV30" s="7">
        <f>((AVERAGE(E25:E30)*('Summary Page'!$C$2+1))*('Summary Page'!$C$2+1))*('Summary Page'!$C$2+1)</f>
        <v>25.494634666666659</v>
      </c>
      <c r="FW30" s="7">
        <f>((AVERAGE(E25:E30)*('Summary Page'!$C$3+1))*('Summary Page'!$C$3+1))*('Summary Page'!$C$3+1)</f>
        <v>31.901041666666661</v>
      </c>
      <c r="FX30" s="7">
        <f>((AVERAGE(E25:E30)*('Summary Page'!$C$4+1))*('Summary Page'!$C$4+1))*('Summary Page'!$C$4+1)</f>
        <v>28.223999999999993</v>
      </c>
      <c r="GA30" s="43">
        <f t="shared" si="17"/>
        <v>76</v>
      </c>
      <c r="GB30" s="7">
        <f>((AVERAGE(F25:F30)*('Summary Page'!$C$2+1))*('Summary Page'!$C$2+1))*('Summary Page'!$C$2+1)</f>
        <v>129.81451733333333</v>
      </c>
      <c r="GC30" s="7">
        <f>((AVERAGE(F25:F30)*('Summary Page'!$C$3+1))*('Summary Page'!$C$3+1))*('Summary Page'!$C$3+1)</f>
        <v>162.43489583333337</v>
      </c>
      <c r="GD30" s="7">
        <f>((AVERAGE(F25:F30)*('Summary Page'!$C$4+1))*('Summary Page'!$C$4+1))*('Summary Page'!$C$4+1)</f>
        <v>143.71199999999999</v>
      </c>
      <c r="GG30" s="43">
        <f t="shared" si="18"/>
        <v>65</v>
      </c>
      <c r="GH30" s="7">
        <f>((AVERAGE(M25:M30)*('Summary Page'!$C$2+1))*('Summary Page'!$C$2+1))*('Summary Page'!$C$2+1)</f>
        <v>122.53033599999998</v>
      </c>
      <c r="GI30" s="7">
        <f>((AVERAGE(M25:M30)*('Summary Page'!$C$3+1))*('Summary Page'!$C$3+1))*('Summary Page'!$C$3+1)</f>
        <v>153.3203125</v>
      </c>
      <c r="GJ30" s="7">
        <f>((AVERAGE(M25:M30)*('Summary Page'!$C$4+1))*('Summary Page'!$C$4+1))*('Summary Page'!$C$4+1)</f>
        <v>135.648</v>
      </c>
      <c r="GM30" s="43">
        <f t="shared" si="19"/>
        <v>49</v>
      </c>
      <c r="GN30" s="7">
        <f>((AVERAGE(G25:G30)*('Summary Page'!$C$2+1))*('Summary Page'!$C$2+1))*('Summary Page'!$C$2+1)</f>
        <v>98.856746666666666</v>
      </c>
      <c r="GO30" s="7">
        <f>((AVERAGE(G25:G30)*('Summary Page'!$C$3+1))*('Summary Page'!$C$3+1))*('Summary Page'!$C$3+1)</f>
        <v>123.69791666666669</v>
      </c>
      <c r="GP30" s="7">
        <f>((AVERAGE(G25:G30)*('Summary Page'!$C$4+1))*('Summary Page'!$C$4+1))*('Summary Page'!$C$4+1)</f>
        <v>109.44</v>
      </c>
      <c r="GS30" s="43">
        <f t="shared" si="20"/>
        <v>38</v>
      </c>
      <c r="GT30" s="7">
        <f>((AVERAGE(H25:H30)*('Summary Page'!$C$2+1))*('Summary Page'!$C$2+1))*('Summary Page'!$C$2+1)</f>
        <v>47.867477333333326</v>
      </c>
      <c r="GU30" s="7">
        <f>((AVERAGE(H25:H30)*('Summary Page'!$C$3+1))*('Summary Page'!$C$3+1))*('Summary Page'!$C$3+1)</f>
        <v>59.895833333333343</v>
      </c>
      <c r="GV30" s="7">
        <f>((AVERAGE(H25:H30)*('Summary Page'!$C$4+1))*('Summary Page'!$C$4+1))*('Summary Page'!$C$4+1)</f>
        <v>52.991999999999997</v>
      </c>
      <c r="GY30" s="43">
        <f t="shared" si="21"/>
        <v>6</v>
      </c>
      <c r="GZ30" s="7">
        <f>((AVERAGE(J25:J30)*('Summary Page'!$C$2+1))*('Summary Page'!$C$2+1))*('Summary Page'!$C$2+1)</f>
        <v>9.8856746666666631</v>
      </c>
      <c r="HA30" s="7">
        <f>((AVERAGE(J25:J30)*('Summary Page'!$C$3+1))*('Summary Page'!$C$3+1))*('Summary Page'!$C$3+1)</f>
        <v>12.369791666666664</v>
      </c>
      <c r="HB30" s="7">
        <f>((AVERAGE(J25:J30)*('Summary Page'!$C$4+1))*('Summary Page'!$C$4+1))*('Summary Page'!$C$4+1)</f>
        <v>10.943999999999999</v>
      </c>
      <c r="HE30" s="43">
        <f t="shared" si="22"/>
        <v>46</v>
      </c>
      <c r="HF30" s="7">
        <f>((AVERAGE(K25:K30)*('Summary Page'!$C$2+1))*('Summary Page'!$C$2+1))*('Summary Page'!$C$2+1)</f>
        <v>72.581663999999989</v>
      </c>
      <c r="HG30" s="7">
        <f>((AVERAGE(K25:K30)*('Summary Page'!$C$3+1))*('Summary Page'!$C$3+1))*('Summary Page'!$C$3+1)</f>
        <v>90.8203125</v>
      </c>
      <c r="HH30" s="7">
        <f>((AVERAGE(K25:K30)*('Summary Page'!$C$4+1))*('Summary Page'!$C$4+1))*('Summary Page'!$C$4+1)</f>
        <v>80.35199999999999</v>
      </c>
      <c r="HK30" s="43"/>
      <c r="HL30" s="7" t="e">
        <f>((AVERAGE(L25:L30)*('Summary Page'!$C$2+1))*('Summary Page'!$C$2+1))*('Summary Page'!$C$2+1)</f>
        <v>#DIV/0!</v>
      </c>
      <c r="HM30" s="7" t="e">
        <f>((AVERAGE(L25:L30)*('Summary Page'!$C$3+1))*('Summary Page'!$C$3+1))*('Summary Page'!$C$3+1)</f>
        <v>#DIV/0!</v>
      </c>
      <c r="HN30" s="7" t="e">
        <f>((AVERAGE(L25:L30)*('Summary Page'!$C$4+1))*('Summary Page'!$C$4+1))*('Summary Page'!$C$4+1)</f>
        <v>#DIV/0!</v>
      </c>
      <c r="HQ30" s="43">
        <f t="shared" si="23"/>
        <v>72</v>
      </c>
      <c r="HR30" s="7">
        <f>((AVERAGE(AL25:AL30)*('Summary Page'!$C$2+1))*('Summary Page'!$C$2+1))*('Summary Page'!$C$2+1)</f>
        <v>140.48063999999997</v>
      </c>
      <c r="HS30" s="7">
        <f>((AVERAGE(AL25:AL30)*('Summary Page'!$C$3+1))*('Summary Page'!$C$3+1))*('Summary Page'!$C$3+1)</f>
        <v>175.78125</v>
      </c>
      <c r="HT30" s="7">
        <f>((AVERAGE(AL25:AL30)*('Summary Page'!$C$4+1))*('Summary Page'!$C$4+1))*('Summary Page'!$C$4+1)</f>
        <v>155.51999999999998</v>
      </c>
      <c r="HU30" s="7">
        <f t="shared" ref="HU30:HU48" si="34">HU29</f>
        <v>100</v>
      </c>
      <c r="HV30" s="16">
        <f t="shared" si="32"/>
        <v>15.011235955056179</v>
      </c>
      <c r="HW30" s="16">
        <f t="shared" si="33"/>
        <v>10.726591760299625</v>
      </c>
      <c r="HX30" s="7">
        <f t="shared" si="31"/>
        <v>10.726591760299625</v>
      </c>
      <c r="HY30" s="7">
        <f>((AVERAGE(HV19:HV30,HX19:HX30)*('Summary Page'!$C$2+1))*('Summary Page'!$C$2+1))*('Summary Page'!$C$2+1)</f>
        <v>21.99518767940074</v>
      </c>
      <c r="HZ30" s="7">
        <f>((AVERAGE(HV19:HV30,HX19:HX30)*('Summary Page'!$C$3+1))*('Summary Page'!$C$3+1))*('Summary Page'!$C$3+1)</f>
        <v>27.522237827715351</v>
      </c>
      <c r="IA30" s="7">
        <f>((AVERAGE(HV19:HV30,HX19:HX30)*('Summary Page'!$C$4+1))*('Summary Page'!$C$4+1))*('Summary Page'!$C$4+1)</f>
        <v>24.349914606741567</v>
      </c>
      <c r="IB30" s="11">
        <f t="shared" si="25"/>
        <v>17.513108614232209</v>
      </c>
      <c r="IC30" s="11">
        <f t="shared" si="26"/>
        <v>12.514357053682897</v>
      </c>
      <c r="ID30" s="11">
        <f t="shared" si="27"/>
        <v>12.514357053682897</v>
      </c>
      <c r="IE30" s="11">
        <f t="shared" si="28"/>
        <v>25.661052292634196</v>
      </c>
      <c r="IF30" s="11">
        <f t="shared" si="29"/>
        <v>32.109277465667908</v>
      </c>
      <c r="IG30" s="11">
        <f t="shared" si="30"/>
        <v>28.408233707865161</v>
      </c>
    </row>
    <row r="31" spans="1:241" ht="15.75" x14ac:dyDescent="0.25">
      <c r="A31" s="10">
        <v>43838</v>
      </c>
      <c r="B31" s="10"/>
      <c r="C31" s="43">
        <v>31</v>
      </c>
      <c r="D31" s="43">
        <v>10</v>
      </c>
      <c r="E31" s="43">
        <v>25</v>
      </c>
      <c r="F31" s="43">
        <v>59</v>
      </c>
      <c r="G31" s="43">
        <v>79</v>
      </c>
      <c r="H31" s="43">
        <v>33</v>
      </c>
      <c r="I31" s="7">
        <f t="shared" si="1"/>
        <v>49</v>
      </c>
      <c r="J31" s="43">
        <v>7</v>
      </c>
      <c r="K31" s="43">
        <v>58</v>
      </c>
      <c r="M31" s="43">
        <v>83</v>
      </c>
      <c r="N31" s="10"/>
      <c r="O31" s="43">
        <v>21</v>
      </c>
      <c r="P31" s="43">
        <v>7</v>
      </c>
      <c r="Q31" s="43">
        <v>11</v>
      </c>
      <c r="R31" s="43">
        <v>54</v>
      </c>
      <c r="S31" s="43">
        <v>41</v>
      </c>
      <c r="T31" s="43">
        <v>34</v>
      </c>
      <c r="U31" s="7">
        <f t="shared" si="2"/>
        <v>35</v>
      </c>
      <c r="V31" s="43">
        <v>10</v>
      </c>
      <c r="W31" s="43">
        <v>48</v>
      </c>
      <c r="Y31" s="81">
        <v>58</v>
      </c>
      <c r="AG31" s="7" t="e">
        <f t="shared" si="3"/>
        <v>#DIV/0!</v>
      </c>
      <c r="AL31" s="43">
        <v>99</v>
      </c>
      <c r="AM31" s="43">
        <v>72</v>
      </c>
      <c r="AN31" s="43"/>
      <c r="AO31" s="43">
        <v>488</v>
      </c>
      <c r="AP31">
        <v>509</v>
      </c>
      <c r="EM31" s="13">
        <f t="shared" si="4"/>
        <v>47.25</v>
      </c>
      <c r="EN31" s="13">
        <f t="shared" si="9"/>
        <v>34.25</v>
      </c>
      <c r="EO31" s="13">
        <f t="shared" si="10"/>
        <v>34.25</v>
      </c>
      <c r="EP31" s="30">
        <f>((AVERAGE(EM26:EM31)*('Summary Page'!$C$2+1))*('Summary Page'!$C$2+1))*('Summary Page'!$C$2+1)</f>
        <v>71.73617866666666</v>
      </c>
      <c r="EQ31" s="7">
        <f>((AVERAGE(EM26:EM31)*('Summary Page'!$C$3+1))*('Summary Page'!$C$3+1))*('Summary Page'!$C$3+1)</f>
        <v>89.762369791666686</v>
      </c>
      <c r="ER31" s="7">
        <f>((AVERAGE(EM26:EM31)*('Summary Page'!$C$4+1))*('Summary Page'!$C$4+1))*('Summary Page'!$C$4+1)</f>
        <v>79.415999999999983</v>
      </c>
      <c r="ES31" s="7">
        <v>80</v>
      </c>
      <c r="ET31" s="13">
        <f t="shared" si="5"/>
        <v>49</v>
      </c>
      <c r="EU31" s="13">
        <f t="shared" si="11"/>
        <v>35</v>
      </c>
      <c r="EV31" s="13">
        <f t="shared" si="12"/>
        <v>35</v>
      </c>
      <c r="EW31" s="7">
        <f>((AVERAGE(ET26:ET31)*('Summary Page'!$C$2+1))*('Summary Page'!$C$2+1))*('Summary Page'!$C$2+1)</f>
        <v>75.768493333333311</v>
      </c>
      <c r="EX31" s="7">
        <f>((AVERAGE(ET26:ET31)*('Summary Page'!$C$3+1))*('Summary Page'!$C$3+1))*('Summary Page'!$C$3+1)</f>
        <v>94.807942708333314</v>
      </c>
      <c r="EY31" s="7">
        <f>((AVERAGE(ET26:ET31)*('Summary Page'!$C$4+1))*('Summary Page'!$C$4+1))*('Summary Page'!$C$4+1)</f>
        <v>83.879999999999981</v>
      </c>
      <c r="EZ31" s="13">
        <f t="shared" si="6"/>
        <v>70.5</v>
      </c>
      <c r="FA31" s="13">
        <f t="shared" si="13"/>
        <v>53</v>
      </c>
      <c r="FB31" s="13">
        <f t="shared" si="14"/>
        <v>53</v>
      </c>
      <c r="FC31" s="7">
        <f>((AVERAGE(EZ26:EZ31)*('Summary Page'!$C$2+1))*('Summary Page'!$C$2+1))*('Summary Page'!$C$2+1)</f>
        <v>103.01913599999996</v>
      </c>
      <c r="FD31" s="7">
        <f>((AVERAGE(EZ26:EZ31)*('Summary Page'!$C$3+1))*('Summary Page'!$C$3+1))*('Summary Page'!$C$3+1)</f>
        <v>128.90625</v>
      </c>
      <c r="FE31" s="7">
        <f>((AVERAGE(EZ26:EZ31)*('Summary Page'!$C$4+1))*('Summary Page'!$C$4+1))*('Summary Page'!$C$4+1)</f>
        <v>114.048</v>
      </c>
      <c r="FF31" s="13">
        <f t="shared" si="7"/>
        <v>46.1</v>
      </c>
      <c r="FI31" s="43">
        <f t="shared" si="8"/>
        <v>21</v>
      </c>
      <c r="FJ31" s="7">
        <f>((AVERAGE(C26:C31)*('Summary Page'!$C$2+1))*('Summary Page'!$C$2+1))*('Summary Page'!$C$2+1)</f>
        <v>52.810314666666663</v>
      </c>
      <c r="FK31" s="7">
        <f>((AVERAGE(C26:C31)*('Summary Page'!$C$3+1))*('Summary Page'!$C$3+1))*('Summary Page'!$C$3+1)</f>
        <v>66.080729166666686</v>
      </c>
      <c r="FL31" s="7">
        <f>((AVERAGE(C26:C31)*('Summary Page'!$C$4+1))*('Summary Page'!$C$4+1))*('Summary Page'!$C$4+1)</f>
        <v>58.463999999999999</v>
      </c>
      <c r="FO31" s="43">
        <f t="shared" si="15"/>
        <v>7</v>
      </c>
      <c r="FP31" s="7">
        <f>((AVERAGE(D26:D31)*('Summary Page'!$C$2+1))*('Summary Page'!$C$2+1))*('Summary Page'!$C$2+1)</f>
        <v>11.966869333333332</v>
      </c>
      <c r="FQ31" s="7">
        <f>((AVERAGE(D26:D31)*('Summary Page'!$C$3+1))*('Summary Page'!$C$3+1))*('Summary Page'!$C$3+1)</f>
        <v>14.973958333333336</v>
      </c>
      <c r="FR31" s="7">
        <f>((AVERAGE(D26:D31)*('Summary Page'!$C$4+1))*('Summary Page'!$C$4+1))*('Summary Page'!$C$4+1)</f>
        <v>13.247999999999999</v>
      </c>
      <c r="FU31" s="43">
        <f t="shared" si="16"/>
        <v>11</v>
      </c>
      <c r="FV31" s="7">
        <f>((AVERAGE(E26:E31)*('Summary Page'!$C$2+1))*('Summary Page'!$C$2+1))*('Summary Page'!$C$2+1)</f>
        <v>27.575829333333328</v>
      </c>
      <c r="FW31" s="7">
        <f>((AVERAGE(E26:E31)*('Summary Page'!$C$3+1))*('Summary Page'!$C$3+1))*('Summary Page'!$C$3+1)</f>
        <v>34.505208333333343</v>
      </c>
      <c r="FX31" s="7">
        <f>((AVERAGE(E26:E31)*('Summary Page'!$C$4+1))*('Summary Page'!$C$4+1))*('Summary Page'!$C$4+1)</f>
        <v>30.527999999999995</v>
      </c>
      <c r="GA31" s="43">
        <f t="shared" si="17"/>
        <v>54</v>
      </c>
      <c r="GB31" s="7">
        <f>((AVERAGE(F26:F31)*('Summary Page'!$C$2+1))*('Summary Page'!$C$2+1))*('Summary Page'!$C$2+1)</f>
        <v>127.99347199999997</v>
      </c>
      <c r="GC31" s="7">
        <f>((AVERAGE(F26:F31)*('Summary Page'!$C$3+1))*('Summary Page'!$C$3+1))*('Summary Page'!$C$3+1)</f>
        <v>160.15625</v>
      </c>
      <c r="GD31" s="7">
        <f>((AVERAGE(F26:F31)*('Summary Page'!$C$4+1))*('Summary Page'!$C$4+1))*('Summary Page'!$C$4+1)</f>
        <v>141.69599999999997</v>
      </c>
      <c r="GG31" s="43">
        <f t="shared" si="18"/>
        <v>58</v>
      </c>
      <c r="GH31" s="7">
        <f>((AVERAGE(M26:M31)*('Summary Page'!$C$2+1))*('Summary Page'!$C$2+1))*('Summary Page'!$C$2+1)</f>
        <v>128.25362133333331</v>
      </c>
      <c r="GI31" s="7">
        <f>((AVERAGE(M26:M31)*('Summary Page'!$C$3+1))*('Summary Page'!$C$3+1))*('Summary Page'!$C$3+1)</f>
        <v>160.48177083333337</v>
      </c>
      <c r="GJ31" s="7">
        <f>((AVERAGE(M26:M31)*('Summary Page'!$C$4+1))*('Summary Page'!$C$4+1))*('Summary Page'!$C$4+1)</f>
        <v>141.98400000000001</v>
      </c>
      <c r="GM31" s="43">
        <f t="shared" si="19"/>
        <v>41</v>
      </c>
      <c r="GN31" s="7">
        <f>((AVERAGE(G26:G31)*('Summary Page'!$C$2+1))*('Summary Page'!$C$2+1))*('Summary Page'!$C$2+1)</f>
        <v>98.596597333333307</v>
      </c>
      <c r="GO31" s="7">
        <f>((AVERAGE(G26:G31)*('Summary Page'!$C$3+1))*('Summary Page'!$C$3+1))*('Summary Page'!$C$3+1)</f>
        <v>123.37239583333331</v>
      </c>
      <c r="GP31" s="7">
        <f>((AVERAGE(G26:G31)*('Summary Page'!$C$4+1))*('Summary Page'!$C$4+1))*('Summary Page'!$C$4+1)</f>
        <v>109.15199999999999</v>
      </c>
      <c r="GS31" s="43">
        <f t="shared" si="20"/>
        <v>34</v>
      </c>
      <c r="GT31" s="7">
        <f>((AVERAGE(H26:H31)*('Summary Page'!$C$2+1))*('Summary Page'!$C$2+1))*('Summary Page'!$C$2+1)</f>
        <v>48.908074666666657</v>
      </c>
      <c r="GU31" s="7">
        <f>((AVERAGE(H26:H31)*('Summary Page'!$C$3+1))*('Summary Page'!$C$3+1))*('Summary Page'!$C$3+1)</f>
        <v>61.197916666666657</v>
      </c>
      <c r="GV31" s="7">
        <f>((AVERAGE(H26:H31)*('Summary Page'!$C$4+1))*('Summary Page'!$C$4+1))*('Summary Page'!$C$4+1)</f>
        <v>54.143999999999984</v>
      </c>
      <c r="GY31" s="43">
        <f t="shared" si="21"/>
        <v>10</v>
      </c>
      <c r="GZ31" s="7">
        <f>((AVERAGE(J26:J31)*('Summary Page'!$C$2+1))*('Summary Page'!$C$2+1))*('Summary Page'!$C$2+1)</f>
        <v>8.8450773333333323</v>
      </c>
      <c r="HA31" s="7">
        <f>((AVERAGE(J26:J31)*('Summary Page'!$C$3+1))*('Summary Page'!$C$3+1))*('Summary Page'!$C$3+1)</f>
        <v>11.067708333333336</v>
      </c>
      <c r="HB31" s="7">
        <f>((AVERAGE(J26:J31)*('Summary Page'!$C$4+1))*('Summary Page'!$C$4+1))*('Summary Page'!$C$4+1)</f>
        <v>9.7919999999999998</v>
      </c>
      <c r="HE31" s="43">
        <f t="shared" si="22"/>
        <v>48</v>
      </c>
      <c r="HF31" s="7">
        <f>((AVERAGE(K26:K31)*('Summary Page'!$C$2+1))*('Summary Page'!$C$2+1))*('Summary Page'!$C$2+1)</f>
        <v>77.78465066666665</v>
      </c>
      <c r="HG31" s="7">
        <f>((AVERAGE(K26:K31)*('Summary Page'!$C$3+1))*('Summary Page'!$C$3+1))*('Summary Page'!$C$3+1)</f>
        <v>97.330729166666686</v>
      </c>
      <c r="HH31" s="7">
        <f>((AVERAGE(K26:K31)*('Summary Page'!$C$4+1))*('Summary Page'!$C$4+1))*('Summary Page'!$C$4+1)</f>
        <v>86.111999999999981</v>
      </c>
      <c r="HL31" s="7" t="e">
        <f>((AVERAGE(L26:L31)*('Summary Page'!$C$2+1))*('Summary Page'!$C$2+1))*('Summary Page'!$C$2+1)</f>
        <v>#DIV/0!</v>
      </c>
      <c r="HM31" s="7" t="e">
        <f>((AVERAGE(L26:L31)*('Summary Page'!$C$3+1))*('Summary Page'!$C$3+1))*('Summary Page'!$C$3+1)</f>
        <v>#DIV/0!</v>
      </c>
      <c r="HN31" s="7" t="e">
        <f>((AVERAGE(L26:L31)*('Summary Page'!$C$4+1))*('Summary Page'!$C$4+1))*('Summary Page'!$C$4+1)</f>
        <v>#DIV/0!</v>
      </c>
      <c r="HQ31" s="43">
        <f t="shared" si="23"/>
        <v>72</v>
      </c>
      <c r="HR31" s="7">
        <f>((AVERAGE(AL26:AL31)*('Summary Page'!$C$2+1))*('Summary Page'!$C$2+1))*('Summary Page'!$C$2+1)</f>
        <v>145.68362666666661</v>
      </c>
      <c r="HS31" s="7">
        <f>((AVERAGE(AL26:AL31)*('Summary Page'!$C$3+1))*('Summary Page'!$C$3+1))*('Summary Page'!$C$3+1)</f>
        <v>182.29166666666663</v>
      </c>
      <c r="HT31" s="7">
        <f>((AVERAGE(AL26:AL31)*('Summary Page'!$C$4+1))*('Summary Page'!$C$4+1))*('Summary Page'!$C$4+1)</f>
        <v>161.27999999999997</v>
      </c>
      <c r="HU31" s="7">
        <f t="shared" si="34"/>
        <v>100</v>
      </c>
      <c r="HV31" s="16">
        <f t="shared" si="32"/>
        <v>14.621722846441946</v>
      </c>
      <c r="HW31" s="16">
        <f t="shared" si="33"/>
        <v>15.250936329588011</v>
      </c>
      <c r="HX31" s="7">
        <f t="shared" si="31"/>
        <v>15.250936329588011</v>
      </c>
      <c r="HY31" s="7">
        <f>((AVERAGE(HV20:HV31,HX20:HX31)*('Summary Page'!$C$2+1))*('Summary Page'!$C$2+1))*('Summary Page'!$C$2+1)</f>
        <v>22.214999250936316</v>
      </c>
      <c r="HZ31" s="7">
        <f>((AVERAGE(HV20:HV31,HX20:HX31)*('Summary Page'!$C$3+1))*('Summary Page'!$C$3+1))*('Summary Page'!$C$3+1)</f>
        <v>27.797284644194747</v>
      </c>
      <c r="IA31" s="7">
        <f>((AVERAGE(HV20:HV31,HX20:HX31)*('Summary Page'!$C$4+1))*('Summary Page'!$C$4+1))*('Summary Page'!$C$4+1)</f>
        <v>24.593258426966283</v>
      </c>
      <c r="IB31" s="11">
        <f t="shared" si="25"/>
        <v>17.058676654182271</v>
      </c>
      <c r="IC31" s="11">
        <f t="shared" si="26"/>
        <v>17.792759051186014</v>
      </c>
      <c r="ID31" s="11">
        <f t="shared" si="27"/>
        <v>17.792759051186014</v>
      </c>
      <c r="IE31" s="11">
        <f t="shared" si="28"/>
        <v>25.91749912609237</v>
      </c>
      <c r="IF31" s="11">
        <f t="shared" si="29"/>
        <v>32.430165418227205</v>
      </c>
      <c r="IG31" s="11">
        <f t="shared" si="30"/>
        <v>28.692134831460663</v>
      </c>
    </row>
    <row r="32" spans="1:241" ht="15.75" x14ac:dyDescent="0.25">
      <c r="A32" s="10">
        <v>43864</v>
      </c>
      <c r="B32" s="10"/>
      <c r="C32" s="43">
        <v>12</v>
      </c>
      <c r="D32" s="43">
        <v>15</v>
      </c>
      <c r="E32" s="43">
        <v>20</v>
      </c>
      <c r="F32" s="43">
        <v>54</v>
      </c>
      <c r="G32" s="43">
        <v>55</v>
      </c>
      <c r="H32" s="43">
        <v>31</v>
      </c>
      <c r="I32" s="7">
        <f t="shared" si="1"/>
        <v>40</v>
      </c>
      <c r="J32" s="43">
        <v>6</v>
      </c>
      <c r="K32" s="43">
        <v>58</v>
      </c>
      <c r="M32" s="43">
        <v>73</v>
      </c>
      <c r="N32" s="10"/>
      <c r="O32" s="43">
        <v>37</v>
      </c>
      <c r="P32" s="43">
        <v>3</v>
      </c>
      <c r="Q32" s="43">
        <v>11</v>
      </c>
      <c r="R32" s="43">
        <v>50</v>
      </c>
      <c r="S32" s="43">
        <v>47</v>
      </c>
      <c r="T32" s="43">
        <v>34</v>
      </c>
      <c r="U32" s="7">
        <f t="shared" si="2"/>
        <v>35.5</v>
      </c>
      <c r="V32" s="43">
        <v>8</v>
      </c>
      <c r="W32" s="43">
        <v>35</v>
      </c>
      <c r="Y32" s="81">
        <v>55</v>
      </c>
      <c r="AG32" s="7" t="e">
        <f t="shared" si="3"/>
        <v>#DIV/0!</v>
      </c>
      <c r="AL32" s="43">
        <v>89</v>
      </c>
      <c r="AM32" s="43">
        <v>69</v>
      </c>
      <c r="AN32" s="43"/>
      <c r="AO32" s="43">
        <v>496</v>
      </c>
      <c r="AP32">
        <v>526</v>
      </c>
      <c r="EM32" s="13">
        <f t="shared" si="4"/>
        <v>39.75</v>
      </c>
      <c r="EN32" s="13">
        <f t="shared" si="9"/>
        <v>34</v>
      </c>
      <c r="EO32" s="13">
        <f t="shared" si="10"/>
        <v>34</v>
      </c>
      <c r="EP32" s="30">
        <f>((AVERAGE(EM27:EM32)*('Summary Page'!$C$2+1))*('Summary Page'!$C$2+1))*('Summary Page'!$C$2+1)</f>
        <v>71.085805333333312</v>
      </c>
      <c r="EQ32" s="7">
        <f>((AVERAGE(EM27:EM32)*('Summary Page'!$C$3+1))*('Summary Page'!$C$3+1))*('Summary Page'!$C$3+1)</f>
        <v>88.948567708333314</v>
      </c>
      <c r="ER32" s="7">
        <f>((AVERAGE(EM27:EM32)*('Summary Page'!$C$4+1))*('Summary Page'!$C$4+1))*('Summary Page'!$C$4+1)</f>
        <v>78.695999999999998</v>
      </c>
      <c r="ES32" s="7">
        <v>80</v>
      </c>
      <c r="ET32" s="13">
        <f t="shared" si="5"/>
        <v>40</v>
      </c>
      <c r="EU32" s="13">
        <f t="shared" si="11"/>
        <v>35.5</v>
      </c>
      <c r="EV32" s="13">
        <f t="shared" si="12"/>
        <v>35.5</v>
      </c>
      <c r="EW32" s="7">
        <f>((AVERAGE(ET27:ET32)*('Summary Page'!$C$2+1))*('Summary Page'!$C$2+1))*('Summary Page'!$C$2+1)</f>
        <v>74.207597333333311</v>
      </c>
      <c r="EX32" s="7">
        <f>((AVERAGE(ET27:ET32)*('Summary Page'!$C$3+1))*('Summary Page'!$C$3+1))*('Summary Page'!$C$3+1)</f>
        <v>92.854817708333314</v>
      </c>
      <c r="EY32" s="7">
        <f>((AVERAGE(ET27:ET32)*('Summary Page'!$C$4+1))*('Summary Page'!$C$4+1))*('Summary Page'!$C$4+1)</f>
        <v>82.151999999999987</v>
      </c>
      <c r="EZ32" s="13">
        <f t="shared" si="6"/>
        <v>65.5</v>
      </c>
      <c r="FA32" s="13">
        <f t="shared" si="13"/>
        <v>45</v>
      </c>
      <c r="FB32" s="13">
        <f t="shared" si="14"/>
        <v>45</v>
      </c>
      <c r="FC32" s="7">
        <f>((AVERAGE(EZ27:EZ32)*('Summary Page'!$C$2+1))*('Summary Page'!$C$2+1))*('Summary Page'!$C$2+1)</f>
        <v>106.92137599999998</v>
      </c>
      <c r="FD32" s="7">
        <f>((AVERAGE(EZ27:EZ32)*('Summary Page'!$C$3+1))*('Summary Page'!$C$3+1))*('Summary Page'!$C$3+1)</f>
        <v>133.7890625</v>
      </c>
      <c r="FE32" s="7">
        <f>((AVERAGE(EZ27:EZ32)*('Summary Page'!$C$4+1))*('Summary Page'!$C$4+1))*('Summary Page'!$C$4+1)</f>
        <v>118.36799999999999</v>
      </c>
      <c r="FF32" s="13">
        <f t="shared" si="7"/>
        <v>41</v>
      </c>
      <c r="FI32" s="43">
        <f t="shared" si="8"/>
        <v>37</v>
      </c>
      <c r="FJ32" s="7">
        <f>((AVERAGE(C27:C32)*('Summary Page'!$C$2+1))*('Summary Page'!$C$2+1))*('Summary Page'!$C$2+1)</f>
        <v>44.485535999999989</v>
      </c>
      <c r="FK32" s="7">
        <f>((AVERAGE(C27:C32)*('Summary Page'!$C$3+1))*('Summary Page'!$C$3+1))*('Summary Page'!$C$3+1)</f>
        <v>55.6640625</v>
      </c>
      <c r="FL32" s="7">
        <f>((AVERAGE(C27:C32)*('Summary Page'!$C$4+1))*('Summary Page'!$C$4+1))*('Summary Page'!$C$4+1)</f>
        <v>49.24799999999999</v>
      </c>
      <c r="FO32" s="43">
        <f t="shared" si="15"/>
        <v>3</v>
      </c>
      <c r="FP32" s="7">
        <f>((AVERAGE(D27:D32)*('Summary Page'!$C$2+1))*('Summary Page'!$C$2+1))*('Summary Page'!$C$2+1)</f>
        <v>13.527765333333329</v>
      </c>
      <c r="FQ32" s="7">
        <f>((AVERAGE(D27:D32)*('Summary Page'!$C$3+1))*('Summary Page'!$C$3+1))*('Summary Page'!$C$3+1)</f>
        <v>16.927083333333329</v>
      </c>
      <c r="FR32" s="7">
        <f>((AVERAGE(D27:D32)*('Summary Page'!$C$4+1))*('Summary Page'!$C$4+1))*('Summary Page'!$C$4+1)</f>
        <v>14.975999999999997</v>
      </c>
      <c r="FU32" s="43">
        <f t="shared" si="16"/>
        <v>11</v>
      </c>
      <c r="FV32" s="7">
        <f>((AVERAGE(E27:E32)*('Summary Page'!$C$2+1))*('Summary Page'!$C$2+1))*('Summary Page'!$C$2+1)</f>
        <v>27.575829333333328</v>
      </c>
      <c r="FW32" s="7">
        <f>((AVERAGE(E27:E32)*('Summary Page'!$C$3+1))*('Summary Page'!$C$3+1))*('Summary Page'!$C$3+1)</f>
        <v>34.505208333333343</v>
      </c>
      <c r="FX32" s="7">
        <f>((AVERAGE(E27:E32)*('Summary Page'!$C$4+1))*('Summary Page'!$C$4+1))*('Summary Page'!$C$4+1)</f>
        <v>30.527999999999995</v>
      </c>
      <c r="GA32" s="43">
        <f t="shared" si="17"/>
        <v>50</v>
      </c>
      <c r="GB32" s="7">
        <f>((AVERAGE(F27:F32)*('Summary Page'!$C$2+1))*('Summary Page'!$C$2+1))*('Summary Page'!$C$2+1)</f>
        <v>122.79048533333332</v>
      </c>
      <c r="GC32" s="7">
        <f>((AVERAGE(F27:F32)*('Summary Page'!$C$3+1))*('Summary Page'!$C$3+1))*('Summary Page'!$C$3+1)</f>
        <v>153.64583333333337</v>
      </c>
      <c r="GD32" s="7">
        <f>((AVERAGE(F27:F32)*('Summary Page'!$C$4+1))*('Summary Page'!$C$4+1))*('Summary Page'!$C$4+1)</f>
        <v>135.93600000000001</v>
      </c>
      <c r="GG32" s="43">
        <f t="shared" si="18"/>
        <v>55</v>
      </c>
      <c r="GH32" s="7">
        <f>((AVERAGE(M27:M32)*('Summary Page'!$C$2+1))*('Summary Page'!$C$2+1))*('Summary Page'!$C$2+1)</f>
        <v>131.63556266666663</v>
      </c>
      <c r="GI32" s="7">
        <f>((AVERAGE(M27:M32)*('Summary Page'!$C$3+1))*('Summary Page'!$C$3+1))*('Summary Page'!$C$3+1)</f>
        <v>164.71354166666663</v>
      </c>
      <c r="GJ32" s="7">
        <f>((AVERAGE(M27:M32)*('Summary Page'!$C$4+1))*('Summary Page'!$C$4+1))*('Summary Page'!$C$4+1)</f>
        <v>145.72799999999998</v>
      </c>
      <c r="GM32" s="43">
        <f t="shared" si="19"/>
        <v>47</v>
      </c>
      <c r="GN32" s="7">
        <f>((AVERAGE(G27:G32)*('Summary Page'!$C$2+1))*('Summary Page'!$C$2+1))*('Summary Page'!$C$2+1)</f>
        <v>96.77555199999999</v>
      </c>
      <c r="GO32" s="7">
        <f>((AVERAGE(G27:G32)*('Summary Page'!$C$3+1))*('Summary Page'!$C$3+1))*('Summary Page'!$C$3+1)</f>
        <v>121.09375</v>
      </c>
      <c r="GP32" s="7">
        <f>((AVERAGE(G27:G32)*('Summary Page'!$C$4+1))*('Summary Page'!$C$4+1))*('Summary Page'!$C$4+1)</f>
        <v>107.13599999999998</v>
      </c>
      <c r="GS32" s="43">
        <f t="shared" si="20"/>
        <v>34</v>
      </c>
      <c r="GT32" s="7">
        <f>((AVERAGE(H27:H32)*('Summary Page'!$C$2+1))*('Summary Page'!$C$2+1))*('Summary Page'!$C$2+1)</f>
        <v>49.688522666666657</v>
      </c>
      <c r="GU32" s="7">
        <f>((AVERAGE(H27:H32)*('Summary Page'!$C$3+1))*('Summary Page'!$C$3+1))*('Summary Page'!$C$3+1)</f>
        <v>62.174479166666657</v>
      </c>
      <c r="GV32" s="7">
        <f>((AVERAGE(H27:H32)*('Summary Page'!$C$4+1))*('Summary Page'!$C$4+1))*('Summary Page'!$C$4+1)</f>
        <v>55.007999999999996</v>
      </c>
      <c r="GY32" s="43">
        <f t="shared" si="21"/>
        <v>8</v>
      </c>
      <c r="GZ32" s="7">
        <f>((AVERAGE(J27:J32)*('Summary Page'!$C$2+1))*('Summary Page'!$C$2+1))*('Summary Page'!$C$2+1)</f>
        <v>8.3247786666666634</v>
      </c>
      <c r="HA32" s="7">
        <f>((AVERAGE(J27:J32)*('Summary Page'!$C$3+1))*('Summary Page'!$C$3+1))*('Summary Page'!$C$3+1)</f>
        <v>10.416666666666664</v>
      </c>
      <c r="HB32" s="7">
        <f>((AVERAGE(J27:J32)*('Summary Page'!$C$4+1))*('Summary Page'!$C$4+1))*('Summary Page'!$C$4+1)</f>
        <v>9.2159999999999975</v>
      </c>
      <c r="HE32" s="43">
        <f t="shared" si="22"/>
        <v>35</v>
      </c>
      <c r="HF32" s="7">
        <f>((AVERAGE(K27:K32)*('Summary Page'!$C$2+1))*('Summary Page'!$C$2+1))*('Summary Page'!$C$2+1)</f>
        <v>82.207189333333318</v>
      </c>
      <c r="HG32" s="7">
        <f>((AVERAGE(K27:K32)*('Summary Page'!$C$3+1))*('Summary Page'!$C$3+1))*('Summary Page'!$C$3+1)</f>
        <v>102.86458333333331</v>
      </c>
      <c r="HH32" s="7">
        <f>((AVERAGE(K27:K32)*('Summary Page'!$C$4+1))*('Summary Page'!$C$4+1))*('Summary Page'!$C$4+1)</f>
        <v>91.007999999999981</v>
      </c>
      <c r="HL32" s="7" t="e">
        <f>((AVERAGE(L27:L32)*('Summary Page'!$C$2+1))*('Summary Page'!$C$2+1))*('Summary Page'!$C$2+1)</f>
        <v>#DIV/0!</v>
      </c>
      <c r="HM32" s="7" t="e">
        <f>((AVERAGE(L27:L32)*('Summary Page'!$C$3+1))*('Summary Page'!$C$3+1))*('Summary Page'!$C$3+1)</f>
        <v>#DIV/0!</v>
      </c>
      <c r="HN32" s="7" t="e">
        <f>((AVERAGE(L27:L32)*('Summary Page'!$C$4+1))*('Summary Page'!$C$4+1))*('Summary Page'!$C$4+1)</f>
        <v>#DIV/0!</v>
      </c>
      <c r="HQ32" s="43">
        <f t="shared" si="23"/>
        <v>69</v>
      </c>
      <c r="HR32" s="7">
        <f>((AVERAGE(AL27:AL32)*('Summary Page'!$C$2+1))*('Summary Page'!$C$2+1))*('Summary Page'!$C$2+1)</f>
        <v>148.28511999999998</v>
      </c>
      <c r="HS32" s="7">
        <f>((AVERAGE(AL27:AL32)*('Summary Page'!$C$3+1))*('Summary Page'!$C$3+1))*('Summary Page'!$C$3+1)</f>
        <v>185.546875</v>
      </c>
      <c r="HT32" s="7">
        <f>((AVERAGE(AL27:AL32)*('Summary Page'!$C$4+1))*('Summary Page'!$C$4+1))*('Summary Page'!$C$4+1)</f>
        <v>164.15999999999997</v>
      </c>
      <c r="HU32" s="7">
        <f t="shared" si="34"/>
        <v>100</v>
      </c>
      <c r="HV32" s="16">
        <f t="shared" si="32"/>
        <v>14.861423220973785</v>
      </c>
      <c r="HW32" s="16">
        <f t="shared" si="33"/>
        <v>15.760299625468168</v>
      </c>
      <c r="HX32" s="7">
        <f t="shared" si="31"/>
        <v>15.760299625468168</v>
      </c>
      <c r="HY32" s="7">
        <f>((AVERAGE(HV21:HV32,HX21:HX32)*('Summary Page'!$C$2+1))*('Summary Page'!$C$2+1))*('Summary Page'!$C$2+1)</f>
        <v>22.455522551096838</v>
      </c>
      <c r="HZ32" s="7">
        <f>((AVERAGE(HV21:HV32,HX21:HX32)*('Summary Page'!$C$3+1))*('Summary Page'!$C$3+1))*('Summary Page'!$C$3+1)</f>
        <v>28.098247726056712</v>
      </c>
      <c r="IA32" s="7">
        <f>((AVERAGE(HV21:HV32,HX21:HX32)*('Summary Page'!$C$4+1))*('Summary Page'!$C$4+1))*('Summary Page'!$C$4+1)</f>
        <v>24.859531300160508</v>
      </c>
      <c r="IB32" s="11">
        <f t="shared" ref="IB32:IB50" si="35">(HV32/6)+HV32</f>
        <v>17.338327091136083</v>
      </c>
      <c r="IC32" s="11">
        <f t="shared" si="26"/>
        <v>18.387016229712863</v>
      </c>
      <c r="ID32" s="11">
        <f t="shared" si="27"/>
        <v>18.387016229712863</v>
      </c>
      <c r="IE32" s="11">
        <f t="shared" si="28"/>
        <v>26.19810964294631</v>
      </c>
      <c r="IF32" s="11">
        <f t="shared" si="29"/>
        <v>32.781289013732831</v>
      </c>
      <c r="IG32" s="11">
        <f t="shared" si="30"/>
        <v>29.002786516853927</v>
      </c>
    </row>
    <row r="33" spans="1:241" ht="15.75" x14ac:dyDescent="0.25">
      <c r="A33" s="10">
        <v>43894</v>
      </c>
      <c r="B33" s="10"/>
      <c r="C33" s="43">
        <v>37</v>
      </c>
      <c r="D33" s="43">
        <v>2</v>
      </c>
      <c r="E33" s="43">
        <v>13</v>
      </c>
      <c r="F33" s="43">
        <v>59</v>
      </c>
      <c r="G33" s="43">
        <v>31</v>
      </c>
      <c r="H33" s="43">
        <v>37</v>
      </c>
      <c r="I33" s="7">
        <f t="shared" si="1"/>
        <v>35</v>
      </c>
      <c r="J33" s="43">
        <v>8</v>
      </c>
      <c r="K33" s="43">
        <v>52</v>
      </c>
      <c r="M33" s="43">
        <v>80</v>
      </c>
      <c r="N33" s="10"/>
      <c r="O33" s="43">
        <v>24</v>
      </c>
      <c r="P33" s="43">
        <v>1</v>
      </c>
      <c r="Q33" s="43">
        <v>11</v>
      </c>
      <c r="R33" s="43">
        <v>36</v>
      </c>
      <c r="S33" s="43">
        <v>44</v>
      </c>
      <c r="T33" s="43">
        <v>36</v>
      </c>
      <c r="U33" s="7">
        <f t="shared" si="2"/>
        <v>31.75</v>
      </c>
      <c r="V33" s="43">
        <v>12</v>
      </c>
      <c r="W33" s="43">
        <v>41</v>
      </c>
      <c r="Y33" s="81">
        <v>50</v>
      </c>
      <c r="AG33" s="7" t="e">
        <f t="shared" si="3"/>
        <v>#DIV/0!</v>
      </c>
      <c r="AL33" s="43">
        <v>98</v>
      </c>
      <c r="AM33" s="43">
        <v>81</v>
      </c>
      <c r="AN33" s="43"/>
      <c r="AO33" s="43">
        <v>431</v>
      </c>
      <c r="AP33">
        <v>378</v>
      </c>
      <c r="EM33" s="13">
        <f t="shared" si="4"/>
        <v>38.875</v>
      </c>
      <c r="EN33" s="13">
        <f t="shared" si="9"/>
        <v>30.375</v>
      </c>
      <c r="EO33" s="13">
        <f t="shared" si="10"/>
        <v>30.375</v>
      </c>
      <c r="EP33" s="30">
        <f>((AVERAGE(EM28:EM33)*('Summary Page'!$C$2+1))*('Summary Page'!$C$2+1))*('Summary Page'!$C$2+1)</f>
        <v>70.207801333333322</v>
      </c>
      <c r="EQ33" s="7">
        <f>((AVERAGE(EM28:EM33)*('Summary Page'!$C$3+1))*('Summary Page'!$C$3+1))*('Summary Page'!$C$3+1)</f>
        <v>87.849934895833314</v>
      </c>
      <c r="ER33" s="7">
        <f>((AVERAGE(EM28:EM33)*('Summary Page'!$C$4+1))*('Summary Page'!$C$4+1))*('Summary Page'!$C$4+1)</f>
        <v>77.72399999999999</v>
      </c>
      <c r="ES33" s="7">
        <v>80</v>
      </c>
      <c r="ET33" s="13">
        <f t="shared" si="5"/>
        <v>35</v>
      </c>
      <c r="EU33" s="13">
        <f t="shared" si="11"/>
        <v>31.75</v>
      </c>
      <c r="EV33" s="13">
        <f t="shared" si="12"/>
        <v>31.75</v>
      </c>
      <c r="EW33" s="7">
        <f>((AVERAGE(ET28:ET33)*('Summary Page'!$C$2+1))*('Summary Page'!$C$2+1))*('Summary Page'!$C$2+1)</f>
        <v>71.73617866666666</v>
      </c>
      <c r="EX33" s="7">
        <f>((AVERAGE(ET28:ET33)*('Summary Page'!$C$3+1))*('Summary Page'!$C$3+1))*('Summary Page'!$C$3+1)</f>
        <v>89.762369791666686</v>
      </c>
      <c r="EY33" s="7">
        <f>((AVERAGE(ET28:ET33)*('Summary Page'!$C$4+1))*('Summary Page'!$C$4+1))*('Summary Page'!$C$4+1)</f>
        <v>79.415999999999983</v>
      </c>
      <c r="EZ33" s="13">
        <f t="shared" si="6"/>
        <v>66</v>
      </c>
      <c r="FA33" s="13">
        <f t="shared" si="13"/>
        <v>45.5</v>
      </c>
      <c r="FB33" s="13">
        <f t="shared" si="14"/>
        <v>45.5</v>
      </c>
      <c r="FC33" s="7">
        <f>((AVERAGE(EZ28:EZ33)*('Summary Page'!$C$2+1))*('Summary Page'!$C$2+1))*('Summary Page'!$C$2+1)</f>
        <v>108.74242133333333</v>
      </c>
      <c r="FD33" s="7">
        <f>((AVERAGE(EZ28:EZ33)*('Summary Page'!$C$3+1))*('Summary Page'!$C$3+1))*('Summary Page'!$C$3+1)</f>
        <v>136.06770833333337</v>
      </c>
      <c r="FE33" s="7">
        <f>((AVERAGE(EZ28:EZ33)*('Summary Page'!$C$4+1))*('Summary Page'!$C$4+1))*('Summary Page'!$C$4+1)</f>
        <v>120.384</v>
      </c>
      <c r="FF33" s="13">
        <f t="shared" si="7"/>
        <v>36.9</v>
      </c>
      <c r="FI33" s="43">
        <f t="shared" si="8"/>
        <v>24</v>
      </c>
      <c r="FJ33" s="7">
        <f>((AVERAGE(C28:C33)*('Summary Page'!$C$2+1))*('Summary Page'!$C$2+1))*('Summary Page'!$C$2+1)</f>
        <v>45.265983999999996</v>
      </c>
      <c r="FK33" s="7">
        <f>((AVERAGE(C28:C33)*('Summary Page'!$C$3+1))*('Summary Page'!$C$3+1))*('Summary Page'!$C$3+1)</f>
        <v>56.640625</v>
      </c>
      <c r="FL33" s="7">
        <f>((AVERAGE(C28:C33)*('Summary Page'!$C$4+1))*('Summary Page'!$C$4+1))*('Summary Page'!$C$4+1)</f>
        <v>50.111999999999995</v>
      </c>
      <c r="FO33" s="43">
        <f t="shared" si="15"/>
        <v>1</v>
      </c>
      <c r="FP33" s="7">
        <f>((AVERAGE(D28:D33)*('Summary Page'!$C$2+1))*('Summary Page'!$C$2+1))*('Summary Page'!$C$2+1)</f>
        <v>11.966869333333332</v>
      </c>
      <c r="FQ33" s="7">
        <f>((AVERAGE(D28:D33)*('Summary Page'!$C$3+1))*('Summary Page'!$C$3+1))*('Summary Page'!$C$3+1)</f>
        <v>14.973958333333336</v>
      </c>
      <c r="FR33" s="7">
        <f>((AVERAGE(D28:D33)*('Summary Page'!$C$4+1))*('Summary Page'!$C$4+1))*('Summary Page'!$C$4+1)</f>
        <v>13.247999999999999</v>
      </c>
      <c r="FU33" s="43">
        <f t="shared" si="16"/>
        <v>11</v>
      </c>
      <c r="FV33" s="7">
        <f>((AVERAGE(E28:E33)*('Summary Page'!$C$2+1))*('Summary Page'!$C$2+1))*('Summary Page'!$C$2+1)</f>
        <v>26.795381333333328</v>
      </c>
      <c r="FW33" s="7">
        <f>((AVERAGE(E28:E33)*('Summary Page'!$C$3+1))*('Summary Page'!$C$3+1))*('Summary Page'!$C$3+1)</f>
        <v>33.528645833333343</v>
      </c>
      <c r="FX33" s="7">
        <f>((AVERAGE(E28:E33)*('Summary Page'!$C$4+1))*('Summary Page'!$C$4+1))*('Summary Page'!$C$4+1)</f>
        <v>29.664000000000001</v>
      </c>
      <c r="GA33" s="43">
        <f t="shared" si="17"/>
        <v>36</v>
      </c>
      <c r="GB33" s="7">
        <f>((AVERAGE(F28:F33)*('Summary Page'!$C$2+1))*('Summary Page'!$C$2+1))*('Summary Page'!$C$2+1)</f>
        <v>117.84764799999999</v>
      </c>
      <c r="GC33" s="7">
        <f>((AVERAGE(F28:F33)*('Summary Page'!$C$3+1))*('Summary Page'!$C$3+1))*('Summary Page'!$C$3+1)</f>
        <v>147.4609375</v>
      </c>
      <c r="GD33" s="7">
        <f>((AVERAGE(F28:F33)*('Summary Page'!$C$4+1))*('Summary Page'!$C$4+1))*('Summary Page'!$C$4+1)</f>
        <v>130.46399999999997</v>
      </c>
      <c r="GG33" s="43">
        <f t="shared" si="18"/>
        <v>50</v>
      </c>
      <c r="GH33" s="7">
        <f>((AVERAGE(M28:M33)*('Summary Page'!$C$2+1))*('Summary Page'!$C$2+1))*('Summary Page'!$C$2+1)</f>
        <v>132.9363093333333</v>
      </c>
      <c r="GI33" s="7">
        <f>((AVERAGE(M28:M33)*('Summary Page'!$C$3+1))*('Summary Page'!$C$3+1))*('Summary Page'!$C$3+1)</f>
        <v>166.34114583333337</v>
      </c>
      <c r="GJ33" s="7">
        <f>((AVERAGE(M28:M33)*('Summary Page'!$C$4+1))*('Summary Page'!$C$4+1))*('Summary Page'!$C$4+1)</f>
        <v>147.16800000000001</v>
      </c>
      <c r="GM33" s="43">
        <f t="shared" si="19"/>
        <v>44</v>
      </c>
      <c r="GN33" s="7">
        <f>((AVERAGE(G28:G33)*('Summary Page'!$C$2+1))*('Summary Page'!$C$2+1))*('Summary Page'!$C$2+1)</f>
        <v>92.613162666666653</v>
      </c>
      <c r="GO33" s="7">
        <f>((AVERAGE(G28:G33)*('Summary Page'!$C$3+1))*('Summary Page'!$C$3+1))*('Summary Page'!$C$3+1)</f>
        <v>115.88541666666669</v>
      </c>
      <c r="GP33" s="7">
        <f>((AVERAGE(G28:G33)*('Summary Page'!$C$4+1))*('Summary Page'!$C$4+1))*('Summary Page'!$C$4+1)</f>
        <v>102.52799999999999</v>
      </c>
      <c r="GS33" s="43">
        <f t="shared" si="20"/>
        <v>36</v>
      </c>
      <c r="GT33" s="7">
        <f>((AVERAGE(H28:H33)*('Summary Page'!$C$2+1))*('Summary Page'!$C$2+1))*('Summary Page'!$C$2+1)</f>
        <v>49.688522666666657</v>
      </c>
      <c r="GU33" s="7">
        <f>((AVERAGE(H28:H33)*('Summary Page'!$C$3+1))*('Summary Page'!$C$3+1))*('Summary Page'!$C$3+1)</f>
        <v>62.174479166666657</v>
      </c>
      <c r="GV33" s="7">
        <f>((AVERAGE(H28:H33)*('Summary Page'!$C$4+1))*('Summary Page'!$C$4+1))*('Summary Page'!$C$4+1)</f>
        <v>55.007999999999996</v>
      </c>
      <c r="GY33" s="43">
        <f t="shared" si="21"/>
        <v>12</v>
      </c>
      <c r="GZ33" s="7">
        <f>((AVERAGE(J28:J33)*('Summary Page'!$C$2+1))*('Summary Page'!$C$2+1))*('Summary Page'!$C$2+1)</f>
        <v>8.8450773333333323</v>
      </c>
      <c r="HA33" s="7">
        <f>((AVERAGE(J28:J33)*('Summary Page'!$C$3+1))*('Summary Page'!$C$3+1))*('Summary Page'!$C$3+1)</f>
        <v>11.067708333333336</v>
      </c>
      <c r="HB33" s="7">
        <f>((AVERAGE(J28:J33)*('Summary Page'!$C$4+1))*('Summary Page'!$C$4+1))*('Summary Page'!$C$4+1)</f>
        <v>9.7919999999999998</v>
      </c>
      <c r="HE33" s="43">
        <f t="shared" si="22"/>
        <v>41</v>
      </c>
      <c r="HF33" s="7">
        <f>((AVERAGE(K28:K33)*('Summary Page'!$C$2+1))*('Summary Page'!$C$2+1))*('Summary Page'!$C$2+1)</f>
        <v>84.54853333333331</v>
      </c>
      <c r="HG33" s="7">
        <f>((AVERAGE(K28:K33)*('Summary Page'!$C$3+1))*('Summary Page'!$C$3+1))*('Summary Page'!$C$3+1)</f>
        <v>105.79427083333331</v>
      </c>
      <c r="HH33" s="7">
        <f>((AVERAGE(K28:K33)*('Summary Page'!$C$4+1))*('Summary Page'!$C$4+1))*('Summary Page'!$C$4+1)</f>
        <v>93.6</v>
      </c>
      <c r="HL33" s="7" t="e">
        <f>((AVERAGE(L28:L33)*('Summary Page'!$C$2+1))*('Summary Page'!$C$2+1))*('Summary Page'!$C$2+1)</f>
        <v>#DIV/0!</v>
      </c>
      <c r="HM33" s="7" t="e">
        <f>((AVERAGE(L28:L33)*('Summary Page'!$C$3+1))*('Summary Page'!$C$3+1))*('Summary Page'!$C$3+1)</f>
        <v>#DIV/0!</v>
      </c>
      <c r="HN33" s="7" t="e">
        <f>((AVERAGE(L28:L33)*('Summary Page'!$C$4+1))*('Summary Page'!$C$4+1))*('Summary Page'!$C$4+1)</f>
        <v>#DIV/0!</v>
      </c>
      <c r="HQ33" s="43">
        <f t="shared" si="23"/>
        <v>81</v>
      </c>
      <c r="HR33" s="7">
        <f>((AVERAGE(AL28:AL33)*('Summary Page'!$C$2+1))*('Summary Page'!$C$2+1))*('Summary Page'!$C$2+1)</f>
        <v>150.36631466666663</v>
      </c>
      <c r="HS33" s="7">
        <f>((AVERAGE(AL28:AL33)*('Summary Page'!$C$3+1))*('Summary Page'!$C$3+1))*('Summary Page'!$C$3+1)</f>
        <v>188.15104166666663</v>
      </c>
      <c r="HT33" s="7">
        <f>((AVERAGE(AL28:AL33)*('Summary Page'!$C$4+1))*('Summary Page'!$C$4+1))*('Summary Page'!$C$4+1)</f>
        <v>166.464</v>
      </c>
      <c r="HU33" s="7">
        <f t="shared" si="34"/>
        <v>100</v>
      </c>
      <c r="HV33" s="16">
        <f t="shared" si="32"/>
        <v>12.913857677902621</v>
      </c>
      <c r="HW33" s="16">
        <f t="shared" si="33"/>
        <v>11.325842696629213</v>
      </c>
      <c r="HX33" s="7">
        <f t="shared" si="31"/>
        <v>11.325842696629213</v>
      </c>
      <c r="HY33" s="7">
        <f>((AVERAGE(HV22:HV33,HX22:HX33)*('Summary Page'!$C$2+1))*('Summary Page'!$C$2+1))*('Summary Page'!$C$2+1)</f>
        <v>22.01331044194756</v>
      </c>
      <c r="HZ33" s="7">
        <f>((AVERAGE(HV22:HV33,HX22:HX33)*('Summary Page'!$C$3+1))*('Summary Page'!$C$3+1))*('Summary Page'!$C$3+1)</f>
        <v>27.544914559925093</v>
      </c>
      <c r="IA33" s="7">
        <f>((AVERAGE(HV22:HV33,HX22:HX33)*('Summary Page'!$C$4+1))*('Summary Page'!$C$4+1))*('Summary Page'!$C$4+1)</f>
        <v>24.36997752808988</v>
      </c>
      <c r="IB33" s="11">
        <f t="shared" si="35"/>
        <v>15.066167290886391</v>
      </c>
      <c r="IC33" s="11">
        <f t="shared" si="26"/>
        <v>13.213483146067414</v>
      </c>
      <c r="ID33" s="11">
        <f t="shared" si="27"/>
        <v>13.213483146067414</v>
      </c>
      <c r="IE33" s="11">
        <f t="shared" si="28"/>
        <v>25.682195515605486</v>
      </c>
      <c r="IF33" s="11">
        <f t="shared" si="29"/>
        <v>32.135733653245943</v>
      </c>
      <c r="IG33" s="11">
        <f t="shared" si="30"/>
        <v>28.431640449438191</v>
      </c>
    </row>
    <row r="34" spans="1:241" ht="15.75" x14ac:dyDescent="0.25">
      <c r="A34" s="10">
        <v>43927</v>
      </c>
      <c r="B34" s="10"/>
      <c r="C34" s="43">
        <v>63</v>
      </c>
      <c r="D34" s="43">
        <v>3</v>
      </c>
      <c r="E34" s="43">
        <v>20</v>
      </c>
      <c r="F34" s="43">
        <v>50</v>
      </c>
      <c r="G34" s="43">
        <v>45</v>
      </c>
      <c r="H34" s="43">
        <v>48</v>
      </c>
      <c r="I34" s="7">
        <f t="shared" si="1"/>
        <v>40.75</v>
      </c>
      <c r="J34" s="43">
        <v>16</v>
      </c>
      <c r="K34" s="43">
        <v>42</v>
      </c>
      <c r="M34" s="43">
        <v>78</v>
      </c>
      <c r="N34" s="10"/>
      <c r="O34" s="43">
        <v>39</v>
      </c>
      <c r="P34" s="43">
        <v>2</v>
      </c>
      <c r="Q34" s="43">
        <v>10</v>
      </c>
      <c r="R34" s="43">
        <v>67</v>
      </c>
      <c r="S34" s="43">
        <v>43</v>
      </c>
      <c r="T34" s="43">
        <v>44</v>
      </c>
      <c r="U34" s="7">
        <f t="shared" si="2"/>
        <v>41</v>
      </c>
      <c r="V34" s="43">
        <v>14</v>
      </c>
      <c r="W34" s="43">
        <v>73</v>
      </c>
      <c r="Y34" s="81">
        <v>71</v>
      </c>
      <c r="AG34" s="7" t="e">
        <f t="shared" si="3"/>
        <v>#DIV/0!</v>
      </c>
      <c r="AL34" s="43">
        <v>105</v>
      </c>
      <c r="AM34" s="43">
        <v>115</v>
      </c>
      <c r="AN34" s="43"/>
      <c r="AO34" s="43">
        <v>441</v>
      </c>
      <c r="AP34">
        <v>467</v>
      </c>
      <c r="EM34" s="13">
        <f t="shared" si="4"/>
        <v>43.625</v>
      </c>
      <c r="EN34" s="13">
        <f t="shared" si="9"/>
        <v>43.625</v>
      </c>
      <c r="EO34" s="13">
        <f t="shared" si="10"/>
        <v>43.625</v>
      </c>
      <c r="EP34" s="30">
        <f>((AVERAGE(EM29:EM34)*('Summary Page'!$C$2+1))*('Summary Page'!$C$2+1))*('Summary Page'!$C$2+1)</f>
        <v>68.744461333333319</v>
      </c>
      <c r="EQ34" s="7">
        <f>((AVERAGE(EM29:EM34)*('Summary Page'!$C$3+1))*('Summary Page'!$C$3+1))*('Summary Page'!$C$3+1)</f>
        <v>86.018880208333314</v>
      </c>
      <c r="ER34" s="7">
        <f>((AVERAGE(EM29:EM34)*('Summary Page'!$C$4+1))*('Summary Page'!$C$4+1))*('Summary Page'!$C$4+1)</f>
        <v>76.103999999999985</v>
      </c>
      <c r="ES34" s="7">
        <v>80</v>
      </c>
      <c r="ET34" s="13">
        <f t="shared" si="5"/>
        <v>40.75</v>
      </c>
      <c r="EU34" s="13">
        <f t="shared" si="11"/>
        <v>41</v>
      </c>
      <c r="EV34" s="13">
        <f t="shared" si="12"/>
        <v>41</v>
      </c>
      <c r="EW34" s="7">
        <f>((AVERAGE(ET29:ET34)*('Summary Page'!$C$2+1))*('Summary Page'!$C$2+1))*('Summary Page'!$C$2+1)</f>
        <v>68.809498666666656</v>
      </c>
      <c r="EX34" s="7">
        <f>((AVERAGE(ET29:ET34)*('Summary Page'!$C$3+1))*('Summary Page'!$C$3+1))*('Summary Page'!$C$3+1)</f>
        <v>86.100260416666686</v>
      </c>
      <c r="EY34" s="7">
        <f>((AVERAGE(ET29:ET34)*('Summary Page'!$C$4+1))*('Summary Page'!$C$4+1))*('Summary Page'!$C$4+1)</f>
        <v>76.175999999999988</v>
      </c>
      <c r="EZ34" s="13">
        <f t="shared" si="6"/>
        <v>60</v>
      </c>
      <c r="FA34" s="13">
        <f t="shared" si="13"/>
        <v>72</v>
      </c>
      <c r="FB34" s="13">
        <f t="shared" si="14"/>
        <v>72</v>
      </c>
      <c r="FC34" s="7">
        <f>((AVERAGE(EZ29:EZ34)*('Summary Page'!$C$2+1))*('Summary Page'!$C$2+1))*('Summary Page'!$C$2+1)</f>
        <v>104.84018133333332</v>
      </c>
      <c r="FD34" s="7">
        <f>((AVERAGE(EZ29:EZ34)*('Summary Page'!$C$3+1))*('Summary Page'!$C$3+1))*('Summary Page'!$C$3+1)</f>
        <v>131.18489583333337</v>
      </c>
      <c r="FE34" s="7">
        <f>((AVERAGE(EZ29:EZ34)*('Summary Page'!$C$4+1))*('Summary Page'!$C$4+1))*('Summary Page'!$C$4+1)</f>
        <v>116.06400000000001</v>
      </c>
      <c r="FF34" s="13">
        <f t="shared" si="7"/>
        <v>38.475000000000001</v>
      </c>
      <c r="FI34" s="43">
        <f t="shared" si="8"/>
        <v>39</v>
      </c>
      <c r="FJ34" s="7">
        <f>((AVERAGE(C29:C34)*('Summary Page'!$C$2+1))*('Summary Page'!$C$2+1))*('Summary Page'!$C$2+1)</f>
        <v>53.850911999999987</v>
      </c>
      <c r="FK34" s="7">
        <f>((AVERAGE(C29:C34)*('Summary Page'!$C$3+1))*('Summary Page'!$C$3+1))*('Summary Page'!$C$3+1)</f>
        <v>67.3828125</v>
      </c>
      <c r="FL34" s="7">
        <f>((AVERAGE(C29:C34)*('Summary Page'!$C$4+1))*('Summary Page'!$C$4+1))*('Summary Page'!$C$4+1)</f>
        <v>59.616</v>
      </c>
      <c r="FO34" s="43">
        <f t="shared" si="15"/>
        <v>2</v>
      </c>
      <c r="FP34" s="7">
        <f>((AVERAGE(D29:D34)*('Summary Page'!$C$2+1))*('Summary Page'!$C$2+1))*('Summary Page'!$C$2+1)</f>
        <v>11.18642133333333</v>
      </c>
      <c r="FQ34" s="7">
        <f>((AVERAGE(D29:D34)*('Summary Page'!$C$3+1))*('Summary Page'!$C$3+1))*('Summary Page'!$C$3+1)</f>
        <v>13.997395833333336</v>
      </c>
      <c r="FR34" s="7">
        <f>((AVERAGE(D29:D34)*('Summary Page'!$C$4+1))*('Summary Page'!$C$4+1))*('Summary Page'!$C$4+1)</f>
        <v>12.383999999999999</v>
      </c>
      <c r="FU34" s="43">
        <f t="shared" si="16"/>
        <v>10</v>
      </c>
      <c r="FV34" s="7">
        <f>((AVERAGE(E29:E34)*('Summary Page'!$C$2+1))*('Summary Page'!$C$2+1))*('Summary Page'!$C$2+1)</f>
        <v>25.494634666666659</v>
      </c>
      <c r="FW34" s="7">
        <f>((AVERAGE(E29:E34)*('Summary Page'!$C$3+1))*('Summary Page'!$C$3+1))*('Summary Page'!$C$3+1)</f>
        <v>31.901041666666661</v>
      </c>
      <c r="FX34" s="7">
        <f>((AVERAGE(E29:E34)*('Summary Page'!$C$4+1))*('Summary Page'!$C$4+1))*('Summary Page'!$C$4+1)</f>
        <v>28.223999999999993</v>
      </c>
      <c r="GA34" s="43">
        <f t="shared" si="17"/>
        <v>67</v>
      </c>
      <c r="GB34" s="7">
        <f>((AVERAGE(F29:F34)*('Summary Page'!$C$2+1))*('Summary Page'!$C$2+1))*('Summary Page'!$C$2+1)</f>
        <v>106.40107733333332</v>
      </c>
      <c r="GC34" s="7">
        <f>((AVERAGE(F29:F34)*('Summary Page'!$C$3+1))*('Summary Page'!$C$3+1))*('Summary Page'!$C$3+1)</f>
        <v>133.13802083333337</v>
      </c>
      <c r="GD34" s="7">
        <f>((AVERAGE(F29:F34)*('Summary Page'!$C$4+1))*('Summary Page'!$C$4+1))*('Summary Page'!$C$4+1)</f>
        <v>117.79199999999999</v>
      </c>
      <c r="GG34" s="43">
        <f t="shared" si="18"/>
        <v>71</v>
      </c>
      <c r="GH34" s="7">
        <f>((AVERAGE(M29:M34)*('Summary Page'!$C$2+1))*('Summary Page'!$C$2+1))*('Summary Page'!$C$2+1)</f>
        <v>129.03406933333332</v>
      </c>
      <c r="GI34" s="7">
        <f>((AVERAGE(M29:M34)*('Summary Page'!$C$3+1))*('Summary Page'!$C$3+1))*('Summary Page'!$C$3+1)</f>
        <v>161.45833333333337</v>
      </c>
      <c r="GJ34" s="7">
        <f>((AVERAGE(M29:M34)*('Summary Page'!$C$4+1))*('Summary Page'!$C$4+1))*('Summary Page'!$C$4+1)</f>
        <v>142.84799999999998</v>
      </c>
      <c r="GM34" s="43">
        <f t="shared" si="19"/>
        <v>43</v>
      </c>
      <c r="GN34" s="7">
        <f>((AVERAGE(G29:G34)*('Summary Page'!$C$2+1))*('Summary Page'!$C$2+1))*('Summary Page'!$C$2+1)</f>
        <v>89.49137066666664</v>
      </c>
      <c r="GO34" s="7">
        <f>((AVERAGE(G29:G34)*('Summary Page'!$C$3+1))*('Summary Page'!$C$3+1))*('Summary Page'!$C$3+1)</f>
        <v>111.97916666666669</v>
      </c>
      <c r="GP34" s="7">
        <f>((AVERAGE(G29:G34)*('Summary Page'!$C$4+1))*('Summary Page'!$C$4+1))*('Summary Page'!$C$4+1)</f>
        <v>99.071999999999989</v>
      </c>
      <c r="GS34" s="43">
        <f t="shared" si="20"/>
        <v>44</v>
      </c>
      <c r="GT34" s="7">
        <f>((AVERAGE(H29:H34)*('Summary Page'!$C$2+1))*('Summary Page'!$C$2+1))*('Summary Page'!$C$2+1)</f>
        <v>53.850911999999987</v>
      </c>
      <c r="GU34" s="7">
        <f>((AVERAGE(H29:H34)*('Summary Page'!$C$3+1))*('Summary Page'!$C$3+1))*('Summary Page'!$C$3+1)</f>
        <v>67.3828125</v>
      </c>
      <c r="GV34" s="7">
        <f>((AVERAGE(H29:H34)*('Summary Page'!$C$4+1))*('Summary Page'!$C$4+1))*('Summary Page'!$C$4+1)</f>
        <v>59.616</v>
      </c>
      <c r="GY34" s="43">
        <f t="shared" si="21"/>
        <v>14</v>
      </c>
      <c r="GZ34" s="7">
        <f>((AVERAGE(J29:J34)*('Summary Page'!$C$2+1))*('Summary Page'!$C$2+1))*('Summary Page'!$C$2+1)</f>
        <v>11.966869333333332</v>
      </c>
      <c r="HA34" s="7">
        <f>((AVERAGE(J29:J34)*('Summary Page'!$C$3+1))*('Summary Page'!$C$3+1))*('Summary Page'!$C$3+1)</f>
        <v>14.973958333333336</v>
      </c>
      <c r="HB34" s="7">
        <f>((AVERAGE(J29:J34)*('Summary Page'!$C$4+1))*('Summary Page'!$C$4+1))*('Summary Page'!$C$4+1)</f>
        <v>13.247999999999999</v>
      </c>
      <c r="HE34" s="43">
        <f t="shared" si="22"/>
        <v>73</v>
      </c>
      <c r="HF34" s="7">
        <f>((AVERAGE(K29:K34)*('Summary Page'!$C$2+1))*('Summary Page'!$C$2+1))*('Summary Page'!$C$2+1)</f>
        <v>80.646293333333304</v>
      </c>
      <c r="HG34" s="7">
        <f>((AVERAGE(K29:K34)*('Summary Page'!$C$3+1))*('Summary Page'!$C$3+1))*('Summary Page'!$C$3+1)</f>
        <v>100.91145833333331</v>
      </c>
      <c r="HH34" s="7">
        <f>((AVERAGE(K29:K34)*('Summary Page'!$C$4+1))*('Summary Page'!$C$4+1))*('Summary Page'!$C$4+1)</f>
        <v>89.279999999999987</v>
      </c>
      <c r="HL34" s="7" t="e">
        <f>((AVERAGE(L29:L34)*('Summary Page'!$C$2+1))*('Summary Page'!$C$2+1))*('Summary Page'!$C$2+1)</f>
        <v>#DIV/0!</v>
      </c>
      <c r="HM34" s="7" t="e">
        <f>((AVERAGE(L29:L34)*('Summary Page'!$C$3+1))*('Summary Page'!$C$3+1))*('Summary Page'!$C$3+1)</f>
        <v>#DIV/0!</v>
      </c>
      <c r="HN34" s="7" t="e">
        <f>((AVERAGE(L29:L34)*('Summary Page'!$C$4+1))*('Summary Page'!$C$4+1))*('Summary Page'!$C$4+1)</f>
        <v>#DIV/0!</v>
      </c>
      <c r="HQ34" s="43">
        <f t="shared" si="23"/>
        <v>115</v>
      </c>
      <c r="HR34" s="7">
        <f>((AVERAGE(AL29:AL34)*('Summary Page'!$C$2+1))*('Summary Page'!$C$2+1))*('Summary Page'!$C$2+1)</f>
        <v>151.66706133333329</v>
      </c>
      <c r="HS34" s="7">
        <f>((AVERAGE(AL29:AL34)*('Summary Page'!$C$3+1))*('Summary Page'!$C$3+1))*('Summary Page'!$C$3+1)</f>
        <v>189.77864583333337</v>
      </c>
      <c r="HT34" s="7">
        <f>((AVERAGE(AL29:AL34)*('Summary Page'!$C$4+1))*('Summary Page'!$C$4+1))*('Summary Page'!$C$4+1)</f>
        <v>167.90399999999997</v>
      </c>
      <c r="HU34" s="7">
        <f t="shared" si="34"/>
        <v>100</v>
      </c>
      <c r="HV34" s="16">
        <f t="shared" si="32"/>
        <v>13.213483146067414</v>
      </c>
      <c r="HW34" s="16">
        <f t="shared" si="33"/>
        <v>13.992509363295881</v>
      </c>
      <c r="HX34" s="7">
        <f t="shared" si="31"/>
        <v>13.992509363295881</v>
      </c>
      <c r="HY34" s="7">
        <f>((AVERAGE(HV23:HV34,HX23:HX34)*('Summary Page'!$C$2+1))*('Summary Page'!$C$2+1))*('Summary Page'!$C$2+1)</f>
        <v>21.926593997503115</v>
      </c>
      <c r="HZ34" s="7">
        <f>((AVERAGE(HV23:HV34,HX23:HX34)*('Summary Page'!$C$3+1))*('Summary Page'!$C$3+1))*('Summary Page'!$C$3+1)</f>
        <v>27.43640761548065</v>
      </c>
      <c r="IA34" s="7">
        <f>((AVERAGE(HV23:HV34,HX23:HX34)*('Summary Page'!$C$4+1))*('Summary Page'!$C$4+1))*('Summary Page'!$C$4+1)</f>
        <v>24.273977528089883</v>
      </c>
      <c r="IB34" s="11">
        <f t="shared" si="35"/>
        <v>15.415730337078649</v>
      </c>
      <c r="IC34" s="11">
        <f t="shared" si="26"/>
        <v>16.324594257178529</v>
      </c>
      <c r="ID34" s="11">
        <f t="shared" si="27"/>
        <v>16.324594257178529</v>
      </c>
      <c r="IE34" s="11">
        <f t="shared" si="28"/>
        <v>25.5810263304203</v>
      </c>
      <c r="IF34" s="11">
        <f t="shared" si="29"/>
        <v>32.009142218060759</v>
      </c>
      <c r="IG34" s="11">
        <f t="shared" si="30"/>
        <v>28.319640449438197</v>
      </c>
    </row>
    <row r="35" spans="1:241" ht="15.75" x14ac:dyDescent="0.25">
      <c r="A35" s="10">
        <v>43955</v>
      </c>
      <c r="B35" s="10"/>
      <c r="C35" s="43">
        <v>80</v>
      </c>
      <c r="D35" s="43">
        <v>4</v>
      </c>
      <c r="E35" s="43">
        <v>20</v>
      </c>
      <c r="F35" s="43">
        <v>67</v>
      </c>
      <c r="G35" s="43">
        <v>60</v>
      </c>
      <c r="H35" s="43">
        <v>46</v>
      </c>
      <c r="I35" s="7">
        <f t="shared" si="1"/>
        <v>48.25</v>
      </c>
      <c r="J35" s="43">
        <v>16</v>
      </c>
      <c r="K35" s="43">
        <v>63</v>
      </c>
      <c r="M35" s="43">
        <v>79</v>
      </c>
      <c r="N35" s="10"/>
      <c r="O35" s="43">
        <v>45</v>
      </c>
      <c r="P35" s="43">
        <v>2</v>
      </c>
      <c r="Q35" s="43">
        <v>13</v>
      </c>
      <c r="R35" s="43">
        <v>67</v>
      </c>
      <c r="S35" s="43">
        <v>46</v>
      </c>
      <c r="T35" s="43">
        <v>63</v>
      </c>
      <c r="U35" s="7">
        <f t="shared" si="2"/>
        <v>47.25</v>
      </c>
      <c r="V35" s="43">
        <v>23</v>
      </c>
      <c r="W35" s="43">
        <v>64</v>
      </c>
      <c r="Y35" s="81">
        <v>74</v>
      </c>
      <c r="AG35" s="7" t="e">
        <f t="shared" si="3"/>
        <v>#DIV/0!</v>
      </c>
      <c r="AL35" s="43">
        <v>122</v>
      </c>
      <c r="AM35" s="43">
        <v>115</v>
      </c>
      <c r="AN35" s="43"/>
      <c r="AO35" s="43">
        <v>493.5</v>
      </c>
      <c r="AP35">
        <v>493</v>
      </c>
      <c r="EM35" s="13">
        <f t="shared" si="4"/>
        <v>52.375</v>
      </c>
      <c r="EN35" s="13">
        <f t="shared" si="9"/>
        <v>46.75</v>
      </c>
      <c r="EO35" s="13">
        <f t="shared" si="10"/>
        <v>46.75</v>
      </c>
      <c r="EP35" s="30">
        <f>((AVERAGE(EM30:EM35)*('Summary Page'!$C$2+1))*('Summary Page'!$C$2+1))*('Summary Page'!$C$2+1)</f>
        <v>70.890693333333317</v>
      </c>
      <c r="EQ35" s="7">
        <f>((AVERAGE(EM30:EM35)*('Summary Page'!$C$3+1))*('Summary Page'!$C$3+1))*('Summary Page'!$C$3+1)</f>
        <v>88.704427083333314</v>
      </c>
      <c r="ER35" s="7">
        <f>((AVERAGE(EM30:EM35)*('Summary Page'!$C$4+1))*('Summary Page'!$C$4+1))*('Summary Page'!$C$4+1)</f>
        <v>78.47999999999999</v>
      </c>
      <c r="ES35" s="7">
        <v>80</v>
      </c>
      <c r="ET35" s="13">
        <f t="shared" si="5"/>
        <v>48.25</v>
      </c>
      <c r="EU35" s="13">
        <f t="shared" si="11"/>
        <v>47.25</v>
      </c>
      <c r="EV35" s="13">
        <f t="shared" si="12"/>
        <v>47.25</v>
      </c>
      <c r="EW35" s="7">
        <f>((AVERAGE(ET30:ET35)*('Summary Page'!$C$2+1))*('Summary Page'!$C$2+1))*('Summary Page'!$C$2+1)</f>
        <v>68.874535999999992</v>
      </c>
      <c r="EX35" s="7">
        <f>((AVERAGE(ET30:ET35)*('Summary Page'!$C$3+1))*('Summary Page'!$C$3+1))*('Summary Page'!$C$3+1)</f>
        <v>86.181640625</v>
      </c>
      <c r="EY35" s="7">
        <f>((AVERAGE(ET30:ET35)*('Summary Page'!$C$4+1))*('Summary Page'!$C$4+1))*('Summary Page'!$C$4+1)</f>
        <v>76.24799999999999</v>
      </c>
      <c r="EZ35" s="13">
        <f t="shared" si="6"/>
        <v>71</v>
      </c>
      <c r="FA35" s="13">
        <f t="shared" si="13"/>
        <v>69</v>
      </c>
      <c r="FB35" s="13">
        <f t="shared" si="14"/>
        <v>69</v>
      </c>
      <c r="FC35" s="7">
        <f>((AVERAGE(EZ30:EZ35)*('Summary Page'!$C$2+1))*('Summary Page'!$C$2+1))*('Summary Page'!$C$2+1)</f>
        <v>105.10033066666664</v>
      </c>
      <c r="FD35" s="7">
        <f>((AVERAGE(EZ30:EZ35)*('Summary Page'!$C$3+1))*('Summary Page'!$C$3+1))*('Summary Page'!$C$3+1)</f>
        <v>131.51041666666663</v>
      </c>
      <c r="FE35" s="7">
        <f>((AVERAGE(EZ30:EZ35)*('Summary Page'!$C$4+1))*('Summary Page'!$C$4+1))*('Summary Page'!$C$4+1)</f>
        <v>116.35199999999999</v>
      </c>
      <c r="FF35" s="13">
        <f t="shared" si="7"/>
        <v>46.625</v>
      </c>
      <c r="FI35" s="43">
        <f t="shared" si="8"/>
        <v>45</v>
      </c>
      <c r="FJ35" s="7">
        <f>((AVERAGE(C30:C35)*('Summary Page'!$C$2+1))*('Summary Page'!$C$2+1))*('Summary Page'!$C$2+1)</f>
        <v>70.240319999999983</v>
      </c>
      <c r="FK35" s="7">
        <f>((AVERAGE(C30:C35)*('Summary Page'!$C$3+1))*('Summary Page'!$C$3+1))*('Summary Page'!$C$3+1)</f>
        <v>87.890625</v>
      </c>
      <c r="FL35" s="7">
        <f>((AVERAGE(C30:C35)*('Summary Page'!$C$4+1))*('Summary Page'!$C$4+1))*('Summary Page'!$C$4+1)</f>
        <v>77.759999999999991</v>
      </c>
      <c r="FO35" s="43">
        <f t="shared" si="15"/>
        <v>2</v>
      </c>
      <c r="FP35" s="7">
        <f>((AVERAGE(D30:D35)*('Summary Page'!$C$2+1))*('Summary Page'!$C$2+1))*('Summary Page'!$C$2+1)</f>
        <v>11.18642133333333</v>
      </c>
      <c r="FQ35" s="7">
        <f>((AVERAGE(D30:D35)*('Summary Page'!$C$3+1))*('Summary Page'!$C$3+1))*('Summary Page'!$C$3+1)</f>
        <v>13.997395833333336</v>
      </c>
      <c r="FR35" s="7">
        <f>((AVERAGE(D30:D35)*('Summary Page'!$C$4+1))*('Summary Page'!$C$4+1))*('Summary Page'!$C$4+1)</f>
        <v>12.383999999999999</v>
      </c>
      <c r="FU35" s="43">
        <f t="shared" si="16"/>
        <v>13</v>
      </c>
      <c r="FV35" s="7">
        <f>((AVERAGE(E30:E35)*('Summary Page'!$C$2+1))*('Summary Page'!$C$2+1))*('Summary Page'!$C$2+1)</f>
        <v>28.356277333333331</v>
      </c>
      <c r="FW35" s="7">
        <f>((AVERAGE(E30:E35)*('Summary Page'!$C$3+1))*('Summary Page'!$C$3+1))*('Summary Page'!$C$3+1)</f>
        <v>35.481770833333343</v>
      </c>
      <c r="FX35" s="7">
        <f>((AVERAGE(E30:E35)*('Summary Page'!$C$4+1))*('Summary Page'!$C$4+1))*('Summary Page'!$C$4+1)</f>
        <v>31.391999999999999</v>
      </c>
      <c r="GA35" s="43">
        <f t="shared" si="17"/>
        <v>67</v>
      </c>
      <c r="GB35" s="7">
        <f>((AVERAGE(F30:F35)*('Summary Page'!$C$2+1))*('Summary Page'!$C$2+1))*('Summary Page'!$C$2+1)</f>
        <v>99.89734399999999</v>
      </c>
      <c r="GC35" s="7">
        <f>((AVERAGE(F30:F35)*('Summary Page'!$C$3+1))*('Summary Page'!$C$3+1))*('Summary Page'!$C$3+1)</f>
        <v>125</v>
      </c>
      <c r="GD35" s="7">
        <f>((AVERAGE(F30:F35)*('Summary Page'!$C$4+1))*('Summary Page'!$C$4+1))*('Summary Page'!$C$4+1)</f>
        <v>110.592</v>
      </c>
      <c r="GG35" s="43">
        <f t="shared" si="18"/>
        <v>74</v>
      </c>
      <c r="GH35" s="7">
        <f>((AVERAGE(M30:M35)*('Summary Page'!$C$2+1))*('Summary Page'!$C$2+1))*('Summary Page'!$C$2+1)</f>
        <v>125.39197866666663</v>
      </c>
      <c r="GI35" s="7">
        <f>((AVERAGE(M30:M35)*('Summary Page'!$C$3+1))*('Summary Page'!$C$3+1))*('Summary Page'!$C$3+1)</f>
        <v>156.90104166666663</v>
      </c>
      <c r="GJ35" s="7">
        <f>((AVERAGE(M30:M35)*('Summary Page'!$C$4+1))*('Summary Page'!$C$4+1))*('Summary Page'!$C$4+1)</f>
        <v>138.81599999999997</v>
      </c>
      <c r="GM35" s="43">
        <f t="shared" si="19"/>
        <v>46</v>
      </c>
      <c r="GN35" s="7">
        <f>((AVERAGE(G30:G35)*('Summary Page'!$C$2+1))*('Summary Page'!$C$2+1))*('Summary Page'!$C$2+1)</f>
        <v>88.710922666666647</v>
      </c>
      <c r="GO35" s="7">
        <f>((AVERAGE(G30:G35)*('Summary Page'!$C$3+1))*('Summary Page'!$C$3+1))*('Summary Page'!$C$3+1)</f>
        <v>111.00260416666669</v>
      </c>
      <c r="GP35" s="7">
        <f>((AVERAGE(G30:G35)*('Summary Page'!$C$4+1))*('Summary Page'!$C$4+1))*('Summary Page'!$C$4+1)</f>
        <v>98.207999999999998</v>
      </c>
      <c r="GS35" s="43">
        <f t="shared" si="20"/>
        <v>63</v>
      </c>
      <c r="GT35" s="7">
        <f>((AVERAGE(H30:H35)*('Summary Page'!$C$2+1))*('Summary Page'!$C$2+1))*('Summary Page'!$C$2+1)</f>
        <v>58.533599999999986</v>
      </c>
      <c r="GU35" s="7">
        <f>((AVERAGE(H30:H35)*('Summary Page'!$C$3+1))*('Summary Page'!$C$3+1))*('Summary Page'!$C$3+1)</f>
        <v>73.2421875</v>
      </c>
      <c r="GV35" s="7">
        <f>((AVERAGE(H30:H35)*('Summary Page'!$C$4+1))*('Summary Page'!$C$4+1))*('Summary Page'!$C$4+1)</f>
        <v>64.8</v>
      </c>
      <c r="GY35" s="43">
        <f t="shared" si="21"/>
        <v>23</v>
      </c>
      <c r="GZ35" s="7">
        <f>((AVERAGE(J30:J35)*('Summary Page'!$C$2+1))*('Summary Page'!$C$2+1))*('Summary Page'!$C$2+1)</f>
        <v>15.348810666666665</v>
      </c>
      <c r="HA35" s="7">
        <f>((AVERAGE(J30:J35)*('Summary Page'!$C$3+1))*('Summary Page'!$C$3+1))*('Summary Page'!$C$3+1)</f>
        <v>19.205729166666671</v>
      </c>
      <c r="HB35" s="7">
        <f>((AVERAGE(J30:J35)*('Summary Page'!$C$4+1))*('Summary Page'!$C$4+1))*('Summary Page'!$C$4+1)</f>
        <v>16.992000000000001</v>
      </c>
      <c r="HE35" s="43">
        <f t="shared" si="22"/>
        <v>64</v>
      </c>
      <c r="HF35" s="7">
        <f>((AVERAGE(K30:K35)*('Summary Page'!$C$2+1))*('Summary Page'!$C$2+1))*('Summary Page'!$C$2+1)</f>
        <v>84.808682666666641</v>
      </c>
      <c r="HG35" s="7">
        <f>((AVERAGE(K30:K35)*('Summary Page'!$C$3+1))*('Summary Page'!$C$3+1))*('Summary Page'!$C$3+1)</f>
        <v>106.11979166666669</v>
      </c>
      <c r="HH35" s="7">
        <f>((AVERAGE(K30:K35)*('Summary Page'!$C$4+1))*('Summary Page'!$C$4+1))*('Summary Page'!$C$4+1)</f>
        <v>93.887999999999991</v>
      </c>
      <c r="HL35" s="7" t="e">
        <f>((AVERAGE(L30:L35)*('Summary Page'!$C$2+1))*('Summary Page'!$C$2+1))*('Summary Page'!$C$2+1)</f>
        <v>#DIV/0!</v>
      </c>
      <c r="HM35" s="7" t="e">
        <f>((AVERAGE(L30:L35)*('Summary Page'!$C$3+1))*('Summary Page'!$C$3+1))*('Summary Page'!$C$3+1)</f>
        <v>#DIV/0!</v>
      </c>
      <c r="HN35" s="7" t="e">
        <f>((AVERAGE(L30:L35)*('Summary Page'!$C$4+1))*('Summary Page'!$C$4+1))*('Summary Page'!$C$4+1)</f>
        <v>#DIV/0!</v>
      </c>
      <c r="HQ35" s="43">
        <f t="shared" si="23"/>
        <v>115</v>
      </c>
      <c r="HR35" s="7">
        <f>((AVERAGE(AL30:AL35)*('Summary Page'!$C$2+1))*('Summary Page'!$C$2+1))*('Summary Page'!$C$2+1)</f>
        <v>159.73169066666662</v>
      </c>
      <c r="HS35" s="7">
        <f>((AVERAGE(AL30:AL35)*('Summary Page'!$C$3+1))*('Summary Page'!$C$3+1))*('Summary Page'!$C$3+1)</f>
        <v>199.86979166666663</v>
      </c>
      <c r="HT35" s="7">
        <f>((AVERAGE(AL30:AL35)*('Summary Page'!$C$4+1))*('Summary Page'!$C$4+1))*('Summary Page'!$C$4+1)</f>
        <v>176.83199999999997</v>
      </c>
      <c r="HU35" s="7">
        <f t="shared" si="34"/>
        <v>100</v>
      </c>
      <c r="HV35" s="16">
        <f t="shared" si="32"/>
        <v>14.786516853932582</v>
      </c>
      <c r="HW35" s="16">
        <f t="shared" si="33"/>
        <v>14.771535580524343</v>
      </c>
      <c r="HX35" s="7">
        <f t="shared" si="31"/>
        <v>14.771535580524343</v>
      </c>
      <c r="HY35" s="7">
        <f>((AVERAGE(HV24:HV35,HX24:HX35)*('Summary Page'!$C$2+1))*('Summary Page'!$C$2+1))*('Summary Page'!$C$2+1)</f>
        <v>22.040786888389512</v>
      </c>
      <c r="HZ35" s="7">
        <f>((AVERAGE(HV24:HV35,HX24:HX35)*('Summary Page'!$C$3+1))*('Summary Page'!$C$3+1))*('Summary Page'!$C$3+1)</f>
        <v>27.579295411985022</v>
      </c>
      <c r="IA35" s="7">
        <f>((AVERAGE(HV24:HV35,HX24:HX35)*('Summary Page'!$C$4+1))*('Summary Page'!$C$4+1))*('Summary Page'!$C$4+1)</f>
        <v>24.400395505617976</v>
      </c>
      <c r="IB35" s="11">
        <f t="shared" si="35"/>
        <v>17.250936329588011</v>
      </c>
      <c r="IC35" s="11">
        <f t="shared" si="26"/>
        <v>17.233458177278401</v>
      </c>
      <c r="ID35" s="11">
        <f t="shared" si="27"/>
        <v>17.233458177278401</v>
      </c>
      <c r="IE35" s="11">
        <f t="shared" si="28"/>
        <v>25.714251369787764</v>
      </c>
      <c r="IF35" s="11">
        <f t="shared" si="29"/>
        <v>32.175844647315856</v>
      </c>
      <c r="IG35" s="11">
        <f t="shared" si="30"/>
        <v>28.467128089887638</v>
      </c>
    </row>
    <row r="36" spans="1:241" ht="15.75" x14ac:dyDescent="0.25">
      <c r="A36" s="10">
        <v>43984</v>
      </c>
      <c r="B36" s="10"/>
      <c r="C36" s="43">
        <v>93</v>
      </c>
      <c r="D36" s="43">
        <v>1</v>
      </c>
      <c r="E36" s="43">
        <v>19</v>
      </c>
      <c r="F36" s="43">
        <v>63</v>
      </c>
      <c r="G36" s="43">
        <v>63</v>
      </c>
      <c r="H36" s="43">
        <v>55</v>
      </c>
      <c r="I36" s="7">
        <f t="shared" si="1"/>
        <v>50</v>
      </c>
      <c r="J36" s="43">
        <v>24</v>
      </c>
      <c r="K36" s="43">
        <v>66</v>
      </c>
      <c r="M36" s="43">
        <v>77</v>
      </c>
      <c r="N36" s="10"/>
      <c r="O36" s="43">
        <v>52</v>
      </c>
      <c r="P36" s="43">
        <v>1</v>
      </c>
      <c r="Q36" s="43">
        <v>13</v>
      </c>
      <c r="R36" s="43">
        <v>56</v>
      </c>
      <c r="S36" s="43">
        <v>41</v>
      </c>
      <c r="T36" s="43">
        <v>37</v>
      </c>
      <c r="U36" s="7">
        <f t="shared" si="2"/>
        <v>36.75</v>
      </c>
      <c r="V36" s="43">
        <v>11</v>
      </c>
      <c r="W36" s="43">
        <v>54</v>
      </c>
      <c r="Y36" s="81">
        <v>59</v>
      </c>
      <c r="AG36" s="7" t="e">
        <f t="shared" si="3"/>
        <v>#DIV/0!</v>
      </c>
      <c r="AL36" s="43">
        <v>105</v>
      </c>
      <c r="AM36" s="43">
        <v>79</v>
      </c>
      <c r="AN36" s="43"/>
      <c r="AO36" s="43">
        <v>625</v>
      </c>
      <c r="AP36">
        <v>624</v>
      </c>
      <c r="EM36" s="13">
        <f t="shared" si="4"/>
        <v>54.625</v>
      </c>
      <c r="EN36" s="13">
        <f t="shared" si="9"/>
        <v>39.125</v>
      </c>
      <c r="EO36" s="13">
        <f t="shared" si="10"/>
        <v>39.125</v>
      </c>
      <c r="EP36" s="30">
        <f>((AVERAGE(EM31:EM36)*('Summary Page'!$C$2+1))*('Summary Page'!$C$2+1))*('Summary Page'!$C$2+1)</f>
        <v>71.931290666666655</v>
      </c>
      <c r="EQ36" s="7">
        <f>((AVERAGE(EM31:EM36)*('Summary Page'!$C$3+1))*('Summary Page'!$C$3+1))*('Summary Page'!$C$3+1)</f>
        <v>90.006510416666686</v>
      </c>
      <c r="ER36" s="7">
        <f>((AVERAGE(EM31:EM36)*('Summary Page'!$C$4+1))*('Summary Page'!$C$4+1))*('Summary Page'!$C$4+1)</f>
        <v>79.631999999999991</v>
      </c>
      <c r="ES36" s="7">
        <v>80</v>
      </c>
      <c r="ET36" s="13">
        <f t="shared" si="5"/>
        <v>50</v>
      </c>
      <c r="EU36" s="13">
        <f t="shared" si="11"/>
        <v>36.75</v>
      </c>
      <c r="EV36" s="13">
        <f t="shared" si="12"/>
        <v>36.75</v>
      </c>
      <c r="EW36" s="7">
        <f>((AVERAGE(ET31:ET36)*('Summary Page'!$C$2+1))*('Summary Page'!$C$2+1))*('Summary Page'!$C$2+1)</f>
        <v>68.419274666666652</v>
      </c>
      <c r="EX36" s="7">
        <f>((AVERAGE(ET31:ET36)*('Summary Page'!$C$3+1))*('Summary Page'!$C$3+1))*('Summary Page'!$C$3+1)</f>
        <v>85.611979166666686</v>
      </c>
      <c r="EY36" s="7">
        <f>((AVERAGE(ET31:ET36)*('Summary Page'!$C$4+1))*('Summary Page'!$C$4+1))*('Summary Page'!$C$4+1)</f>
        <v>75.744</v>
      </c>
      <c r="EZ36" s="13">
        <f t="shared" si="6"/>
        <v>71.5</v>
      </c>
      <c r="FA36" s="13">
        <f t="shared" si="13"/>
        <v>56.5</v>
      </c>
      <c r="FB36" s="13">
        <f t="shared" si="14"/>
        <v>56.5</v>
      </c>
      <c r="FC36" s="7">
        <f>((AVERAGE(EZ31:EZ36)*('Summary Page'!$C$2+1))*('Summary Page'!$C$2+1))*('Summary Page'!$C$2+1)</f>
        <v>105.23040533333331</v>
      </c>
      <c r="FD36" s="7">
        <f>((AVERAGE(EZ31:EZ36)*('Summary Page'!$C$3+1))*('Summary Page'!$C$3+1))*('Summary Page'!$C$3+1)</f>
        <v>131.67317708333337</v>
      </c>
      <c r="FE36" s="7">
        <f>((AVERAGE(EZ31:EZ36)*('Summary Page'!$C$4+1))*('Summary Page'!$C$4+1))*('Summary Page'!$C$4+1)</f>
        <v>116.496</v>
      </c>
      <c r="FF36" s="13">
        <f t="shared" si="7"/>
        <v>48.4</v>
      </c>
      <c r="FI36" s="43">
        <f t="shared" si="8"/>
        <v>52</v>
      </c>
      <c r="FJ36" s="7">
        <f>((AVERAGE(C31:C36)*('Summary Page'!$C$2+1))*('Summary Page'!$C$2+1))*('Summary Page'!$C$2+1)</f>
        <v>82.207189333333318</v>
      </c>
      <c r="FK36" s="7">
        <f>((AVERAGE(C31:C36)*('Summary Page'!$C$3+1))*('Summary Page'!$C$3+1))*('Summary Page'!$C$3+1)</f>
        <v>102.86458333333331</v>
      </c>
      <c r="FL36" s="7">
        <f>((AVERAGE(C31:C36)*('Summary Page'!$C$4+1))*('Summary Page'!$C$4+1))*('Summary Page'!$C$4+1)</f>
        <v>91.007999999999981</v>
      </c>
      <c r="FO36" s="43">
        <f t="shared" si="15"/>
        <v>1</v>
      </c>
      <c r="FP36" s="7">
        <f>((AVERAGE(D31:D36)*('Summary Page'!$C$2+1))*('Summary Page'!$C$2+1))*('Summary Page'!$C$2+1)</f>
        <v>9.1052266666666632</v>
      </c>
      <c r="FQ36" s="7">
        <f>((AVERAGE(D31:D36)*('Summary Page'!$C$3+1))*('Summary Page'!$C$3+1))*('Summary Page'!$C$3+1)</f>
        <v>11.393229166666664</v>
      </c>
      <c r="FR36" s="7">
        <f>((AVERAGE(D31:D36)*('Summary Page'!$C$4+1))*('Summary Page'!$C$4+1))*('Summary Page'!$C$4+1)</f>
        <v>10.079999999999998</v>
      </c>
      <c r="FU36" s="43">
        <f t="shared" si="16"/>
        <v>13</v>
      </c>
      <c r="FV36" s="7">
        <f>((AVERAGE(E31:E36)*('Summary Page'!$C$2+1))*('Summary Page'!$C$2+1))*('Summary Page'!$C$2+1)</f>
        <v>30.437471999999993</v>
      </c>
      <c r="FW36" s="7">
        <f>((AVERAGE(E31:E36)*('Summary Page'!$C$3+1))*('Summary Page'!$C$3+1))*('Summary Page'!$C$3+1)</f>
        <v>38.0859375</v>
      </c>
      <c r="FX36" s="7">
        <f>((AVERAGE(E31:E36)*('Summary Page'!$C$4+1))*('Summary Page'!$C$4+1))*('Summary Page'!$C$4+1)</f>
        <v>33.695999999999998</v>
      </c>
      <c r="GA36" s="43">
        <f t="shared" si="17"/>
        <v>56</v>
      </c>
      <c r="GB36" s="7">
        <f>((AVERAGE(F31:F36)*('Summary Page'!$C$2+1))*('Summary Page'!$C$2+1))*('Summary Page'!$C$2+1)</f>
        <v>91.572565333333316</v>
      </c>
      <c r="GC36" s="7">
        <f>((AVERAGE(F31:F36)*('Summary Page'!$C$3+1))*('Summary Page'!$C$3+1))*('Summary Page'!$C$3+1)</f>
        <v>114.58333333333331</v>
      </c>
      <c r="GD36" s="7">
        <f>((AVERAGE(F31:F36)*('Summary Page'!$C$4+1))*('Summary Page'!$C$4+1))*('Summary Page'!$C$4+1)</f>
        <v>101.37599999999999</v>
      </c>
      <c r="GG36" s="43">
        <f t="shared" si="18"/>
        <v>59</v>
      </c>
      <c r="GH36" s="7">
        <f>((AVERAGE(M31:M36)*('Summary Page'!$C$2+1))*('Summary Page'!$C$2+1))*('Summary Page'!$C$2+1)</f>
        <v>122.27018666666665</v>
      </c>
      <c r="GI36" s="7">
        <f>((AVERAGE(M31:M36)*('Summary Page'!$C$3+1))*('Summary Page'!$C$3+1))*('Summary Page'!$C$3+1)</f>
        <v>152.99479166666663</v>
      </c>
      <c r="GJ36" s="7">
        <f>((AVERAGE(M31:M36)*('Summary Page'!$C$4+1))*('Summary Page'!$C$4+1))*('Summary Page'!$C$4+1)</f>
        <v>135.35999999999999</v>
      </c>
      <c r="GM36" s="43">
        <f t="shared" si="19"/>
        <v>41</v>
      </c>
      <c r="GN36" s="7">
        <f>((AVERAGE(G31:G36)*('Summary Page'!$C$2+1))*('Summary Page'!$C$2+1))*('Summary Page'!$C$2+1)</f>
        <v>86.629727999999986</v>
      </c>
      <c r="GO36" s="7">
        <f>((AVERAGE(G31:G36)*('Summary Page'!$C$3+1))*('Summary Page'!$C$3+1))*('Summary Page'!$C$3+1)</f>
        <v>108.3984375</v>
      </c>
      <c r="GP36" s="7">
        <f>((AVERAGE(G31:G36)*('Summary Page'!$C$4+1))*('Summary Page'!$C$4+1))*('Summary Page'!$C$4+1)</f>
        <v>95.903999999999982</v>
      </c>
      <c r="GS36" s="43">
        <f t="shared" si="20"/>
        <v>37</v>
      </c>
      <c r="GT36" s="7">
        <f>((AVERAGE(H31:H36)*('Summary Page'!$C$2+1))*('Summary Page'!$C$2+1))*('Summary Page'!$C$2+1)</f>
        <v>65.037333333333322</v>
      </c>
      <c r="GU36" s="7">
        <f>((AVERAGE(H31:H36)*('Summary Page'!$C$3+1))*('Summary Page'!$C$3+1))*('Summary Page'!$C$3+1)</f>
        <v>81.380208333333314</v>
      </c>
      <c r="GV36" s="7">
        <f>((AVERAGE(H31:H36)*('Summary Page'!$C$4+1))*('Summary Page'!$C$4+1))*('Summary Page'!$C$4+1)</f>
        <v>71.999999999999986</v>
      </c>
      <c r="GY36" s="43">
        <f t="shared" si="21"/>
        <v>11</v>
      </c>
      <c r="GZ36" s="7">
        <f>((AVERAGE(J31:J36)*('Summary Page'!$C$2+1))*('Summary Page'!$C$2+1))*('Summary Page'!$C$2+1)</f>
        <v>20.031498666666668</v>
      </c>
      <c r="HA36" s="7">
        <f>((AVERAGE(J31:J36)*('Summary Page'!$C$3+1))*('Summary Page'!$C$3+1))*('Summary Page'!$C$3+1)</f>
        <v>25.065104166666671</v>
      </c>
      <c r="HB36" s="7">
        <f>((AVERAGE(J31:J36)*('Summary Page'!$C$4+1))*('Summary Page'!$C$4+1))*('Summary Page'!$C$4+1)</f>
        <v>22.175999999999998</v>
      </c>
      <c r="HE36" s="43">
        <f t="shared" si="22"/>
        <v>54</v>
      </c>
      <c r="HF36" s="7">
        <f>((AVERAGE(K31:K36)*('Summary Page'!$C$2+1))*('Summary Page'!$C$2+1))*('Summary Page'!$C$2+1)</f>
        <v>88.190623999999971</v>
      </c>
      <c r="HG36" s="7">
        <f>((AVERAGE(K31:K36)*('Summary Page'!$C$3+1))*('Summary Page'!$C$3+1))*('Summary Page'!$C$3+1)</f>
        <v>110.3515625</v>
      </c>
      <c r="HH36" s="7">
        <f>((AVERAGE(K31:K36)*('Summary Page'!$C$4+1))*('Summary Page'!$C$4+1))*('Summary Page'!$C$4+1)</f>
        <v>97.631999999999991</v>
      </c>
      <c r="HL36" s="7" t="e">
        <f>((AVERAGE(L31:L36)*('Summary Page'!$C$2+1))*('Summary Page'!$C$2+1))*('Summary Page'!$C$2+1)</f>
        <v>#DIV/0!</v>
      </c>
      <c r="HM36" s="7" t="e">
        <f>((AVERAGE(L31:L36)*('Summary Page'!$C$3+1))*('Summary Page'!$C$3+1))*('Summary Page'!$C$3+1)</f>
        <v>#DIV/0!</v>
      </c>
      <c r="HN36" s="7" t="e">
        <f>((AVERAGE(L31:L36)*('Summary Page'!$C$4+1))*('Summary Page'!$C$4+1))*('Summary Page'!$C$4+1)</f>
        <v>#DIV/0!</v>
      </c>
      <c r="HQ36" s="43">
        <f t="shared" si="23"/>
        <v>79</v>
      </c>
      <c r="HR36" s="7">
        <f>((AVERAGE(AL31:AL36)*('Summary Page'!$C$2+1))*('Summary Page'!$C$2+1))*('Summary Page'!$C$2+1)</f>
        <v>160.77228799999995</v>
      </c>
      <c r="HS36" s="7">
        <f>((AVERAGE(AL31:AL36)*('Summary Page'!$C$3+1))*('Summary Page'!$C$3+1))*('Summary Page'!$C$3+1)</f>
        <v>201.171875</v>
      </c>
      <c r="HT36" s="7">
        <f>((AVERAGE(AL31:AL36)*('Summary Page'!$C$4+1))*('Summary Page'!$C$4+1))*('Summary Page'!$C$4+1)</f>
        <v>177.98399999999998</v>
      </c>
      <c r="HU36" s="7">
        <f t="shared" si="34"/>
        <v>100</v>
      </c>
      <c r="HV36" s="16">
        <f t="shared" si="32"/>
        <v>18.726591760299623</v>
      </c>
      <c r="HW36" s="16">
        <f t="shared" si="33"/>
        <v>18.696629213483146</v>
      </c>
      <c r="HX36" s="7">
        <f t="shared" si="31"/>
        <v>18.696629213483146</v>
      </c>
      <c r="HY36" s="7">
        <f>((AVERAGE(HV25:HV36,HX25:HX36)*('Summary Page'!$C$2+1))*('Summary Page'!$C$2+1))*('Summary Page'!$C$2+1)</f>
        <v>22.692249713312894</v>
      </c>
      <c r="HZ36" s="7">
        <f>((AVERAGE(HV25:HV36,HX25:HX36)*('Summary Page'!$C$3+1))*('Summary Page'!$C$3+1))*('Summary Page'!$C$3+1)</f>
        <v>28.394460759278175</v>
      </c>
      <c r="IA36" s="7">
        <f>((AVERAGE(HV25:HV36,HX25:HX36)*('Summary Page'!$C$4+1))*('Summary Page'!$C$4+1))*('Summary Page'!$C$4+1)</f>
        <v>25.121601634320729</v>
      </c>
      <c r="IB36" s="11">
        <f t="shared" si="35"/>
        <v>21.847690387016229</v>
      </c>
      <c r="IC36" s="11">
        <f t="shared" si="26"/>
        <v>21.812734082397004</v>
      </c>
      <c r="ID36" s="11">
        <f t="shared" si="27"/>
        <v>21.812734082397004</v>
      </c>
      <c r="IE36" s="11">
        <f t="shared" si="28"/>
        <v>26.474291332198376</v>
      </c>
      <c r="IF36" s="11">
        <f t="shared" si="29"/>
        <v>33.126870885824538</v>
      </c>
      <c r="IG36" s="11">
        <f t="shared" si="30"/>
        <v>29.30853524004085</v>
      </c>
    </row>
    <row r="37" spans="1:241" ht="15.75" x14ac:dyDescent="0.25">
      <c r="A37" s="10">
        <v>44014</v>
      </c>
      <c r="B37" s="10"/>
      <c r="C37" s="43">
        <v>53</v>
      </c>
      <c r="D37" s="43">
        <v>2</v>
      </c>
      <c r="E37" s="43">
        <v>18</v>
      </c>
      <c r="F37" s="43">
        <v>56</v>
      </c>
      <c r="G37" s="43">
        <v>41</v>
      </c>
      <c r="H37" s="43">
        <v>41</v>
      </c>
      <c r="I37" s="7">
        <f t="shared" si="1"/>
        <v>39</v>
      </c>
      <c r="J37" s="43">
        <v>17</v>
      </c>
      <c r="K37" s="43">
        <v>55</v>
      </c>
      <c r="M37" s="43">
        <v>70</v>
      </c>
      <c r="N37" s="10"/>
      <c r="O37" s="43">
        <v>35</v>
      </c>
      <c r="P37" s="43">
        <v>2</v>
      </c>
      <c r="Q37" s="43">
        <v>13</v>
      </c>
      <c r="R37" s="43">
        <v>64</v>
      </c>
      <c r="S37" s="43">
        <v>52</v>
      </c>
      <c r="T37" s="43">
        <v>43</v>
      </c>
      <c r="U37" s="7">
        <f t="shared" si="2"/>
        <v>43</v>
      </c>
      <c r="V37" s="43">
        <v>10</v>
      </c>
      <c r="W37" s="43">
        <v>64</v>
      </c>
      <c r="Y37" s="81">
        <v>71</v>
      </c>
      <c r="AG37" s="7" t="e">
        <f t="shared" si="3"/>
        <v>#DIV/0!</v>
      </c>
      <c r="AL37" s="43">
        <v>83</v>
      </c>
      <c r="AM37" s="43">
        <v>88</v>
      </c>
      <c r="AN37" s="43"/>
      <c r="AO37" s="43">
        <v>634</v>
      </c>
      <c r="AP37">
        <v>546</v>
      </c>
      <c r="EM37" s="13">
        <f t="shared" si="4"/>
        <v>42</v>
      </c>
      <c r="EN37" s="13">
        <f t="shared" si="9"/>
        <v>43</v>
      </c>
      <c r="EO37" s="13">
        <f t="shared" ref="EO37:EO55" si="36">EN37*1.2</f>
        <v>51.6</v>
      </c>
      <c r="EP37" s="30">
        <f>((AVERAGE(EM32:EM37)*('Summary Page'!$C$2+1))*('Summary Page'!$C$2+1))*('Summary Page'!$C$2+1)</f>
        <v>70.56550666666665</v>
      </c>
      <c r="EQ37" s="7">
        <f>((AVERAGE(EM32:EM37)*('Summary Page'!$C$3+1))*('Summary Page'!$C$3+1))*('Summary Page'!$C$3+1)</f>
        <v>88.297526041666686</v>
      </c>
      <c r="ER37" s="7">
        <f>((AVERAGE(EM32:EM37)*('Summary Page'!$C$4+1))*('Summary Page'!$C$4+1))*('Summary Page'!$C$4+1)</f>
        <v>78.11999999999999</v>
      </c>
      <c r="ES37" s="7">
        <v>80</v>
      </c>
      <c r="ET37" s="13">
        <f t="shared" si="5"/>
        <v>39</v>
      </c>
      <c r="EU37" s="13">
        <f t="shared" si="11"/>
        <v>43</v>
      </c>
      <c r="EV37" s="13">
        <f t="shared" ref="EV37:EV55" si="37">EU37*1.2</f>
        <v>51.6</v>
      </c>
      <c r="EW37" s="7">
        <f>((AVERAGE(ET32:ET37)*('Summary Page'!$C$2+1))*('Summary Page'!$C$2+1))*('Summary Page'!$C$2+1)</f>
        <v>65.817781333333315</v>
      </c>
      <c r="EX37" s="7">
        <f>((AVERAGE(ET32:ET37)*('Summary Page'!$C$3+1))*('Summary Page'!$C$3+1))*('Summary Page'!$C$3+1)</f>
        <v>82.356770833333314</v>
      </c>
      <c r="EY37" s="7">
        <f>((AVERAGE(ET32:ET37)*('Summary Page'!$C$4+1))*('Summary Page'!$C$4+1))*('Summary Page'!$C$4+1)</f>
        <v>72.86399999999999</v>
      </c>
      <c r="EZ37" s="13">
        <f t="shared" si="6"/>
        <v>62.5</v>
      </c>
      <c r="FA37" s="13">
        <f t="shared" si="13"/>
        <v>67.5</v>
      </c>
      <c r="FB37" s="13">
        <f t="shared" ref="FB37:FB55" si="38">FA37*1.2</f>
        <v>81</v>
      </c>
      <c r="FC37" s="7">
        <f>((AVERAGE(EZ32:EZ37)*('Summary Page'!$C$2+1))*('Summary Page'!$C$2+1))*('Summary Page'!$C$2+1)</f>
        <v>103.14921066666663</v>
      </c>
      <c r="FD37" s="7">
        <f>((AVERAGE(EZ32:EZ37)*('Summary Page'!$C$3+1))*('Summary Page'!$C$3+1))*('Summary Page'!$C$3+1)</f>
        <v>129.06901041666663</v>
      </c>
      <c r="FE37" s="7">
        <f>((AVERAGE(EZ32:EZ37)*('Summary Page'!$C$4+1))*('Summary Page'!$C$4+1))*('Summary Page'!$C$4+1)</f>
        <v>114.19199999999999</v>
      </c>
      <c r="FF37" s="13">
        <f t="shared" si="7"/>
        <v>39.4</v>
      </c>
      <c r="FI37" s="43">
        <f t="shared" si="8"/>
        <v>35</v>
      </c>
      <c r="FJ37" s="7">
        <f>((AVERAGE(C32:C37)*('Summary Page'!$C$2+1))*('Summary Page'!$C$2+1))*('Summary Page'!$C$2+1)</f>
        <v>87.930474666666655</v>
      </c>
      <c r="FK37" s="7">
        <f>((AVERAGE(C32:C37)*('Summary Page'!$C$3+1))*('Summary Page'!$C$3+1))*('Summary Page'!$C$3+1)</f>
        <v>110.02604166666669</v>
      </c>
      <c r="FL37" s="7">
        <f>((AVERAGE(C32:C37)*('Summary Page'!$C$4+1))*('Summary Page'!$C$4+1))*('Summary Page'!$C$4+1)</f>
        <v>97.34399999999998</v>
      </c>
      <c r="FO37" s="43">
        <f t="shared" si="15"/>
        <v>2</v>
      </c>
      <c r="FP37" s="7">
        <f>((AVERAGE(D32:D37)*('Summary Page'!$C$2+1))*('Summary Page'!$C$2+1))*('Summary Page'!$C$2+1)</f>
        <v>7.0240319999999983</v>
      </c>
      <c r="FQ37" s="7">
        <f>((AVERAGE(D32:D37)*('Summary Page'!$C$3+1))*('Summary Page'!$C$3+1))*('Summary Page'!$C$3+1)</f>
        <v>8.7890625</v>
      </c>
      <c r="FR37" s="7">
        <f>((AVERAGE(D32:D37)*('Summary Page'!$C$4+1))*('Summary Page'!$C$4+1))*('Summary Page'!$C$4+1)</f>
        <v>7.7759999999999989</v>
      </c>
      <c r="FU37" s="43">
        <f t="shared" si="16"/>
        <v>13</v>
      </c>
      <c r="FV37" s="7">
        <f>((AVERAGE(E32:E37)*('Summary Page'!$C$2+1))*('Summary Page'!$C$2+1))*('Summary Page'!$C$2+1)</f>
        <v>28.616426666666658</v>
      </c>
      <c r="FW37" s="7">
        <f>((AVERAGE(E32:E37)*('Summary Page'!$C$3+1))*('Summary Page'!$C$3+1))*('Summary Page'!$C$3+1)</f>
        <v>35.807291666666657</v>
      </c>
      <c r="FX37" s="7">
        <f>((AVERAGE(E32:E37)*('Summary Page'!$C$4+1))*('Summary Page'!$C$4+1))*('Summary Page'!$C$4+1)</f>
        <v>31.679999999999993</v>
      </c>
      <c r="GA37" s="43">
        <f t="shared" si="17"/>
        <v>64</v>
      </c>
      <c r="GB37" s="7">
        <f>((AVERAGE(F32:F37)*('Summary Page'!$C$2+1))*('Summary Page'!$C$2+1))*('Summary Page'!$C$2+1)</f>
        <v>90.792117333333323</v>
      </c>
      <c r="GC37" s="7">
        <f>((AVERAGE(F32:F37)*('Summary Page'!$C$3+1))*('Summary Page'!$C$3+1))*('Summary Page'!$C$3+1)</f>
        <v>113.60677083333331</v>
      </c>
      <c r="GD37" s="7">
        <f>((AVERAGE(F32:F37)*('Summary Page'!$C$4+1))*('Summary Page'!$C$4+1))*('Summary Page'!$C$4+1)</f>
        <v>100.51199999999999</v>
      </c>
      <c r="GG37" s="43">
        <f t="shared" si="18"/>
        <v>71</v>
      </c>
      <c r="GH37" s="7">
        <f>((AVERAGE(M32:M37)*('Summary Page'!$C$2+1))*('Summary Page'!$C$2+1))*('Summary Page'!$C$2+1)</f>
        <v>118.88824533333333</v>
      </c>
      <c r="GI37" s="7">
        <f>((AVERAGE(M32:M37)*('Summary Page'!$C$3+1))*('Summary Page'!$C$3+1))*('Summary Page'!$C$3+1)</f>
        <v>148.76302083333337</v>
      </c>
      <c r="GJ37" s="7">
        <f>((AVERAGE(M32:M37)*('Summary Page'!$C$4+1))*('Summary Page'!$C$4+1))*('Summary Page'!$C$4+1)</f>
        <v>131.61600000000001</v>
      </c>
      <c r="GM37" s="43">
        <f t="shared" si="19"/>
        <v>52</v>
      </c>
      <c r="GN37" s="7">
        <f>((AVERAGE(G32:G37)*('Summary Page'!$C$2+1))*('Summary Page'!$C$2+1))*('Summary Page'!$C$2+1)</f>
        <v>76.744053333333312</v>
      </c>
      <c r="GO37" s="7">
        <f>((AVERAGE(G32:G37)*('Summary Page'!$C$3+1))*('Summary Page'!$C$3+1))*('Summary Page'!$C$3+1)</f>
        <v>96.028645833333314</v>
      </c>
      <c r="GP37" s="7">
        <f>((AVERAGE(G32:G37)*('Summary Page'!$C$4+1))*('Summary Page'!$C$4+1))*('Summary Page'!$C$4+1)</f>
        <v>84.95999999999998</v>
      </c>
      <c r="GS37" s="43">
        <f t="shared" si="20"/>
        <v>43</v>
      </c>
      <c r="GT37" s="7">
        <f>((AVERAGE(H32:H37)*('Summary Page'!$C$2+1))*('Summary Page'!$C$2+1))*('Summary Page'!$C$2+1)</f>
        <v>67.118527999999984</v>
      </c>
      <c r="GU37" s="7">
        <f>((AVERAGE(H32:H37)*('Summary Page'!$C$3+1))*('Summary Page'!$C$3+1))*('Summary Page'!$C$3+1)</f>
        <v>83.984375</v>
      </c>
      <c r="GV37" s="7">
        <f>((AVERAGE(H32:H37)*('Summary Page'!$C$4+1))*('Summary Page'!$C$4+1))*('Summary Page'!$C$4+1)</f>
        <v>74.304000000000002</v>
      </c>
      <c r="GY37" s="43">
        <f t="shared" si="21"/>
        <v>10</v>
      </c>
      <c r="GZ37" s="7">
        <f>((AVERAGE(J32:J37)*('Summary Page'!$C$2+1))*('Summary Page'!$C$2+1))*('Summary Page'!$C$2+1)</f>
        <v>22.632991999999998</v>
      </c>
      <c r="HA37" s="7">
        <f>((AVERAGE(J32:J37)*('Summary Page'!$C$3+1))*('Summary Page'!$C$3+1))*('Summary Page'!$C$3+1)</f>
        <v>28.3203125</v>
      </c>
      <c r="HB37" s="7">
        <f>((AVERAGE(J32:J37)*('Summary Page'!$C$4+1))*('Summary Page'!$C$4+1))*('Summary Page'!$C$4+1)</f>
        <v>25.055999999999997</v>
      </c>
      <c r="HE37" s="43">
        <f t="shared" si="22"/>
        <v>64</v>
      </c>
      <c r="HF37" s="7">
        <f>((AVERAGE(K32:K37)*('Summary Page'!$C$2+1))*('Summary Page'!$C$2+1))*('Summary Page'!$C$2+1)</f>
        <v>87.410175999999979</v>
      </c>
      <c r="HG37" s="7">
        <f>((AVERAGE(K32:K37)*('Summary Page'!$C$3+1))*('Summary Page'!$C$3+1))*('Summary Page'!$C$3+1)</f>
        <v>109.375</v>
      </c>
      <c r="HH37" s="7">
        <f>((AVERAGE(K32:K37)*('Summary Page'!$C$4+1))*('Summary Page'!$C$4+1))*('Summary Page'!$C$4+1)</f>
        <v>96.768000000000001</v>
      </c>
      <c r="HL37" s="7" t="e">
        <f>((AVERAGE(L32:L37)*('Summary Page'!$C$2+1))*('Summary Page'!$C$2+1))*('Summary Page'!$C$2+1)</f>
        <v>#DIV/0!</v>
      </c>
      <c r="HM37" s="7" t="e">
        <f>((AVERAGE(L32:L37)*('Summary Page'!$C$3+1))*('Summary Page'!$C$3+1))*('Summary Page'!$C$3+1)</f>
        <v>#DIV/0!</v>
      </c>
      <c r="HN37" s="7" t="e">
        <f>((AVERAGE(L32:L37)*('Summary Page'!$C$4+1))*('Summary Page'!$C$4+1))*('Summary Page'!$C$4+1)</f>
        <v>#DIV/0!</v>
      </c>
      <c r="HQ37" s="43">
        <f t="shared" ref="HQ37:HQ50" si="39">AM37</f>
        <v>88</v>
      </c>
      <c r="HR37" s="7">
        <f>((AVERAGE(AL32:AL37)*('Summary Page'!$C$2+1))*('Summary Page'!$C$2+1))*('Summary Page'!$C$2+1)</f>
        <v>156.60989866666662</v>
      </c>
      <c r="HS37" s="7">
        <f>((AVERAGE(AL32:AL37)*('Summary Page'!$C$3+1))*('Summary Page'!$C$3+1))*('Summary Page'!$C$3+1)</f>
        <v>195.96354166666663</v>
      </c>
      <c r="HT37" s="7">
        <f>((AVERAGE(AL32:AL37)*('Summary Page'!$C$4+1))*('Summary Page'!$C$4+1))*('Summary Page'!$C$4+1)</f>
        <v>173.37599999999998</v>
      </c>
      <c r="HU37" s="7">
        <f t="shared" si="34"/>
        <v>100</v>
      </c>
      <c r="HV37" s="16">
        <f t="shared" si="32"/>
        <v>18.99625468164794</v>
      </c>
      <c r="HW37" s="16">
        <f t="shared" si="33"/>
        <v>16.359550561797754</v>
      </c>
      <c r="HX37" s="7">
        <f t="shared" ref="HX37:HX50" si="40">HW37</f>
        <v>16.359550561797754</v>
      </c>
      <c r="HY37" s="7">
        <f>((AVERAGE(HV26:HV37,HX26:HX37)*('Summary Page'!$C$2+1))*('Summary Page'!$C$2+1))*('Summary Page'!$C$2+1)</f>
        <v>23.100676194756549</v>
      </c>
      <c r="HZ37" s="7">
        <f>((AVERAGE(HV26:HV37,HX26:HX37)*('Summary Page'!$C$3+1))*('Summary Page'!$C$3+1))*('Summary Page'!$C$3+1)</f>
        <v>28.905518492509366</v>
      </c>
      <c r="IA37" s="7">
        <f>((AVERAGE(HV26:HV37,HX26:HX37)*('Summary Page'!$C$4+1))*('Summary Page'!$C$4+1))*('Summary Page'!$C$4+1)</f>
        <v>25.573752808988761</v>
      </c>
      <c r="IB37" s="11">
        <f t="shared" si="35"/>
        <v>22.162297128589262</v>
      </c>
      <c r="IC37" s="11">
        <f t="shared" si="26"/>
        <v>19.08614232209738</v>
      </c>
      <c r="ID37" s="11">
        <f t="shared" si="27"/>
        <v>19.08614232209738</v>
      </c>
      <c r="IE37" s="11">
        <f t="shared" si="28"/>
        <v>26.950788893882638</v>
      </c>
      <c r="IF37" s="11">
        <f t="shared" si="29"/>
        <v>33.723104907927592</v>
      </c>
      <c r="IG37" s="11">
        <f t="shared" si="30"/>
        <v>29.83604494382022</v>
      </c>
    </row>
    <row r="38" spans="1:241" ht="15.75" x14ac:dyDescent="0.25">
      <c r="A38" s="10">
        <v>44054</v>
      </c>
      <c r="B38" s="10"/>
      <c r="C38" s="43">
        <v>31</v>
      </c>
      <c r="D38" s="43">
        <v>2</v>
      </c>
      <c r="E38" s="43">
        <v>17</v>
      </c>
      <c r="F38" s="43">
        <v>43</v>
      </c>
      <c r="G38" s="43">
        <v>39</v>
      </c>
      <c r="H38" s="43">
        <v>30</v>
      </c>
      <c r="I38" s="7">
        <f t="shared" si="1"/>
        <v>32.25</v>
      </c>
      <c r="J38" s="43">
        <v>7</v>
      </c>
      <c r="K38" s="43">
        <v>54</v>
      </c>
      <c r="M38" s="43">
        <v>53</v>
      </c>
      <c r="N38" s="10"/>
      <c r="O38" s="43">
        <v>40</v>
      </c>
      <c r="P38" s="43">
        <v>1</v>
      </c>
      <c r="Q38" s="43">
        <v>12</v>
      </c>
      <c r="R38" s="43">
        <v>40</v>
      </c>
      <c r="S38" s="43">
        <v>45</v>
      </c>
      <c r="T38" s="43">
        <v>29</v>
      </c>
      <c r="U38" s="7">
        <f t="shared" si="2"/>
        <v>31.5</v>
      </c>
      <c r="V38" s="43">
        <v>7</v>
      </c>
      <c r="W38" s="43">
        <v>53</v>
      </c>
      <c r="Y38" s="81">
        <v>54</v>
      </c>
      <c r="AG38" s="7" t="e">
        <f t="shared" si="3"/>
        <v>#DIV/0!</v>
      </c>
      <c r="AL38" s="43">
        <v>85</v>
      </c>
      <c r="AM38" s="43">
        <v>88</v>
      </c>
      <c r="AN38" s="43"/>
      <c r="AO38" s="43">
        <v>526</v>
      </c>
      <c r="AP38">
        <v>495</v>
      </c>
      <c r="EM38" s="13">
        <f t="shared" si="4"/>
        <v>33.625</v>
      </c>
      <c r="EN38" s="13">
        <f t="shared" si="9"/>
        <v>34.25</v>
      </c>
      <c r="EO38" s="13">
        <f t="shared" si="36"/>
        <v>41.1</v>
      </c>
      <c r="EP38" s="30">
        <f>((AVERAGE(EM33:EM38)*('Summary Page'!$C$2+1))*('Summary Page'!$C$2+1))*('Summary Page'!$C$2+1)</f>
        <v>68.972091999999975</v>
      </c>
      <c r="EQ38" s="7">
        <f>((AVERAGE(EM33:EM38)*('Summary Page'!$C$3+1))*('Summary Page'!$C$3+1))*('Summary Page'!$C$3+1)</f>
        <v>86.3037109375</v>
      </c>
      <c r="ER38" s="7">
        <f>((AVERAGE(EM33:EM38)*('Summary Page'!$C$4+1))*('Summary Page'!$C$4+1))*('Summary Page'!$C$4+1)</f>
        <v>76.355999999999995</v>
      </c>
      <c r="ES38" s="7">
        <v>80</v>
      </c>
      <c r="ET38" s="13">
        <f t="shared" si="5"/>
        <v>32.25</v>
      </c>
      <c r="EU38" s="13">
        <f t="shared" si="11"/>
        <v>31.5</v>
      </c>
      <c r="EV38" s="13">
        <f t="shared" si="37"/>
        <v>37.799999999999997</v>
      </c>
      <c r="EW38" s="7">
        <f>((AVERAGE(ET33:ET38)*('Summary Page'!$C$2+1))*('Summary Page'!$C$2+1))*('Summary Page'!$C$2+1)</f>
        <v>63.80162399999999</v>
      </c>
      <c r="EX38" s="7">
        <f>((AVERAGE(ET33:ET38)*('Summary Page'!$C$3+1))*('Summary Page'!$C$3+1))*('Summary Page'!$C$3+1)</f>
        <v>79.833984375</v>
      </c>
      <c r="EY38" s="7">
        <f>((AVERAGE(ET33:ET38)*('Summary Page'!$C$4+1))*('Summary Page'!$C$4+1))*('Summary Page'!$C$4+1)</f>
        <v>70.631999999999991</v>
      </c>
      <c r="EZ38" s="13">
        <f t="shared" si="6"/>
        <v>53.5</v>
      </c>
      <c r="FA38" s="13">
        <f t="shared" si="13"/>
        <v>53.5</v>
      </c>
      <c r="FB38" s="13">
        <f t="shared" si="38"/>
        <v>64.2</v>
      </c>
      <c r="FC38" s="7">
        <f>((AVERAGE(EZ33:EZ38)*('Summary Page'!$C$2+1))*('Summary Page'!$C$2+1))*('Summary Page'!$C$2+1)</f>
        <v>100.02741866666663</v>
      </c>
      <c r="FD38" s="7">
        <f>((AVERAGE(EZ33:EZ38)*('Summary Page'!$C$3+1))*('Summary Page'!$C$3+1))*('Summary Page'!$C$3+1)</f>
        <v>125.16276041666664</v>
      </c>
      <c r="FE38" s="7">
        <f>((AVERAGE(EZ33:EZ38)*('Summary Page'!$C$4+1))*('Summary Page'!$C$4+1))*('Summary Page'!$C$4+1)</f>
        <v>110.73599999999998</v>
      </c>
      <c r="FF38" s="13">
        <f t="shared" si="7"/>
        <v>33.125</v>
      </c>
      <c r="FI38" s="43">
        <f t="shared" si="8"/>
        <v>40</v>
      </c>
      <c r="FJ38" s="7">
        <f>((AVERAGE(C33:C38)*('Summary Page'!$C$2+1))*('Summary Page'!$C$2+1))*('Summary Page'!$C$2+1)</f>
        <v>92.873311999999984</v>
      </c>
      <c r="FK38" s="7">
        <f>((AVERAGE(C33:C38)*('Summary Page'!$C$3+1))*('Summary Page'!$C$3+1))*('Summary Page'!$C$3+1)</f>
        <v>116.2109375</v>
      </c>
      <c r="FL38" s="7">
        <f>((AVERAGE(C33:C38)*('Summary Page'!$C$4+1))*('Summary Page'!$C$4+1))*('Summary Page'!$C$4+1)</f>
        <v>102.81599999999999</v>
      </c>
      <c r="FO38" s="43">
        <f t="shared" si="15"/>
        <v>1</v>
      </c>
      <c r="FP38" s="7">
        <f>((AVERAGE(D33:D38)*('Summary Page'!$C$2+1))*('Summary Page'!$C$2+1))*('Summary Page'!$C$2+1)</f>
        <v>3.6420906666666659</v>
      </c>
      <c r="FQ38" s="7">
        <f>((AVERAGE(D33:D38)*('Summary Page'!$C$3+1))*('Summary Page'!$C$3+1))*('Summary Page'!$C$3+1)</f>
        <v>4.5572916666666679</v>
      </c>
      <c r="FR38" s="7">
        <f>((AVERAGE(D33:D38)*('Summary Page'!$C$4+1))*('Summary Page'!$C$4+1))*('Summary Page'!$C$4+1)</f>
        <v>4.032</v>
      </c>
      <c r="FU38" s="43">
        <f t="shared" si="16"/>
        <v>12</v>
      </c>
      <c r="FV38" s="7">
        <f>((AVERAGE(E33:E38)*('Summary Page'!$C$2+1))*('Summary Page'!$C$2+1))*('Summary Page'!$C$2+1)</f>
        <v>27.835978666666659</v>
      </c>
      <c r="FW38" s="7">
        <f>((AVERAGE(E33:E38)*('Summary Page'!$C$3+1))*('Summary Page'!$C$3+1))*('Summary Page'!$C$3+1)</f>
        <v>34.830729166666657</v>
      </c>
      <c r="FX38" s="7">
        <f>((AVERAGE(E33:E38)*('Summary Page'!$C$4+1))*('Summary Page'!$C$4+1))*('Summary Page'!$C$4+1)</f>
        <v>30.815999999999995</v>
      </c>
      <c r="GA38" s="43">
        <f t="shared" si="17"/>
        <v>40</v>
      </c>
      <c r="GB38" s="7">
        <f>((AVERAGE(F33:F38)*('Summary Page'!$C$2+1))*('Summary Page'!$C$2+1))*('Summary Page'!$C$2+1)</f>
        <v>87.930474666666655</v>
      </c>
      <c r="GC38" s="7">
        <f>((AVERAGE(F33:F38)*('Summary Page'!$C$3+1))*('Summary Page'!$C$3+1))*('Summary Page'!$C$3+1)</f>
        <v>110.02604166666669</v>
      </c>
      <c r="GD38" s="7">
        <f>((AVERAGE(F33:F38)*('Summary Page'!$C$4+1))*('Summary Page'!$C$4+1))*('Summary Page'!$C$4+1)</f>
        <v>97.34399999999998</v>
      </c>
      <c r="GG38" s="43">
        <f t="shared" si="18"/>
        <v>54</v>
      </c>
      <c r="GH38" s="7">
        <f>((AVERAGE(M33:M38)*('Summary Page'!$C$2+1))*('Summary Page'!$C$2+1))*('Summary Page'!$C$2+1)</f>
        <v>113.68525866666664</v>
      </c>
      <c r="GI38" s="7">
        <f>((AVERAGE(M33:M38)*('Summary Page'!$C$3+1))*('Summary Page'!$C$3+1))*('Summary Page'!$C$3+1)</f>
        <v>142.25260416666663</v>
      </c>
      <c r="GJ38" s="7">
        <f>((AVERAGE(M33:M38)*('Summary Page'!$C$4+1))*('Summary Page'!$C$4+1))*('Summary Page'!$C$4+1)</f>
        <v>125.85599999999997</v>
      </c>
      <c r="GM38" s="43">
        <f t="shared" si="19"/>
        <v>45</v>
      </c>
      <c r="GN38" s="7">
        <f>((AVERAGE(G33:G38)*('Summary Page'!$C$2+1))*('Summary Page'!$C$2+1))*('Summary Page'!$C$2+1)</f>
        <v>72.581663999999989</v>
      </c>
      <c r="GO38" s="7">
        <f>((AVERAGE(G33:G38)*('Summary Page'!$C$3+1))*('Summary Page'!$C$3+1))*('Summary Page'!$C$3+1)</f>
        <v>90.8203125</v>
      </c>
      <c r="GP38" s="7">
        <f>((AVERAGE(G33:G38)*('Summary Page'!$C$4+1))*('Summary Page'!$C$4+1))*('Summary Page'!$C$4+1)</f>
        <v>80.35199999999999</v>
      </c>
      <c r="GS38" s="43">
        <f t="shared" si="20"/>
        <v>29</v>
      </c>
      <c r="GT38" s="7">
        <f>((AVERAGE(H33:H38)*('Summary Page'!$C$2+1))*('Summary Page'!$C$2+1))*('Summary Page'!$C$2+1)</f>
        <v>66.858378666666667</v>
      </c>
      <c r="GU38" s="7">
        <f>((AVERAGE(H33:H38)*('Summary Page'!$C$3+1))*('Summary Page'!$C$3+1))*('Summary Page'!$C$3+1)</f>
        <v>83.658854166666686</v>
      </c>
      <c r="GV38" s="7">
        <f>((AVERAGE(H33:H38)*('Summary Page'!$C$4+1))*('Summary Page'!$C$4+1))*('Summary Page'!$C$4+1)</f>
        <v>74.015999999999991</v>
      </c>
      <c r="GY38" s="43">
        <f t="shared" si="21"/>
        <v>7</v>
      </c>
      <c r="GZ38" s="7">
        <f>((AVERAGE(J33:J38)*('Summary Page'!$C$2+1))*('Summary Page'!$C$2+1))*('Summary Page'!$C$2+1)</f>
        <v>22.893141333333329</v>
      </c>
      <c r="HA38" s="7">
        <f>((AVERAGE(J33:J38)*('Summary Page'!$C$3+1))*('Summary Page'!$C$3+1))*('Summary Page'!$C$3+1)</f>
        <v>28.645833333333329</v>
      </c>
      <c r="HB38" s="7">
        <f>((AVERAGE(J33:J38)*('Summary Page'!$C$4+1))*('Summary Page'!$C$4+1))*('Summary Page'!$C$4+1)</f>
        <v>25.343999999999998</v>
      </c>
      <c r="HE38" s="43">
        <f t="shared" si="22"/>
        <v>53</v>
      </c>
      <c r="HF38" s="7">
        <f>((AVERAGE(K33:K38)*('Summary Page'!$C$2+1))*('Summary Page'!$C$2+1))*('Summary Page'!$C$2+1)</f>
        <v>86.369578666666655</v>
      </c>
      <c r="HG38" s="7">
        <f>((AVERAGE(K33:K38)*('Summary Page'!$C$3+1))*('Summary Page'!$C$3+1))*('Summary Page'!$C$3+1)</f>
        <v>108.07291666666669</v>
      </c>
      <c r="HH38" s="7">
        <f>((AVERAGE(K33:K38)*('Summary Page'!$C$4+1))*('Summary Page'!$C$4+1))*('Summary Page'!$C$4+1)</f>
        <v>95.616</v>
      </c>
      <c r="HL38" s="7" t="e">
        <f>((AVERAGE(L33:L38)*('Summary Page'!$C$2+1))*('Summary Page'!$C$2+1))*('Summary Page'!$C$2+1)</f>
        <v>#DIV/0!</v>
      </c>
      <c r="HM38" s="7" t="e">
        <f>((AVERAGE(L33:L38)*('Summary Page'!$C$3+1))*('Summary Page'!$C$3+1))*('Summary Page'!$C$3+1)</f>
        <v>#DIV/0!</v>
      </c>
      <c r="HN38" s="7" t="e">
        <f>((AVERAGE(L33:L38)*('Summary Page'!$C$4+1))*('Summary Page'!$C$4+1))*('Summary Page'!$C$4+1)</f>
        <v>#DIV/0!</v>
      </c>
      <c r="HQ38" s="43">
        <f t="shared" si="39"/>
        <v>88</v>
      </c>
      <c r="HR38" s="7">
        <f>((AVERAGE(AL33:AL38)*('Summary Page'!$C$2+1))*('Summary Page'!$C$2+1))*('Summary Page'!$C$2+1)</f>
        <v>155.5693013333333</v>
      </c>
      <c r="HS38" s="7">
        <f>((AVERAGE(AL33:AL38)*('Summary Page'!$C$3+1))*('Summary Page'!$C$3+1))*('Summary Page'!$C$3+1)</f>
        <v>194.66145833333337</v>
      </c>
      <c r="HT38" s="7">
        <f>((AVERAGE(AL33:AL38)*('Summary Page'!$C$4+1))*('Summary Page'!$C$4+1))*('Summary Page'!$C$4+1)</f>
        <v>172.22399999999996</v>
      </c>
      <c r="HU38" s="7">
        <f t="shared" si="34"/>
        <v>100</v>
      </c>
      <c r="HV38" s="16">
        <f t="shared" si="32"/>
        <v>15.760299625468168</v>
      </c>
      <c r="HW38" s="16">
        <f t="shared" si="33"/>
        <v>14.831460674157304</v>
      </c>
      <c r="HX38" s="7">
        <f t="shared" si="40"/>
        <v>14.831460674157304</v>
      </c>
      <c r="HY38" s="7">
        <f>((AVERAGE(HV27:HV38,HX27:HX38)*('Summary Page'!$C$2+1))*('Summary Page'!$C$2+1))*('Summary Page'!$C$2+1)</f>
        <v>23.270211715355796</v>
      </c>
      <c r="HZ38" s="7">
        <f>((AVERAGE(HV27:HV38,HX27:HX38)*('Summary Page'!$C$3+1))*('Summary Page'!$C$3+1))*('Summary Page'!$C$3+1)</f>
        <v>29.117655664794007</v>
      </c>
      <c r="IA38" s="7">
        <f>((AVERAGE(HV27:HV38,HX27:HX38)*('Summary Page'!$C$4+1))*('Summary Page'!$C$4+1))*('Summary Page'!$C$4+1)</f>
        <v>25.761438202247181</v>
      </c>
      <c r="IB38" s="11">
        <f t="shared" si="35"/>
        <v>18.387016229712863</v>
      </c>
      <c r="IC38" s="11">
        <f t="shared" si="26"/>
        <v>17.303370786516854</v>
      </c>
      <c r="ID38" s="11">
        <f t="shared" si="27"/>
        <v>17.303370786516854</v>
      </c>
      <c r="IE38" s="11">
        <f t="shared" si="28"/>
        <v>27.148580334581762</v>
      </c>
      <c r="IF38" s="11">
        <f t="shared" si="29"/>
        <v>33.970598275593005</v>
      </c>
      <c r="IG38" s="11">
        <f t="shared" si="30"/>
        <v>30.055011235955043</v>
      </c>
    </row>
    <row r="39" spans="1:241" ht="15.75" x14ac:dyDescent="0.25">
      <c r="A39" s="10">
        <v>44078</v>
      </c>
      <c r="B39" s="43">
        <v>16</v>
      </c>
      <c r="C39" s="43">
        <v>54</v>
      </c>
      <c r="D39" s="43">
        <v>3</v>
      </c>
      <c r="E39" s="43">
        <v>14</v>
      </c>
      <c r="F39" s="43">
        <v>32</v>
      </c>
      <c r="G39" s="43">
        <v>36</v>
      </c>
      <c r="H39" s="43">
        <v>26</v>
      </c>
      <c r="I39" s="7">
        <f t="shared" si="1"/>
        <v>27</v>
      </c>
      <c r="J39" s="43">
        <v>6</v>
      </c>
      <c r="K39" s="43">
        <v>39</v>
      </c>
      <c r="L39" s="43">
        <v>39</v>
      </c>
      <c r="M39" s="43">
        <v>90</v>
      </c>
      <c r="N39" s="43"/>
      <c r="O39" s="43">
        <v>49</v>
      </c>
      <c r="P39" s="43">
        <v>1</v>
      </c>
      <c r="Q39" s="43">
        <v>15</v>
      </c>
      <c r="R39" s="43">
        <v>54</v>
      </c>
      <c r="S39" s="43">
        <v>45</v>
      </c>
      <c r="T39" s="43">
        <v>40</v>
      </c>
      <c r="U39" s="7">
        <f t="shared" si="2"/>
        <v>38.5</v>
      </c>
      <c r="V39" s="43">
        <v>13</v>
      </c>
      <c r="W39" s="43">
        <v>25</v>
      </c>
      <c r="X39" s="43">
        <v>38</v>
      </c>
      <c r="Y39" s="81">
        <v>68</v>
      </c>
      <c r="Z39" s="43"/>
      <c r="AA39" s="43"/>
      <c r="AB39" s="43"/>
      <c r="AC39" s="43"/>
      <c r="AD39" s="43"/>
      <c r="AE39" s="43"/>
      <c r="AF39" s="43"/>
      <c r="AG39" s="7" t="e">
        <f t="shared" si="3"/>
        <v>#DIV/0!</v>
      </c>
      <c r="AH39" s="43"/>
      <c r="AI39" s="43"/>
      <c r="AJ39" s="43"/>
      <c r="AK39" s="43"/>
      <c r="AL39" s="43">
        <v>102</v>
      </c>
      <c r="AM39" s="43">
        <v>102</v>
      </c>
      <c r="AN39" s="43"/>
      <c r="AO39" s="43">
        <v>434</v>
      </c>
      <c r="AP39" s="43">
        <v>428</v>
      </c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13">
        <f t="shared" si="4"/>
        <v>37</v>
      </c>
      <c r="EN39" s="13">
        <f t="shared" si="9"/>
        <v>37.222222222222221</v>
      </c>
      <c r="EO39" s="13">
        <f t="shared" si="36"/>
        <v>44.666666666666664</v>
      </c>
      <c r="EP39" s="30">
        <f>((AVERAGE(EM34:EM39)*('Summary Page'!$C$2+1))*('Summary Page'!$C$2+1))*('Summary Page'!$C$2+1)</f>
        <v>68.484311999999989</v>
      </c>
      <c r="EQ39" s="7">
        <f>((AVERAGE(EM34:EM39)*('Summary Page'!$C$3+1))*('Summary Page'!$C$3+1))*('Summary Page'!$C$3+1)</f>
        <v>85.693359375</v>
      </c>
      <c r="ER39" s="7">
        <f>((AVERAGE(EM34:EM39)*('Summary Page'!$C$4+1))*('Summary Page'!$C$4+1))*('Summary Page'!$C$4+1)</f>
        <v>75.815999999999988</v>
      </c>
      <c r="ES39" s="7">
        <v>80</v>
      </c>
      <c r="ET39" s="13">
        <f t="shared" si="5"/>
        <v>27</v>
      </c>
      <c r="EU39" s="13">
        <f t="shared" si="11"/>
        <v>38.5</v>
      </c>
      <c r="EV39" s="13">
        <f t="shared" si="37"/>
        <v>46.199999999999996</v>
      </c>
      <c r="EW39" s="7">
        <f>((AVERAGE(ET34:ET39)*('Summary Page'!$C$2+1))*('Summary Page'!$C$2+1))*('Summary Page'!$C$2+1)</f>
        <v>61.720429333333314</v>
      </c>
      <c r="EX39" s="7">
        <f>((AVERAGE(ET34:ET39)*('Summary Page'!$C$3+1))*('Summary Page'!$C$3+1))*('Summary Page'!$C$3+1)</f>
        <v>77.229817708333314</v>
      </c>
      <c r="EY39" s="7">
        <f>((AVERAGE(ET34:ET39)*('Summary Page'!$C$4+1))*('Summary Page'!$C$4+1))*('Summary Page'!$C$4+1)</f>
        <v>68.327999999999989</v>
      </c>
      <c r="EZ39" s="13">
        <f t="shared" si="6"/>
        <v>56</v>
      </c>
      <c r="FA39" s="13">
        <f t="shared" si="13"/>
        <v>43.666666666666664</v>
      </c>
      <c r="FB39" s="13">
        <f t="shared" si="38"/>
        <v>52.4</v>
      </c>
      <c r="FC39" s="7">
        <f>((AVERAGE(EZ34:EZ39)*('Summary Page'!$C$2+1))*('Summary Page'!$C$2+1))*('Summary Page'!$C$2+1)</f>
        <v>97.425925333333311</v>
      </c>
      <c r="FD39" s="7">
        <f>((AVERAGE(EZ34:EZ39)*('Summary Page'!$C$3+1))*('Summary Page'!$C$3+1))*('Summary Page'!$C$3+1)</f>
        <v>121.90755208333331</v>
      </c>
      <c r="FE39" s="7">
        <f>((AVERAGE(EZ34:EZ39)*('Summary Page'!$C$4+1))*('Summary Page'!$C$4+1))*('Summary Page'!$C$4+1)</f>
        <v>107.85599999999998</v>
      </c>
      <c r="FF39" s="13">
        <f t="shared" si="7"/>
        <v>31.90909090909091</v>
      </c>
      <c r="FI39" s="43">
        <f t="shared" si="8"/>
        <v>49</v>
      </c>
      <c r="FJ39" s="7">
        <f>((AVERAGE(C34:C39)*('Summary Page'!$C$2+1))*('Summary Page'!$C$2+1))*('Summary Page'!$C$2+1)</f>
        <v>97.295850666666638</v>
      </c>
      <c r="FK39" s="7">
        <f>((AVERAGE(C34:C39)*('Summary Page'!$C$3+1))*('Summary Page'!$C$3+1))*('Summary Page'!$C$3+1)</f>
        <v>121.74479166666669</v>
      </c>
      <c r="FL39" s="7">
        <f>((AVERAGE(C34:C39)*('Summary Page'!$C$4+1))*('Summary Page'!$C$4+1))*('Summary Page'!$C$4+1)</f>
        <v>107.71199999999999</v>
      </c>
      <c r="FO39" s="43">
        <f t="shared" si="15"/>
        <v>1</v>
      </c>
      <c r="FP39" s="7">
        <f>((AVERAGE(D34:D39)*('Summary Page'!$C$2+1))*('Summary Page'!$C$2+1))*('Summary Page'!$C$2+1)</f>
        <v>3.9022399999999995</v>
      </c>
      <c r="FQ39" s="7">
        <f>((AVERAGE(D34:D39)*('Summary Page'!$C$3+1))*('Summary Page'!$C$3+1))*('Summary Page'!$C$3+1)</f>
        <v>4.8828125</v>
      </c>
      <c r="FR39" s="7">
        <f>((AVERAGE(D34:D39)*('Summary Page'!$C$4+1))*('Summary Page'!$C$4+1))*('Summary Page'!$C$4+1)</f>
        <v>4.3199999999999994</v>
      </c>
      <c r="FU39" s="43">
        <f t="shared" si="16"/>
        <v>15</v>
      </c>
      <c r="FV39" s="7">
        <f>((AVERAGE(E34:E39)*('Summary Page'!$C$2+1))*('Summary Page'!$C$2+1))*('Summary Page'!$C$2+1)</f>
        <v>28.096127999999993</v>
      </c>
      <c r="FW39" s="7">
        <f>((AVERAGE(E34:E39)*('Summary Page'!$C$3+1))*('Summary Page'!$C$3+1))*('Summary Page'!$C$3+1)</f>
        <v>35.15625</v>
      </c>
      <c r="FX39" s="7">
        <f>((AVERAGE(E34:E39)*('Summary Page'!$C$4+1))*('Summary Page'!$C$4+1))*('Summary Page'!$C$4+1)</f>
        <v>31.103999999999996</v>
      </c>
      <c r="GA39" s="43">
        <f t="shared" si="17"/>
        <v>54</v>
      </c>
      <c r="GB39" s="7">
        <f>((AVERAGE(F34:F39)*('Summary Page'!$C$2+1))*('Summary Page'!$C$2+1))*('Summary Page'!$C$2+1)</f>
        <v>80.906442666666663</v>
      </c>
      <c r="GC39" s="7">
        <f>((AVERAGE(F34:F39)*('Summary Page'!$C$3+1))*('Summary Page'!$C$3+1))*('Summary Page'!$C$3+1)</f>
        <v>101.23697916666669</v>
      </c>
      <c r="GD39" s="7">
        <f>((AVERAGE(F34:F39)*('Summary Page'!$C$4+1))*('Summary Page'!$C$4+1))*('Summary Page'!$C$4+1)</f>
        <v>89.567999999999998</v>
      </c>
      <c r="GG39" s="43">
        <f t="shared" si="18"/>
        <v>68</v>
      </c>
      <c r="GH39" s="7">
        <f>((AVERAGE(M34:M39)*('Summary Page'!$C$2+1))*('Summary Page'!$C$2+1))*('Summary Page'!$C$2+1)</f>
        <v>116.28675199999996</v>
      </c>
      <c r="GI39" s="7">
        <f>((AVERAGE(M34:M39)*('Summary Page'!$C$3+1))*('Summary Page'!$C$3+1))*('Summary Page'!$C$3+1)</f>
        <v>145.5078125</v>
      </c>
      <c r="GJ39" s="7">
        <f>((AVERAGE(M34:M39)*('Summary Page'!$C$4+1))*('Summary Page'!$C$4+1))*('Summary Page'!$C$4+1)</f>
        <v>128.73599999999999</v>
      </c>
      <c r="GM39" s="43">
        <f t="shared" si="19"/>
        <v>45</v>
      </c>
      <c r="GN39" s="7">
        <f>((AVERAGE(G34:G39)*('Summary Page'!$C$2+1))*('Summary Page'!$C$2+1))*('Summary Page'!$C$2+1)</f>
        <v>73.882410666666658</v>
      </c>
      <c r="GO39" s="7">
        <f>((AVERAGE(G34:G39)*('Summary Page'!$C$3+1))*('Summary Page'!$C$3+1))*('Summary Page'!$C$3+1)</f>
        <v>92.447916666666686</v>
      </c>
      <c r="GP39" s="7">
        <f>((AVERAGE(G34:G39)*('Summary Page'!$C$4+1))*('Summary Page'!$C$4+1))*('Summary Page'!$C$4+1)</f>
        <v>81.791999999999987</v>
      </c>
      <c r="GS39" s="43">
        <f t="shared" si="20"/>
        <v>40</v>
      </c>
      <c r="GT39" s="7">
        <f>((AVERAGE(H34:H39)*('Summary Page'!$C$2+1))*('Summary Page'!$C$2+1))*('Summary Page'!$C$2+1)</f>
        <v>63.996735999999984</v>
      </c>
      <c r="GU39" s="7">
        <f>((AVERAGE(H34:H39)*('Summary Page'!$C$3+1))*('Summary Page'!$C$3+1))*('Summary Page'!$C$3+1)</f>
        <v>80.078125</v>
      </c>
      <c r="GV39" s="7">
        <f>((AVERAGE(H34:H39)*('Summary Page'!$C$4+1))*('Summary Page'!$C$4+1))*('Summary Page'!$C$4+1)</f>
        <v>70.847999999999985</v>
      </c>
      <c r="GY39" s="43">
        <f t="shared" si="21"/>
        <v>13</v>
      </c>
      <c r="GZ39" s="7">
        <f>((AVERAGE(J34:J39)*('Summary Page'!$C$2+1))*('Summary Page'!$C$2+1))*('Summary Page'!$C$2+1)</f>
        <v>22.37284266666666</v>
      </c>
      <c r="HA39" s="7">
        <f>((AVERAGE(J34:J39)*('Summary Page'!$C$3+1))*('Summary Page'!$C$3+1))*('Summary Page'!$C$3+1)</f>
        <v>27.994791666666671</v>
      </c>
      <c r="HB39" s="7">
        <f>((AVERAGE(J34:J39)*('Summary Page'!$C$4+1))*('Summary Page'!$C$4+1))*('Summary Page'!$C$4+1)</f>
        <v>24.767999999999997</v>
      </c>
      <c r="HE39" s="43">
        <f t="shared" si="22"/>
        <v>25</v>
      </c>
      <c r="HF39" s="7">
        <f>((AVERAGE(K34:K39)*('Summary Page'!$C$2+1))*('Summary Page'!$C$2+1))*('Summary Page'!$C$2+1)</f>
        <v>82.987637333333311</v>
      </c>
      <c r="HG39" s="7">
        <f>((AVERAGE(K34:K39)*('Summary Page'!$C$3+1))*('Summary Page'!$C$3+1))*('Summary Page'!$C$3+1)</f>
        <v>103.84114583333331</v>
      </c>
      <c r="HH39" s="7">
        <f>((AVERAGE(K34:K39)*('Summary Page'!$C$4+1))*('Summary Page'!$C$4+1))*('Summary Page'!$C$4+1)</f>
        <v>91.871999999999986</v>
      </c>
      <c r="HL39" s="7">
        <f>((AVERAGE(L34:L39)*('Summary Page'!$C$2+1))*('Summary Page'!$C$2+1))*('Summary Page'!$C$2+1)</f>
        <v>60.874943999999985</v>
      </c>
      <c r="HM39" s="7">
        <f>((AVERAGE(L34:L39)*('Summary Page'!$C$3+1))*('Summary Page'!$C$3+1))*('Summary Page'!$C$3+1)</f>
        <v>76.171875</v>
      </c>
      <c r="HN39" s="7">
        <f>((AVERAGE(L34:L39)*('Summary Page'!$C$4+1))*('Summary Page'!$C$4+1))*('Summary Page'!$C$4+1)</f>
        <v>67.391999999999996</v>
      </c>
      <c r="HQ39" s="43">
        <f t="shared" si="39"/>
        <v>102</v>
      </c>
      <c r="HR39" s="7">
        <f>((AVERAGE(AL34:AL39)*('Summary Page'!$C$2+1))*('Summary Page'!$C$2+1))*('Summary Page'!$C$2+1)</f>
        <v>156.60989866666662</v>
      </c>
      <c r="HS39" s="7">
        <f>((AVERAGE(AL34:AL39)*('Summary Page'!$C$3+1))*('Summary Page'!$C$3+1))*('Summary Page'!$C$3+1)</f>
        <v>195.96354166666663</v>
      </c>
      <c r="HT39" s="7">
        <f>((AVERAGE(AL34:AL39)*('Summary Page'!$C$4+1))*('Summary Page'!$C$4+1))*('Summary Page'!$C$4+1)</f>
        <v>173.37599999999998</v>
      </c>
      <c r="HU39" s="7">
        <f t="shared" si="34"/>
        <v>100</v>
      </c>
      <c r="HV39" s="16">
        <f t="shared" si="32"/>
        <v>13.00374531835206</v>
      </c>
      <c r="HW39" s="16">
        <f t="shared" si="33"/>
        <v>12.823970037453185</v>
      </c>
      <c r="HX39" s="7">
        <f t="shared" si="40"/>
        <v>12.823970037453185</v>
      </c>
      <c r="HY39" s="7">
        <f>((AVERAGE(HV28:HV39,HX28:HX39)*('Summary Page'!$C$2+1))*('Summary Page'!$C$2+1))*('Summary Page'!$C$2+1)</f>
        <v>23.129906456928836</v>
      </c>
      <c r="HZ39" s="7">
        <f>((AVERAGE(HV28:HV39,HX28:HX39)*('Summary Page'!$C$3+1))*('Summary Page'!$C$3+1))*('Summary Page'!$C$3+1)</f>
        <v>28.942093867041201</v>
      </c>
      <c r="IA39" s="7">
        <f>((AVERAGE(HV28:HV39,HX28:HX39)*('Summary Page'!$C$4+1))*('Summary Page'!$C$4+1))*('Summary Page'!$C$4+1)</f>
        <v>25.606112359550561</v>
      </c>
      <c r="IB39" s="11">
        <f t="shared" si="35"/>
        <v>15.17103620474407</v>
      </c>
      <c r="IC39" s="11">
        <f t="shared" si="26"/>
        <v>14.961298377028715</v>
      </c>
      <c r="ID39" s="11">
        <f t="shared" si="27"/>
        <v>14.961298377028715</v>
      </c>
      <c r="IE39" s="11">
        <f t="shared" si="28"/>
        <v>26.984890866416976</v>
      </c>
      <c r="IF39" s="11">
        <f t="shared" si="29"/>
        <v>33.765776178214736</v>
      </c>
      <c r="IG39" s="11">
        <f t="shared" si="30"/>
        <v>29.87379775280899</v>
      </c>
    </row>
    <row r="40" spans="1:241" ht="15.75" x14ac:dyDescent="0.25">
      <c r="A40" s="10">
        <v>44105</v>
      </c>
      <c r="B40" s="43">
        <v>12</v>
      </c>
      <c r="C40" s="43">
        <v>58</v>
      </c>
      <c r="D40" s="43">
        <v>3</v>
      </c>
      <c r="E40" s="43">
        <v>14</v>
      </c>
      <c r="F40" s="43">
        <v>39</v>
      </c>
      <c r="G40" s="43">
        <v>33</v>
      </c>
      <c r="H40" s="43">
        <v>31</v>
      </c>
      <c r="I40" s="7">
        <f t="shared" si="1"/>
        <v>29.25</v>
      </c>
      <c r="J40" s="43">
        <v>8</v>
      </c>
      <c r="K40" s="43">
        <v>36</v>
      </c>
      <c r="L40" s="43">
        <v>45</v>
      </c>
      <c r="M40" s="43">
        <v>89</v>
      </c>
      <c r="N40" s="43">
        <v>8</v>
      </c>
      <c r="O40" s="43">
        <v>42</v>
      </c>
      <c r="P40" s="43">
        <v>1</v>
      </c>
      <c r="Q40" s="43">
        <v>10</v>
      </c>
      <c r="R40" s="43">
        <v>35</v>
      </c>
      <c r="S40" s="43">
        <v>42</v>
      </c>
      <c r="T40" s="43">
        <v>35</v>
      </c>
      <c r="U40" s="7">
        <f t="shared" si="2"/>
        <v>30.5</v>
      </c>
      <c r="V40" s="43">
        <v>12</v>
      </c>
      <c r="W40" s="43">
        <v>23</v>
      </c>
      <c r="X40" s="43">
        <v>33</v>
      </c>
      <c r="Y40" s="81">
        <v>63</v>
      </c>
      <c r="Z40" s="43"/>
      <c r="AA40" s="43"/>
      <c r="AB40" s="43"/>
      <c r="AC40" s="43"/>
      <c r="AD40" s="43"/>
      <c r="AE40" s="43"/>
      <c r="AF40" s="43"/>
      <c r="AG40" s="7" t="e">
        <f t="shared" si="3"/>
        <v>#DIV/0!</v>
      </c>
      <c r="AH40" s="43"/>
      <c r="AI40" s="43"/>
      <c r="AJ40" s="43"/>
      <c r="AK40" s="43"/>
      <c r="AL40" s="43">
        <v>103</v>
      </c>
      <c r="AM40" s="43">
        <v>84</v>
      </c>
      <c r="AN40" s="43"/>
      <c r="AO40" s="43">
        <v>431</v>
      </c>
      <c r="AP40" s="43">
        <v>438</v>
      </c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13">
        <f t="shared" si="4"/>
        <v>38.666666666666664</v>
      </c>
      <c r="EN40" s="13">
        <f t="shared" si="9"/>
        <v>31.555555555555557</v>
      </c>
      <c r="EO40" s="13">
        <f t="shared" si="36"/>
        <v>37.866666666666667</v>
      </c>
      <c r="EP40" s="30">
        <f>((AVERAGE(EM35:EM40)*('Summary Page'!$C$2+1))*('Summary Page'!$C$2+1))*('Summary Page'!$C$2+1)</f>
        <v>67.194404888888883</v>
      </c>
      <c r="EQ40" s="7">
        <f>((AVERAGE(EM35:EM40)*('Summary Page'!$C$3+1))*('Summary Page'!$C$3+1))*('Summary Page'!$C$3+1)</f>
        <v>84.079318576388886</v>
      </c>
      <c r="ER40" s="7">
        <f>((AVERAGE(EM35:EM40)*('Summary Page'!$C$4+1))*('Summary Page'!$C$4+1))*('Summary Page'!$C$4+1)</f>
        <v>74.388000000000005</v>
      </c>
      <c r="ES40" s="7">
        <v>80</v>
      </c>
      <c r="ET40" s="13">
        <f t="shared" si="5"/>
        <v>29.25</v>
      </c>
      <c r="EU40" s="13">
        <f t="shared" si="11"/>
        <v>30.5</v>
      </c>
      <c r="EV40" s="13">
        <f t="shared" si="37"/>
        <v>36.6</v>
      </c>
      <c r="EW40" s="7">
        <f>((AVERAGE(ET35:ET40)*('Summary Page'!$C$2+1))*('Summary Page'!$C$2+1))*('Summary Page'!$C$2+1)</f>
        <v>58.728711999999987</v>
      </c>
      <c r="EX40" s="7">
        <f>((AVERAGE(ET35:ET40)*('Summary Page'!$C$3+1))*('Summary Page'!$C$3+1))*('Summary Page'!$C$3+1)</f>
        <v>73.486328125</v>
      </c>
      <c r="EY40" s="7">
        <f>((AVERAGE(ET35:ET40)*('Summary Page'!$C$4+1))*('Summary Page'!$C$4+1))*('Summary Page'!$C$4+1)</f>
        <v>65.015999999999991</v>
      </c>
      <c r="EZ40" s="13">
        <f t="shared" si="6"/>
        <v>56.666666666666664</v>
      </c>
      <c r="FA40" s="13">
        <f t="shared" si="13"/>
        <v>39.666666666666664</v>
      </c>
      <c r="FB40" s="13">
        <f t="shared" si="38"/>
        <v>47.599999999999994</v>
      </c>
      <c r="FC40" s="7">
        <f>((AVERAGE(EZ35:EZ40)*('Summary Page'!$C$2+1))*('Summary Page'!$C$2+1))*('Summary Page'!$C$2+1)</f>
        <v>96.558760888888884</v>
      </c>
      <c r="FD40" s="7">
        <f>((AVERAGE(EZ35:EZ40)*('Summary Page'!$C$3+1))*('Summary Page'!$C$3+1))*('Summary Page'!$C$3+1)</f>
        <v>120.82248263888889</v>
      </c>
      <c r="FE40" s="7">
        <f>((AVERAGE(EZ35:EZ40)*('Summary Page'!$C$4+1))*('Summary Page'!$C$4+1))*('Summary Page'!$C$4+1)</f>
        <v>106.896</v>
      </c>
      <c r="FF40" s="13">
        <f t="shared" si="7"/>
        <v>33.022727272727273</v>
      </c>
      <c r="FI40" s="43">
        <f t="shared" si="8"/>
        <v>42</v>
      </c>
      <c r="FJ40" s="7">
        <f>((AVERAGE(C35:C40)*('Summary Page'!$C$2+1))*('Summary Page'!$C$2+1))*('Summary Page'!$C$2+1)</f>
        <v>95.995103999999969</v>
      </c>
      <c r="FK40" s="7">
        <f>((AVERAGE(C35:C40)*('Summary Page'!$C$3+1))*('Summary Page'!$C$3+1))*('Summary Page'!$C$3+1)</f>
        <v>120.1171875</v>
      </c>
      <c r="FL40" s="7">
        <f>((AVERAGE(C35:C40)*('Summary Page'!$C$4+1))*('Summary Page'!$C$4+1))*('Summary Page'!$C$4+1)</f>
        <v>106.27199999999998</v>
      </c>
      <c r="FO40" s="43">
        <f t="shared" si="15"/>
        <v>1</v>
      </c>
      <c r="FP40" s="7">
        <f>((AVERAGE(D35:D40)*('Summary Page'!$C$2+1))*('Summary Page'!$C$2+1))*('Summary Page'!$C$2+1)</f>
        <v>3.9022399999999995</v>
      </c>
      <c r="FQ40" s="7">
        <f>((AVERAGE(D35:D40)*('Summary Page'!$C$3+1))*('Summary Page'!$C$3+1))*('Summary Page'!$C$3+1)</f>
        <v>4.8828125</v>
      </c>
      <c r="FR40" s="7">
        <f>((AVERAGE(D35:D40)*('Summary Page'!$C$4+1))*('Summary Page'!$C$4+1))*('Summary Page'!$C$4+1)</f>
        <v>4.3199999999999994</v>
      </c>
      <c r="FU40" s="43">
        <f t="shared" si="16"/>
        <v>10</v>
      </c>
      <c r="FV40" s="7">
        <f>((AVERAGE(E35:E40)*('Summary Page'!$C$2+1))*('Summary Page'!$C$2+1))*('Summary Page'!$C$2+1)</f>
        <v>26.535231999999993</v>
      </c>
      <c r="FW40" s="7">
        <f>((AVERAGE(E35:E40)*('Summary Page'!$C$3+1))*('Summary Page'!$C$3+1))*('Summary Page'!$C$3+1)</f>
        <v>33.203125</v>
      </c>
      <c r="FX40" s="7">
        <f>((AVERAGE(E35:E40)*('Summary Page'!$C$4+1))*('Summary Page'!$C$4+1))*('Summary Page'!$C$4+1)</f>
        <v>29.375999999999994</v>
      </c>
      <c r="GA40" s="43">
        <f t="shared" si="17"/>
        <v>35</v>
      </c>
      <c r="GB40" s="7">
        <f>((AVERAGE(F35:F40)*('Summary Page'!$C$2+1))*('Summary Page'!$C$2+1))*('Summary Page'!$C$2+1)</f>
        <v>78.044799999999981</v>
      </c>
      <c r="GC40" s="7">
        <f>((AVERAGE(F35:F40)*('Summary Page'!$C$3+1))*('Summary Page'!$C$3+1))*('Summary Page'!$C$3+1)</f>
        <v>97.65625</v>
      </c>
      <c r="GD40" s="7">
        <f>((AVERAGE(F35:F40)*('Summary Page'!$C$4+1))*('Summary Page'!$C$4+1))*('Summary Page'!$C$4+1)</f>
        <v>86.399999999999991</v>
      </c>
      <c r="GG40" s="43">
        <f t="shared" si="18"/>
        <v>63</v>
      </c>
      <c r="GH40" s="7">
        <f>((AVERAGE(M35:M40)*('Summary Page'!$C$2+1))*('Summary Page'!$C$2+1))*('Summary Page'!$C$2+1)</f>
        <v>119.14839466666663</v>
      </c>
      <c r="GI40" s="7">
        <f>((AVERAGE(M35:M40)*('Summary Page'!$C$3+1))*('Summary Page'!$C$3+1))*('Summary Page'!$C$3+1)</f>
        <v>149.08854166666663</v>
      </c>
      <c r="GJ40" s="7">
        <f>((AVERAGE(M35:M40)*('Summary Page'!$C$4+1))*('Summary Page'!$C$4+1))*('Summary Page'!$C$4+1)</f>
        <v>131.90399999999997</v>
      </c>
      <c r="GM40" s="43">
        <f t="shared" si="19"/>
        <v>42</v>
      </c>
      <c r="GN40" s="7">
        <f>((AVERAGE(G35:G40)*('Summary Page'!$C$2+1))*('Summary Page'!$C$2+1))*('Summary Page'!$C$2+1)</f>
        <v>70.760618666666659</v>
      </c>
      <c r="GO40" s="7">
        <f>((AVERAGE(G35:G40)*('Summary Page'!$C$3+1))*('Summary Page'!$C$3+1))*('Summary Page'!$C$3+1)</f>
        <v>88.541666666666686</v>
      </c>
      <c r="GP40" s="7">
        <f>((AVERAGE(G35:G40)*('Summary Page'!$C$4+1))*('Summary Page'!$C$4+1))*('Summary Page'!$C$4+1)</f>
        <v>78.335999999999999</v>
      </c>
      <c r="GS40" s="43">
        <f t="shared" si="20"/>
        <v>35</v>
      </c>
      <c r="GT40" s="7">
        <f>((AVERAGE(H35:H40)*('Summary Page'!$C$2+1))*('Summary Page'!$C$2+1))*('Summary Page'!$C$2+1)</f>
        <v>59.574197333333316</v>
      </c>
      <c r="GU40" s="7">
        <f>((AVERAGE(H35:H40)*('Summary Page'!$C$3+1))*('Summary Page'!$C$3+1))*('Summary Page'!$C$3+1)</f>
        <v>74.544270833333314</v>
      </c>
      <c r="GV40" s="7">
        <f>((AVERAGE(H35:H40)*('Summary Page'!$C$4+1))*('Summary Page'!$C$4+1))*('Summary Page'!$C$4+1)</f>
        <v>65.951999999999984</v>
      </c>
      <c r="GY40" s="43">
        <f t="shared" si="21"/>
        <v>12</v>
      </c>
      <c r="GZ40" s="7">
        <f>((AVERAGE(J35:J40)*('Summary Page'!$C$2+1))*('Summary Page'!$C$2+1))*('Summary Page'!$C$2+1)</f>
        <v>20.291647999999995</v>
      </c>
      <c r="HA40" s="7">
        <f>((AVERAGE(J35:J40)*('Summary Page'!$C$3+1))*('Summary Page'!$C$3+1))*('Summary Page'!$C$3+1)</f>
        <v>25.390625</v>
      </c>
      <c r="HB40" s="7">
        <f>((AVERAGE(J35:J40)*('Summary Page'!$C$4+1))*('Summary Page'!$C$4+1))*('Summary Page'!$C$4+1)</f>
        <v>22.463999999999999</v>
      </c>
      <c r="HE40" s="43">
        <f t="shared" si="22"/>
        <v>23</v>
      </c>
      <c r="HF40" s="7">
        <f>((AVERAGE(K35:K40)*('Summary Page'!$C$2+1))*('Summary Page'!$C$2+1))*('Summary Page'!$C$2+1)</f>
        <v>81.426741333333325</v>
      </c>
      <c r="HG40" s="7">
        <f>((AVERAGE(K35:K40)*('Summary Page'!$C$3+1))*('Summary Page'!$C$3+1))*('Summary Page'!$C$3+1)</f>
        <v>101.88802083333331</v>
      </c>
      <c r="HH40" s="7">
        <f>((AVERAGE(K35:K40)*('Summary Page'!$C$4+1))*('Summary Page'!$C$4+1))*('Summary Page'!$C$4+1)</f>
        <v>90.143999999999991</v>
      </c>
      <c r="HL40" s="7">
        <f>((AVERAGE(L35:L40)*('Summary Page'!$C$2+1))*('Summary Page'!$C$2+1))*('Summary Page'!$C$2+1)</f>
        <v>65.557631999999984</v>
      </c>
      <c r="HM40" s="7">
        <f>((AVERAGE(L35:L40)*('Summary Page'!$C$3+1))*('Summary Page'!$C$3+1))*('Summary Page'!$C$3+1)</f>
        <v>82.03125</v>
      </c>
      <c r="HN40" s="7">
        <f>((AVERAGE(L35:L40)*('Summary Page'!$C$4+1))*('Summary Page'!$C$4+1))*('Summary Page'!$C$4+1)</f>
        <v>72.575999999999993</v>
      </c>
      <c r="HQ40" s="43">
        <f t="shared" si="39"/>
        <v>84</v>
      </c>
      <c r="HR40" s="7">
        <f>((AVERAGE(AL35:AL40)*('Summary Page'!$C$2+1))*('Summary Page'!$C$2+1))*('Summary Page'!$C$2+1)</f>
        <v>156.08959999999996</v>
      </c>
      <c r="HS40" s="7">
        <f>((AVERAGE(AL35:AL40)*('Summary Page'!$C$3+1))*('Summary Page'!$C$3+1))*('Summary Page'!$C$3+1)</f>
        <v>195.3125</v>
      </c>
      <c r="HT40" s="7">
        <f>((AVERAGE(AL35:AL40)*('Summary Page'!$C$4+1))*('Summary Page'!$C$4+1))*('Summary Page'!$C$4+1)</f>
        <v>172.79999999999998</v>
      </c>
      <c r="HU40" s="7">
        <f t="shared" si="34"/>
        <v>100</v>
      </c>
      <c r="HV40" s="16">
        <f t="shared" si="32"/>
        <v>12.913857677902621</v>
      </c>
      <c r="HW40" s="16">
        <f t="shared" si="33"/>
        <v>13.123595505617976</v>
      </c>
      <c r="HX40" s="7">
        <f t="shared" si="40"/>
        <v>13.123595505617976</v>
      </c>
      <c r="HY40" s="7">
        <f>((AVERAGE(HV29:HV40,HX29:HX40)*('Summary Page'!$C$2+1))*('Summary Page'!$C$2+1))*('Summary Page'!$C$2+1)</f>
        <v>22.935038042446937</v>
      </c>
      <c r="HZ40" s="7">
        <f>((AVERAGE(HV29:HV40,HX29:HX40)*('Summary Page'!$C$3+1))*('Summary Page'!$C$3+1))*('Summary Page'!$C$3+1)</f>
        <v>28.698258036828967</v>
      </c>
      <c r="IA40" s="7">
        <f>((AVERAGE(HV29:HV40,HX29:HX40)*('Summary Page'!$C$4+1))*('Summary Page'!$C$4+1))*('Summary Page'!$C$4+1)</f>
        <v>25.390382022471908</v>
      </c>
      <c r="IB40" s="11">
        <f t="shared" si="35"/>
        <v>15.066167290886391</v>
      </c>
      <c r="IC40" s="11">
        <f t="shared" si="26"/>
        <v>15.310861423220972</v>
      </c>
      <c r="ID40" s="11">
        <f t="shared" si="27"/>
        <v>15.310861423220972</v>
      </c>
      <c r="IE40" s="11">
        <f t="shared" si="28"/>
        <v>26.757544382854761</v>
      </c>
      <c r="IF40" s="11">
        <f t="shared" si="29"/>
        <v>33.481301042967132</v>
      </c>
      <c r="IG40" s="11">
        <f t="shared" si="30"/>
        <v>29.62211235955056</v>
      </c>
    </row>
    <row r="41" spans="1:241" ht="15.75" x14ac:dyDescent="0.25">
      <c r="A41" s="10">
        <v>44138</v>
      </c>
      <c r="B41" s="43">
        <v>7</v>
      </c>
      <c r="C41" s="43">
        <v>44</v>
      </c>
      <c r="D41" s="43">
        <v>2</v>
      </c>
      <c r="E41" s="43">
        <v>16</v>
      </c>
      <c r="F41" s="43">
        <v>37</v>
      </c>
      <c r="G41" s="43">
        <v>39</v>
      </c>
      <c r="H41" s="43">
        <v>28</v>
      </c>
      <c r="I41" s="7">
        <f t="shared" si="1"/>
        <v>30</v>
      </c>
      <c r="J41" s="43">
        <v>9</v>
      </c>
      <c r="K41" s="43">
        <v>31</v>
      </c>
      <c r="L41" s="43">
        <v>21</v>
      </c>
      <c r="M41" s="43">
        <v>77</v>
      </c>
      <c r="N41" s="43">
        <v>7</v>
      </c>
      <c r="O41" s="43">
        <v>37</v>
      </c>
      <c r="P41" s="43">
        <v>1</v>
      </c>
      <c r="Q41" s="43">
        <v>7</v>
      </c>
      <c r="R41" s="43">
        <v>37</v>
      </c>
      <c r="S41" s="43">
        <v>26</v>
      </c>
      <c r="T41" s="43">
        <v>36</v>
      </c>
      <c r="U41" s="7">
        <f t="shared" si="2"/>
        <v>26.5</v>
      </c>
      <c r="V41" s="43">
        <v>10</v>
      </c>
      <c r="W41" s="43">
        <v>24</v>
      </c>
      <c r="X41" s="43">
        <v>33</v>
      </c>
      <c r="Y41" s="81">
        <v>76</v>
      </c>
      <c r="Z41" s="43"/>
      <c r="AA41" s="43"/>
      <c r="AB41" s="43"/>
      <c r="AC41" s="43"/>
      <c r="AD41" s="43"/>
      <c r="AE41" s="43"/>
      <c r="AF41" s="43"/>
      <c r="AG41" s="7" t="e">
        <f t="shared" si="3"/>
        <v>#DIV/0!</v>
      </c>
      <c r="AH41" s="43"/>
      <c r="AI41" s="43"/>
      <c r="AJ41" s="43"/>
      <c r="AK41" s="43"/>
      <c r="AL41" s="43">
        <v>100</v>
      </c>
      <c r="AM41" s="43">
        <v>97</v>
      </c>
      <c r="AN41" s="43"/>
      <c r="AO41" s="43">
        <v>367</v>
      </c>
      <c r="AP41" s="43">
        <v>376</v>
      </c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13">
        <f t="shared" si="4"/>
        <v>32.777777777777779</v>
      </c>
      <c r="EN41" s="13">
        <f t="shared" si="9"/>
        <v>30.777777777777779</v>
      </c>
      <c r="EO41" s="13">
        <f t="shared" si="36"/>
        <v>36.93333333333333</v>
      </c>
      <c r="EP41" s="30">
        <f>((AVERAGE(EM36:EM41)*('Summary Page'!$C$2+1))*('Summary Page'!$C$2+1))*('Summary Page'!$C$2+1)</f>
        <v>62.096200592592581</v>
      </c>
      <c r="EQ41" s="7">
        <f>((AVERAGE(EM36:EM41)*('Summary Page'!$C$3+1))*('Summary Page'!$C$3+1))*('Summary Page'!$C$3+1)</f>
        <v>77.700014467592581</v>
      </c>
      <c r="ER41" s="7">
        <f>((AVERAGE(EM36:EM41)*('Summary Page'!$C$4+1))*('Summary Page'!$C$4+1))*('Summary Page'!$C$4+1)</f>
        <v>68.743999999999986</v>
      </c>
      <c r="ES41" s="7">
        <v>80</v>
      </c>
      <c r="ET41" s="13">
        <f t="shared" si="5"/>
        <v>30</v>
      </c>
      <c r="EU41" s="13">
        <f t="shared" si="11"/>
        <v>26.5</v>
      </c>
      <c r="EV41" s="13">
        <f t="shared" si="37"/>
        <v>31.799999999999997</v>
      </c>
      <c r="EW41" s="7">
        <f>((AVERAGE(ET36:ET41)*('Summary Page'!$C$2+1))*('Summary Page'!$C$2+1))*('Summary Page'!$C$2+1)</f>
        <v>53.980986666666666</v>
      </c>
      <c r="EX41" s="7">
        <f>((AVERAGE(ET36:ET41)*('Summary Page'!$C$3+1))*('Summary Page'!$C$3+1))*('Summary Page'!$C$3+1)</f>
        <v>67.545572916666686</v>
      </c>
      <c r="EY41" s="7">
        <f>((AVERAGE(ET36:ET41)*('Summary Page'!$C$4+1))*('Summary Page'!$C$4+1))*('Summary Page'!$C$4+1)</f>
        <v>59.759999999999991</v>
      </c>
      <c r="EZ41" s="13">
        <f t="shared" si="6"/>
        <v>43</v>
      </c>
      <c r="FA41" s="13">
        <f t="shared" si="13"/>
        <v>44.333333333333336</v>
      </c>
      <c r="FB41" s="13">
        <f t="shared" si="38"/>
        <v>53.2</v>
      </c>
      <c r="FC41" s="7">
        <f>((AVERAGE(EZ36:EZ41)*('Summary Page'!$C$2+1))*('Summary Page'!$C$2+1))*('Summary Page'!$C$2+1)</f>
        <v>89.274579555555547</v>
      </c>
      <c r="FD41" s="7">
        <f>((AVERAGE(EZ36:EZ41)*('Summary Page'!$C$3+1))*('Summary Page'!$C$3+1))*('Summary Page'!$C$3+1)</f>
        <v>111.70789930555556</v>
      </c>
      <c r="FE41" s="7">
        <f>((AVERAGE(EZ36:EZ41)*('Summary Page'!$C$4+1))*('Summary Page'!$C$4+1))*('Summary Page'!$C$4+1)</f>
        <v>98.831999999999994</v>
      </c>
      <c r="FF41" s="13">
        <f t="shared" si="7"/>
        <v>29.181818181818183</v>
      </c>
      <c r="FI41" s="43">
        <f t="shared" si="8"/>
        <v>37</v>
      </c>
      <c r="FJ41" s="7">
        <f>((AVERAGE(C36:C41)*('Summary Page'!$C$2+1))*('Summary Page'!$C$2+1))*('Summary Page'!$C$2+1)</f>
        <v>86.629727999999986</v>
      </c>
      <c r="FK41" s="7">
        <f>((AVERAGE(C36:C41)*('Summary Page'!$C$3+1))*('Summary Page'!$C$3+1))*('Summary Page'!$C$3+1)</f>
        <v>108.3984375</v>
      </c>
      <c r="FL41" s="7">
        <f>((AVERAGE(C36:C41)*('Summary Page'!$C$4+1))*('Summary Page'!$C$4+1))*('Summary Page'!$C$4+1)</f>
        <v>95.903999999999982</v>
      </c>
      <c r="FO41" s="43">
        <f t="shared" si="15"/>
        <v>1</v>
      </c>
      <c r="FP41" s="7">
        <f>((AVERAGE(D36:D41)*('Summary Page'!$C$2+1))*('Summary Page'!$C$2+1))*('Summary Page'!$C$2+1)</f>
        <v>3.3819413333333324</v>
      </c>
      <c r="FQ41" s="7">
        <f>((AVERAGE(D36:D41)*('Summary Page'!$C$3+1))*('Summary Page'!$C$3+1))*('Summary Page'!$C$3+1)</f>
        <v>4.2317708333333321</v>
      </c>
      <c r="FR41" s="7">
        <f>((AVERAGE(D36:D41)*('Summary Page'!$C$4+1))*('Summary Page'!$C$4+1))*('Summary Page'!$C$4+1)</f>
        <v>3.7439999999999993</v>
      </c>
      <c r="FU41" s="43">
        <f t="shared" si="16"/>
        <v>7</v>
      </c>
      <c r="FV41" s="7">
        <f>((AVERAGE(E36:E41)*('Summary Page'!$C$2+1))*('Summary Page'!$C$2+1))*('Summary Page'!$C$2+1)</f>
        <v>25.494634666666659</v>
      </c>
      <c r="FW41" s="7">
        <f>((AVERAGE(E36:E41)*('Summary Page'!$C$3+1))*('Summary Page'!$C$3+1))*('Summary Page'!$C$3+1)</f>
        <v>31.901041666666661</v>
      </c>
      <c r="FX41" s="7">
        <f>((AVERAGE(E36:E41)*('Summary Page'!$C$4+1))*('Summary Page'!$C$4+1))*('Summary Page'!$C$4+1)</f>
        <v>28.223999999999993</v>
      </c>
      <c r="GA41" s="43">
        <f t="shared" si="17"/>
        <v>37</v>
      </c>
      <c r="GB41" s="7">
        <f>((AVERAGE(F36:F41)*('Summary Page'!$C$2+1))*('Summary Page'!$C$2+1))*('Summary Page'!$C$2+1)</f>
        <v>70.240319999999983</v>
      </c>
      <c r="GC41" s="7">
        <f>((AVERAGE(F36:F41)*('Summary Page'!$C$3+1))*('Summary Page'!$C$3+1))*('Summary Page'!$C$3+1)</f>
        <v>87.890625</v>
      </c>
      <c r="GD41" s="7">
        <f>((AVERAGE(F36:F41)*('Summary Page'!$C$4+1))*('Summary Page'!$C$4+1))*('Summary Page'!$C$4+1)</f>
        <v>77.759999999999991</v>
      </c>
      <c r="GG41" s="43">
        <f t="shared" si="18"/>
        <v>76</v>
      </c>
      <c r="GH41" s="7">
        <f>((AVERAGE(M36:M41)*('Summary Page'!$C$2+1))*('Summary Page'!$C$2+1))*('Summary Page'!$C$2+1)</f>
        <v>118.62809599999999</v>
      </c>
      <c r="GI41" s="7">
        <f>((AVERAGE(M36:M41)*('Summary Page'!$C$3+1))*('Summary Page'!$C$3+1))*('Summary Page'!$C$3+1)</f>
        <v>148.4375</v>
      </c>
      <c r="GJ41" s="7">
        <f>((AVERAGE(M36:M41)*('Summary Page'!$C$4+1))*('Summary Page'!$C$4+1))*('Summary Page'!$C$4+1)</f>
        <v>131.328</v>
      </c>
      <c r="GM41" s="43">
        <f t="shared" si="19"/>
        <v>26</v>
      </c>
      <c r="GN41" s="7">
        <f>((AVERAGE(G36:G41)*('Summary Page'!$C$2+1))*('Summary Page'!$C$2+1))*('Summary Page'!$C$2+1)</f>
        <v>65.297482666666653</v>
      </c>
      <c r="GO41" s="7">
        <f>((AVERAGE(G36:G41)*('Summary Page'!$C$3+1))*('Summary Page'!$C$3+1))*('Summary Page'!$C$3+1)</f>
        <v>81.705729166666686</v>
      </c>
      <c r="GP41" s="7">
        <f>((AVERAGE(G36:G41)*('Summary Page'!$C$4+1))*('Summary Page'!$C$4+1))*('Summary Page'!$C$4+1)</f>
        <v>72.287999999999997</v>
      </c>
      <c r="GS41" s="43">
        <f t="shared" si="20"/>
        <v>36</v>
      </c>
      <c r="GT41" s="7">
        <f>((AVERAGE(H36:H41)*('Summary Page'!$C$2+1))*('Summary Page'!$C$2+1))*('Summary Page'!$C$2+1)</f>
        <v>54.891509333333325</v>
      </c>
      <c r="GU41" s="7">
        <f>((AVERAGE(H36:H41)*('Summary Page'!$C$3+1))*('Summary Page'!$C$3+1))*('Summary Page'!$C$3+1)</f>
        <v>68.684895833333314</v>
      </c>
      <c r="GV41" s="7">
        <f>((AVERAGE(H36:H41)*('Summary Page'!$C$4+1))*('Summary Page'!$C$4+1))*('Summary Page'!$C$4+1)</f>
        <v>60.767999999999986</v>
      </c>
      <c r="GY41" s="43">
        <f t="shared" si="21"/>
        <v>10</v>
      </c>
      <c r="GZ41" s="7">
        <f>((AVERAGE(J36:J41)*('Summary Page'!$C$2+1))*('Summary Page'!$C$2+1))*('Summary Page'!$C$2+1)</f>
        <v>18.470602666666665</v>
      </c>
      <c r="HA41" s="7">
        <f>((AVERAGE(J36:J41)*('Summary Page'!$C$3+1))*('Summary Page'!$C$3+1))*('Summary Page'!$C$3+1)</f>
        <v>23.111979166666671</v>
      </c>
      <c r="HB41" s="7">
        <f>((AVERAGE(J36:J41)*('Summary Page'!$C$4+1))*('Summary Page'!$C$4+1))*('Summary Page'!$C$4+1)</f>
        <v>20.447999999999997</v>
      </c>
      <c r="HE41" s="43">
        <f t="shared" si="22"/>
        <v>24</v>
      </c>
      <c r="HF41" s="7">
        <f>((AVERAGE(K36:K41)*('Summary Page'!$C$2+1))*('Summary Page'!$C$2+1))*('Summary Page'!$C$2+1)</f>
        <v>73.101962666666651</v>
      </c>
      <c r="HG41" s="7">
        <f>((AVERAGE(K36:K41)*('Summary Page'!$C$3+1))*('Summary Page'!$C$3+1))*('Summary Page'!$C$3+1)</f>
        <v>91.471354166666686</v>
      </c>
      <c r="HH41" s="7">
        <f>((AVERAGE(K36:K41)*('Summary Page'!$C$4+1))*('Summary Page'!$C$4+1))*('Summary Page'!$C$4+1)</f>
        <v>80.927999999999997</v>
      </c>
      <c r="HL41" s="7">
        <f>((AVERAGE(L36:L41)*('Summary Page'!$C$2+1))*('Summary Page'!$C$2+1))*('Summary Page'!$C$2+1)</f>
        <v>54.631359999999987</v>
      </c>
      <c r="HM41" s="7">
        <f>((AVERAGE(L36:L41)*('Summary Page'!$C$3+1))*('Summary Page'!$C$3+1))*('Summary Page'!$C$3+1)</f>
        <v>68.359375</v>
      </c>
      <c r="HN41" s="7">
        <f>((AVERAGE(L36:L41)*('Summary Page'!$C$4+1))*('Summary Page'!$C$4+1))*('Summary Page'!$C$4+1)</f>
        <v>60.48</v>
      </c>
      <c r="HQ41" s="43">
        <f t="shared" si="39"/>
        <v>97</v>
      </c>
      <c r="HR41" s="7">
        <f>((AVERAGE(AL36:AL41)*('Summary Page'!$C$2+1))*('Summary Page'!$C$2+1))*('Summary Page'!$C$2+1)</f>
        <v>150.36631466666663</v>
      </c>
      <c r="HS41" s="7">
        <f>((AVERAGE(AL36:AL41)*('Summary Page'!$C$3+1))*('Summary Page'!$C$3+1))*('Summary Page'!$C$3+1)</f>
        <v>188.15104166666663</v>
      </c>
      <c r="HT41" s="7">
        <f>((AVERAGE(AL36:AL41)*('Summary Page'!$C$4+1))*('Summary Page'!$C$4+1))*('Summary Page'!$C$4+1)</f>
        <v>166.464</v>
      </c>
      <c r="HU41" s="7">
        <f t="shared" si="34"/>
        <v>100</v>
      </c>
      <c r="HV41" s="16">
        <f t="shared" si="32"/>
        <v>10.996254681647939</v>
      </c>
      <c r="HW41" s="16">
        <f t="shared" si="33"/>
        <v>11.265917602996254</v>
      </c>
      <c r="HX41" s="7">
        <f t="shared" si="40"/>
        <v>11.265917602996254</v>
      </c>
      <c r="HY41" s="7">
        <f>((AVERAGE(HV30:HV41,HX30:HX41)*('Summary Page'!$C$2+1))*('Summary Page'!$C$2+1))*('Summary Page'!$C$2+1)</f>
        <v>22.420585428214732</v>
      </c>
      <c r="HZ41" s="7">
        <f>((AVERAGE(HV30:HV41,HX30:HX41)*('Summary Page'!$C$3+1))*('Summary Page'!$C$3+1))*('Summary Page'!$C$3+1)</f>
        <v>28.054531445068665</v>
      </c>
      <c r="IA41" s="7">
        <f>((AVERAGE(HV30:HV41,HX30:HX41)*('Summary Page'!$C$4+1))*('Summary Page'!$C$4+1))*('Summary Page'!$C$4+1)</f>
        <v>24.820853932584271</v>
      </c>
      <c r="IB41" s="11">
        <f t="shared" si="35"/>
        <v>12.828963795255929</v>
      </c>
      <c r="IC41" s="11">
        <f t="shared" si="26"/>
        <v>13.143570536828962</v>
      </c>
      <c r="ID41" s="11">
        <f t="shared" si="27"/>
        <v>13.143570536828962</v>
      </c>
      <c r="IE41" s="11">
        <f t="shared" si="28"/>
        <v>26.157349666250521</v>
      </c>
      <c r="IF41" s="11">
        <f t="shared" si="29"/>
        <v>32.730286685913441</v>
      </c>
      <c r="IG41" s="11">
        <f t="shared" si="30"/>
        <v>28.957662921348316</v>
      </c>
    </row>
    <row r="42" spans="1:241" ht="15.75" x14ac:dyDescent="0.25">
      <c r="A42" s="10">
        <v>44166</v>
      </c>
      <c r="B42" s="43">
        <v>7</v>
      </c>
      <c r="C42" s="43">
        <v>43</v>
      </c>
      <c r="D42" s="43">
        <v>1</v>
      </c>
      <c r="E42" s="43">
        <v>15</v>
      </c>
      <c r="F42" s="43">
        <v>29</v>
      </c>
      <c r="G42" s="43">
        <v>24</v>
      </c>
      <c r="H42" s="43">
        <v>28</v>
      </c>
      <c r="I42" s="7">
        <f t="shared" si="1"/>
        <v>24</v>
      </c>
      <c r="J42" s="43">
        <v>12</v>
      </c>
      <c r="K42" s="43">
        <v>25</v>
      </c>
      <c r="L42" s="43">
        <v>27</v>
      </c>
      <c r="M42" s="43">
        <v>77</v>
      </c>
      <c r="N42" s="43">
        <v>5</v>
      </c>
      <c r="O42" s="43">
        <v>33</v>
      </c>
      <c r="P42" s="43">
        <v>1</v>
      </c>
      <c r="Q42" s="43">
        <v>6</v>
      </c>
      <c r="R42" s="43">
        <v>37</v>
      </c>
      <c r="S42" s="43">
        <v>31</v>
      </c>
      <c r="T42" s="43">
        <v>26</v>
      </c>
      <c r="U42" s="7">
        <f t="shared" si="2"/>
        <v>25</v>
      </c>
      <c r="V42" s="43">
        <v>12</v>
      </c>
      <c r="W42" s="43">
        <v>21</v>
      </c>
      <c r="X42" s="43">
        <v>24</v>
      </c>
      <c r="Y42" s="81">
        <v>54</v>
      </c>
      <c r="Z42" s="43"/>
      <c r="AA42" s="43"/>
      <c r="AB42" s="43"/>
      <c r="AC42" s="43"/>
      <c r="AD42" s="43"/>
      <c r="AE42" s="43"/>
      <c r="AF42" s="43"/>
      <c r="AG42" s="7" t="e">
        <f t="shared" si="3"/>
        <v>#DIV/0!</v>
      </c>
      <c r="AH42" s="43"/>
      <c r="AI42" s="43"/>
      <c r="AJ42" s="43"/>
      <c r="AK42" s="43"/>
      <c r="AL42" s="43">
        <v>102</v>
      </c>
      <c r="AM42" s="43">
        <v>85</v>
      </c>
      <c r="AN42" s="43"/>
      <c r="AO42" s="43">
        <v>361</v>
      </c>
      <c r="AP42" s="43">
        <v>382</v>
      </c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13">
        <f t="shared" si="4"/>
        <v>29.888888888888889</v>
      </c>
      <c r="EN42" s="13">
        <f t="shared" si="9"/>
        <v>25.888888888888889</v>
      </c>
      <c r="EO42" s="13">
        <f t="shared" si="36"/>
        <v>31.066666666666666</v>
      </c>
      <c r="EP42" s="30">
        <f>((AVERAGE(EM37:EM42)*('Summary Page'!$C$2+1))*('Summary Page'!$C$2+1))*('Summary Page'!$C$2+1)</f>
        <v>55.661117777777768</v>
      </c>
      <c r="EQ42" s="7">
        <f>((AVERAGE(EM37:EM42)*('Summary Page'!$C$3+1))*('Summary Page'!$C$3+1))*('Summary Page'!$C$3+1)</f>
        <v>69.647894965277771</v>
      </c>
      <c r="ER42" s="7">
        <f>((AVERAGE(EM37:EM42)*('Summary Page'!$C$4+1))*('Summary Page'!$C$4+1))*('Summary Page'!$C$4+1)</f>
        <v>61.61999999999999</v>
      </c>
      <c r="ES42" s="7">
        <v>80</v>
      </c>
      <c r="ET42" s="13">
        <f t="shared" si="5"/>
        <v>24</v>
      </c>
      <c r="EU42" s="13">
        <f t="shared" si="11"/>
        <v>25</v>
      </c>
      <c r="EV42" s="13">
        <f t="shared" si="37"/>
        <v>30</v>
      </c>
      <c r="EW42" s="7">
        <f>((AVERAGE(ET37:ET42)*('Summary Page'!$C$2+1))*('Summary Page'!$C$2+1))*('Summary Page'!$C$2+1)</f>
        <v>47.217103999999985</v>
      </c>
      <c r="EX42" s="7">
        <f>((AVERAGE(ET37:ET42)*('Summary Page'!$C$3+1))*('Summary Page'!$C$3+1))*('Summary Page'!$C$3+1)</f>
        <v>59.08203125</v>
      </c>
      <c r="EY42" s="7">
        <f>((AVERAGE(ET37:ET42)*('Summary Page'!$C$4+1))*('Summary Page'!$C$4+1))*('Summary Page'!$C$4+1)</f>
        <v>52.271999999999991</v>
      </c>
      <c r="EZ42" s="13">
        <f t="shared" si="6"/>
        <v>43</v>
      </c>
      <c r="FA42" s="13">
        <f t="shared" si="13"/>
        <v>33</v>
      </c>
      <c r="FB42" s="13">
        <f t="shared" si="38"/>
        <v>39.6</v>
      </c>
      <c r="FC42" s="7">
        <f>((AVERAGE(EZ37:EZ42)*('Summary Page'!$C$2+1))*('Summary Page'!$C$2+1))*('Summary Page'!$C$2+1)</f>
        <v>81.860323555555524</v>
      </c>
      <c r="FD42" s="7">
        <f>((AVERAGE(EZ37:EZ42)*('Summary Page'!$C$3+1))*('Summary Page'!$C$3+1))*('Summary Page'!$C$3+1)</f>
        <v>102.43055555555554</v>
      </c>
      <c r="FE42" s="7">
        <f>((AVERAGE(EZ37:EZ42)*('Summary Page'!$C$4+1))*('Summary Page'!$C$4+1))*('Summary Page'!$C$4+1)</f>
        <v>90.623999999999981</v>
      </c>
      <c r="FF42" s="13">
        <f t="shared" si="7"/>
        <v>26.09090909090909</v>
      </c>
      <c r="FI42" s="43">
        <f t="shared" si="8"/>
        <v>33</v>
      </c>
      <c r="FJ42" s="7">
        <f>((AVERAGE(C37:C42)*('Summary Page'!$C$2+1))*('Summary Page'!$C$2+1))*('Summary Page'!$C$2+1)</f>
        <v>73.622261333333313</v>
      </c>
      <c r="FK42" s="7">
        <f>((AVERAGE(C37:C42)*('Summary Page'!$C$3+1))*('Summary Page'!$C$3+1))*('Summary Page'!$C$3+1)</f>
        <v>92.122395833333314</v>
      </c>
      <c r="FL42" s="7">
        <f>((AVERAGE(C37:C42)*('Summary Page'!$C$4+1))*('Summary Page'!$C$4+1))*('Summary Page'!$C$4+1)</f>
        <v>81.503999999999976</v>
      </c>
      <c r="FO42" s="43">
        <f t="shared" si="15"/>
        <v>1</v>
      </c>
      <c r="FP42" s="7">
        <f>((AVERAGE(D37:D42)*('Summary Page'!$C$2+1))*('Summary Page'!$C$2+1))*('Summary Page'!$C$2+1)</f>
        <v>3.3819413333333324</v>
      </c>
      <c r="FQ42" s="7">
        <f>((AVERAGE(D37:D42)*('Summary Page'!$C$3+1))*('Summary Page'!$C$3+1))*('Summary Page'!$C$3+1)</f>
        <v>4.2317708333333321</v>
      </c>
      <c r="FR42" s="7">
        <f>((AVERAGE(D37:D42)*('Summary Page'!$C$4+1))*('Summary Page'!$C$4+1))*('Summary Page'!$C$4+1)</f>
        <v>3.7439999999999993</v>
      </c>
      <c r="FU42" s="43">
        <f t="shared" si="16"/>
        <v>6</v>
      </c>
      <c r="FV42" s="7">
        <f>((AVERAGE(E37:E42)*('Summary Page'!$C$2+1))*('Summary Page'!$C$2+1))*('Summary Page'!$C$2+1)</f>
        <v>24.454037333333329</v>
      </c>
      <c r="FW42" s="7">
        <f>((AVERAGE(E37:E42)*('Summary Page'!$C$3+1))*('Summary Page'!$C$3+1))*('Summary Page'!$C$3+1)</f>
        <v>30.598958333333329</v>
      </c>
      <c r="FX42" s="7">
        <f>((AVERAGE(E37:E42)*('Summary Page'!$C$4+1))*('Summary Page'!$C$4+1))*('Summary Page'!$C$4+1)</f>
        <v>27.071999999999992</v>
      </c>
      <c r="GA42" s="43">
        <f t="shared" si="17"/>
        <v>37</v>
      </c>
      <c r="GB42" s="7">
        <f>((AVERAGE(F37:F42)*('Summary Page'!$C$2+1))*('Summary Page'!$C$2+1))*('Summary Page'!$C$2+1)</f>
        <v>61.395242666666661</v>
      </c>
      <c r="GC42" s="7">
        <f>((AVERAGE(F37:F42)*('Summary Page'!$C$3+1))*('Summary Page'!$C$3+1))*('Summary Page'!$C$3+1)</f>
        <v>76.822916666666686</v>
      </c>
      <c r="GD42" s="7">
        <f>((AVERAGE(F37:F42)*('Summary Page'!$C$4+1))*('Summary Page'!$C$4+1))*('Summary Page'!$C$4+1)</f>
        <v>67.968000000000004</v>
      </c>
      <c r="GG42" s="43">
        <f t="shared" si="18"/>
        <v>54</v>
      </c>
      <c r="GH42" s="7">
        <f>((AVERAGE(M37:M42)*('Summary Page'!$C$2+1))*('Summary Page'!$C$2+1))*('Summary Page'!$C$2+1)</f>
        <v>118.62809599999999</v>
      </c>
      <c r="GI42" s="7">
        <f>((AVERAGE(M37:M42)*('Summary Page'!$C$3+1))*('Summary Page'!$C$3+1))*('Summary Page'!$C$3+1)</f>
        <v>148.4375</v>
      </c>
      <c r="GJ42" s="7">
        <f>((AVERAGE(M37:M42)*('Summary Page'!$C$4+1))*('Summary Page'!$C$4+1))*('Summary Page'!$C$4+1)</f>
        <v>131.328</v>
      </c>
      <c r="GM42" s="43">
        <f t="shared" si="19"/>
        <v>31</v>
      </c>
      <c r="GN42" s="7">
        <f>((AVERAGE(G37:G42)*('Summary Page'!$C$2+1))*('Summary Page'!$C$2+1))*('Summary Page'!$C$2+1)</f>
        <v>55.151658666666656</v>
      </c>
      <c r="GO42" s="7">
        <f>((AVERAGE(G37:G42)*('Summary Page'!$C$3+1))*('Summary Page'!$C$3+1))*('Summary Page'!$C$3+1)</f>
        <v>69.010416666666686</v>
      </c>
      <c r="GP42" s="7">
        <f>((AVERAGE(G37:G42)*('Summary Page'!$C$4+1))*('Summary Page'!$C$4+1))*('Summary Page'!$C$4+1)</f>
        <v>61.05599999999999</v>
      </c>
      <c r="GS42" s="43">
        <f t="shared" si="20"/>
        <v>26</v>
      </c>
      <c r="GT42" s="7">
        <f>((AVERAGE(H37:H42)*('Summary Page'!$C$2+1))*('Summary Page'!$C$2+1))*('Summary Page'!$C$2+1)</f>
        <v>47.867477333333326</v>
      </c>
      <c r="GU42" s="7">
        <f>((AVERAGE(H37:H42)*('Summary Page'!$C$3+1))*('Summary Page'!$C$3+1))*('Summary Page'!$C$3+1)</f>
        <v>59.895833333333343</v>
      </c>
      <c r="GV42" s="7">
        <f>((AVERAGE(H37:H42)*('Summary Page'!$C$4+1))*('Summary Page'!$C$4+1))*('Summary Page'!$C$4+1)</f>
        <v>52.991999999999997</v>
      </c>
      <c r="GY42" s="43">
        <f t="shared" si="21"/>
        <v>12</v>
      </c>
      <c r="GZ42" s="7">
        <f>((AVERAGE(J37:J42)*('Summary Page'!$C$2+1))*('Summary Page'!$C$2+1))*('Summary Page'!$C$2+1)</f>
        <v>15.348810666666665</v>
      </c>
      <c r="HA42" s="7">
        <f>((AVERAGE(J37:J42)*('Summary Page'!$C$3+1))*('Summary Page'!$C$3+1))*('Summary Page'!$C$3+1)</f>
        <v>19.205729166666671</v>
      </c>
      <c r="HB42" s="7">
        <f>((AVERAGE(J37:J42)*('Summary Page'!$C$4+1))*('Summary Page'!$C$4+1))*('Summary Page'!$C$4+1)</f>
        <v>16.992000000000001</v>
      </c>
      <c r="HE42" s="43">
        <f t="shared" si="22"/>
        <v>21</v>
      </c>
      <c r="HF42" s="7">
        <f>((AVERAGE(K37:K42)*('Summary Page'!$C$2+1))*('Summary Page'!$C$2+1))*('Summary Page'!$C$2+1)</f>
        <v>62.435839999999992</v>
      </c>
      <c r="HG42" s="7">
        <f>((AVERAGE(K37:K42)*('Summary Page'!$C$3+1))*('Summary Page'!$C$3+1))*('Summary Page'!$C$3+1)</f>
        <v>78.125</v>
      </c>
      <c r="HH42" s="7">
        <f>((AVERAGE(K37:K42)*('Summary Page'!$C$4+1))*('Summary Page'!$C$4+1))*('Summary Page'!$C$4+1)</f>
        <v>69.11999999999999</v>
      </c>
      <c r="HL42" s="7">
        <f>((AVERAGE(L37:L42)*('Summary Page'!$C$2+1))*('Summary Page'!$C$2+1))*('Summary Page'!$C$2+1)</f>
        <v>51.50956799999998</v>
      </c>
      <c r="HM42" s="7">
        <f>((AVERAGE(L37:L42)*('Summary Page'!$C$3+1))*('Summary Page'!$C$3+1))*('Summary Page'!$C$3+1)</f>
        <v>64.453125</v>
      </c>
      <c r="HN42" s="7">
        <f>((AVERAGE(L37:L42)*('Summary Page'!$C$4+1))*('Summary Page'!$C$4+1))*('Summary Page'!$C$4+1)</f>
        <v>57.024000000000001</v>
      </c>
      <c r="HQ42" s="43">
        <f t="shared" si="39"/>
        <v>85</v>
      </c>
      <c r="HR42" s="7">
        <f>((AVERAGE(AL37:AL42)*('Summary Page'!$C$2+1))*('Summary Page'!$C$2+1))*('Summary Page'!$C$2+1)</f>
        <v>149.58586666666665</v>
      </c>
      <c r="HS42" s="7">
        <f>((AVERAGE(AL37:AL42)*('Summary Page'!$C$3+1))*('Summary Page'!$C$3+1))*('Summary Page'!$C$3+1)</f>
        <v>187.17447916666663</v>
      </c>
      <c r="HT42" s="7">
        <f>((AVERAGE(AL37:AL42)*('Summary Page'!$C$4+1))*('Summary Page'!$C$4+1))*('Summary Page'!$C$4+1)</f>
        <v>165.59999999999997</v>
      </c>
      <c r="HU42" s="7">
        <f t="shared" si="34"/>
        <v>100</v>
      </c>
      <c r="HV42" s="16">
        <f t="shared" si="32"/>
        <v>10.816479400749063</v>
      </c>
      <c r="HW42" s="16">
        <f t="shared" si="33"/>
        <v>11.445692883895131</v>
      </c>
      <c r="HX42" s="7">
        <f t="shared" si="40"/>
        <v>11.445692883895131</v>
      </c>
      <c r="HY42" s="7">
        <f>((AVERAGE(HV31:HV42,HX31:HX42)*('Summary Page'!$C$2+1))*('Summary Page'!$C$2+1))*('Summary Page'!$C$2+1)</f>
        <v>22.194538067415724</v>
      </c>
      <c r="HZ42" s="7">
        <f>((AVERAGE(HV31:HV42,HX31:HX42)*('Summary Page'!$C$3+1))*('Summary Page'!$C$3+1))*('Summary Page'!$C$3+1)</f>
        <v>27.77168188202247</v>
      </c>
      <c r="IA42" s="7">
        <f>((AVERAGE(HV31:HV42,HX31:HX42)*('Summary Page'!$C$4+1))*('Summary Page'!$C$4+1))*('Summary Page'!$C$4+1)</f>
        <v>24.570606741573034</v>
      </c>
      <c r="IB42" s="11">
        <f t="shared" si="35"/>
        <v>12.619225967540574</v>
      </c>
      <c r="IC42" s="11">
        <f t="shared" si="26"/>
        <v>13.353308364544318</v>
      </c>
      <c r="ID42" s="11">
        <f t="shared" si="27"/>
        <v>13.353308364544318</v>
      </c>
      <c r="IE42" s="11">
        <f t="shared" si="28"/>
        <v>25.893627745318344</v>
      </c>
      <c r="IF42" s="11">
        <f t="shared" si="29"/>
        <v>32.400295529026216</v>
      </c>
      <c r="IG42" s="11">
        <f t="shared" si="30"/>
        <v>28.665707865168539</v>
      </c>
    </row>
    <row r="43" spans="1:241" ht="15.75" x14ac:dyDescent="0.25">
      <c r="A43" s="10">
        <v>44230</v>
      </c>
      <c r="B43" s="43">
        <v>14</v>
      </c>
      <c r="C43" s="43">
        <v>53</v>
      </c>
      <c r="D43" s="43">
        <v>2</v>
      </c>
      <c r="E43" s="43">
        <v>12</v>
      </c>
      <c r="F43" s="43">
        <v>38</v>
      </c>
      <c r="G43" s="43">
        <v>31</v>
      </c>
      <c r="H43" s="43">
        <v>30</v>
      </c>
      <c r="I43" s="7">
        <f t="shared" si="1"/>
        <v>27.75</v>
      </c>
      <c r="J43" s="43">
        <v>13</v>
      </c>
      <c r="K43" s="43">
        <v>21</v>
      </c>
      <c r="L43" s="43">
        <v>27.5</v>
      </c>
      <c r="M43" s="43">
        <v>52</v>
      </c>
      <c r="N43" s="43">
        <v>13</v>
      </c>
      <c r="O43" s="43">
        <v>37</v>
      </c>
      <c r="P43" s="43">
        <v>2</v>
      </c>
      <c r="Q43" s="43">
        <v>5</v>
      </c>
      <c r="R43" s="43">
        <v>35</v>
      </c>
      <c r="S43" s="43">
        <v>30</v>
      </c>
      <c r="T43" s="43">
        <v>31</v>
      </c>
      <c r="U43" s="7">
        <f t="shared" si="2"/>
        <v>25.25</v>
      </c>
      <c r="V43" s="43">
        <v>10</v>
      </c>
      <c r="W43" s="43">
        <v>30</v>
      </c>
      <c r="X43" s="43">
        <v>30.5</v>
      </c>
      <c r="Y43" s="81">
        <v>45</v>
      </c>
      <c r="Z43" s="43"/>
      <c r="AA43" s="43"/>
      <c r="AB43" s="43"/>
      <c r="AC43" s="43"/>
      <c r="AD43" s="43"/>
      <c r="AE43" s="43"/>
      <c r="AF43" s="43"/>
      <c r="AG43" s="7" t="e">
        <f t="shared" si="3"/>
        <v>#DIV/0!</v>
      </c>
      <c r="AH43" s="43"/>
      <c r="AI43" s="43"/>
      <c r="AJ43" s="43"/>
      <c r="AK43" s="43"/>
      <c r="AL43" s="43">
        <v>99</v>
      </c>
      <c r="AM43" s="43">
        <v>90</v>
      </c>
      <c r="AN43" s="43"/>
      <c r="AO43" s="43">
        <v>378</v>
      </c>
      <c r="AP43" s="43">
        <v>394</v>
      </c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13">
        <f t="shared" si="4"/>
        <v>29.611111111111111</v>
      </c>
      <c r="EN43" s="13">
        <f t="shared" si="9"/>
        <v>27.277777777777779</v>
      </c>
      <c r="EO43" s="13">
        <f t="shared" si="36"/>
        <v>32.733333333333334</v>
      </c>
      <c r="EP43" s="30">
        <f>((AVERAGE(EM38:EM43)*('Summary Page'!$C$2+1))*('Summary Page'!$C$2+1))*('Summary Page'!$C$2+1)</f>
        <v>52.438156592592577</v>
      </c>
      <c r="EQ43" s="7">
        <f>((AVERAGE(EM38:EM43)*('Summary Page'!$C$3+1))*('Summary Page'!$C$3+1))*('Summary Page'!$C$3+1)</f>
        <v>65.615053530092581</v>
      </c>
      <c r="ER43" s="7">
        <f>((AVERAGE(EM38:EM43)*('Summary Page'!$C$4+1))*('Summary Page'!$C$4+1))*('Summary Page'!$C$4+1)</f>
        <v>58.051999999999985</v>
      </c>
      <c r="ES43" s="7">
        <v>80</v>
      </c>
      <c r="ET43" s="13">
        <f t="shared" si="5"/>
        <v>27.75</v>
      </c>
      <c r="EU43" s="13">
        <f t="shared" si="11"/>
        <v>25.25</v>
      </c>
      <c r="EV43" s="13">
        <f t="shared" si="37"/>
        <v>30.299999999999997</v>
      </c>
      <c r="EW43" s="7">
        <f>((AVERAGE(ET38:ET43)*('Summary Page'!$C$2+1))*('Summary Page'!$C$2+1))*('Summary Page'!$C$2+1)</f>
        <v>44.290423999999994</v>
      </c>
      <c r="EX43" s="7">
        <f>((AVERAGE(ET38:ET43)*('Summary Page'!$C$3+1))*('Summary Page'!$C$3+1))*('Summary Page'!$C$3+1)</f>
        <v>55.419921875</v>
      </c>
      <c r="EY43" s="7">
        <f>((AVERAGE(ET38:ET43)*('Summary Page'!$C$4+1))*('Summary Page'!$C$4+1))*('Summary Page'!$C$4+1)</f>
        <v>49.031999999999989</v>
      </c>
      <c r="EZ43" s="13">
        <f t="shared" si="6"/>
        <v>33.5</v>
      </c>
      <c r="FA43" s="13">
        <f t="shared" si="13"/>
        <v>35.166666666666664</v>
      </c>
      <c r="FB43" s="13">
        <f t="shared" si="38"/>
        <v>42.199999999999996</v>
      </c>
      <c r="FC43" s="7">
        <f>((AVERAGE(EZ38:EZ43)*('Summary Page'!$C$2+1))*('Summary Page'!$C$2+1))*('Summary Page'!$C$2+1)</f>
        <v>74.315992888888857</v>
      </c>
      <c r="FD43" s="7">
        <f>((AVERAGE(EZ38:EZ43)*('Summary Page'!$C$3+1))*('Summary Page'!$C$3+1))*('Summary Page'!$C$3+1)</f>
        <v>92.990451388888886</v>
      </c>
      <c r="FE43" s="7">
        <f>((AVERAGE(EZ38:EZ43)*('Summary Page'!$C$4+1))*('Summary Page'!$C$4+1))*('Summary Page'!$C$4+1)</f>
        <v>82.271999999999977</v>
      </c>
      <c r="FF43" s="13">
        <f t="shared" si="7"/>
        <v>25.022727272727273</v>
      </c>
      <c r="FI43" s="43">
        <f t="shared" si="8"/>
        <v>37</v>
      </c>
      <c r="FJ43" s="7">
        <f>((AVERAGE(C38:C43)*('Summary Page'!$C$2+1))*('Summary Page'!$C$2+1))*('Summary Page'!$C$2+1)</f>
        <v>73.622261333333313</v>
      </c>
      <c r="FK43" s="7">
        <f>((AVERAGE(C38:C43)*('Summary Page'!$C$3+1))*('Summary Page'!$C$3+1))*('Summary Page'!$C$3+1)</f>
        <v>92.122395833333314</v>
      </c>
      <c r="FL43" s="7">
        <f>((AVERAGE(C38:C43)*('Summary Page'!$C$4+1))*('Summary Page'!$C$4+1))*('Summary Page'!$C$4+1)</f>
        <v>81.503999999999976</v>
      </c>
      <c r="FO43" s="43">
        <f t="shared" si="15"/>
        <v>2</v>
      </c>
      <c r="FP43" s="7">
        <f>((AVERAGE(D38:D43)*('Summary Page'!$C$2+1))*('Summary Page'!$C$2+1))*('Summary Page'!$C$2+1)</f>
        <v>3.3819413333333324</v>
      </c>
      <c r="FQ43" s="7">
        <f>((AVERAGE(D38:D43)*('Summary Page'!$C$3+1))*('Summary Page'!$C$3+1))*('Summary Page'!$C$3+1)</f>
        <v>4.2317708333333321</v>
      </c>
      <c r="FR43" s="7">
        <f>((AVERAGE(D38:D43)*('Summary Page'!$C$4+1))*('Summary Page'!$C$4+1))*('Summary Page'!$C$4+1)</f>
        <v>3.7439999999999993</v>
      </c>
      <c r="FU43" s="43">
        <f t="shared" si="16"/>
        <v>5</v>
      </c>
      <c r="FV43" s="7">
        <f>((AVERAGE(E38:E43)*('Summary Page'!$C$2+1))*('Summary Page'!$C$2+1))*('Summary Page'!$C$2+1)</f>
        <v>22.893141333333329</v>
      </c>
      <c r="FW43" s="7">
        <f>((AVERAGE(E38:E43)*('Summary Page'!$C$3+1))*('Summary Page'!$C$3+1))*('Summary Page'!$C$3+1)</f>
        <v>28.645833333333329</v>
      </c>
      <c r="FX43" s="7">
        <f>((AVERAGE(E38:E43)*('Summary Page'!$C$4+1))*('Summary Page'!$C$4+1))*('Summary Page'!$C$4+1)</f>
        <v>25.343999999999998</v>
      </c>
      <c r="GA43" s="43">
        <f t="shared" si="17"/>
        <v>35</v>
      </c>
      <c r="GB43" s="7">
        <f>((AVERAGE(F38:F43)*('Summary Page'!$C$2+1))*('Summary Page'!$C$2+1))*('Summary Page'!$C$2+1)</f>
        <v>56.712554666666662</v>
      </c>
      <c r="GC43" s="7">
        <f>((AVERAGE(F38:F43)*('Summary Page'!$C$3+1))*('Summary Page'!$C$3+1))*('Summary Page'!$C$3+1)</f>
        <v>70.963541666666686</v>
      </c>
      <c r="GD43" s="7">
        <f>((AVERAGE(F38:F43)*('Summary Page'!$C$4+1))*('Summary Page'!$C$4+1))*('Summary Page'!$C$4+1)</f>
        <v>62.783999999999999</v>
      </c>
      <c r="GG43" s="43">
        <f t="shared" si="18"/>
        <v>45</v>
      </c>
      <c r="GH43" s="7">
        <f>((AVERAGE(M38:M43)*('Summary Page'!$C$2+1))*('Summary Page'!$C$2+1))*('Summary Page'!$C$2+1)</f>
        <v>113.94540799999997</v>
      </c>
      <c r="GI43" s="7">
        <f>((AVERAGE(M38:M43)*('Summary Page'!$C$3+1))*('Summary Page'!$C$3+1))*('Summary Page'!$C$3+1)</f>
        <v>142.578125</v>
      </c>
      <c r="GJ43" s="7">
        <f>((AVERAGE(M38:M43)*('Summary Page'!$C$4+1))*('Summary Page'!$C$4+1))*('Summary Page'!$C$4+1)</f>
        <v>126.14399999999998</v>
      </c>
      <c r="GM43" s="43">
        <f t="shared" si="19"/>
        <v>30</v>
      </c>
      <c r="GN43" s="7">
        <f>((AVERAGE(G38:G43)*('Summary Page'!$C$2+1))*('Summary Page'!$C$2+1))*('Summary Page'!$C$2+1)</f>
        <v>52.550165333333318</v>
      </c>
      <c r="GO43" s="7">
        <f>((AVERAGE(G38:G43)*('Summary Page'!$C$3+1))*('Summary Page'!$C$3+1))*('Summary Page'!$C$3+1)</f>
        <v>65.755208333333314</v>
      </c>
      <c r="GP43" s="7">
        <f>((AVERAGE(G38:G43)*('Summary Page'!$C$4+1))*('Summary Page'!$C$4+1))*('Summary Page'!$C$4+1)</f>
        <v>58.175999999999995</v>
      </c>
      <c r="GS43" s="43">
        <f t="shared" si="20"/>
        <v>31</v>
      </c>
      <c r="GT43" s="7">
        <f>((AVERAGE(H38:H43)*('Summary Page'!$C$2+1))*('Summary Page'!$C$2+1))*('Summary Page'!$C$2+1)</f>
        <v>45.005834666666665</v>
      </c>
      <c r="GU43" s="7">
        <f>((AVERAGE(H38:H43)*('Summary Page'!$C$3+1))*('Summary Page'!$C$3+1))*('Summary Page'!$C$3+1)</f>
        <v>56.315104166666657</v>
      </c>
      <c r="GV43" s="7">
        <f>((AVERAGE(H38:H43)*('Summary Page'!$C$4+1))*('Summary Page'!$C$4+1))*('Summary Page'!$C$4+1)</f>
        <v>49.823999999999984</v>
      </c>
      <c r="GY43" s="43">
        <f t="shared" si="21"/>
        <v>10</v>
      </c>
      <c r="GZ43" s="7">
        <f>((AVERAGE(J38:J43)*('Summary Page'!$C$2+1))*('Summary Page'!$C$2+1))*('Summary Page'!$C$2+1)</f>
        <v>14.308213333333329</v>
      </c>
      <c r="HA43" s="7">
        <f>((AVERAGE(J38:J43)*('Summary Page'!$C$3+1))*('Summary Page'!$C$3+1))*('Summary Page'!$C$3+1)</f>
        <v>17.903645833333329</v>
      </c>
      <c r="HB43" s="7">
        <f>((AVERAGE(J38:J43)*('Summary Page'!$C$4+1))*('Summary Page'!$C$4+1))*('Summary Page'!$C$4+1)</f>
        <v>15.839999999999996</v>
      </c>
      <c r="HE43" s="43">
        <f t="shared" si="22"/>
        <v>30</v>
      </c>
      <c r="HF43" s="7">
        <f>((AVERAGE(K38:K43)*('Summary Page'!$C$2+1))*('Summary Page'!$C$2+1))*('Summary Page'!$C$2+1)</f>
        <v>53.590762666666656</v>
      </c>
      <c r="HG43" s="7">
        <f>((AVERAGE(K38:K43)*('Summary Page'!$C$3+1))*('Summary Page'!$C$3+1))*('Summary Page'!$C$3+1)</f>
        <v>67.057291666666686</v>
      </c>
      <c r="HH43" s="7">
        <f>((AVERAGE(K38:K43)*('Summary Page'!$C$4+1))*('Summary Page'!$C$4+1))*('Summary Page'!$C$4+1)</f>
        <v>59.328000000000003</v>
      </c>
      <c r="HL43" s="7">
        <f>((AVERAGE(L38:L43)*('Summary Page'!$C$2+1))*('Summary Page'!$C$2+1))*('Summary Page'!$C$2+1)</f>
        <v>49.792582399999993</v>
      </c>
      <c r="HM43" s="7">
        <f>((AVERAGE(L38:L43)*('Summary Page'!$C$3+1))*('Summary Page'!$C$3+1))*('Summary Page'!$C$3+1)</f>
        <v>62.3046875</v>
      </c>
      <c r="HN43" s="7">
        <f>((AVERAGE(L38:L43)*('Summary Page'!$C$4+1))*('Summary Page'!$C$4+1))*('Summary Page'!$C$4+1)</f>
        <v>55.12319999999999</v>
      </c>
      <c r="HQ43" s="43">
        <f t="shared" si="39"/>
        <v>90</v>
      </c>
      <c r="HR43" s="7">
        <f>((AVERAGE(AL38:AL43)*('Summary Page'!$C$2+1))*('Summary Page'!$C$2+1))*('Summary Page'!$C$2+1)</f>
        <v>153.74825599999997</v>
      </c>
      <c r="HS43" s="7">
        <f>((AVERAGE(AL38:AL43)*('Summary Page'!$C$3+1))*('Summary Page'!$C$3+1))*('Summary Page'!$C$3+1)</f>
        <v>192.3828125</v>
      </c>
      <c r="HT43" s="7">
        <f>((AVERAGE(AL38:AL43)*('Summary Page'!$C$4+1))*('Summary Page'!$C$4+1))*('Summary Page'!$C$4+1)</f>
        <v>170.20799999999997</v>
      </c>
      <c r="HU43" s="7">
        <f t="shared" si="34"/>
        <v>100</v>
      </c>
      <c r="HV43" s="16">
        <f t="shared" si="32"/>
        <v>11.325842696629213</v>
      </c>
      <c r="HW43" s="16">
        <f t="shared" si="33"/>
        <v>11.805243445692884</v>
      </c>
      <c r="HX43" s="7">
        <f t="shared" si="40"/>
        <v>11.805243445692884</v>
      </c>
      <c r="HY43" s="7">
        <f>((AVERAGE(HV32:HV43,HX32:HX43)*('Summary Page'!$C$2+1))*('Summary Page'!$C$2+1))*('Summary Page'!$C$2+1)</f>
        <v>21.756084134831461</v>
      </c>
      <c r="HZ43" s="7">
        <f>((AVERAGE(HV32:HV43,HX32:HX43)*('Summary Page'!$C$3+1))*('Summary Page'!$C$3+1))*('Summary Page'!$C$3+1)</f>
        <v>27.223051264044944</v>
      </c>
      <c r="IA43" s="7">
        <f>((AVERAGE(HV32:HV43,HX32:HX43)*('Summary Page'!$C$4+1))*('Summary Page'!$C$4+1))*('Summary Page'!$C$4+1)</f>
        <v>24.08521348314607</v>
      </c>
      <c r="IB43" s="11">
        <f t="shared" si="35"/>
        <v>13.213483146067414</v>
      </c>
      <c r="IC43" s="11">
        <f t="shared" si="26"/>
        <v>13.772784019975031</v>
      </c>
      <c r="ID43" s="11">
        <f t="shared" si="27"/>
        <v>13.772784019975031</v>
      </c>
      <c r="IE43" s="11">
        <f t="shared" si="28"/>
        <v>25.382098157303371</v>
      </c>
      <c r="IF43" s="11">
        <f t="shared" si="29"/>
        <v>31.760226474719101</v>
      </c>
      <c r="IG43" s="11">
        <f t="shared" si="30"/>
        <v>28.099415730337082</v>
      </c>
    </row>
    <row r="44" spans="1:241" ht="15.75" x14ac:dyDescent="0.25">
      <c r="A44" s="10">
        <v>44292</v>
      </c>
      <c r="B44" s="43">
        <v>12</v>
      </c>
      <c r="C44" s="43">
        <v>31</v>
      </c>
      <c r="D44" s="43">
        <v>2</v>
      </c>
      <c r="E44" s="43">
        <v>16</v>
      </c>
      <c r="F44" s="43">
        <v>41</v>
      </c>
      <c r="G44" s="43">
        <v>30</v>
      </c>
      <c r="H44" s="43">
        <v>26</v>
      </c>
      <c r="I44" s="7">
        <f t="shared" si="1"/>
        <v>28.25</v>
      </c>
      <c r="J44" s="43">
        <v>8</v>
      </c>
      <c r="K44" s="43">
        <v>24</v>
      </c>
      <c r="L44" s="43">
        <v>28</v>
      </c>
      <c r="M44" s="43">
        <v>55</v>
      </c>
      <c r="N44" s="43">
        <v>10</v>
      </c>
      <c r="O44" s="43">
        <v>33</v>
      </c>
      <c r="P44" s="43">
        <v>1</v>
      </c>
      <c r="Q44" s="43">
        <v>21</v>
      </c>
      <c r="R44" s="43">
        <v>43</v>
      </c>
      <c r="S44" s="43">
        <v>37</v>
      </c>
      <c r="T44" s="43">
        <v>29</v>
      </c>
      <c r="U44" s="7">
        <f t="shared" si="2"/>
        <v>32.5</v>
      </c>
      <c r="V44" s="43">
        <v>10</v>
      </c>
      <c r="W44" s="43">
        <v>32</v>
      </c>
      <c r="X44" s="43">
        <v>30.5</v>
      </c>
      <c r="Y44" s="81">
        <v>37</v>
      </c>
      <c r="Z44" s="43"/>
      <c r="AA44" s="43"/>
      <c r="AB44" s="43"/>
      <c r="AC44" s="43"/>
      <c r="AD44" s="43"/>
      <c r="AE44" s="43"/>
      <c r="AF44" s="43"/>
      <c r="AG44" s="7" t="e">
        <f t="shared" si="3"/>
        <v>#DIV/0!</v>
      </c>
      <c r="AH44" s="43"/>
      <c r="AI44" s="43"/>
      <c r="AJ44" s="43"/>
      <c r="AK44" s="43"/>
      <c r="AL44" s="43">
        <v>100</v>
      </c>
      <c r="AM44" s="43">
        <v>101</v>
      </c>
      <c r="AN44" s="43"/>
      <c r="AO44" s="43">
        <v>364</v>
      </c>
      <c r="AP44" s="43">
        <v>370</v>
      </c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13">
        <f t="shared" si="4"/>
        <v>28.111111111111111</v>
      </c>
      <c r="EN44" s="13">
        <f t="shared" si="9"/>
        <v>29.277777777777779</v>
      </c>
      <c r="EO44" s="13">
        <f t="shared" si="36"/>
        <v>35.133333333333333</v>
      </c>
      <c r="EP44" s="30">
        <f>((AVERAGE(EM39:EM44)*('Summary Page'!$C$2+1))*('Summary Page'!$C$2+1))*('Summary Page'!$C$2+1)</f>
        <v>51.003722074074062</v>
      </c>
      <c r="EQ44" s="7">
        <f>((AVERAGE(EM39:EM44)*('Summary Page'!$C$3+1))*('Summary Page'!$C$3+1))*('Summary Page'!$C$3+1)</f>
        <v>63.820167824074062</v>
      </c>
      <c r="ER44" s="7">
        <f>((AVERAGE(EM39:EM44)*('Summary Page'!$C$4+1))*('Summary Page'!$C$4+1))*('Summary Page'!$C$4+1)</f>
        <v>56.463999999999992</v>
      </c>
      <c r="ES44" s="7">
        <v>80</v>
      </c>
      <c r="ET44" s="13">
        <f t="shared" si="5"/>
        <v>28.25</v>
      </c>
      <c r="EU44" s="13">
        <f t="shared" si="11"/>
        <v>32.5</v>
      </c>
      <c r="EV44" s="13">
        <f t="shared" si="37"/>
        <v>39</v>
      </c>
      <c r="EW44" s="7">
        <f>((AVERAGE(ET39:ET44)*('Summary Page'!$C$2+1))*('Summary Page'!$C$2+1))*('Summary Page'!$C$2+1)</f>
        <v>43.249826666666657</v>
      </c>
      <c r="EX44" s="7">
        <f>((AVERAGE(ET39:ET44)*('Summary Page'!$C$3+1))*('Summary Page'!$C$3+1))*('Summary Page'!$C$3+1)</f>
        <v>54.117838541666657</v>
      </c>
      <c r="EY44" s="7">
        <f>((AVERAGE(ET39:ET44)*('Summary Page'!$C$4+1))*('Summary Page'!$C$4+1))*('Summary Page'!$C$4+1)</f>
        <v>47.879999999999995</v>
      </c>
      <c r="EZ44" s="13">
        <f t="shared" si="6"/>
        <v>35.666666666666664</v>
      </c>
      <c r="FA44" s="13">
        <f t="shared" si="13"/>
        <v>33.166666666666664</v>
      </c>
      <c r="FB44" s="13">
        <f t="shared" si="38"/>
        <v>39.799999999999997</v>
      </c>
      <c r="FC44" s="7">
        <f>((AVERAGE(EZ39:EZ44)*('Summary Page'!$C$2+1))*('Summary Page'!$C$2+1))*('Summary Page'!$C$2+1)</f>
        <v>69.676663111111083</v>
      </c>
      <c r="FD44" s="7">
        <f>((AVERAGE(EZ39:EZ44)*('Summary Page'!$C$3+1))*('Summary Page'!$C$3+1))*('Summary Page'!$C$3+1)</f>
        <v>87.185329861111114</v>
      </c>
      <c r="FE44" s="7">
        <f>((AVERAGE(EZ39:EZ44)*('Summary Page'!$C$4+1))*('Summary Page'!$C$4+1))*('Summary Page'!$C$4+1)</f>
        <v>77.135999999999981</v>
      </c>
      <c r="FF44" s="13">
        <f t="shared" si="7"/>
        <v>25.65909090909091</v>
      </c>
      <c r="FI44" s="43">
        <f t="shared" si="8"/>
        <v>33</v>
      </c>
      <c r="FJ44" s="7">
        <f>((AVERAGE(C39:C44)*('Summary Page'!$C$2+1))*('Summary Page'!$C$2+1))*('Summary Page'!$C$2+1)</f>
        <v>73.622261333333313</v>
      </c>
      <c r="FK44" s="7">
        <f>((AVERAGE(C39:C44)*('Summary Page'!$C$3+1))*('Summary Page'!$C$3+1))*('Summary Page'!$C$3+1)</f>
        <v>92.122395833333314</v>
      </c>
      <c r="FL44" s="7">
        <f>((AVERAGE(C39:C44)*('Summary Page'!$C$4+1))*('Summary Page'!$C$4+1))*('Summary Page'!$C$4+1)</f>
        <v>81.503999999999976</v>
      </c>
      <c r="FO44" s="43">
        <f t="shared" si="15"/>
        <v>1</v>
      </c>
      <c r="FP44" s="7">
        <f>((AVERAGE(D39:D44)*('Summary Page'!$C$2+1))*('Summary Page'!$C$2+1))*('Summary Page'!$C$2+1)</f>
        <v>3.3819413333333324</v>
      </c>
      <c r="FQ44" s="7">
        <f>((AVERAGE(D39:D44)*('Summary Page'!$C$3+1))*('Summary Page'!$C$3+1))*('Summary Page'!$C$3+1)</f>
        <v>4.2317708333333321</v>
      </c>
      <c r="FR44" s="7">
        <f>((AVERAGE(D39:D44)*('Summary Page'!$C$4+1))*('Summary Page'!$C$4+1))*('Summary Page'!$C$4+1)</f>
        <v>3.7439999999999993</v>
      </c>
      <c r="FU44" s="43">
        <f t="shared" si="16"/>
        <v>21</v>
      </c>
      <c r="FV44" s="7">
        <f>((AVERAGE(E39:E44)*('Summary Page'!$C$2+1))*('Summary Page'!$C$2+1))*('Summary Page'!$C$2+1)</f>
        <v>22.632991999999998</v>
      </c>
      <c r="FW44" s="7">
        <f>((AVERAGE(E39:E44)*('Summary Page'!$C$3+1))*('Summary Page'!$C$3+1))*('Summary Page'!$C$3+1)</f>
        <v>28.3203125</v>
      </c>
      <c r="FX44" s="7">
        <f>((AVERAGE(E39:E44)*('Summary Page'!$C$4+1))*('Summary Page'!$C$4+1))*('Summary Page'!$C$4+1)</f>
        <v>25.055999999999997</v>
      </c>
      <c r="GA44" s="43">
        <f t="shared" si="17"/>
        <v>43</v>
      </c>
      <c r="GB44" s="7">
        <f>((AVERAGE(F39:F44)*('Summary Page'!$C$2+1))*('Summary Page'!$C$2+1))*('Summary Page'!$C$2+1)</f>
        <v>56.192255999999986</v>
      </c>
      <c r="GC44" s="7">
        <f>((AVERAGE(F39:F44)*('Summary Page'!$C$3+1))*('Summary Page'!$C$3+1))*('Summary Page'!$C$3+1)</f>
        <v>70.3125</v>
      </c>
      <c r="GD44" s="7">
        <f>((AVERAGE(F39:F44)*('Summary Page'!$C$4+1))*('Summary Page'!$C$4+1))*('Summary Page'!$C$4+1)</f>
        <v>62.207999999999991</v>
      </c>
      <c r="GG44" s="43">
        <f t="shared" si="18"/>
        <v>37</v>
      </c>
      <c r="GH44" s="7">
        <f>((AVERAGE(M39:M44)*('Summary Page'!$C$2+1))*('Summary Page'!$C$2+1))*('Summary Page'!$C$2+1)</f>
        <v>114.46570666666663</v>
      </c>
      <c r="GI44" s="7">
        <f>((AVERAGE(M39:M44)*('Summary Page'!$C$3+1))*('Summary Page'!$C$3+1))*('Summary Page'!$C$3+1)</f>
        <v>143.22916666666663</v>
      </c>
      <c r="GJ44" s="7">
        <f>((AVERAGE(M39:M44)*('Summary Page'!$C$4+1))*('Summary Page'!$C$4+1))*('Summary Page'!$C$4+1)</f>
        <v>126.71999999999997</v>
      </c>
      <c r="GM44" s="43">
        <f t="shared" si="19"/>
        <v>37</v>
      </c>
      <c r="GN44" s="7">
        <f>((AVERAGE(G39:G44)*('Summary Page'!$C$2+1))*('Summary Page'!$C$2+1))*('Summary Page'!$C$2+1)</f>
        <v>50.208821333333319</v>
      </c>
      <c r="GO44" s="7">
        <f>((AVERAGE(G39:G44)*('Summary Page'!$C$3+1))*('Summary Page'!$C$3+1))*('Summary Page'!$C$3+1)</f>
        <v>62.825520833333321</v>
      </c>
      <c r="GP44" s="7">
        <f>((AVERAGE(G39:G44)*('Summary Page'!$C$4+1))*('Summary Page'!$C$4+1))*('Summary Page'!$C$4+1)</f>
        <v>55.583999999999989</v>
      </c>
      <c r="GS44" s="43">
        <f t="shared" si="20"/>
        <v>29</v>
      </c>
      <c r="GT44" s="7">
        <f>((AVERAGE(H39:H44)*('Summary Page'!$C$2+1))*('Summary Page'!$C$2+1))*('Summary Page'!$C$2+1)</f>
        <v>43.965237333333327</v>
      </c>
      <c r="GU44" s="7">
        <f>((AVERAGE(H39:H44)*('Summary Page'!$C$3+1))*('Summary Page'!$C$3+1))*('Summary Page'!$C$3+1)</f>
        <v>55.013020833333343</v>
      </c>
      <c r="GV44" s="7">
        <f>((AVERAGE(H39:H44)*('Summary Page'!$C$4+1))*('Summary Page'!$C$4+1))*('Summary Page'!$C$4+1)</f>
        <v>48.67199999999999</v>
      </c>
      <c r="GY44" s="43">
        <f t="shared" si="21"/>
        <v>10</v>
      </c>
      <c r="GZ44" s="7">
        <f>((AVERAGE(J39:J44)*('Summary Page'!$C$2+1))*('Summary Page'!$C$2+1))*('Summary Page'!$C$2+1)</f>
        <v>14.568362666666664</v>
      </c>
      <c r="HA44" s="7">
        <f>((AVERAGE(J39:J44)*('Summary Page'!$C$3+1))*('Summary Page'!$C$3+1))*('Summary Page'!$C$3+1)</f>
        <v>18.229166666666671</v>
      </c>
      <c r="HB44" s="7">
        <f>((AVERAGE(J39:J44)*('Summary Page'!$C$4+1))*('Summary Page'!$C$4+1))*('Summary Page'!$C$4+1)</f>
        <v>16.128</v>
      </c>
      <c r="HE44" s="43">
        <f t="shared" si="22"/>
        <v>32</v>
      </c>
      <c r="HF44" s="7">
        <f>((AVERAGE(K39:K44)*('Summary Page'!$C$2+1))*('Summary Page'!$C$2+1))*('Summary Page'!$C$2+1)</f>
        <v>45.786282666666658</v>
      </c>
      <c r="HG44" s="7">
        <f>((AVERAGE(K39:K44)*('Summary Page'!$C$3+1))*('Summary Page'!$C$3+1))*('Summary Page'!$C$3+1)</f>
        <v>57.291666666666657</v>
      </c>
      <c r="HH44" s="7">
        <f>((AVERAGE(K39:K44)*('Summary Page'!$C$4+1))*('Summary Page'!$C$4+1))*('Summary Page'!$C$4+1)</f>
        <v>50.687999999999995</v>
      </c>
      <c r="HL44" s="7">
        <f>((AVERAGE(L39:L44)*('Summary Page'!$C$2+1))*('Summary Page'!$C$2+1))*('Summary Page'!$C$2+1)</f>
        <v>48.777999999999992</v>
      </c>
      <c r="HM44" s="7">
        <f>((AVERAGE(L39:L44)*('Summary Page'!$C$3+1))*('Summary Page'!$C$3+1))*('Summary Page'!$C$3+1)</f>
        <v>61.03515625</v>
      </c>
      <c r="HN44" s="7">
        <f>((AVERAGE(L39:L44)*('Summary Page'!$C$4+1))*('Summary Page'!$C$4+1))*('Summary Page'!$C$4+1)</f>
        <v>54</v>
      </c>
      <c r="HQ44" s="43">
        <f t="shared" si="39"/>
        <v>101</v>
      </c>
      <c r="HR44" s="7">
        <f>((AVERAGE(AL39:AL44)*('Summary Page'!$C$2+1))*('Summary Page'!$C$2+1))*('Summary Page'!$C$2+1)</f>
        <v>157.65049599999998</v>
      </c>
      <c r="HS44" s="7">
        <f>((AVERAGE(AL39:AL44)*('Summary Page'!$C$3+1))*('Summary Page'!$C$3+1))*('Summary Page'!$C$3+1)</f>
        <v>197.265625</v>
      </c>
      <c r="HT44" s="7">
        <f>((AVERAGE(AL39:AL44)*('Summary Page'!$C$4+1))*('Summary Page'!$C$4+1))*('Summary Page'!$C$4+1)</f>
        <v>174.52799999999996</v>
      </c>
      <c r="HU44" s="7">
        <f t="shared" si="34"/>
        <v>100</v>
      </c>
      <c r="HV44" s="16">
        <f t="shared" si="32"/>
        <v>10.906367041198502</v>
      </c>
      <c r="HW44" s="16">
        <f t="shared" si="33"/>
        <v>11.086142322097379</v>
      </c>
      <c r="HX44" s="7">
        <f t="shared" si="40"/>
        <v>11.086142322097379</v>
      </c>
      <c r="HY44" s="7">
        <f>((AVERAGE(HV33:HV44,HX33:HX44)*('Summary Page'!$C$2+1))*('Summary Page'!$C$2+1))*('Summary Page'!$C$2+1)</f>
        <v>21.194863101123591</v>
      </c>
      <c r="HZ44" s="7">
        <f>((AVERAGE(HV33:HV44,HX33:HX44)*('Summary Page'!$C$3+1))*('Summary Page'!$C$3+1))*('Summary Page'!$C$3+1)</f>
        <v>26.520804073033712</v>
      </c>
      <c r="IA44" s="7">
        <f>((AVERAGE(HV33:HV44,HX33:HX44)*('Summary Page'!$C$4+1))*('Summary Page'!$C$4+1))*('Summary Page'!$C$4+1)</f>
        <v>23.463910112359549</v>
      </c>
      <c r="IB44" s="11">
        <f t="shared" si="35"/>
        <v>12.724094881398251</v>
      </c>
      <c r="IC44" s="11">
        <f t="shared" si="26"/>
        <v>12.933832709113609</v>
      </c>
      <c r="ID44" s="11">
        <f t="shared" si="27"/>
        <v>12.933832709113609</v>
      </c>
      <c r="IE44" s="11">
        <f t="shared" si="28"/>
        <v>24.727340284644189</v>
      </c>
      <c r="IF44" s="11">
        <f t="shared" si="29"/>
        <v>30.940938085206</v>
      </c>
      <c r="IG44" s="11">
        <f t="shared" si="30"/>
        <v>27.374561797752808</v>
      </c>
    </row>
    <row r="45" spans="1:241" ht="15.75" x14ac:dyDescent="0.25">
      <c r="A45" s="10">
        <v>44363</v>
      </c>
      <c r="B45" s="43">
        <v>18</v>
      </c>
      <c r="C45" s="43">
        <v>61</v>
      </c>
      <c r="D45" s="43">
        <v>3</v>
      </c>
      <c r="E45" s="43">
        <v>23</v>
      </c>
      <c r="F45" s="43">
        <v>80</v>
      </c>
      <c r="G45" s="43">
        <v>50</v>
      </c>
      <c r="H45" s="43">
        <v>55</v>
      </c>
      <c r="I45" s="7">
        <f t="shared" si="1"/>
        <v>52</v>
      </c>
      <c r="J45" s="43">
        <v>11</v>
      </c>
      <c r="K45" s="43">
        <v>36</v>
      </c>
      <c r="L45" s="43">
        <v>51.5</v>
      </c>
      <c r="M45" s="43">
        <v>61.5</v>
      </c>
      <c r="N45" s="43">
        <v>24</v>
      </c>
      <c r="O45" s="43">
        <v>36</v>
      </c>
      <c r="P45" s="43">
        <v>3</v>
      </c>
      <c r="Q45" s="43">
        <v>17</v>
      </c>
      <c r="R45" s="43">
        <v>63</v>
      </c>
      <c r="S45" s="43">
        <v>69</v>
      </c>
      <c r="T45" s="43">
        <v>44</v>
      </c>
      <c r="U45" s="7">
        <f t="shared" si="2"/>
        <v>48.25</v>
      </c>
      <c r="V45" s="43">
        <v>8</v>
      </c>
      <c r="W45" s="43">
        <v>34</v>
      </c>
      <c r="X45" s="43">
        <v>74</v>
      </c>
      <c r="Y45" s="81">
        <v>80</v>
      </c>
      <c r="Z45" s="43"/>
      <c r="AA45" s="43"/>
      <c r="AB45" s="43"/>
      <c r="AC45" s="43"/>
      <c r="AD45" s="43"/>
      <c r="AE45" s="43"/>
      <c r="AF45" s="43"/>
      <c r="AG45" s="7" t="e">
        <f t="shared" si="3"/>
        <v>#DIV/0!</v>
      </c>
      <c r="AH45" s="43"/>
      <c r="AI45" s="43"/>
      <c r="AJ45" s="43"/>
      <c r="AK45" s="43"/>
      <c r="AL45" s="43">
        <v>158</v>
      </c>
      <c r="AM45" s="43">
        <v>159</v>
      </c>
      <c r="AN45" s="43"/>
      <c r="AO45" s="43">
        <v>400.5</v>
      </c>
      <c r="AP45" s="43">
        <v>394</v>
      </c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13">
        <f t="shared" si="4"/>
        <v>46.777777777777779</v>
      </c>
      <c r="EN45" s="13">
        <f t="shared" si="9"/>
        <v>46.666666666666664</v>
      </c>
      <c r="EO45" s="13">
        <f t="shared" si="36"/>
        <v>55.999999999999993</v>
      </c>
      <c r="EP45" s="30">
        <f>((AVERAGE(EM40:EM45)*('Summary Page'!$C$2+1))*('Summary Page'!$C$2+1))*('Summary Page'!$C$2+1)</f>
        <v>53.547404444444425</v>
      </c>
      <c r="EQ45" s="7">
        <f>((AVERAGE(EM40:EM45)*('Summary Page'!$C$3+1))*('Summary Page'!$C$3+1))*('Summary Page'!$C$3+1)</f>
        <v>67.003038194444429</v>
      </c>
      <c r="ER45" s="7">
        <f>((AVERAGE(EM40:EM45)*('Summary Page'!$C$4+1))*('Summary Page'!$C$4+1))*('Summary Page'!$C$4+1)</f>
        <v>59.27999999999998</v>
      </c>
      <c r="ES45" s="7">
        <v>80</v>
      </c>
      <c r="ET45" s="13">
        <f t="shared" si="5"/>
        <v>52</v>
      </c>
      <c r="EU45" s="13">
        <f t="shared" si="11"/>
        <v>48.25</v>
      </c>
      <c r="EV45" s="13">
        <f t="shared" si="37"/>
        <v>57.9</v>
      </c>
      <c r="EW45" s="7">
        <f>((AVERAGE(ET40:ET45)*('Summary Page'!$C$2+1))*('Summary Page'!$C$2+1))*('Summary Page'!$C$2+1)</f>
        <v>49.753559999999986</v>
      </c>
      <c r="EX45" s="7">
        <f>((AVERAGE(ET40:ET45)*('Summary Page'!$C$3+1))*('Summary Page'!$C$3+1))*('Summary Page'!$C$3+1)</f>
        <v>62.255859375</v>
      </c>
      <c r="EY45" s="7">
        <f>((AVERAGE(ET40:ET45)*('Summary Page'!$C$4+1))*('Summary Page'!$C$4+1))*('Summary Page'!$C$4+1)</f>
        <v>55.08</v>
      </c>
      <c r="EZ45" s="13">
        <f t="shared" si="6"/>
        <v>49.666666666666664</v>
      </c>
      <c r="FA45" s="13">
        <f t="shared" si="13"/>
        <v>62.666666666666664</v>
      </c>
      <c r="FB45" s="13">
        <f t="shared" si="38"/>
        <v>75.199999999999989</v>
      </c>
      <c r="FC45" s="7">
        <f>((AVERAGE(EZ40:EZ45)*('Summary Page'!$C$2+1))*('Summary Page'!$C$2+1))*('Summary Page'!$C$2+1)</f>
        <v>68.029050666666649</v>
      </c>
      <c r="FD45" s="7">
        <f>((AVERAGE(EZ40:EZ45)*('Summary Page'!$C$3+1))*('Summary Page'!$C$3+1))*('Summary Page'!$C$3+1)</f>
        <v>85.123697916666686</v>
      </c>
      <c r="FE45" s="7">
        <f>((AVERAGE(EZ40:EZ45)*('Summary Page'!$C$4+1))*('Summary Page'!$C$4+1))*('Summary Page'!$C$4+1)</f>
        <v>75.311999999999998</v>
      </c>
      <c r="FF45" s="13">
        <f t="shared" si="7"/>
        <v>41.727272727272727</v>
      </c>
      <c r="FI45" s="43">
        <f t="shared" si="8"/>
        <v>36</v>
      </c>
      <c r="FJ45" s="7">
        <f>((AVERAGE(C40:C45)*('Summary Page'!$C$2+1))*('Summary Page'!$C$2+1))*('Summary Page'!$C$2+1)</f>
        <v>75.443306666666643</v>
      </c>
      <c r="FK45" s="7">
        <f>((AVERAGE(C40:C45)*('Summary Page'!$C$3+1))*('Summary Page'!$C$3+1))*('Summary Page'!$C$3+1)</f>
        <v>94.401041666666686</v>
      </c>
      <c r="FL45" s="7">
        <f>((AVERAGE(C40:C45)*('Summary Page'!$C$4+1))*('Summary Page'!$C$4+1))*('Summary Page'!$C$4+1)</f>
        <v>83.52</v>
      </c>
      <c r="FO45" s="43">
        <f t="shared" si="15"/>
        <v>3</v>
      </c>
      <c r="FP45" s="7">
        <f>((AVERAGE(D40:D45)*('Summary Page'!$C$2+1))*('Summary Page'!$C$2+1))*('Summary Page'!$C$2+1)</f>
        <v>3.3819413333333324</v>
      </c>
      <c r="FQ45" s="7">
        <f>((AVERAGE(D40:D45)*('Summary Page'!$C$3+1))*('Summary Page'!$C$3+1))*('Summary Page'!$C$3+1)</f>
        <v>4.2317708333333321</v>
      </c>
      <c r="FR45" s="7">
        <f>((AVERAGE(D40:D45)*('Summary Page'!$C$4+1))*('Summary Page'!$C$4+1))*('Summary Page'!$C$4+1)</f>
        <v>3.7439999999999993</v>
      </c>
      <c r="FU45" s="43">
        <f t="shared" si="16"/>
        <v>17</v>
      </c>
      <c r="FV45" s="7">
        <f>((AVERAGE(E40:E45)*('Summary Page'!$C$2+1))*('Summary Page'!$C$2+1))*('Summary Page'!$C$2+1)</f>
        <v>24.974335999999997</v>
      </c>
      <c r="FW45" s="7">
        <f>((AVERAGE(E40:E45)*('Summary Page'!$C$3+1))*('Summary Page'!$C$3+1))*('Summary Page'!$C$3+1)</f>
        <v>31.25</v>
      </c>
      <c r="FX45" s="7">
        <f>((AVERAGE(E40:E45)*('Summary Page'!$C$4+1))*('Summary Page'!$C$4+1))*('Summary Page'!$C$4+1)</f>
        <v>27.648</v>
      </c>
      <c r="GA45" s="43">
        <f t="shared" si="17"/>
        <v>63</v>
      </c>
      <c r="GB45" s="7">
        <f>((AVERAGE(F40:F45)*('Summary Page'!$C$2+1))*('Summary Page'!$C$2+1))*('Summary Page'!$C$2+1)</f>
        <v>68.679423999999983</v>
      </c>
      <c r="GC45" s="7">
        <f>((AVERAGE(F40:F45)*('Summary Page'!$C$3+1))*('Summary Page'!$C$3+1))*('Summary Page'!$C$3+1)</f>
        <v>85.9375</v>
      </c>
      <c r="GD45" s="7">
        <f>((AVERAGE(F40:F45)*('Summary Page'!$C$4+1))*('Summary Page'!$C$4+1))*('Summary Page'!$C$4+1)</f>
        <v>76.031999999999982</v>
      </c>
      <c r="GG45" s="43">
        <f t="shared" si="18"/>
        <v>80</v>
      </c>
      <c r="GH45" s="7">
        <f>((AVERAGE(M40:M45)*('Summary Page'!$C$2+1))*('Summary Page'!$C$2+1))*('Summary Page'!$C$2+1)</f>
        <v>107.05145066666664</v>
      </c>
      <c r="GI45" s="7">
        <f>((AVERAGE(M40:M45)*('Summary Page'!$C$3+1))*('Summary Page'!$C$3+1))*('Summary Page'!$C$3+1)</f>
        <v>133.95182291666663</v>
      </c>
      <c r="GJ45" s="7">
        <f>((AVERAGE(M40:M45)*('Summary Page'!$C$4+1))*('Summary Page'!$C$4+1))*('Summary Page'!$C$4+1)</f>
        <v>118.51199999999999</v>
      </c>
      <c r="GM45" s="43">
        <f t="shared" si="19"/>
        <v>69</v>
      </c>
      <c r="GN45" s="7">
        <f>((AVERAGE(G40:G45)*('Summary Page'!$C$2+1))*('Summary Page'!$C$2+1))*('Summary Page'!$C$2+1)</f>
        <v>53.850911999999987</v>
      </c>
      <c r="GO45" s="7">
        <f>((AVERAGE(G40:G45)*('Summary Page'!$C$3+1))*('Summary Page'!$C$3+1))*('Summary Page'!$C$3+1)</f>
        <v>67.3828125</v>
      </c>
      <c r="GP45" s="7">
        <f>((AVERAGE(G40:G45)*('Summary Page'!$C$4+1))*('Summary Page'!$C$4+1))*('Summary Page'!$C$4+1)</f>
        <v>59.616</v>
      </c>
      <c r="GS45" s="43">
        <f t="shared" si="20"/>
        <v>44</v>
      </c>
      <c r="GT45" s="7">
        <f>((AVERAGE(H40:H45)*('Summary Page'!$C$2+1))*('Summary Page'!$C$2+1))*('Summary Page'!$C$2+1)</f>
        <v>51.50956799999998</v>
      </c>
      <c r="GU45" s="7">
        <f>((AVERAGE(H40:H45)*('Summary Page'!$C$3+1))*('Summary Page'!$C$3+1))*('Summary Page'!$C$3+1)</f>
        <v>64.453125</v>
      </c>
      <c r="GV45" s="7">
        <f>((AVERAGE(H40:H45)*('Summary Page'!$C$4+1))*('Summary Page'!$C$4+1))*('Summary Page'!$C$4+1)</f>
        <v>57.024000000000001</v>
      </c>
      <c r="GY45" s="43">
        <f t="shared" si="21"/>
        <v>8</v>
      </c>
      <c r="GZ45" s="7">
        <f>((AVERAGE(J40:J45)*('Summary Page'!$C$2+1))*('Summary Page'!$C$2+1))*('Summary Page'!$C$2+1)</f>
        <v>15.869109333333327</v>
      </c>
      <c r="HA45" s="7">
        <f>((AVERAGE(J40:J45)*('Summary Page'!$C$3+1))*('Summary Page'!$C$3+1))*('Summary Page'!$C$3+1)</f>
        <v>19.856770833333329</v>
      </c>
      <c r="HB45" s="7">
        <f>((AVERAGE(J40:J45)*('Summary Page'!$C$4+1))*('Summary Page'!$C$4+1))*('Summary Page'!$C$4+1)</f>
        <v>17.567999999999998</v>
      </c>
      <c r="HE45" s="43">
        <f t="shared" si="22"/>
        <v>34</v>
      </c>
      <c r="HF45" s="7">
        <f>((AVERAGE(K40:K45)*('Summary Page'!$C$2+1))*('Summary Page'!$C$2+1))*('Summary Page'!$C$2+1)</f>
        <v>45.005834666666665</v>
      </c>
      <c r="HG45" s="7">
        <f>((AVERAGE(K40:K45)*('Summary Page'!$C$3+1))*('Summary Page'!$C$3+1))*('Summary Page'!$C$3+1)</f>
        <v>56.315104166666657</v>
      </c>
      <c r="HH45" s="7">
        <f>((AVERAGE(K40:K45)*('Summary Page'!$C$4+1))*('Summary Page'!$C$4+1))*('Summary Page'!$C$4+1)</f>
        <v>49.823999999999984</v>
      </c>
      <c r="HL45" s="7">
        <f>((AVERAGE(L40:L45)*('Summary Page'!$C$2+1))*('Summary Page'!$C$2+1))*('Summary Page'!$C$2+1)</f>
        <v>52.029866666666656</v>
      </c>
      <c r="HM45" s="7">
        <f>((AVERAGE(L40:L45)*('Summary Page'!$C$3+1))*('Summary Page'!$C$3+1))*('Summary Page'!$C$3+1)</f>
        <v>65.104166666666686</v>
      </c>
      <c r="HN45" s="7">
        <f>((AVERAGE(L40:L45)*('Summary Page'!$C$4+1))*('Summary Page'!$C$4+1))*('Summary Page'!$C$4+1)</f>
        <v>57.599999999999994</v>
      </c>
      <c r="HQ45" s="43">
        <f t="shared" si="39"/>
        <v>159</v>
      </c>
      <c r="HR45" s="7">
        <f>((AVERAGE(AL40:AL45)*('Summary Page'!$C$2+1))*('Summary Page'!$C$2+1))*('Summary Page'!$C$2+1)</f>
        <v>172.21885866666662</v>
      </c>
      <c r="HS45" s="7">
        <f>((AVERAGE(AL40:AL45)*('Summary Page'!$C$3+1))*('Summary Page'!$C$3+1))*('Summary Page'!$C$3+1)</f>
        <v>215.49479166666663</v>
      </c>
      <c r="HT45" s="7">
        <f>((AVERAGE(AL40:AL45)*('Summary Page'!$C$4+1))*('Summary Page'!$C$4+1))*('Summary Page'!$C$4+1)</f>
        <v>190.65599999999995</v>
      </c>
      <c r="HU45" s="7">
        <f t="shared" si="34"/>
        <v>100</v>
      </c>
      <c r="HV45" s="16">
        <f t="shared" si="32"/>
        <v>12</v>
      </c>
      <c r="HW45" s="16">
        <f t="shared" si="33"/>
        <v>11.805243445692884</v>
      </c>
      <c r="HX45" s="7">
        <f t="shared" si="40"/>
        <v>11.805243445692884</v>
      </c>
      <c r="HY45" s="7">
        <f>((AVERAGE(HV34:HV45,HX34:HX45)*('Summary Page'!$C$2+1))*('Summary Page'!$C$2+1))*('Summary Page'!$C$2+1)</f>
        <v>21.166607181023714</v>
      </c>
      <c r="HZ45" s="7">
        <f>((AVERAGE(HV34:HV45,HX34:HX45)*('Summary Page'!$C$3+1))*('Summary Page'!$C$3+1))*('Summary Page'!$C$3+1)</f>
        <v>26.485447877652931</v>
      </c>
      <c r="IA45" s="7">
        <f>((AVERAGE(HV34:HV45,HX34:HX45)*('Summary Page'!$C$4+1))*('Summary Page'!$C$4+1))*('Summary Page'!$C$4+1)</f>
        <v>23.432629213483143</v>
      </c>
      <c r="IB45" s="11">
        <f t="shared" si="35"/>
        <v>14</v>
      </c>
      <c r="IC45" s="11">
        <f t="shared" si="26"/>
        <v>13.772784019975031</v>
      </c>
      <c r="ID45" s="11">
        <f t="shared" si="27"/>
        <v>13.772784019975031</v>
      </c>
      <c r="IE45" s="11">
        <f t="shared" si="28"/>
        <v>24.694375044527668</v>
      </c>
      <c r="IF45" s="11">
        <f t="shared" si="29"/>
        <v>30.899689190595087</v>
      </c>
      <c r="IG45" s="11">
        <f t="shared" si="30"/>
        <v>27.338067415730332</v>
      </c>
    </row>
    <row r="46" spans="1:241" ht="15.75" x14ac:dyDescent="0.25">
      <c r="A46" s="10">
        <v>44419</v>
      </c>
      <c r="B46" s="43">
        <v>29</v>
      </c>
      <c r="C46" s="43">
        <v>80</v>
      </c>
      <c r="D46" s="43">
        <v>10</v>
      </c>
      <c r="E46" s="43">
        <v>29</v>
      </c>
      <c r="F46" s="43">
        <v>113</v>
      </c>
      <c r="G46" s="43">
        <v>88</v>
      </c>
      <c r="H46" s="43">
        <v>68</v>
      </c>
      <c r="I46" s="7">
        <f t="shared" si="1"/>
        <v>74.5</v>
      </c>
      <c r="J46" s="43">
        <v>17</v>
      </c>
      <c r="K46" s="43">
        <v>47</v>
      </c>
      <c r="L46" s="43">
        <v>104</v>
      </c>
      <c r="M46" s="43">
        <v>107</v>
      </c>
      <c r="N46" s="43">
        <v>22</v>
      </c>
      <c r="O46" s="43">
        <v>45</v>
      </c>
      <c r="P46" s="43">
        <v>6</v>
      </c>
      <c r="Q46" s="43">
        <v>14</v>
      </c>
      <c r="R46" s="43">
        <v>69</v>
      </c>
      <c r="S46" s="43">
        <v>90</v>
      </c>
      <c r="T46" s="43">
        <v>55</v>
      </c>
      <c r="U46" s="7">
        <f t="shared" si="2"/>
        <v>57</v>
      </c>
      <c r="V46" s="43">
        <v>16</v>
      </c>
      <c r="W46" s="43">
        <v>34</v>
      </c>
      <c r="X46" s="43">
        <v>81</v>
      </c>
      <c r="Y46" s="81">
        <v>78</v>
      </c>
      <c r="Z46" s="43"/>
      <c r="AA46" s="43"/>
      <c r="AB46" s="43"/>
      <c r="AC46" s="43"/>
      <c r="AD46" s="43"/>
      <c r="AE46" s="43"/>
      <c r="AF46" s="43"/>
      <c r="AG46" s="7" t="e">
        <f t="shared" si="3"/>
        <v>#DIV/0!</v>
      </c>
      <c r="AH46" s="43"/>
      <c r="AI46" s="43"/>
      <c r="AJ46" s="43"/>
      <c r="AK46" s="43"/>
      <c r="AL46" s="43">
        <v>146</v>
      </c>
      <c r="AM46" s="43">
        <v>101</v>
      </c>
      <c r="AN46" s="43"/>
      <c r="AO46" s="43">
        <v>624</v>
      </c>
      <c r="AP46" s="43">
        <v>643</v>
      </c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13">
        <f t="shared" si="4"/>
        <v>71.777777777777771</v>
      </c>
      <c r="EN46" s="13">
        <f t="shared" si="9"/>
        <v>52.444444444444443</v>
      </c>
      <c r="EO46" s="13">
        <f t="shared" si="36"/>
        <v>62.93333333333333</v>
      </c>
      <c r="EP46" s="30">
        <f>((AVERAGE(EM41:EM46)*('Summary Page'!$C$2+1))*('Summary Page'!$C$2+1))*('Summary Page'!$C$2+1)</f>
        <v>62.161237925925924</v>
      </c>
      <c r="EQ46" s="7">
        <f>((AVERAGE(EM41:EM46)*('Summary Page'!$C$3+1))*('Summary Page'!$C$3+1))*('Summary Page'!$C$3+1)</f>
        <v>77.781394675925938</v>
      </c>
      <c r="ER46" s="7">
        <f>((AVERAGE(EM41:EM46)*('Summary Page'!$C$4+1))*('Summary Page'!$C$4+1))*('Summary Page'!$C$4+1)</f>
        <v>68.816000000000003</v>
      </c>
      <c r="ES46" s="7">
        <v>80</v>
      </c>
      <c r="ET46" s="13">
        <f t="shared" si="5"/>
        <v>74.5</v>
      </c>
      <c r="EU46" s="13">
        <f t="shared" si="11"/>
        <v>57</v>
      </c>
      <c r="EV46" s="13">
        <f t="shared" si="37"/>
        <v>68.399999999999991</v>
      </c>
      <c r="EW46" s="7">
        <f>((AVERAGE(ET41:ET46)*('Summary Page'!$C$2+1))*('Summary Page'!$C$2+1))*('Summary Page'!$C$2+1)</f>
        <v>61.525317333333319</v>
      </c>
      <c r="EX46" s="7">
        <f>((AVERAGE(ET41:ET46)*('Summary Page'!$C$3+1))*('Summary Page'!$C$3+1))*('Summary Page'!$C$3+1)</f>
        <v>76.985677083333314</v>
      </c>
      <c r="EY46" s="7">
        <f>((AVERAGE(ET41:ET46)*('Summary Page'!$C$4+1))*('Summary Page'!$C$4+1))*('Summary Page'!$C$4+1)</f>
        <v>68.111999999999995</v>
      </c>
      <c r="EZ46" s="13">
        <f t="shared" si="6"/>
        <v>86</v>
      </c>
      <c r="FA46" s="13">
        <f t="shared" si="13"/>
        <v>64.333333333333329</v>
      </c>
      <c r="FB46" s="13">
        <f t="shared" si="38"/>
        <v>77.199999999999989</v>
      </c>
      <c r="FC46" s="7">
        <f>((AVERAGE(EZ41:EZ46)*('Summary Page'!$C$2+1))*('Summary Page'!$C$2+1))*('Summary Page'!$C$2+1)</f>
        <v>75.660097777777764</v>
      </c>
      <c r="FD46" s="7">
        <f>((AVERAGE(EZ41:EZ46)*('Summary Page'!$C$3+1))*('Summary Page'!$C$3+1))*('Summary Page'!$C$3+1)</f>
        <v>94.672309027777786</v>
      </c>
      <c r="FE46" s="7">
        <f>((AVERAGE(EZ41:EZ46)*('Summary Page'!$C$4+1))*('Summary Page'!$C$4+1))*('Summary Page'!$C$4+1)</f>
        <v>83.759999999999991</v>
      </c>
      <c r="FF46" s="13">
        <f t="shared" si="7"/>
        <v>64.045454545454547</v>
      </c>
      <c r="FI46" s="43">
        <f t="shared" si="8"/>
        <v>45</v>
      </c>
      <c r="FJ46" s="7">
        <f>((AVERAGE(C41:C46)*('Summary Page'!$C$2+1))*('Summary Page'!$C$2+1))*('Summary Page'!$C$2+1)</f>
        <v>81.16659199999998</v>
      </c>
      <c r="FK46" s="7">
        <f>((AVERAGE(C41:C46)*('Summary Page'!$C$3+1))*('Summary Page'!$C$3+1))*('Summary Page'!$C$3+1)</f>
        <v>101.5625</v>
      </c>
      <c r="FL46" s="7">
        <f>((AVERAGE(C41:C46)*('Summary Page'!$C$4+1))*('Summary Page'!$C$4+1))*('Summary Page'!$C$4+1)</f>
        <v>89.855999999999995</v>
      </c>
      <c r="FO46" s="43">
        <f t="shared" si="15"/>
        <v>6</v>
      </c>
      <c r="FP46" s="7">
        <f>((AVERAGE(D41:D46)*('Summary Page'!$C$2+1))*('Summary Page'!$C$2+1))*('Summary Page'!$C$2+1)</f>
        <v>5.202986666666666</v>
      </c>
      <c r="FQ46" s="7">
        <f>((AVERAGE(D41:D46)*('Summary Page'!$C$3+1))*('Summary Page'!$C$3+1))*('Summary Page'!$C$3+1)</f>
        <v>6.5104166666666679</v>
      </c>
      <c r="FR46" s="7">
        <f>((AVERAGE(D41:D46)*('Summary Page'!$C$4+1))*('Summary Page'!$C$4+1))*('Summary Page'!$C$4+1)</f>
        <v>5.76</v>
      </c>
      <c r="FU46" s="43">
        <f t="shared" si="16"/>
        <v>14</v>
      </c>
      <c r="FV46" s="7">
        <f>((AVERAGE(E41:E46)*('Summary Page'!$C$2+1))*('Summary Page'!$C$2+1))*('Summary Page'!$C$2+1)</f>
        <v>28.876575999999993</v>
      </c>
      <c r="FW46" s="7">
        <f>((AVERAGE(E41:E46)*('Summary Page'!$C$3+1))*('Summary Page'!$C$3+1))*('Summary Page'!$C$3+1)</f>
        <v>36.1328125</v>
      </c>
      <c r="FX46" s="7">
        <f>((AVERAGE(E41:E46)*('Summary Page'!$C$4+1))*('Summary Page'!$C$4+1))*('Summary Page'!$C$4+1)</f>
        <v>31.967999999999996</v>
      </c>
      <c r="GA46" s="43">
        <f t="shared" si="17"/>
        <v>69</v>
      </c>
      <c r="GB46" s="7">
        <f>((AVERAGE(F41:F46)*('Summary Page'!$C$2+1))*('Summary Page'!$C$2+1))*('Summary Page'!$C$2+1)</f>
        <v>87.930474666666655</v>
      </c>
      <c r="GC46" s="7">
        <f>((AVERAGE(F41:F46)*('Summary Page'!$C$3+1))*('Summary Page'!$C$3+1))*('Summary Page'!$C$3+1)</f>
        <v>110.02604166666669</v>
      </c>
      <c r="GD46" s="7">
        <f>((AVERAGE(F41:F46)*('Summary Page'!$C$4+1))*('Summary Page'!$C$4+1))*('Summary Page'!$C$4+1)</f>
        <v>97.34399999999998</v>
      </c>
      <c r="GG46" s="43">
        <f t="shared" si="18"/>
        <v>78</v>
      </c>
      <c r="GH46" s="7">
        <f>((AVERAGE(M41:M46)*('Summary Page'!$C$2+1))*('Summary Page'!$C$2+1))*('Summary Page'!$C$2+1)</f>
        <v>111.73413866666665</v>
      </c>
      <c r="GI46" s="7">
        <f>((AVERAGE(M41:M46)*('Summary Page'!$C$3+1))*('Summary Page'!$C$3+1))*('Summary Page'!$C$3+1)</f>
        <v>139.81119791666663</v>
      </c>
      <c r="GJ46" s="7">
        <f>((AVERAGE(M41:M46)*('Summary Page'!$C$4+1))*('Summary Page'!$C$4+1))*('Summary Page'!$C$4+1)</f>
        <v>123.69599999999997</v>
      </c>
      <c r="GM46" s="43">
        <f t="shared" si="19"/>
        <v>90</v>
      </c>
      <c r="GN46" s="7">
        <f>((AVERAGE(G41:G46)*('Summary Page'!$C$2+1))*('Summary Page'!$C$2+1))*('Summary Page'!$C$2+1)</f>
        <v>68.159125333333321</v>
      </c>
      <c r="GO46" s="7">
        <f>((AVERAGE(G41:G46)*('Summary Page'!$C$3+1))*('Summary Page'!$C$3+1))*('Summary Page'!$C$3+1)</f>
        <v>85.286458333333314</v>
      </c>
      <c r="GP46" s="7">
        <f>((AVERAGE(G41:G46)*('Summary Page'!$C$4+1))*('Summary Page'!$C$4+1))*('Summary Page'!$C$4+1)</f>
        <v>75.455999999999989</v>
      </c>
      <c r="GS46" s="43">
        <f t="shared" si="20"/>
        <v>55</v>
      </c>
      <c r="GT46" s="7">
        <f>((AVERAGE(H41:H46)*('Summary Page'!$C$2+1))*('Summary Page'!$C$2+1))*('Summary Page'!$C$2+1)</f>
        <v>61.135093333333323</v>
      </c>
      <c r="GU46" s="7">
        <f>((AVERAGE(H41:H46)*('Summary Page'!$C$3+1))*('Summary Page'!$C$3+1))*('Summary Page'!$C$3+1)</f>
        <v>76.497395833333314</v>
      </c>
      <c r="GV46" s="7">
        <f>((AVERAGE(H41:H46)*('Summary Page'!$C$4+1))*('Summary Page'!$C$4+1))*('Summary Page'!$C$4+1)</f>
        <v>67.679999999999993</v>
      </c>
      <c r="GY46" s="43">
        <f t="shared" si="21"/>
        <v>16</v>
      </c>
      <c r="GZ46" s="7">
        <f>((AVERAGE(J41:J46)*('Summary Page'!$C$2+1))*('Summary Page'!$C$2+1))*('Summary Page'!$C$2+1)</f>
        <v>18.210453333333326</v>
      </c>
      <c r="HA46" s="7">
        <f>((AVERAGE(J41:J46)*('Summary Page'!$C$3+1))*('Summary Page'!$C$3+1))*('Summary Page'!$C$3+1)</f>
        <v>22.786458333333329</v>
      </c>
      <c r="HB46" s="7">
        <f>((AVERAGE(J41:J46)*('Summary Page'!$C$4+1))*('Summary Page'!$C$4+1))*('Summary Page'!$C$4+1)</f>
        <v>20.159999999999997</v>
      </c>
      <c r="HE46" s="43">
        <f t="shared" si="22"/>
        <v>34</v>
      </c>
      <c r="HF46" s="7">
        <f>((AVERAGE(K41:K46)*('Summary Page'!$C$2+1))*('Summary Page'!$C$2+1))*('Summary Page'!$C$2+1)</f>
        <v>47.867477333333326</v>
      </c>
      <c r="HG46" s="7">
        <f>((AVERAGE(K41:K46)*('Summary Page'!$C$3+1))*('Summary Page'!$C$3+1))*('Summary Page'!$C$3+1)</f>
        <v>59.895833333333343</v>
      </c>
      <c r="HH46" s="7">
        <f>((AVERAGE(K41:K46)*('Summary Page'!$C$4+1))*('Summary Page'!$C$4+1))*('Summary Page'!$C$4+1)</f>
        <v>52.991999999999997</v>
      </c>
      <c r="HL46" s="7">
        <f>((AVERAGE(L41:L46)*('Summary Page'!$C$2+1))*('Summary Page'!$C$2+1))*('Summary Page'!$C$2+1)</f>
        <v>67.378677333333329</v>
      </c>
      <c r="HM46" s="7">
        <f>((AVERAGE(L41:L46)*('Summary Page'!$C$3+1))*('Summary Page'!$C$3+1))*('Summary Page'!$C$3+1)</f>
        <v>84.309895833333314</v>
      </c>
      <c r="HN46" s="7">
        <f>((AVERAGE(L41:L46)*('Summary Page'!$C$4+1))*('Summary Page'!$C$4+1))*('Summary Page'!$C$4+1)</f>
        <v>74.591999999999999</v>
      </c>
      <c r="HQ46" s="43">
        <f t="shared" si="39"/>
        <v>101</v>
      </c>
      <c r="HR46" s="7">
        <f>((AVERAGE(AL41:AL46)*('Summary Page'!$C$2+1))*('Summary Page'!$C$2+1))*('Summary Page'!$C$2+1)</f>
        <v>183.40527999999995</v>
      </c>
      <c r="HS46" s="7">
        <f>((AVERAGE(AL41:AL46)*('Summary Page'!$C$3+1))*('Summary Page'!$C$3+1))*('Summary Page'!$C$3+1)</f>
        <v>229.4921875</v>
      </c>
      <c r="HT46" s="7">
        <f>((AVERAGE(AL41:AL46)*('Summary Page'!$C$4+1))*('Summary Page'!$C$4+1))*('Summary Page'!$C$4+1)</f>
        <v>203.04</v>
      </c>
      <c r="HU46" s="7">
        <f t="shared" si="34"/>
        <v>100</v>
      </c>
      <c r="HV46" s="16">
        <f t="shared" si="32"/>
        <v>18.696629213483146</v>
      </c>
      <c r="HW46" s="16">
        <f t="shared" si="33"/>
        <v>19.265917602996254</v>
      </c>
      <c r="HX46" s="7">
        <f t="shared" si="40"/>
        <v>19.265917602996254</v>
      </c>
      <c r="HY46" s="7">
        <f>((AVERAGE(HV35:HV46,HX35:HX46)*('Summary Page'!$C$2+1))*('Summary Page'!$C$2+1))*('Summary Page'!$C$2+1)</f>
        <v>21.866184789013719</v>
      </c>
      <c r="HZ46" s="7">
        <f>((AVERAGE(HV35:HV46,HX35:HX46)*('Summary Page'!$C$3+1))*('Summary Page'!$C$3+1))*('Summary Page'!$C$3+1)</f>
        <v>27.360818508114846</v>
      </c>
      <c r="IA46" s="7">
        <f>((AVERAGE(HV35:HV46,HX35:HX46)*('Summary Page'!$C$4+1))*('Summary Page'!$C$4+1))*('Summary Page'!$C$4+1)</f>
        <v>24.2071011235955</v>
      </c>
      <c r="IB46" s="11">
        <f t="shared" si="35"/>
        <v>21.812734082397004</v>
      </c>
      <c r="IC46" s="11">
        <f t="shared" si="26"/>
        <v>22.476903870162296</v>
      </c>
      <c r="ID46" s="11">
        <f t="shared" si="27"/>
        <v>22.476903870162296</v>
      </c>
      <c r="IE46" s="11">
        <f t="shared" si="28"/>
        <v>25.510548920516005</v>
      </c>
      <c r="IF46" s="11">
        <f t="shared" si="29"/>
        <v>31.920954926133987</v>
      </c>
      <c r="IG46" s="11">
        <f t="shared" si="30"/>
        <v>28.241617977528083</v>
      </c>
    </row>
    <row r="47" spans="1:241" ht="15.75" x14ac:dyDescent="0.25">
      <c r="A47" s="10">
        <v>44447</v>
      </c>
      <c r="B47" s="43">
        <v>32</v>
      </c>
      <c r="C47" s="43">
        <v>113</v>
      </c>
      <c r="D47" s="43">
        <v>12</v>
      </c>
      <c r="E47" s="43">
        <v>62</v>
      </c>
      <c r="F47" s="43">
        <v>79</v>
      </c>
      <c r="G47" s="43">
        <v>111</v>
      </c>
      <c r="H47" s="43">
        <v>78</v>
      </c>
      <c r="I47" s="7">
        <f t="shared" si="1"/>
        <v>82.5</v>
      </c>
      <c r="J47" s="43">
        <v>26</v>
      </c>
      <c r="K47" s="43">
        <v>53</v>
      </c>
      <c r="L47" s="43">
        <v>52</v>
      </c>
      <c r="M47" s="43">
        <v>152</v>
      </c>
      <c r="N47" s="43">
        <v>23</v>
      </c>
      <c r="O47" s="43">
        <v>86</v>
      </c>
      <c r="P47" s="43">
        <v>3</v>
      </c>
      <c r="Q47" s="43">
        <v>56</v>
      </c>
      <c r="R47" s="43">
        <v>47</v>
      </c>
      <c r="S47" s="43">
        <v>40</v>
      </c>
      <c r="T47" s="43">
        <v>57</v>
      </c>
      <c r="U47" s="7">
        <f t="shared" si="2"/>
        <v>50</v>
      </c>
      <c r="V47" s="43">
        <v>20</v>
      </c>
      <c r="W47" s="43">
        <v>32</v>
      </c>
      <c r="X47" s="43">
        <v>47</v>
      </c>
      <c r="Y47" s="81">
        <v>71</v>
      </c>
      <c r="Z47" s="43"/>
      <c r="AA47" s="43"/>
      <c r="AB47" s="43"/>
      <c r="AC47" s="43"/>
      <c r="AD47" s="43"/>
      <c r="AE47" s="43"/>
      <c r="AF47" s="43"/>
      <c r="AG47" s="7" t="e">
        <f t="shared" si="3"/>
        <v>#DIV/0!</v>
      </c>
      <c r="AH47" s="43"/>
      <c r="AI47" s="43"/>
      <c r="AJ47" s="43"/>
      <c r="AK47" s="43"/>
      <c r="AL47" s="43">
        <v>135</v>
      </c>
      <c r="AM47" s="43">
        <v>65</v>
      </c>
      <c r="AN47" s="43"/>
      <c r="AO47" s="43">
        <v>864</v>
      </c>
      <c r="AP47" s="43">
        <v>868</v>
      </c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13">
        <f t="shared" si="4"/>
        <v>79.111111111111114</v>
      </c>
      <c r="EN47" s="13">
        <f t="shared" si="9"/>
        <v>48.777777777777779</v>
      </c>
      <c r="EO47" s="13">
        <f t="shared" si="36"/>
        <v>58.533333333333331</v>
      </c>
      <c r="EP47" s="30">
        <f>((AVERAGE(EM42:EM47)*('Summary Page'!$C$2+1))*('Summary Page'!$C$2+1))*('Summary Page'!$C$2+1)</f>
        <v>74.214823703703686</v>
      </c>
      <c r="EQ47" s="7">
        <f>((AVERAGE(EM42:EM47)*('Summary Page'!$C$3+1))*('Summary Page'!$C$3+1))*('Summary Page'!$C$3+1)</f>
        <v>92.863859953703695</v>
      </c>
      <c r="ER47" s="7">
        <f>((AVERAGE(EM42:EM47)*('Summary Page'!$C$4+1))*('Summary Page'!$C$4+1))*('Summary Page'!$C$4+1)</f>
        <v>82.16</v>
      </c>
      <c r="ES47" s="7">
        <v>80</v>
      </c>
      <c r="ET47" s="13">
        <f t="shared" si="5"/>
        <v>82.5</v>
      </c>
      <c r="EU47" s="13">
        <f t="shared" si="11"/>
        <v>50</v>
      </c>
      <c r="EV47" s="13">
        <f t="shared" si="37"/>
        <v>60</v>
      </c>
      <c r="EW47" s="7">
        <f>((AVERAGE(ET42:ET47)*('Summary Page'!$C$2+1))*('Summary Page'!$C$2+1))*('Summary Page'!$C$2+1)</f>
        <v>75.183157333333313</v>
      </c>
      <c r="EX47" s="7">
        <f>((AVERAGE(ET42:ET47)*('Summary Page'!$C$3+1))*('Summary Page'!$C$3+1))*('Summary Page'!$C$3+1)</f>
        <v>94.075520833333314</v>
      </c>
      <c r="EY47" s="7">
        <f>((AVERAGE(ET42:ET47)*('Summary Page'!$C$4+1))*('Summary Page'!$C$4+1))*('Summary Page'!$C$4+1)</f>
        <v>83.231999999999999</v>
      </c>
      <c r="EZ47" s="13">
        <f t="shared" si="6"/>
        <v>85.666666666666671</v>
      </c>
      <c r="FA47" s="13">
        <f t="shared" si="13"/>
        <v>50</v>
      </c>
      <c r="FB47" s="13">
        <f t="shared" si="38"/>
        <v>60</v>
      </c>
      <c r="FC47" s="7">
        <f>((AVERAGE(EZ42:EZ47)*('Summary Page'!$C$2+1))*('Summary Page'!$C$2+1))*('Summary Page'!$C$2+1)</f>
        <v>86.759802666666644</v>
      </c>
      <c r="FD47" s="7">
        <f>((AVERAGE(EZ42:EZ47)*('Summary Page'!$C$3+1))*('Summary Page'!$C$3+1))*('Summary Page'!$C$3+1)</f>
        <v>108.56119791666669</v>
      </c>
      <c r="FE47" s="7">
        <f>((AVERAGE(EZ42:EZ47)*('Summary Page'!$C$4+1))*('Summary Page'!$C$4+1))*('Summary Page'!$C$4+1)</f>
        <v>96.048000000000002</v>
      </c>
      <c r="FF47" s="13">
        <f t="shared" si="7"/>
        <v>69.13636363636364</v>
      </c>
      <c r="FI47" s="43">
        <f t="shared" si="8"/>
        <v>86</v>
      </c>
      <c r="FJ47" s="7">
        <f>((AVERAGE(C42:C47)*('Summary Page'!$C$2+1))*('Summary Page'!$C$2+1))*('Summary Page'!$C$2+1)</f>
        <v>99.116895999999969</v>
      </c>
      <c r="FK47" s="7">
        <f>((AVERAGE(C42:C47)*('Summary Page'!$C$3+1))*('Summary Page'!$C$3+1))*('Summary Page'!$C$3+1)</f>
        <v>124.0234375</v>
      </c>
      <c r="FL47" s="7">
        <f>((AVERAGE(C42:C47)*('Summary Page'!$C$4+1))*('Summary Page'!$C$4+1))*('Summary Page'!$C$4+1)</f>
        <v>109.72799999999999</v>
      </c>
      <c r="FO47" s="43">
        <f t="shared" si="15"/>
        <v>3</v>
      </c>
      <c r="FP47" s="7">
        <f>((AVERAGE(D42:D47)*('Summary Page'!$C$2+1))*('Summary Page'!$C$2+1))*('Summary Page'!$C$2+1)</f>
        <v>7.804479999999999</v>
      </c>
      <c r="FQ47" s="7">
        <f>((AVERAGE(D42:D47)*('Summary Page'!$C$3+1))*('Summary Page'!$C$3+1))*('Summary Page'!$C$3+1)</f>
        <v>9.765625</v>
      </c>
      <c r="FR47" s="7">
        <f>((AVERAGE(D42:D47)*('Summary Page'!$C$4+1))*('Summary Page'!$C$4+1))*('Summary Page'!$C$4+1)</f>
        <v>8.6399999999999988</v>
      </c>
      <c r="FU47" s="43">
        <f t="shared" si="16"/>
        <v>56</v>
      </c>
      <c r="FV47" s="7">
        <f>((AVERAGE(E42:E47)*('Summary Page'!$C$2+1))*('Summary Page'!$C$2+1))*('Summary Page'!$C$2+1)</f>
        <v>40.843445333333328</v>
      </c>
      <c r="FW47" s="7">
        <f>((AVERAGE(E42:E47)*('Summary Page'!$C$3+1))*('Summary Page'!$C$3+1))*('Summary Page'!$C$3+1)</f>
        <v>51.106770833333343</v>
      </c>
      <c r="FX47" s="7">
        <f>((AVERAGE(E42:E47)*('Summary Page'!$C$4+1))*('Summary Page'!$C$4+1))*('Summary Page'!$C$4+1)</f>
        <v>45.216000000000001</v>
      </c>
      <c r="GA47" s="43">
        <f t="shared" si="17"/>
        <v>47</v>
      </c>
      <c r="GB47" s="7">
        <f>((AVERAGE(F42:F47)*('Summary Page'!$C$2+1))*('Summary Page'!$C$2+1))*('Summary Page'!$C$2+1)</f>
        <v>98.856746666666666</v>
      </c>
      <c r="GC47" s="7">
        <f>((AVERAGE(F42:F47)*('Summary Page'!$C$3+1))*('Summary Page'!$C$3+1))*('Summary Page'!$C$3+1)</f>
        <v>123.69791666666669</v>
      </c>
      <c r="GD47" s="7">
        <f>((AVERAGE(F42:F47)*('Summary Page'!$C$4+1))*('Summary Page'!$C$4+1))*('Summary Page'!$C$4+1)</f>
        <v>109.44</v>
      </c>
      <c r="GG47" s="43">
        <f t="shared" si="18"/>
        <v>71</v>
      </c>
      <c r="GH47" s="7">
        <f>((AVERAGE(M42:M47)*('Summary Page'!$C$2+1))*('Summary Page'!$C$2+1))*('Summary Page'!$C$2+1)</f>
        <v>131.24533866666661</v>
      </c>
      <c r="GI47" s="7">
        <f>((AVERAGE(M42:M47)*('Summary Page'!$C$3+1))*('Summary Page'!$C$3+1))*('Summary Page'!$C$3+1)</f>
        <v>164.22526041666663</v>
      </c>
      <c r="GJ47" s="7">
        <f>((AVERAGE(M42:M47)*('Summary Page'!$C$4+1))*('Summary Page'!$C$4+1))*('Summary Page'!$C$4+1)</f>
        <v>145.29599999999996</v>
      </c>
      <c r="GM47" s="43">
        <f t="shared" si="19"/>
        <v>40</v>
      </c>
      <c r="GN47" s="7">
        <f>((AVERAGE(G42:G47)*('Summary Page'!$C$2+1))*('Summary Page'!$C$2+1))*('Summary Page'!$C$2+1)</f>
        <v>86.889877333333317</v>
      </c>
      <c r="GO47" s="7">
        <f>((AVERAGE(G42:G47)*('Summary Page'!$C$3+1))*('Summary Page'!$C$3+1))*('Summary Page'!$C$3+1)</f>
        <v>108.72395833333331</v>
      </c>
      <c r="GP47" s="7">
        <f>((AVERAGE(G42:G47)*('Summary Page'!$C$4+1))*('Summary Page'!$C$4+1))*('Summary Page'!$C$4+1)</f>
        <v>96.191999999999993</v>
      </c>
      <c r="GS47" s="43">
        <f t="shared" si="20"/>
        <v>57</v>
      </c>
      <c r="GT47" s="7">
        <f>((AVERAGE(H42:H47)*('Summary Page'!$C$2+1))*('Summary Page'!$C$2+1))*('Summary Page'!$C$2+1)</f>
        <v>74.142559999999989</v>
      </c>
      <c r="GU47" s="7">
        <f>((AVERAGE(H42:H47)*('Summary Page'!$C$3+1))*('Summary Page'!$C$3+1))*('Summary Page'!$C$3+1)</f>
        <v>92.7734375</v>
      </c>
      <c r="GV47" s="7">
        <f>((AVERAGE(H42:H47)*('Summary Page'!$C$4+1))*('Summary Page'!$C$4+1))*('Summary Page'!$C$4+1)</f>
        <v>82.079999999999984</v>
      </c>
      <c r="GY47" s="43">
        <f t="shared" si="21"/>
        <v>20</v>
      </c>
      <c r="GZ47" s="7">
        <f>((AVERAGE(J42:J47)*('Summary Page'!$C$2+1))*('Summary Page'!$C$2+1))*('Summary Page'!$C$2+1)</f>
        <v>22.632991999999998</v>
      </c>
      <c r="HA47" s="7">
        <f>((AVERAGE(J42:J47)*('Summary Page'!$C$3+1))*('Summary Page'!$C$3+1))*('Summary Page'!$C$3+1)</f>
        <v>28.3203125</v>
      </c>
      <c r="HB47" s="7">
        <f>((AVERAGE(J42:J47)*('Summary Page'!$C$4+1))*('Summary Page'!$C$4+1))*('Summary Page'!$C$4+1)</f>
        <v>25.055999999999997</v>
      </c>
      <c r="HE47" s="43">
        <f t="shared" si="22"/>
        <v>32</v>
      </c>
      <c r="HF47" s="7">
        <f>((AVERAGE(K42:K47)*('Summary Page'!$C$2+1))*('Summary Page'!$C$2+1))*('Summary Page'!$C$2+1)</f>
        <v>53.590762666666656</v>
      </c>
      <c r="HG47" s="7">
        <f>((AVERAGE(K42:K47)*('Summary Page'!$C$3+1))*('Summary Page'!$C$3+1))*('Summary Page'!$C$3+1)</f>
        <v>67.057291666666686</v>
      </c>
      <c r="HH47" s="7">
        <f>((AVERAGE(K42:K47)*('Summary Page'!$C$4+1))*('Summary Page'!$C$4+1))*('Summary Page'!$C$4+1)</f>
        <v>59.328000000000003</v>
      </c>
      <c r="HL47" s="7">
        <f>((AVERAGE(L42:L47)*('Summary Page'!$C$2+1))*('Summary Page'!$C$2+1))*('Summary Page'!$C$2+1)</f>
        <v>75.443306666666643</v>
      </c>
      <c r="HM47" s="7">
        <f>((AVERAGE(L42:L47)*('Summary Page'!$C$3+1))*('Summary Page'!$C$3+1))*('Summary Page'!$C$3+1)</f>
        <v>94.401041666666686</v>
      </c>
      <c r="HN47" s="7">
        <f>((AVERAGE(L42:L47)*('Summary Page'!$C$4+1))*('Summary Page'!$C$4+1))*('Summary Page'!$C$4+1)</f>
        <v>83.52</v>
      </c>
      <c r="HQ47" s="43">
        <f t="shared" si="39"/>
        <v>65</v>
      </c>
      <c r="HR47" s="7">
        <f>((AVERAGE(AL42:AL47)*('Summary Page'!$C$2+1))*('Summary Page'!$C$2+1))*('Summary Page'!$C$2+1)</f>
        <v>192.51050666666663</v>
      </c>
      <c r="HS47" s="7">
        <f>((AVERAGE(AL42:AL47)*('Summary Page'!$C$3+1))*('Summary Page'!$C$3+1))*('Summary Page'!$C$3+1)</f>
        <v>240.88541666666663</v>
      </c>
      <c r="HT47" s="7">
        <f>((AVERAGE(AL42:AL47)*('Summary Page'!$C$4+1))*('Summary Page'!$C$4+1))*('Summary Page'!$C$4+1)</f>
        <v>213.11999999999998</v>
      </c>
      <c r="HU47" s="7">
        <f t="shared" si="34"/>
        <v>100</v>
      </c>
      <c r="HV47" s="16">
        <f t="shared" si="32"/>
        <v>25.887640449438202</v>
      </c>
      <c r="HW47" s="16">
        <f t="shared" si="33"/>
        <v>26.007490636704119</v>
      </c>
      <c r="HX47" s="7">
        <f t="shared" si="40"/>
        <v>26.007490636704119</v>
      </c>
      <c r="HY47" s="7">
        <f>((AVERAGE(HV36:HV47,HX36:HX47)*('Summary Page'!$C$2+1))*('Summary Page'!$C$2+1))*('Summary Page'!$C$2+1)</f>
        <v>23.318928818976275</v>
      </c>
      <c r="HZ47" s="7">
        <f>((AVERAGE(HV36:HV47,HX36:HX47)*('Summary Page'!$C$3+1))*('Summary Page'!$C$3+1))*('Summary Page'!$C$3+1)</f>
        <v>29.178614622347069</v>
      </c>
      <c r="IA47" s="7">
        <f>((AVERAGE(HV36:HV47,HX36:HX47)*('Summary Page'!$C$4+1))*('Summary Page'!$C$4+1))*('Summary Page'!$C$4+1)</f>
        <v>25.815370786516848</v>
      </c>
      <c r="IB47" s="11">
        <f t="shared" si="35"/>
        <v>30.202247191011235</v>
      </c>
      <c r="IC47" s="11">
        <f t="shared" si="26"/>
        <v>30.342072409488139</v>
      </c>
      <c r="ID47" s="11">
        <f t="shared" si="27"/>
        <v>30.342072409488139</v>
      </c>
      <c r="IE47" s="11">
        <f t="shared" si="28"/>
        <v>27.20541695547232</v>
      </c>
      <c r="IF47" s="11">
        <f t="shared" si="29"/>
        <v>34.041717059404917</v>
      </c>
      <c r="IG47" s="11">
        <f t="shared" si="30"/>
        <v>30.117932584269656</v>
      </c>
    </row>
    <row r="48" spans="1:241" ht="15.75" x14ac:dyDescent="0.25">
      <c r="A48" s="10">
        <v>44475</v>
      </c>
      <c r="B48" s="43">
        <v>31</v>
      </c>
      <c r="C48" s="43">
        <v>125</v>
      </c>
      <c r="D48" s="43">
        <v>10</v>
      </c>
      <c r="E48" s="43">
        <v>68</v>
      </c>
      <c r="F48" s="43">
        <v>67</v>
      </c>
      <c r="G48" s="43">
        <v>87</v>
      </c>
      <c r="H48" s="43">
        <v>67</v>
      </c>
      <c r="I48" s="7">
        <f t="shared" si="1"/>
        <v>72.25</v>
      </c>
      <c r="J48" s="43">
        <v>26</v>
      </c>
      <c r="K48" s="43">
        <v>54</v>
      </c>
      <c r="L48" s="43">
        <v>46</v>
      </c>
      <c r="M48" s="43">
        <v>129</v>
      </c>
      <c r="N48" s="43">
        <v>18</v>
      </c>
      <c r="O48" s="43">
        <v>83</v>
      </c>
      <c r="P48" s="43">
        <v>9</v>
      </c>
      <c r="Q48" s="43">
        <v>57</v>
      </c>
      <c r="R48" s="43">
        <v>59</v>
      </c>
      <c r="S48" s="43">
        <v>70</v>
      </c>
      <c r="T48" s="43">
        <v>61</v>
      </c>
      <c r="U48" s="7">
        <f t="shared" si="2"/>
        <v>61.75</v>
      </c>
      <c r="V48" s="43">
        <v>22</v>
      </c>
      <c r="W48" s="43">
        <v>42</v>
      </c>
      <c r="X48" s="43">
        <v>32</v>
      </c>
      <c r="Y48" s="81">
        <v>81</v>
      </c>
      <c r="Z48" s="43"/>
      <c r="AA48" s="43"/>
      <c r="AB48" s="43"/>
      <c r="AC48" s="43"/>
      <c r="AD48" s="43"/>
      <c r="AE48" s="43"/>
      <c r="AF48" s="43"/>
      <c r="AG48" s="7" t="e">
        <f t="shared" si="3"/>
        <v>#DIV/0!</v>
      </c>
      <c r="AH48" s="43"/>
      <c r="AI48" s="43"/>
      <c r="AJ48" s="43"/>
      <c r="AK48" s="43"/>
      <c r="AL48" s="43">
        <v>104</v>
      </c>
      <c r="AM48" s="43">
        <v>74</v>
      </c>
      <c r="AN48" s="43"/>
      <c r="AO48" s="43">
        <v>997</v>
      </c>
      <c r="AP48" s="43">
        <v>738</v>
      </c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13">
        <f t="shared" si="4"/>
        <v>72.555555555555557</v>
      </c>
      <c r="EN48" s="13">
        <f t="shared" si="9"/>
        <v>54.888888888888886</v>
      </c>
      <c r="EO48" s="13">
        <f t="shared" si="36"/>
        <v>65.86666666666666</v>
      </c>
      <c r="EP48" s="30">
        <f>((AVERAGE(EM43:EM48)*('Summary Page'!$C$2+1))*('Summary Page'!$C$2+1))*('Summary Page'!$C$2+1)</f>
        <v>85.31452859259258</v>
      </c>
      <c r="EQ48" s="7">
        <f>((AVERAGE(EM43:EM48)*('Summary Page'!$C$3+1))*('Summary Page'!$C$3+1))*('Summary Page'!$C$3+1)</f>
        <v>106.7527488425926</v>
      </c>
      <c r="ER48" s="7">
        <f>((AVERAGE(EM43:EM48)*('Summary Page'!$C$4+1))*('Summary Page'!$C$4+1))*('Summary Page'!$C$4+1)</f>
        <v>94.447999999999993</v>
      </c>
      <c r="ES48" s="7">
        <v>80</v>
      </c>
      <c r="ET48" s="13">
        <f t="shared" si="5"/>
        <v>72.25</v>
      </c>
      <c r="EU48" s="13">
        <f t="shared" si="11"/>
        <v>61.75</v>
      </c>
      <c r="EV48" s="13">
        <f t="shared" si="37"/>
        <v>74.099999999999994</v>
      </c>
      <c r="EW48" s="7">
        <f>((AVERAGE(ET43:ET48)*('Summary Page'!$C$2+1))*('Summary Page'!$C$2+1))*('Summary Page'!$C$2+1)</f>
        <v>87.73536266666666</v>
      </c>
      <c r="EX48" s="7">
        <f>((AVERAGE(ET43:ET48)*('Summary Page'!$C$3+1))*('Summary Page'!$C$3+1))*('Summary Page'!$C$3+1)</f>
        <v>109.78190104166669</v>
      </c>
      <c r="EY48" s="7">
        <f>((AVERAGE(ET43:ET48)*('Summary Page'!$C$4+1))*('Summary Page'!$C$4+1))*('Summary Page'!$C$4+1)</f>
        <v>97.128</v>
      </c>
      <c r="EZ48" s="13">
        <f t="shared" si="6"/>
        <v>76.333333333333329</v>
      </c>
      <c r="FA48" s="13">
        <f t="shared" si="13"/>
        <v>51.666666666666664</v>
      </c>
      <c r="FB48" s="13">
        <f t="shared" si="38"/>
        <v>61.999999999999993</v>
      </c>
      <c r="FC48" s="7">
        <f>((AVERAGE(EZ43:EZ48)*('Summary Page'!$C$2+1))*('Summary Page'!$C$2+1))*('Summary Page'!$C$2+1)</f>
        <v>95.431447111111083</v>
      </c>
      <c r="FD48" s="7">
        <f>((AVERAGE(EZ43:EZ48)*('Summary Page'!$C$3+1))*('Summary Page'!$C$3+1))*('Summary Page'!$C$3+1)</f>
        <v>119.41189236111111</v>
      </c>
      <c r="FE48" s="7">
        <f>((AVERAGE(EZ43:EZ48)*('Summary Page'!$C$4+1))*('Summary Page'!$C$4+1))*('Summary Page'!$C$4+1)</f>
        <v>105.64799999999998</v>
      </c>
      <c r="FF48" s="13">
        <f t="shared" si="7"/>
        <v>61.840909090909093</v>
      </c>
      <c r="FI48" s="43">
        <f t="shared" si="8"/>
        <v>83</v>
      </c>
      <c r="FJ48" s="7">
        <f>((AVERAGE(C43:C48)*('Summary Page'!$C$2+1))*('Summary Page'!$C$2+1))*('Summary Page'!$C$2+1)</f>
        <v>120.44914133333332</v>
      </c>
      <c r="FK48" s="7">
        <f>((AVERAGE(C43:C48)*('Summary Page'!$C$3+1))*('Summary Page'!$C$3+1))*('Summary Page'!$C$3+1)</f>
        <v>150.71614583333337</v>
      </c>
      <c r="FL48" s="7">
        <f>((AVERAGE(C43:C48)*('Summary Page'!$C$4+1))*('Summary Page'!$C$4+1))*('Summary Page'!$C$4+1)</f>
        <v>133.34399999999999</v>
      </c>
      <c r="FO48" s="43">
        <f t="shared" si="15"/>
        <v>9</v>
      </c>
      <c r="FP48" s="7">
        <f>((AVERAGE(D43:D48)*('Summary Page'!$C$2+1))*('Summary Page'!$C$2+1))*('Summary Page'!$C$2+1)</f>
        <v>10.145823999999998</v>
      </c>
      <c r="FQ48" s="7">
        <f>((AVERAGE(D43:D48)*('Summary Page'!$C$3+1))*('Summary Page'!$C$3+1))*('Summary Page'!$C$3+1)</f>
        <v>12.6953125</v>
      </c>
      <c r="FR48" s="7">
        <f>((AVERAGE(D43:D48)*('Summary Page'!$C$4+1))*('Summary Page'!$C$4+1))*('Summary Page'!$C$4+1)</f>
        <v>11.231999999999999</v>
      </c>
      <c r="FU48" s="43">
        <f t="shared" si="16"/>
        <v>57</v>
      </c>
      <c r="FV48" s="7">
        <f>((AVERAGE(E43:E48)*('Summary Page'!$C$2+1))*('Summary Page'!$C$2+1))*('Summary Page'!$C$2+1)</f>
        <v>54.631359999999987</v>
      </c>
      <c r="FW48" s="7">
        <f>((AVERAGE(E43:E48)*('Summary Page'!$C$3+1))*('Summary Page'!$C$3+1))*('Summary Page'!$C$3+1)</f>
        <v>68.359375</v>
      </c>
      <c r="FX48" s="7">
        <f>((AVERAGE(E43:E48)*('Summary Page'!$C$4+1))*('Summary Page'!$C$4+1))*('Summary Page'!$C$4+1)</f>
        <v>60.48</v>
      </c>
      <c r="GA48" s="43">
        <f t="shared" si="17"/>
        <v>59</v>
      </c>
      <c r="GB48" s="7">
        <f>((AVERAGE(F43:F48)*('Summary Page'!$C$2+1))*('Summary Page'!$C$2+1))*('Summary Page'!$C$2+1)</f>
        <v>108.74242133333333</v>
      </c>
      <c r="GC48" s="7">
        <f>((AVERAGE(F43:F48)*('Summary Page'!$C$3+1))*('Summary Page'!$C$3+1))*('Summary Page'!$C$3+1)</f>
        <v>136.06770833333337</v>
      </c>
      <c r="GD48" s="7">
        <f>((AVERAGE(F43:F48)*('Summary Page'!$C$4+1))*('Summary Page'!$C$4+1))*('Summary Page'!$C$4+1)</f>
        <v>120.384</v>
      </c>
      <c r="GG48" s="43">
        <f t="shared" si="18"/>
        <v>81</v>
      </c>
      <c r="GH48" s="7">
        <f>((AVERAGE(M43:M48)*('Summary Page'!$C$2+1))*('Summary Page'!$C$2+1))*('Summary Page'!$C$2+1)</f>
        <v>144.77310399999996</v>
      </c>
      <c r="GI48" s="7">
        <f>((AVERAGE(M43:M48)*('Summary Page'!$C$3+1))*('Summary Page'!$C$3+1))*('Summary Page'!$C$3+1)</f>
        <v>181.15234375</v>
      </c>
      <c r="GJ48" s="7">
        <f>((AVERAGE(M43:M48)*('Summary Page'!$C$4+1))*('Summary Page'!$C$4+1))*('Summary Page'!$C$4+1)</f>
        <v>160.27199999999999</v>
      </c>
      <c r="GM48" s="43">
        <f t="shared" si="19"/>
        <v>70</v>
      </c>
      <c r="GN48" s="7">
        <f>((AVERAGE(G43:G48)*('Summary Page'!$C$2+1))*('Summary Page'!$C$2+1))*('Summary Page'!$C$2+1)</f>
        <v>103.27928533333331</v>
      </c>
      <c r="GO48" s="7">
        <f>((AVERAGE(G43:G48)*('Summary Page'!$C$3+1))*('Summary Page'!$C$3+1))*('Summary Page'!$C$3+1)</f>
        <v>129.23177083333337</v>
      </c>
      <c r="GP48" s="7">
        <f>((AVERAGE(G43:G48)*('Summary Page'!$C$4+1))*('Summary Page'!$C$4+1))*('Summary Page'!$C$4+1)</f>
        <v>114.336</v>
      </c>
      <c r="GS48" s="43">
        <f t="shared" si="20"/>
        <v>61</v>
      </c>
      <c r="GT48" s="7">
        <f>((AVERAGE(H43:H48)*('Summary Page'!$C$2+1))*('Summary Page'!$C$2+1))*('Summary Page'!$C$2+1)</f>
        <v>84.288383999999979</v>
      </c>
      <c r="GU48" s="7">
        <f>((AVERAGE(H43:H48)*('Summary Page'!$C$3+1))*('Summary Page'!$C$3+1))*('Summary Page'!$C$3+1)</f>
        <v>105.46875</v>
      </c>
      <c r="GV48" s="7">
        <f>((AVERAGE(H43:H48)*('Summary Page'!$C$4+1))*('Summary Page'!$C$4+1))*('Summary Page'!$C$4+1)</f>
        <v>93.311999999999983</v>
      </c>
      <c r="GY48" s="43">
        <f t="shared" si="21"/>
        <v>22</v>
      </c>
      <c r="GZ48" s="7">
        <f>((AVERAGE(J43:J48)*('Summary Page'!$C$2+1))*('Summary Page'!$C$2+1))*('Summary Page'!$C$2+1)</f>
        <v>26.275082666666659</v>
      </c>
      <c r="HA48" s="7">
        <f>((AVERAGE(J43:J48)*('Summary Page'!$C$3+1))*('Summary Page'!$C$3+1))*('Summary Page'!$C$3+1)</f>
        <v>32.877604166666657</v>
      </c>
      <c r="HB48" s="7">
        <f>((AVERAGE(J43:J48)*('Summary Page'!$C$4+1))*('Summary Page'!$C$4+1))*('Summary Page'!$C$4+1)</f>
        <v>29.087999999999997</v>
      </c>
      <c r="HE48" s="43">
        <f t="shared" si="22"/>
        <v>42</v>
      </c>
      <c r="HF48" s="7">
        <f>((AVERAGE(K43:K48)*('Summary Page'!$C$2+1))*('Summary Page'!$C$2+1))*('Summary Page'!$C$2+1)</f>
        <v>61.135093333333323</v>
      </c>
      <c r="HG48" s="7">
        <f>((AVERAGE(K43:K48)*('Summary Page'!$C$3+1))*('Summary Page'!$C$3+1))*('Summary Page'!$C$3+1)</f>
        <v>76.497395833333314</v>
      </c>
      <c r="HH48" s="7">
        <f>((AVERAGE(K43:K48)*('Summary Page'!$C$4+1))*('Summary Page'!$C$4+1))*('Summary Page'!$C$4+1)</f>
        <v>67.679999999999993</v>
      </c>
      <c r="HL48" s="7">
        <f>((AVERAGE(L43:L48)*('Summary Page'!$C$2+1))*('Summary Page'!$C$2+1))*('Summary Page'!$C$2+1)</f>
        <v>80.386143999999973</v>
      </c>
      <c r="HM48" s="7">
        <f>((AVERAGE(L43:L48)*('Summary Page'!$C$3+1))*('Summary Page'!$C$3+1))*('Summary Page'!$C$3+1)</f>
        <v>100.5859375</v>
      </c>
      <c r="HN48" s="7">
        <f>((AVERAGE(L43:L48)*('Summary Page'!$C$4+1))*('Summary Page'!$C$4+1))*('Summary Page'!$C$4+1)</f>
        <v>88.99199999999999</v>
      </c>
      <c r="HQ48" s="43">
        <f t="shared" si="39"/>
        <v>74</v>
      </c>
      <c r="HR48" s="7">
        <f>((AVERAGE(AL43:AL48)*('Summary Page'!$C$2+1))*('Summary Page'!$C$2+1))*('Summary Page'!$C$2+1)</f>
        <v>193.03080533333329</v>
      </c>
      <c r="HS48" s="7">
        <f>((AVERAGE(AL43:AL48)*('Summary Page'!$C$3+1))*('Summary Page'!$C$3+1))*('Summary Page'!$C$3+1)</f>
        <v>241.53645833333337</v>
      </c>
      <c r="HT48" s="7">
        <f>((AVERAGE(AL43:AL48)*('Summary Page'!$C$4+1))*('Summary Page'!$C$4+1))*('Summary Page'!$C$4+1)</f>
        <v>213.696</v>
      </c>
      <c r="HU48" s="7">
        <f t="shared" si="34"/>
        <v>100</v>
      </c>
      <c r="HV48" s="16">
        <f t="shared" si="32"/>
        <v>29.872659176029963</v>
      </c>
      <c r="HW48" s="16">
        <f t="shared" si="33"/>
        <v>22.112359550561798</v>
      </c>
      <c r="HX48" s="7">
        <f t="shared" si="40"/>
        <v>22.112359550561798</v>
      </c>
      <c r="HY48" s="7">
        <f>((AVERAGE(HV37:HV48,HX37:HX48)*('Summary Page'!$C$2+1))*('Summary Page'!$C$2+1))*('Summary Page'!$C$2+1)</f>
        <v>24.2659893133583</v>
      </c>
      <c r="HZ48" s="7">
        <f>((AVERAGE(HV37:HV48,HX37:HX48)*('Summary Page'!$C$3+1))*('Summary Page'!$C$3+1))*('Summary Page'!$C$3+1)</f>
        <v>30.363656757178525</v>
      </c>
      <c r="IA48" s="7">
        <f>((AVERAGE(HV37:HV48,HX37:HX48)*('Summary Page'!$C$4+1))*('Summary Page'!$C$4+1))*('Summary Page'!$C$4+1)</f>
        <v>26.863820224719095</v>
      </c>
      <c r="IB48" s="11">
        <f t="shared" si="35"/>
        <v>34.851435705368289</v>
      </c>
      <c r="IC48" s="11">
        <f t="shared" si="26"/>
        <v>25.797752808988765</v>
      </c>
      <c r="ID48" s="11">
        <f t="shared" si="27"/>
        <v>25.797752808988765</v>
      </c>
      <c r="IE48" s="11">
        <f t="shared" si="28"/>
        <v>28.310320865584686</v>
      </c>
      <c r="IF48" s="11">
        <f t="shared" si="29"/>
        <v>35.424266216708276</v>
      </c>
      <c r="IG48" s="11">
        <f t="shared" si="30"/>
        <v>31.341123595505611</v>
      </c>
    </row>
    <row r="49" spans="1:238" ht="15.75" x14ac:dyDescent="0.25">
      <c r="A49" s="10">
        <v>44501</v>
      </c>
      <c r="B49" s="43">
        <v>33</v>
      </c>
      <c r="C49" s="43">
        <v>229</v>
      </c>
      <c r="D49" s="43">
        <v>29</v>
      </c>
      <c r="E49" s="43">
        <v>75</v>
      </c>
      <c r="F49" s="43">
        <v>73</v>
      </c>
      <c r="G49" s="43">
        <v>87</v>
      </c>
      <c r="H49" s="43">
        <v>80</v>
      </c>
      <c r="I49" s="7">
        <f t="shared" si="1"/>
        <v>78.75</v>
      </c>
      <c r="J49" s="43">
        <v>26</v>
      </c>
      <c r="K49" s="43">
        <v>57</v>
      </c>
      <c r="L49" s="43">
        <v>39</v>
      </c>
      <c r="M49" s="43">
        <v>34</v>
      </c>
      <c r="N49" s="43">
        <v>27</v>
      </c>
      <c r="O49" s="43">
        <v>118</v>
      </c>
      <c r="P49" s="43">
        <v>13</v>
      </c>
      <c r="Q49" s="43">
        <v>61</v>
      </c>
      <c r="R49" s="43">
        <v>48</v>
      </c>
      <c r="S49" s="43">
        <v>99</v>
      </c>
      <c r="T49" s="43">
        <v>73</v>
      </c>
      <c r="U49" s="7">
        <f t="shared" si="2"/>
        <v>70.25</v>
      </c>
      <c r="V49" s="43">
        <v>23</v>
      </c>
      <c r="W49" s="43">
        <v>49</v>
      </c>
      <c r="X49" s="43">
        <v>41</v>
      </c>
      <c r="Y49" s="81">
        <v>22</v>
      </c>
      <c r="Z49" s="43"/>
      <c r="AA49" s="43"/>
      <c r="AB49" s="43"/>
      <c r="AC49" s="43"/>
      <c r="AD49" s="43"/>
      <c r="AE49" s="43"/>
      <c r="AF49" s="43"/>
      <c r="AG49" s="7" t="e">
        <f t="shared" si="3"/>
        <v>#DIV/0!</v>
      </c>
      <c r="AH49" s="43"/>
      <c r="AI49" s="43"/>
      <c r="AJ49" s="43"/>
      <c r="AK49" s="43"/>
      <c r="AL49" s="43">
        <v>102</v>
      </c>
      <c r="AM49" s="43">
        <v>81</v>
      </c>
      <c r="AN49" s="43"/>
      <c r="AO49" s="43">
        <v>958</v>
      </c>
      <c r="AP49" s="43">
        <v>971</v>
      </c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13">
        <f t="shared" si="4"/>
        <v>78.111111111111114</v>
      </c>
      <c r="EN49" s="13">
        <f t="shared" si="9"/>
        <v>58.222222222222221</v>
      </c>
      <c r="EO49" s="13">
        <f t="shared" si="36"/>
        <v>69.86666666666666</v>
      </c>
      <c r="EP49" s="30">
        <f>((AVERAGE(EM44:EM49)*('Summary Page'!$C$2+1))*('Summary Page'!$C$2+1))*('Summary Page'!$C$2+1)</f>
        <v>97.931771259259222</v>
      </c>
      <c r="EQ49" s="7">
        <f>((AVERAGE(EM44:EM49)*('Summary Page'!$C$3+1))*('Summary Page'!$C$3+1))*('Summary Page'!$C$3+1)</f>
        <v>122.54050925925925</v>
      </c>
      <c r="ER49" s="7">
        <f>((AVERAGE(EM44:EM49)*('Summary Page'!$C$4+1))*('Summary Page'!$C$4+1))*('Summary Page'!$C$4+1)</f>
        <v>108.416</v>
      </c>
      <c r="ES49" s="7">
        <v>80</v>
      </c>
      <c r="ET49" s="13">
        <f t="shared" si="5"/>
        <v>78.75</v>
      </c>
      <c r="EU49" s="13">
        <f t="shared" si="11"/>
        <v>70.25</v>
      </c>
      <c r="EV49" s="13">
        <f t="shared" si="37"/>
        <v>84.3</v>
      </c>
      <c r="EW49" s="7">
        <f>((AVERAGE(ET44:ET49)*('Summary Page'!$C$2+1))*('Summary Page'!$C$2+1))*('Summary Page'!$C$2+1)</f>
        <v>101.00297866666664</v>
      </c>
      <c r="EX49" s="7">
        <f>((AVERAGE(ET44:ET49)*('Summary Page'!$C$3+1))*('Summary Page'!$C$3+1))*('Summary Page'!$C$3+1)</f>
        <v>126.38346354166664</v>
      </c>
      <c r="EY49" s="7">
        <f>((AVERAGE(ET44:ET49)*('Summary Page'!$C$4+1))*('Summary Page'!$C$4+1))*('Summary Page'!$C$4+1)</f>
        <v>111.81599999999999</v>
      </c>
      <c r="EZ49" s="13">
        <f t="shared" si="6"/>
        <v>43.333333333333336</v>
      </c>
      <c r="FA49" s="13">
        <f t="shared" si="13"/>
        <v>37.333333333333336</v>
      </c>
      <c r="FB49" s="13">
        <f t="shared" si="38"/>
        <v>44.800000000000004</v>
      </c>
      <c r="FC49" s="7">
        <f>((AVERAGE(EZ44:EZ49)*('Summary Page'!$C$2+1))*('Summary Page'!$C$2+1))*('Summary Page'!$C$2+1)</f>
        <v>97.989582222222182</v>
      </c>
      <c r="FD49" s="7">
        <f>((AVERAGE(EZ44:EZ49)*('Summary Page'!$C$3+1))*('Summary Page'!$C$3+1))*('Summary Page'!$C$3+1)</f>
        <v>122.61284722222221</v>
      </c>
      <c r="FE49" s="7">
        <f>((AVERAGE(EZ44:EZ49)*('Summary Page'!$C$4+1))*('Summary Page'!$C$4+1))*('Summary Page'!$C$4+1)</f>
        <v>108.47999999999999</v>
      </c>
      <c r="FF49" s="13">
        <f t="shared" si="7"/>
        <v>57.795454545454547</v>
      </c>
      <c r="FI49" s="43">
        <f t="shared" si="8"/>
        <v>118</v>
      </c>
      <c r="FJ49" s="7"/>
      <c r="FK49" s="7"/>
      <c r="FL49" s="7"/>
      <c r="FO49" s="43">
        <f t="shared" si="15"/>
        <v>13</v>
      </c>
      <c r="FP49" s="7"/>
      <c r="FQ49" s="7"/>
      <c r="FR49" s="7"/>
      <c r="FU49" s="43">
        <f t="shared" si="16"/>
        <v>61</v>
      </c>
      <c r="GA49" s="43">
        <f t="shared" si="17"/>
        <v>48</v>
      </c>
      <c r="GG49" s="43">
        <f t="shared" si="18"/>
        <v>22</v>
      </c>
      <c r="GM49" s="43">
        <f t="shared" si="19"/>
        <v>99</v>
      </c>
      <c r="GS49" s="43">
        <f t="shared" si="20"/>
        <v>73</v>
      </c>
      <c r="GY49" s="43">
        <f t="shared" si="21"/>
        <v>23</v>
      </c>
      <c r="HE49" s="43">
        <f t="shared" si="22"/>
        <v>49</v>
      </c>
      <c r="HQ49" s="43">
        <f t="shared" si="39"/>
        <v>81</v>
      </c>
      <c r="HV49" s="16">
        <f t="shared" si="32"/>
        <v>28.704119850187265</v>
      </c>
      <c r="HW49" s="16">
        <f t="shared" si="33"/>
        <v>29.0936329588015</v>
      </c>
      <c r="HX49" s="7">
        <f t="shared" si="40"/>
        <v>29.0936329588015</v>
      </c>
      <c r="IB49" s="11">
        <f t="shared" si="35"/>
        <v>33.488139825218475</v>
      </c>
      <c r="IC49" s="11">
        <f>(HW49/6)+HW49</f>
        <v>33.942571785268413</v>
      </c>
      <c r="ID49" s="11">
        <f>(HX49/6)+HX49</f>
        <v>33.942571785268413</v>
      </c>
    </row>
    <row r="50" spans="1:238" ht="15.75" x14ac:dyDescent="0.25">
      <c r="A50" s="10">
        <v>44531</v>
      </c>
      <c r="B50" s="43">
        <v>36</v>
      </c>
      <c r="C50" s="43">
        <v>250</v>
      </c>
      <c r="D50" s="43">
        <v>11</v>
      </c>
      <c r="E50" s="43">
        <v>91</v>
      </c>
      <c r="F50" s="43">
        <v>82</v>
      </c>
      <c r="G50" s="43">
        <v>103</v>
      </c>
      <c r="H50" s="43">
        <v>99</v>
      </c>
      <c r="I50" s="7">
        <f t="shared" si="1"/>
        <v>93.75</v>
      </c>
      <c r="J50" s="43">
        <v>24</v>
      </c>
      <c r="K50" s="43">
        <v>5</v>
      </c>
      <c r="L50" s="43">
        <v>0</v>
      </c>
      <c r="M50" s="43">
        <v>66</v>
      </c>
      <c r="N50" s="43">
        <v>29</v>
      </c>
      <c r="O50" s="43">
        <v>130</v>
      </c>
      <c r="P50" s="43">
        <v>8</v>
      </c>
      <c r="Q50" s="43">
        <v>62</v>
      </c>
      <c r="R50" s="43">
        <v>51</v>
      </c>
      <c r="S50" s="43">
        <v>116</v>
      </c>
      <c r="T50" s="43">
        <v>74</v>
      </c>
      <c r="U50" s="7">
        <f t="shared" si="2"/>
        <v>75.75</v>
      </c>
      <c r="V50" s="43">
        <v>27</v>
      </c>
      <c r="W50" s="43">
        <v>2</v>
      </c>
      <c r="X50" s="43">
        <v>0</v>
      </c>
      <c r="Y50" s="81">
        <v>57</v>
      </c>
      <c r="Z50" s="43"/>
      <c r="AA50" s="43"/>
      <c r="AB50" s="43"/>
      <c r="AC50" s="43"/>
      <c r="AD50" s="43"/>
      <c r="AE50" s="43"/>
      <c r="AF50" s="43"/>
      <c r="AG50" s="7" t="e">
        <f t="shared" si="3"/>
        <v>#DIV/0!</v>
      </c>
      <c r="AH50" s="43"/>
      <c r="AI50" s="43"/>
      <c r="AJ50" s="43"/>
      <c r="AK50" s="43"/>
      <c r="AL50" s="43">
        <v>105</v>
      </c>
      <c r="AM50" s="43">
        <v>82</v>
      </c>
      <c r="AN50" s="43"/>
      <c r="AO50" s="43">
        <v>989</v>
      </c>
      <c r="AP50" s="43">
        <v>1085</v>
      </c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13">
        <f t="shared" si="4"/>
        <v>78.555555555555557</v>
      </c>
      <c r="EN50" s="13">
        <f t="shared" si="9"/>
        <v>55.555555555555557</v>
      </c>
      <c r="EO50" s="13">
        <f t="shared" si="36"/>
        <v>66.666666666666671</v>
      </c>
      <c r="EP50" s="30">
        <f>((AVERAGE(EM45:EM50)*('Summary Page'!$C$2+1))*('Summary Page'!$C$2+1))*('Summary Page'!$C$2+1)</f>
        <v>111.05485985185184</v>
      </c>
      <c r="EQ50" s="7">
        <f>((AVERAGE(EM45:EM50)*('Summary Page'!$C$3+1))*('Summary Page'!$C$3+1))*('Summary Page'!$C$3+1)</f>
        <v>138.96122685185188</v>
      </c>
      <c r="ER50" s="7">
        <f>((AVERAGE(EM45:EM50)*('Summary Page'!$C$4+1))*('Summary Page'!$C$4+1))*('Summary Page'!$C$4+1)</f>
        <v>122.94399999999999</v>
      </c>
      <c r="ES50" s="7">
        <v>80</v>
      </c>
      <c r="ET50" s="13">
        <f t="shared" si="5"/>
        <v>93.75</v>
      </c>
      <c r="EU50" s="13">
        <f t="shared" si="11"/>
        <v>75.75</v>
      </c>
      <c r="EV50" s="13">
        <f t="shared" si="37"/>
        <v>90.899999999999991</v>
      </c>
      <c r="EW50" s="7">
        <f>((AVERAGE(ET45:ET50)*('Summary Page'!$C$2+1))*('Summary Page'!$C$2+1))*('Summary Page'!$C$2+1)</f>
        <v>118.04275999999997</v>
      </c>
      <c r="EX50" s="7">
        <f>((AVERAGE(ET45:ET50)*('Summary Page'!$C$3+1))*('Summary Page'!$C$3+1))*('Summary Page'!$C$3+1)</f>
        <v>147.705078125</v>
      </c>
      <c r="EY50" s="7">
        <f>((AVERAGE(ET45:ET50)*('Summary Page'!$C$4+1))*('Summary Page'!$C$4+1))*('Summary Page'!$C$4+1)</f>
        <v>130.67999999999998</v>
      </c>
      <c r="EZ50" s="13">
        <f t="shared" si="6"/>
        <v>23.666666666666668</v>
      </c>
      <c r="FA50" s="13">
        <f t="shared" si="13"/>
        <v>19.666666666666668</v>
      </c>
      <c r="FB50" s="13">
        <f t="shared" si="38"/>
        <v>23.6</v>
      </c>
      <c r="FC50" s="7">
        <f>((AVERAGE(EZ45:EZ50)*('Summary Page'!$C$2+1))*('Summary Page'!$C$2+1))*('Summary Page'!$C$2+1)</f>
        <v>94.867790222222197</v>
      </c>
      <c r="FD50" s="7">
        <f>((AVERAGE(EZ45:EZ50)*('Summary Page'!$C$3+1))*('Summary Page'!$C$3+1))*('Summary Page'!$C$3+1)</f>
        <v>118.70659722222221</v>
      </c>
      <c r="FE50" s="7">
        <f>((AVERAGE(EZ45:EZ50)*('Summary Page'!$C$4+1))*('Summary Page'!$C$4+1))*('Summary Page'!$C$4+1)</f>
        <v>105.02399999999997</v>
      </c>
      <c r="FF50" s="13">
        <f t="shared" si="7"/>
        <v>52.704545454545453</v>
      </c>
      <c r="FI50" s="43">
        <f t="shared" si="8"/>
        <v>130</v>
      </c>
      <c r="FJ50" s="7"/>
      <c r="FK50" s="7"/>
      <c r="FL50" s="7"/>
      <c r="FO50" s="43">
        <f t="shared" si="15"/>
        <v>8</v>
      </c>
      <c r="FP50" s="7"/>
      <c r="FQ50" s="7"/>
      <c r="FR50" s="7"/>
      <c r="FU50" s="43">
        <f t="shared" si="16"/>
        <v>62</v>
      </c>
      <c r="GA50" s="43">
        <f t="shared" si="17"/>
        <v>51</v>
      </c>
      <c r="GG50" s="43">
        <f t="shared" si="18"/>
        <v>57</v>
      </c>
      <c r="GM50" s="43">
        <f t="shared" si="19"/>
        <v>116</v>
      </c>
      <c r="GS50" s="43">
        <f t="shared" si="20"/>
        <v>74</v>
      </c>
      <c r="GY50" s="43">
        <f t="shared" si="21"/>
        <v>27</v>
      </c>
      <c r="HE50" s="43">
        <f t="shared" si="22"/>
        <v>2</v>
      </c>
      <c r="HQ50" s="43">
        <f t="shared" si="39"/>
        <v>82</v>
      </c>
      <c r="HV50" s="16">
        <f t="shared" si="32"/>
        <v>29.63295880149813</v>
      </c>
      <c r="HW50" s="16">
        <f t="shared" si="33"/>
        <v>32.509363295880149</v>
      </c>
      <c r="HX50" s="7">
        <f t="shared" si="40"/>
        <v>32.509363295880149</v>
      </c>
      <c r="IB50" s="11">
        <f t="shared" si="35"/>
        <v>34.571785268414487</v>
      </c>
      <c r="IC50" s="11">
        <f>(HW50/6)+HW50</f>
        <v>37.927590511860174</v>
      </c>
      <c r="ID50" s="11">
        <f>(HX50/6)+HX50</f>
        <v>37.927590511860174</v>
      </c>
    </row>
    <row r="51" spans="1:238" ht="15.75" x14ac:dyDescent="0.25">
      <c r="A51" s="10">
        <v>44581</v>
      </c>
      <c r="B51" s="43">
        <v>41</v>
      </c>
      <c r="C51" s="43">
        <v>97</v>
      </c>
      <c r="D51" s="43">
        <v>103</v>
      </c>
      <c r="E51" s="43">
        <v>79</v>
      </c>
      <c r="F51" s="43">
        <v>79</v>
      </c>
      <c r="G51" s="43">
        <v>102</v>
      </c>
      <c r="H51" s="43">
        <v>108</v>
      </c>
      <c r="I51" s="7">
        <f t="shared" si="1"/>
        <v>92</v>
      </c>
      <c r="J51" s="43">
        <v>36</v>
      </c>
      <c r="K51" s="43">
        <v>3</v>
      </c>
      <c r="L51" s="43">
        <v>0</v>
      </c>
      <c r="M51" s="43">
        <v>83</v>
      </c>
      <c r="N51" s="43">
        <v>25</v>
      </c>
      <c r="O51" s="43">
        <v>19</v>
      </c>
      <c r="P51" s="43">
        <v>20</v>
      </c>
      <c r="Q51" s="43">
        <v>50</v>
      </c>
      <c r="R51" s="43">
        <v>53</v>
      </c>
      <c r="S51" s="43">
        <v>53</v>
      </c>
      <c r="T51" s="43">
        <v>52</v>
      </c>
      <c r="U51" s="7">
        <f t="shared" si="2"/>
        <v>52</v>
      </c>
      <c r="V51" s="43">
        <v>15</v>
      </c>
      <c r="W51" s="43">
        <v>1</v>
      </c>
      <c r="X51">
        <v>0</v>
      </c>
      <c r="Y51" s="81">
        <v>45</v>
      </c>
      <c r="AG51" s="7" t="e">
        <f t="shared" si="3"/>
        <v>#DIV/0!</v>
      </c>
      <c r="EM51" s="13">
        <f t="shared" si="4"/>
        <v>72.666666666666671</v>
      </c>
      <c r="EN51" s="13">
        <f t="shared" si="9"/>
        <v>32.555555555555557</v>
      </c>
      <c r="EO51" s="13">
        <f t="shared" si="36"/>
        <v>39.06666666666667</v>
      </c>
      <c r="EP51" s="30">
        <f>((AVERAGE(EM46:EM51)*('Summary Page'!$C$2+1))*('Summary Page'!$C$2+1))*('Summary Page'!$C$2+1)</f>
        <v>117.789837037037</v>
      </c>
      <c r="EQ51" s="7">
        <f>((AVERAGE(EM46:EM51)*('Summary Page'!$C$3+1))*('Summary Page'!$C$3+1))*('Summary Page'!$C$3+1)</f>
        <v>147.38859953703701</v>
      </c>
      <c r="ER51" s="7">
        <f>((AVERAGE(EM46:EM51)*('Summary Page'!$C$4+1))*('Summary Page'!$C$4+1))*('Summary Page'!$C$4+1)</f>
        <v>130.4</v>
      </c>
      <c r="ES51" s="7">
        <v>80</v>
      </c>
      <c r="ET51" s="13">
        <f t="shared" si="5"/>
        <v>92</v>
      </c>
      <c r="EU51" s="13">
        <f t="shared" si="11"/>
        <v>52</v>
      </c>
      <c r="EV51" s="13">
        <f t="shared" si="37"/>
        <v>62.4</v>
      </c>
      <c r="EW51" s="7">
        <f>((AVERAGE(ET46:ET51)*('Summary Page'!$C$2+1))*('Summary Page'!$C$2+1))*('Summary Page'!$C$2+1)</f>
        <v>128.44873333333331</v>
      </c>
      <c r="EX51" s="7">
        <f>((AVERAGE(ET46:ET51)*('Summary Page'!$C$3+1))*('Summary Page'!$C$3+1))*('Summary Page'!$C$3+1)</f>
        <v>160.72591145833337</v>
      </c>
      <c r="EY51" s="7">
        <f>((AVERAGE(ET46:ET51)*('Summary Page'!$C$4+1))*('Summary Page'!$C$4+1))*('Summary Page'!$C$4+1)</f>
        <v>142.19999999999999</v>
      </c>
      <c r="EZ51" s="13">
        <f t="shared" si="6"/>
        <v>28.666666666666668</v>
      </c>
      <c r="FA51" s="13">
        <f t="shared" si="13"/>
        <v>15.333333333333334</v>
      </c>
      <c r="FB51" s="13">
        <f t="shared" si="38"/>
        <v>18.399999999999999</v>
      </c>
      <c r="FC51" s="7">
        <f>((AVERAGE(EZ46:EZ51)*('Summary Page'!$C$2+1))*('Summary Page'!$C$2+1))*('Summary Page'!$C$2+1)</f>
        <v>89.404654222222206</v>
      </c>
      <c r="FD51" s="7">
        <f>((AVERAGE(EZ46:EZ51)*('Summary Page'!$C$3+1))*('Summary Page'!$C$3+1))*('Summary Page'!$C$3+1)</f>
        <v>111.87065972222223</v>
      </c>
      <c r="FE51" s="7">
        <f>((AVERAGE(EZ46:EZ51)*('Summary Page'!$C$4+1))*('Summary Page'!$C$4+1))*('Summary Page'!$C$4+1)</f>
        <v>98.975999999999999</v>
      </c>
      <c r="FF51" s="13">
        <f t="shared" si="7"/>
        <v>62.545454545454547</v>
      </c>
      <c r="FI51" s="43">
        <f t="shared" si="8"/>
        <v>19</v>
      </c>
      <c r="FJ51" s="7"/>
      <c r="FK51" s="7"/>
      <c r="FL51" s="7"/>
      <c r="FO51" s="43">
        <f t="shared" si="15"/>
        <v>20</v>
      </c>
      <c r="FP51" s="7"/>
      <c r="FQ51" s="7"/>
      <c r="FR51" s="7"/>
      <c r="FU51" s="43">
        <f t="shared" si="16"/>
        <v>50</v>
      </c>
      <c r="GA51" s="43">
        <f t="shared" si="17"/>
        <v>53</v>
      </c>
      <c r="GG51" s="43">
        <f t="shared" si="18"/>
        <v>45</v>
      </c>
      <c r="GM51" s="43">
        <f t="shared" si="19"/>
        <v>53</v>
      </c>
      <c r="GS51" s="43">
        <f t="shared" si="20"/>
        <v>52</v>
      </c>
      <c r="GY51" s="43">
        <f t="shared" si="21"/>
        <v>15</v>
      </c>
      <c r="HE51" s="43">
        <f t="shared" si="22"/>
        <v>1</v>
      </c>
    </row>
    <row r="52" spans="1:238" ht="16.5" thickBot="1" x14ac:dyDescent="0.3">
      <c r="A52" s="10">
        <v>44593</v>
      </c>
      <c r="B52" s="43">
        <v>41</v>
      </c>
      <c r="C52" s="43">
        <v>85</v>
      </c>
      <c r="D52" s="43">
        <v>91</v>
      </c>
      <c r="E52" s="43">
        <v>81</v>
      </c>
      <c r="F52" s="43">
        <v>74</v>
      </c>
      <c r="G52" s="43">
        <v>92</v>
      </c>
      <c r="H52" s="43">
        <v>105</v>
      </c>
      <c r="I52" s="7">
        <f t="shared" ref="I52:I66" si="41">AVERAGE(E52:H52)</f>
        <v>88</v>
      </c>
      <c r="J52" s="43">
        <v>34</v>
      </c>
      <c r="K52" s="43">
        <v>3</v>
      </c>
      <c r="M52" s="43">
        <v>81</v>
      </c>
      <c r="N52" s="43">
        <v>25</v>
      </c>
      <c r="O52">
        <v>19</v>
      </c>
      <c r="P52">
        <v>16</v>
      </c>
      <c r="Q52">
        <v>58</v>
      </c>
      <c r="R52">
        <v>57</v>
      </c>
      <c r="S52">
        <v>75</v>
      </c>
      <c r="T52">
        <v>38</v>
      </c>
      <c r="U52">
        <f t="shared" ref="U52:U66" si="42">AVERAGE(Q52:T52)</f>
        <v>57</v>
      </c>
      <c r="V52">
        <v>13</v>
      </c>
      <c r="Y52" s="49">
        <v>49</v>
      </c>
      <c r="Z52">
        <v>31</v>
      </c>
      <c r="AA52">
        <v>34</v>
      </c>
      <c r="AB52">
        <v>20</v>
      </c>
      <c r="AC52">
        <v>59</v>
      </c>
      <c r="AD52">
        <v>61</v>
      </c>
      <c r="AE52">
        <v>71</v>
      </c>
      <c r="AF52">
        <v>62</v>
      </c>
      <c r="AG52">
        <f t="shared" ref="AG52:AG66" si="43">AVERAGE(AC52:AF52)</f>
        <v>63.25</v>
      </c>
      <c r="AH52">
        <v>21</v>
      </c>
      <c r="AK52">
        <v>59</v>
      </c>
      <c r="AL52">
        <v>113</v>
      </c>
      <c r="AM52">
        <v>64</v>
      </c>
      <c r="AN52">
        <v>75</v>
      </c>
      <c r="AO52">
        <v>1028</v>
      </c>
      <c r="AP52">
        <v>1120</v>
      </c>
      <c r="AQ52">
        <v>1033</v>
      </c>
      <c r="AR52" s="14">
        <f t="shared" ref="AR52:AT63" si="44">((AO52/37.5)/0.83)*(AL52/100)</f>
        <v>37.321767068273097</v>
      </c>
      <c r="AS52" s="7">
        <f t="shared" si="44"/>
        <v>23.029718875502009</v>
      </c>
      <c r="AT52" s="8">
        <f t="shared" si="44"/>
        <v>24.891566265060241</v>
      </c>
      <c r="EN52" s="13">
        <f t="shared" si="9"/>
        <v>44.571428571428569</v>
      </c>
      <c r="EO52" s="13">
        <f t="shared" si="36"/>
        <v>53.48571428571428</v>
      </c>
      <c r="EP52" s="30">
        <f>((AVERAGE(EM47:EM52)*('Summary Page'!$C$2+1))*('Summary Page'!$C$2+1))*('Summary Page'!$C$2+1)</f>
        <v>118.9402752</v>
      </c>
      <c r="EQ52" s="7">
        <f>((AVERAGE(EM47:EM52)*('Summary Page'!$C$3+1))*('Summary Page'!$C$3+1))*('Summary Page'!$C$3+1)</f>
        <v>148.82812500000003</v>
      </c>
      <c r="ER52" s="7">
        <f>((AVERAGE(EM47:EM52)*('Summary Page'!$C$4+1))*('Summary Page'!$C$4+1))*('Summary Page'!$C$4+1)</f>
        <v>131.67359999999999</v>
      </c>
      <c r="ES52" s="7">
        <v>80</v>
      </c>
      <c r="ET52" s="13">
        <f t="shared" si="5"/>
        <v>88</v>
      </c>
      <c r="EU52" s="13">
        <f t="shared" si="11"/>
        <v>57</v>
      </c>
      <c r="EV52" s="13">
        <f t="shared" si="37"/>
        <v>68.399999999999991</v>
      </c>
      <c r="EW52" s="7">
        <f>((AVERAGE(ET47:ET52)*('Summary Page'!$C$2+1))*('Summary Page'!$C$2+1))*('Summary Page'!$C$2+1)</f>
        <v>131.9607493333333</v>
      </c>
      <c r="EX52" s="7">
        <f>((AVERAGE(ET47:ET52)*('Summary Page'!$C$3+1))*('Summary Page'!$C$3+1))*('Summary Page'!$C$3+1)</f>
        <v>165.12044270833337</v>
      </c>
      <c r="EY52" s="7">
        <f>((AVERAGE(ET47:ET52)*('Summary Page'!$C$4+1))*('Summary Page'!$C$4+1))*('Summary Page'!$C$4+1)</f>
        <v>146.08799999999999</v>
      </c>
      <c r="FA52" s="13">
        <f t="shared" si="13"/>
        <v>49</v>
      </c>
      <c r="FB52" s="13">
        <f t="shared" si="38"/>
        <v>58.8</v>
      </c>
      <c r="FC52" s="7">
        <f>((AVERAGE(EZ47:EZ52)*('Summary Page'!$C$2+1))*('Summary Page'!$C$2+1))*('Summary Page'!$C$2+1)</f>
        <v>80.438173866666645</v>
      </c>
      <c r="FD52" s="7">
        <f>((AVERAGE(EZ47:EZ52)*('Summary Page'!$C$3+1))*('Summary Page'!$C$3+1))*('Summary Page'!$C$3+1)</f>
        <v>100.65104166666669</v>
      </c>
      <c r="FE52" s="7">
        <f>((AVERAGE(EZ47:EZ52)*('Summary Page'!$C$4+1))*('Summary Page'!$C$4+1))*('Summary Page'!$C$4+1)</f>
        <v>89.049599999999998</v>
      </c>
      <c r="FF52" s="13">
        <f t="shared" si="7"/>
        <v>65.2</v>
      </c>
      <c r="FI52" s="43">
        <f t="shared" si="8"/>
        <v>19</v>
      </c>
      <c r="FJ52" s="7"/>
      <c r="FK52" s="7"/>
      <c r="FL52" s="7"/>
      <c r="FO52" s="43">
        <f t="shared" si="15"/>
        <v>16</v>
      </c>
      <c r="FP52" s="7"/>
      <c r="FQ52" s="7"/>
      <c r="FR52" s="7"/>
      <c r="FU52" s="43">
        <f t="shared" si="16"/>
        <v>58</v>
      </c>
      <c r="GA52" s="43">
        <f t="shared" si="17"/>
        <v>57</v>
      </c>
      <c r="GG52" s="43">
        <f t="shared" si="18"/>
        <v>49</v>
      </c>
      <c r="GM52" s="43">
        <f t="shared" si="19"/>
        <v>75</v>
      </c>
      <c r="GS52" s="43">
        <f t="shared" si="20"/>
        <v>38</v>
      </c>
      <c r="GY52" s="43">
        <f t="shared" si="21"/>
        <v>13</v>
      </c>
    </row>
    <row r="53" spans="1:238" ht="16.5" thickBot="1" x14ac:dyDescent="0.3">
      <c r="A53" s="10">
        <v>44617</v>
      </c>
      <c r="B53" s="43">
        <v>42</v>
      </c>
      <c r="C53" s="43">
        <v>70</v>
      </c>
      <c r="D53" s="43">
        <v>84</v>
      </c>
      <c r="E53" s="198">
        <v>72</v>
      </c>
      <c r="F53" s="199">
        <v>81</v>
      </c>
      <c r="G53" s="199">
        <v>85</v>
      </c>
      <c r="H53" s="200">
        <v>94</v>
      </c>
      <c r="I53" s="891">
        <f t="shared" si="41"/>
        <v>83</v>
      </c>
      <c r="J53" s="43">
        <v>24</v>
      </c>
      <c r="K53" s="43">
        <v>3</v>
      </c>
      <c r="M53" s="43">
        <v>84</v>
      </c>
      <c r="N53" s="43">
        <v>22</v>
      </c>
      <c r="O53" s="43">
        <v>31</v>
      </c>
      <c r="P53" s="43">
        <v>16</v>
      </c>
      <c r="Q53" s="43">
        <v>43</v>
      </c>
      <c r="R53" s="43">
        <v>51</v>
      </c>
      <c r="S53" s="43">
        <v>59</v>
      </c>
      <c r="T53" s="43">
        <v>48</v>
      </c>
      <c r="U53" s="7">
        <f t="shared" si="42"/>
        <v>50.25</v>
      </c>
      <c r="V53" s="43">
        <v>17</v>
      </c>
      <c r="Y53" s="81">
        <v>41</v>
      </c>
      <c r="Z53" s="43">
        <v>32</v>
      </c>
      <c r="AA53" s="43">
        <v>40</v>
      </c>
      <c r="AB53" s="43">
        <v>21</v>
      </c>
      <c r="AC53" s="43">
        <v>65</v>
      </c>
      <c r="AD53" s="43">
        <v>61</v>
      </c>
      <c r="AE53" s="43">
        <v>74</v>
      </c>
      <c r="AF53" s="43">
        <v>62</v>
      </c>
      <c r="AG53" s="7">
        <f t="shared" si="43"/>
        <v>65.5</v>
      </c>
      <c r="AH53" s="43">
        <v>22</v>
      </c>
      <c r="AI53" s="43"/>
      <c r="AK53" s="43">
        <v>59</v>
      </c>
      <c r="AL53" s="43">
        <v>130</v>
      </c>
      <c r="AM53" s="43">
        <v>70</v>
      </c>
      <c r="AN53" s="43">
        <v>95</v>
      </c>
      <c r="AO53" s="43">
        <v>872</v>
      </c>
      <c r="AP53" s="43">
        <v>908</v>
      </c>
      <c r="AQ53" s="43">
        <v>830</v>
      </c>
      <c r="AR53" s="14">
        <f t="shared" si="44"/>
        <v>36.42088353413655</v>
      </c>
      <c r="AS53" s="7">
        <f t="shared" si="44"/>
        <v>20.420883534136546</v>
      </c>
      <c r="AT53" s="8">
        <f t="shared" si="44"/>
        <v>25.333333333333332</v>
      </c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N53" s="13">
        <f t="shared" si="9"/>
        <v>41.285714285714285</v>
      </c>
      <c r="EO53" s="13">
        <f t="shared" si="36"/>
        <v>49.542857142857137</v>
      </c>
      <c r="ET53" s="13">
        <f t="shared" si="5"/>
        <v>83</v>
      </c>
      <c r="EU53" s="13">
        <f t="shared" si="11"/>
        <v>50.25</v>
      </c>
      <c r="EV53" s="13">
        <f t="shared" si="37"/>
        <v>60.3</v>
      </c>
      <c r="FA53" s="13">
        <f t="shared" si="13"/>
        <v>41</v>
      </c>
      <c r="FB53" s="13">
        <f t="shared" si="38"/>
        <v>49.199999999999996</v>
      </c>
      <c r="FF53" s="9">
        <f t="shared" si="7"/>
        <v>61.3</v>
      </c>
      <c r="FI53" s="43">
        <f t="shared" si="8"/>
        <v>31</v>
      </c>
      <c r="FO53" s="43">
        <f t="shared" si="15"/>
        <v>16</v>
      </c>
      <c r="FU53" s="43">
        <f t="shared" si="16"/>
        <v>43</v>
      </c>
      <c r="GA53" s="43">
        <f t="shared" si="17"/>
        <v>51</v>
      </c>
      <c r="GG53" s="43">
        <f t="shared" si="18"/>
        <v>41</v>
      </c>
      <c r="GM53" s="43">
        <f t="shared" si="19"/>
        <v>59</v>
      </c>
      <c r="GS53" s="43">
        <f t="shared" si="20"/>
        <v>48</v>
      </c>
      <c r="GY53" s="43">
        <f t="shared" si="21"/>
        <v>17</v>
      </c>
    </row>
    <row r="54" spans="1:238" ht="16.5" thickBot="1" x14ac:dyDescent="0.3">
      <c r="A54" s="10">
        <v>44655</v>
      </c>
      <c r="B54" s="43">
        <v>44</v>
      </c>
      <c r="C54" s="43">
        <v>76</v>
      </c>
      <c r="D54" s="43">
        <v>64</v>
      </c>
      <c r="E54" s="198">
        <v>47</v>
      </c>
      <c r="F54" s="199">
        <v>82</v>
      </c>
      <c r="G54" s="199">
        <v>70</v>
      </c>
      <c r="H54" s="200">
        <v>86</v>
      </c>
      <c r="I54" s="891">
        <f t="shared" si="41"/>
        <v>71.25</v>
      </c>
      <c r="J54" s="43">
        <v>39</v>
      </c>
      <c r="K54" s="43">
        <v>2</v>
      </c>
      <c r="M54" s="43">
        <v>77</v>
      </c>
      <c r="N54" s="43">
        <v>26</v>
      </c>
      <c r="O54" s="43">
        <v>25</v>
      </c>
      <c r="P54" s="43">
        <v>23</v>
      </c>
      <c r="Q54" s="218">
        <v>39</v>
      </c>
      <c r="R54" s="43">
        <v>48</v>
      </c>
      <c r="S54" s="43">
        <v>48</v>
      </c>
      <c r="T54" s="213">
        <v>40</v>
      </c>
      <c r="U54" s="891">
        <f t="shared" si="42"/>
        <v>43.75</v>
      </c>
      <c r="V54" s="43">
        <v>20</v>
      </c>
      <c r="Y54" s="81">
        <v>51</v>
      </c>
      <c r="Z54" s="43">
        <v>26</v>
      </c>
      <c r="AA54" s="43">
        <v>38</v>
      </c>
      <c r="AB54" s="43">
        <v>27</v>
      </c>
      <c r="AC54" s="198">
        <v>57</v>
      </c>
      <c r="AD54" s="199">
        <v>63</v>
      </c>
      <c r="AE54" s="199">
        <v>76</v>
      </c>
      <c r="AF54" s="200">
        <v>56</v>
      </c>
      <c r="AG54" s="891">
        <f t="shared" si="43"/>
        <v>63</v>
      </c>
      <c r="AH54" s="43">
        <v>24</v>
      </c>
      <c r="AI54" s="43"/>
      <c r="AK54" s="43">
        <v>53</v>
      </c>
      <c r="AL54" s="43">
        <v>129</v>
      </c>
      <c r="AM54" s="43">
        <v>75</v>
      </c>
      <c r="AN54" s="43">
        <v>93</v>
      </c>
      <c r="AO54" s="43">
        <v>799</v>
      </c>
      <c r="AP54" s="43">
        <v>892</v>
      </c>
      <c r="AQ54" s="43">
        <v>796</v>
      </c>
      <c r="AR54" s="14">
        <f t="shared" si="44"/>
        <v>33.115180722891573</v>
      </c>
      <c r="AS54" s="7">
        <f t="shared" si="44"/>
        <v>21.493975903614459</v>
      </c>
      <c r="AT54" s="8">
        <f t="shared" si="44"/>
        <v>23.784096385542171</v>
      </c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N54" s="13">
        <f t="shared" si="9"/>
        <v>39.142857142857146</v>
      </c>
      <c r="EO54" s="13">
        <f t="shared" si="36"/>
        <v>46.971428571428575</v>
      </c>
      <c r="ET54" s="13">
        <f t="shared" si="5"/>
        <v>71.25</v>
      </c>
      <c r="EU54" s="13">
        <f t="shared" si="11"/>
        <v>43.75</v>
      </c>
      <c r="EV54" s="13">
        <f t="shared" si="37"/>
        <v>52.5</v>
      </c>
      <c r="FA54" s="13">
        <f t="shared" si="13"/>
        <v>51</v>
      </c>
      <c r="FB54" s="13">
        <f t="shared" si="38"/>
        <v>61.199999999999996</v>
      </c>
      <c r="FF54" s="9">
        <f t="shared" si="7"/>
        <v>54.024999999999999</v>
      </c>
      <c r="FI54" s="43">
        <f t="shared" si="8"/>
        <v>25</v>
      </c>
      <c r="FO54" s="43">
        <f t="shared" si="15"/>
        <v>23</v>
      </c>
      <c r="FU54" s="43">
        <f t="shared" si="16"/>
        <v>39</v>
      </c>
      <c r="GA54" s="43">
        <f t="shared" si="17"/>
        <v>48</v>
      </c>
      <c r="GG54" s="43">
        <f t="shared" si="18"/>
        <v>51</v>
      </c>
      <c r="GM54" s="43">
        <f t="shared" si="19"/>
        <v>48</v>
      </c>
      <c r="GS54" s="43">
        <f t="shared" si="20"/>
        <v>40</v>
      </c>
      <c r="GY54" s="43">
        <f t="shared" si="21"/>
        <v>20</v>
      </c>
    </row>
    <row r="55" spans="1:238" ht="16.5" thickBot="1" x14ac:dyDescent="0.3">
      <c r="A55" s="10">
        <v>44691</v>
      </c>
      <c r="B55" s="43">
        <v>28</v>
      </c>
      <c r="C55" s="43">
        <v>119</v>
      </c>
      <c r="D55" s="43">
        <v>94</v>
      </c>
      <c r="E55" s="198">
        <v>49</v>
      </c>
      <c r="F55" s="199">
        <v>74</v>
      </c>
      <c r="G55" s="199">
        <v>53</v>
      </c>
      <c r="H55" s="200">
        <v>71</v>
      </c>
      <c r="I55" s="891">
        <f t="shared" si="41"/>
        <v>61.75</v>
      </c>
      <c r="J55" s="43">
        <v>53</v>
      </c>
      <c r="K55" s="43">
        <v>2</v>
      </c>
      <c r="M55" s="43">
        <v>51</v>
      </c>
      <c r="N55" s="43">
        <v>20</v>
      </c>
      <c r="O55" s="43">
        <v>61</v>
      </c>
      <c r="P55" s="43">
        <v>24</v>
      </c>
      <c r="Q55" s="218">
        <v>43</v>
      </c>
      <c r="R55" s="43">
        <v>53</v>
      </c>
      <c r="S55" s="43">
        <v>57</v>
      </c>
      <c r="T55" s="213">
        <v>48</v>
      </c>
      <c r="U55" s="891">
        <f t="shared" si="42"/>
        <v>50.25</v>
      </c>
      <c r="V55" s="43">
        <v>31</v>
      </c>
      <c r="Y55" s="81">
        <v>41</v>
      </c>
      <c r="Z55" s="43">
        <v>22</v>
      </c>
      <c r="AA55" s="43">
        <v>53</v>
      </c>
      <c r="AB55" s="43">
        <v>17</v>
      </c>
      <c r="AC55" s="198">
        <v>47</v>
      </c>
      <c r="AD55" s="199">
        <v>51</v>
      </c>
      <c r="AE55" s="199">
        <v>69</v>
      </c>
      <c r="AF55" s="200">
        <v>51</v>
      </c>
      <c r="AG55" s="891">
        <f t="shared" si="43"/>
        <v>54.5</v>
      </c>
      <c r="AH55" s="43">
        <v>26</v>
      </c>
      <c r="AI55" s="43"/>
      <c r="AK55" s="43">
        <v>44</v>
      </c>
      <c r="AL55" s="43">
        <v>118</v>
      </c>
      <c r="AM55" s="43">
        <v>80</v>
      </c>
      <c r="AN55" s="43">
        <v>84</v>
      </c>
      <c r="AO55" s="43">
        <v>776</v>
      </c>
      <c r="AP55" s="43">
        <v>848</v>
      </c>
      <c r="AQ55" s="43">
        <v>762</v>
      </c>
      <c r="AR55" s="14">
        <f t="shared" si="44"/>
        <v>29.419437751004011</v>
      </c>
      <c r="AS55" s="7">
        <f t="shared" si="44"/>
        <v>21.795983935742974</v>
      </c>
      <c r="AT55" s="8">
        <f t="shared" si="44"/>
        <v>20.564819277108434</v>
      </c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N55" s="13">
        <f t="shared" si="9"/>
        <v>46.714285714285715</v>
      </c>
      <c r="EO55" s="13">
        <f t="shared" si="36"/>
        <v>56.057142857142857</v>
      </c>
      <c r="ET55" s="13">
        <f t="shared" si="5"/>
        <v>61.75</v>
      </c>
      <c r="EU55" s="13">
        <f t="shared" si="11"/>
        <v>50.25</v>
      </c>
      <c r="EV55" s="13">
        <f t="shared" si="37"/>
        <v>60.3</v>
      </c>
      <c r="FA55" s="13">
        <f t="shared" si="13"/>
        <v>41</v>
      </c>
      <c r="FB55" s="13">
        <f t="shared" si="38"/>
        <v>49.199999999999996</v>
      </c>
      <c r="FF55" s="9">
        <f t="shared" si="7"/>
        <v>51.075000000000003</v>
      </c>
      <c r="FI55" s="43">
        <f t="shared" si="8"/>
        <v>61</v>
      </c>
      <c r="FO55" s="43">
        <f t="shared" si="15"/>
        <v>24</v>
      </c>
      <c r="FU55" s="43">
        <f t="shared" si="16"/>
        <v>43</v>
      </c>
      <c r="GA55" s="43">
        <f t="shared" si="17"/>
        <v>53</v>
      </c>
      <c r="GG55" s="43">
        <f t="shared" si="18"/>
        <v>41</v>
      </c>
      <c r="GM55" s="43">
        <f t="shared" si="19"/>
        <v>57</v>
      </c>
      <c r="GS55" s="43">
        <f t="shared" si="20"/>
        <v>48</v>
      </c>
      <c r="GY55" s="43">
        <f t="shared" si="21"/>
        <v>31</v>
      </c>
    </row>
    <row r="56" spans="1:238" ht="16.5" thickBot="1" x14ac:dyDescent="0.3">
      <c r="A56" s="10">
        <v>44714</v>
      </c>
      <c r="B56" s="43">
        <v>29</v>
      </c>
      <c r="C56" s="43">
        <v>120</v>
      </c>
      <c r="D56" s="43">
        <v>78</v>
      </c>
      <c r="E56" s="198">
        <v>66</v>
      </c>
      <c r="F56" s="199">
        <v>77</v>
      </c>
      <c r="G56" s="199">
        <v>49</v>
      </c>
      <c r="H56" s="200">
        <v>70</v>
      </c>
      <c r="I56" s="891">
        <f t="shared" si="41"/>
        <v>65.5</v>
      </c>
      <c r="J56" s="43">
        <v>54</v>
      </c>
      <c r="K56" s="43">
        <v>3</v>
      </c>
      <c r="M56" s="43">
        <v>51</v>
      </c>
      <c r="N56" s="43">
        <v>23</v>
      </c>
      <c r="O56" s="43">
        <v>53</v>
      </c>
      <c r="P56" s="43">
        <v>24</v>
      </c>
      <c r="Q56" s="218">
        <v>49</v>
      </c>
      <c r="R56" s="43">
        <v>45</v>
      </c>
      <c r="S56" s="43">
        <v>73</v>
      </c>
      <c r="T56" s="213">
        <v>46</v>
      </c>
      <c r="U56" s="891">
        <f t="shared" si="42"/>
        <v>53.25</v>
      </c>
      <c r="V56" s="43">
        <v>25</v>
      </c>
      <c r="Y56" s="81">
        <v>43</v>
      </c>
      <c r="Z56" s="43">
        <v>24</v>
      </c>
      <c r="AA56" s="43">
        <v>64</v>
      </c>
      <c r="AB56" s="43">
        <v>22</v>
      </c>
      <c r="AC56" s="198">
        <v>50</v>
      </c>
      <c r="AD56" s="199">
        <v>51</v>
      </c>
      <c r="AE56" s="199">
        <v>71</v>
      </c>
      <c r="AF56" s="200">
        <v>54</v>
      </c>
      <c r="AG56" s="891">
        <f t="shared" si="43"/>
        <v>56.5</v>
      </c>
      <c r="AH56" s="43">
        <v>27</v>
      </c>
      <c r="AI56" s="43"/>
      <c r="AK56" s="43">
        <v>47</v>
      </c>
      <c r="AL56" s="43">
        <v>115</v>
      </c>
      <c r="AM56" s="43">
        <v>82</v>
      </c>
      <c r="AN56" s="43">
        <v>90</v>
      </c>
      <c r="AO56" s="43">
        <v>810</v>
      </c>
      <c r="AP56" s="43">
        <v>848</v>
      </c>
      <c r="AQ56" s="43">
        <v>762</v>
      </c>
      <c r="AR56" s="14">
        <f t="shared" si="44"/>
        <v>29.927710843373497</v>
      </c>
      <c r="AS56" s="7">
        <f t="shared" si="44"/>
        <v>22.340883534136545</v>
      </c>
      <c r="AT56" s="8">
        <f t="shared" si="44"/>
        <v>22.033734939759039</v>
      </c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N56" s="13"/>
      <c r="EO56" s="13"/>
      <c r="ET56" s="13"/>
      <c r="EU56" s="13"/>
      <c r="EV56" s="13"/>
      <c r="FA56" s="13"/>
      <c r="FB56" s="13"/>
      <c r="FI56" s="43"/>
      <c r="FO56" s="43"/>
      <c r="FU56" s="43"/>
      <c r="GA56" s="43"/>
      <c r="GG56" s="43"/>
      <c r="GM56" s="43"/>
      <c r="GS56" s="43"/>
      <c r="GY56" s="43"/>
    </row>
    <row r="57" spans="1:238" ht="16.5" thickBot="1" x14ac:dyDescent="0.3">
      <c r="A57" s="10">
        <v>44753</v>
      </c>
      <c r="B57" s="43">
        <v>31</v>
      </c>
      <c r="C57" s="43">
        <v>89</v>
      </c>
      <c r="D57" s="43">
        <v>82</v>
      </c>
      <c r="E57" s="198">
        <v>75</v>
      </c>
      <c r="F57" s="199">
        <v>65</v>
      </c>
      <c r="G57" s="199">
        <v>122</v>
      </c>
      <c r="H57" s="200">
        <v>65</v>
      </c>
      <c r="I57" s="891">
        <f t="shared" si="41"/>
        <v>81.75</v>
      </c>
      <c r="J57" s="43">
        <v>34</v>
      </c>
      <c r="K57" s="43">
        <v>0</v>
      </c>
      <c r="M57" s="43">
        <v>53</v>
      </c>
      <c r="N57" s="43">
        <v>32</v>
      </c>
      <c r="O57" s="43">
        <v>96</v>
      </c>
      <c r="P57" s="43">
        <v>29</v>
      </c>
      <c r="Q57" s="218">
        <v>71</v>
      </c>
      <c r="R57" s="43">
        <v>64</v>
      </c>
      <c r="S57" s="43">
        <v>95</v>
      </c>
      <c r="T57" s="213">
        <v>67</v>
      </c>
      <c r="U57" s="891">
        <f t="shared" si="42"/>
        <v>74.25</v>
      </c>
      <c r="V57" s="43">
        <v>57</v>
      </c>
      <c r="Y57" s="81">
        <v>59</v>
      </c>
      <c r="Z57" s="43">
        <v>27</v>
      </c>
      <c r="AA57" s="43">
        <v>65</v>
      </c>
      <c r="AB57" s="43">
        <v>20</v>
      </c>
      <c r="AC57" s="198">
        <v>57</v>
      </c>
      <c r="AD57" s="199">
        <v>59</v>
      </c>
      <c r="AE57" s="199">
        <v>78</v>
      </c>
      <c r="AF57" s="200">
        <v>58</v>
      </c>
      <c r="AG57" s="891">
        <f t="shared" si="43"/>
        <v>63</v>
      </c>
      <c r="AH57" s="43">
        <v>28</v>
      </c>
      <c r="AI57" s="43"/>
      <c r="AK57" s="43">
        <v>50.5</v>
      </c>
      <c r="AL57" s="43">
        <v>123</v>
      </c>
      <c r="AM57" s="43">
        <v>118</v>
      </c>
      <c r="AN57" s="43">
        <v>97</v>
      </c>
      <c r="AO57" s="43">
        <v>847</v>
      </c>
      <c r="AP57" s="43">
        <v>715</v>
      </c>
      <c r="AQ57" s="43">
        <v>815</v>
      </c>
      <c r="AR57" s="14">
        <f t="shared" si="44"/>
        <v>33.471807228915665</v>
      </c>
      <c r="AS57" s="7">
        <f t="shared" si="44"/>
        <v>27.106827309236948</v>
      </c>
      <c r="AT57" s="8">
        <f t="shared" si="44"/>
        <v>25.399196787148597</v>
      </c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N57" s="13"/>
      <c r="EO57" s="13"/>
      <c r="ET57" s="13"/>
      <c r="EU57" s="13"/>
      <c r="EV57" s="13"/>
      <c r="FA57" s="13"/>
      <c r="FB57" s="13"/>
      <c r="FI57" s="43"/>
      <c r="FO57" s="43"/>
      <c r="FU57" s="43"/>
      <c r="GA57" s="43"/>
      <c r="GG57" s="43"/>
      <c r="GM57" s="43"/>
      <c r="GS57" s="43"/>
      <c r="GY57" s="43"/>
    </row>
    <row r="58" spans="1:238" ht="16.5" thickBot="1" x14ac:dyDescent="0.3">
      <c r="A58" s="10">
        <v>44774</v>
      </c>
      <c r="B58" s="43">
        <v>33</v>
      </c>
      <c r="C58" s="43">
        <v>74</v>
      </c>
      <c r="D58" s="43">
        <v>72</v>
      </c>
      <c r="E58" s="198">
        <v>80</v>
      </c>
      <c r="F58" s="199">
        <v>66</v>
      </c>
      <c r="G58" s="199">
        <v>131</v>
      </c>
      <c r="H58" s="200">
        <v>73</v>
      </c>
      <c r="I58" s="891">
        <f t="shared" si="41"/>
        <v>87.5</v>
      </c>
      <c r="J58" s="43">
        <v>44</v>
      </c>
      <c r="K58" s="43"/>
      <c r="M58" s="43">
        <v>58</v>
      </c>
      <c r="N58" s="43">
        <v>31</v>
      </c>
      <c r="O58" s="43">
        <v>86</v>
      </c>
      <c r="P58" s="43">
        <v>53</v>
      </c>
      <c r="Q58" s="218">
        <v>81</v>
      </c>
      <c r="R58" s="43">
        <v>75</v>
      </c>
      <c r="S58" s="43">
        <v>90</v>
      </c>
      <c r="T58" s="213">
        <v>65</v>
      </c>
      <c r="U58" s="891">
        <f t="shared" si="42"/>
        <v>77.75</v>
      </c>
      <c r="V58" s="43">
        <v>35</v>
      </c>
      <c r="Y58" s="81">
        <v>56</v>
      </c>
      <c r="Z58" s="43">
        <v>28</v>
      </c>
      <c r="AA58" s="43">
        <v>64</v>
      </c>
      <c r="AB58" s="43">
        <v>22</v>
      </c>
      <c r="AC58" s="198">
        <v>57</v>
      </c>
      <c r="AD58" s="199">
        <v>61</v>
      </c>
      <c r="AE58" s="199">
        <v>78</v>
      </c>
      <c r="AF58" s="200">
        <v>58</v>
      </c>
      <c r="AG58" s="891">
        <f t="shared" si="43"/>
        <v>63.5</v>
      </c>
      <c r="AH58" s="43">
        <v>26</v>
      </c>
      <c r="AI58" s="43"/>
      <c r="AK58" s="43">
        <v>54</v>
      </c>
      <c r="AL58" s="43">
        <v>115</v>
      </c>
      <c r="AM58" s="43">
        <v>99</v>
      </c>
      <c r="AN58" s="43">
        <v>84</v>
      </c>
      <c r="AO58" s="43">
        <v>903</v>
      </c>
      <c r="AP58" s="43">
        <v>864</v>
      </c>
      <c r="AQ58" s="43">
        <v>992</v>
      </c>
      <c r="AR58" s="14">
        <f t="shared" si="44"/>
        <v>33.363855421686743</v>
      </c>
      <c r="AS58" s="7">
        <f t="shared" si="44"/>
        <v>27.481445783132532</v>
      </c>
      <c r="AT58" s="8">
        <f t="shared" si="44"/>
        <v>26.772048192771084</v>
      </c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N58" s="13"/>
      <c r="EO58" s="13"/>
      <c r="ET58" s="13"/>
      <c r="EU58" s="13"/>
      <c r="EV58" s="13"/>
      <c r="FA58" s="13"/>
      <c r="FB58" s="13"/>
      <c r="FI58" s="43"/>
      <c r="FO58" s="43"/>
      <c r="FU58" s="43"/>
      <c r="GA58" s="43"/>
      <c r="GG58" s="43"/>
      <c r="GM58" s="43"/>
      <c r="GS58" s="43"/>
      <c r="GY58" s="43"/>
    </row>
    <row r="59" spans="1:238" ht="16.5" thickBot="1" x14ac:dyDescent="0.3">
      <c r="A59" s="10">
        <v>44805</v>
      </c>
      <c r="B59" s="43">
        <v>34</v>
      </c>
      <c r="C59" s="43">
        <v>60</v>
      </c>
      <c r="D59" s="43">
        <v>51</v>
      </c>
      <c r="E59" s="198">
        <v>102</v>
      </c>
      <c r="F59" s="199">
        <v>71</v>
      </c>
      <c r="G59" s="199">
        <v>137</v>
      </c>
      <c r="H59" s="200">
        <v>63</v>
      </c>
      <c r="I59" s="891">
        <f t="shared" si="41"/>
        <v>93.25</v>
      </c>
      <c r="J59" s="43">
        <v>29</v>
      </c>
      <c r="K59" s="43"/>
      <c r="M59" s="43">
        <v>63</v>
      </c>
      <c r="N59" s="43">
        <v>29</v>
      </c>
      <c r="O59" s="43">
        <v>51</v>
      </c>
      <c r="P59" s="43">
        <v>32</v>
      </c>
      <c r="Q59" s="218">
        <v>74</v>
      </c>
      <c r="R59" s="43">
        <v>67</v>
      </c>
      <c r="S59" s="43">
        <v>83</v>
      </c>
      <c r="T59" s="213">
        <v>63</v>
      </c>
      <c r="U59" s="891">
        <f t="shared" si="42"/>
        <v>71.75</v>
      </c>
      <c r="V59" s="43">
        <v>19</v>
      </c>
      <c r="Y59" s="81">
        <v>54</v>
      </c>
      <c r="Z59" s="43">
        <v>33</v>
      </c>
      <c r="AA59" s="43">
        <v>35</v>
      </c>
      <c r="AB59" s="43">
        <v>34</v>
      </c>
      <c r="AC59" s="198">
        <v>62</v>
      </c>
      <c r="AD59" s="199">
        <v>66</v>
      </c>
      <c r="AE59" s="199">
        <v>92</v>
      </c>
      <c r="AF59" s="200">
        <v>65</v>
      </c>
      <c r="AG59" s="891">
        <f t="shared" si="43"/>
        <v>71.25</v>
      </c>
      <c r="AH59" s="43">
        <v>10</v>
      </c>
      <c r="AI59" s="43"/>
      <c r="AK59" s="43">
        <v>64</v>
      </c>
      <c r="AL59" s="43">
        <v>106</v>
      </c>
      <c r="AM59" s="43">
        <v>84</v>
      </c>
      <c r="AN59" s="43">
        <v>88</v>
      </c>
      <c r="AO59" s="43">
        <v>1001</v>
      </c>
      <c r="AP59" s="43">
        <v>871</v>
      </c>
      <c r="AQ59" s="43">
        <v>1027</v>
      </c>
      <c r="AR59" s="14">
        <f t="shared" si="44"/>
        <v>34.090281124497999</v>
      </c>
      <c r="AS59" s="7">
        <f t="shared" si="44"/>
        <v>23.506506024096385</v>
      </c>
      <c r="AT59" s="8">
        <f t="shared" si="44"/>
        <v>29.036465863453813</v>
      </c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N59" s="13"/>
      <c r="EO59" s="13"/>
      <c r="ET59" s="13"/>
      <c r="EU59" s="13"/>
      <c r="EV59" s="13"/>
      <c r="FA59" s="13"/>
      <c r="FB59" s="13"/>
      <c r="FI59" s="43"/>
      <c r="FO59" s="43"/>
      <c r="FU59" s="43"/>
      <c r="GA59" s="43"/>
      <c r="GG59" s="43"/>
      <c r="GM59" s="43"/>
      <c r="GS59" s="43"/>
      <c r="GY59" s="43"/>
    </row>
    <row r="60" spans="1:238" ht="16.5" thickBot="1" x14ac:dyDescent="0.3">
      <c r="A60" s="10">
        <v>44838</v>
      </c>
      <c r="B60" s="43">
        <v>33</v>
      </c>
      <c r="C60" s="43">
        <v>67</v>
      </c>
      <c r="D60" s="43">
        <v>74</v>
      </c>
      <c r="E60" s="198">
        <v>91</v>
      </c>
      <c r="F60" s="199">
        <v>74</v>
      </c>
      <c r="G60" s="199">
        <v>130</v>
      </c>
      <c r="H60" s="200">
        <v>103</v>
      </c>
      <c r="I60" s="891">
        <f t="shared" si="41"/>
        <v>99.5</v>
      </c>
      <c r="J60" s="43">
        <v>38</v>
      </c>
      <c r="K60" s="43"/>
      <c r="M60" s="43">
        <v>64</v>
      </c>
      <c r="N60" s="43">
        <v>29</v>
      </c>
      <c r="O60" s="43">
        <v>33</v>
      </c>
      <c r="P60" s="43">
        <v>28</v>
      </c>
      <c r="Q60" s="218">
        <v>69</v>
      </c>
      <c r="R60" s="43">
        <v>61</v>
      </c>
      <c r="S60" s="43">
        <v>92</v>
      </c>
      <c r="T60" s="213">
        <v>92</v>
      </c>
      <c r="U60" s="891">
        <f t="shared" si="42"/>
        <v>78.5</v>
      </c>
      <c r="V60" s="43">
        <v>12</v>
      </c>
      <c r="Y60" s="81">
        <v>56</v>
      </c>
      <c r="Z60" s="43">
        <v>31</v>
      </c>
      <c r="AA60" s="43">
        <v>30</v>
      </c>
      <c r="AB60" s="43">
        <v>33</v>
      </c>
      <c r="AC60" s="198">
        <v>63</v>
      </c>
      <c r="AD60" s="199">
        <v>63</v>
      </c>
      <c r="AE60" s="199">
        <v>84</v>
      </c>
      <c r="AF60" s="200">
        <v>83</v>
      </c>
      <c r="AG60" s="891">
        <f t="shared" si="43"/>
        <v>73.25</v>
      </c>
      <c r="AH60" s="43">
        <v>10</v>
      </c>
      <c r="AI60" s="43"/>
      <c r="AK60" s="43">
        <v>61</v>
      </c>
      <c r="AL60" s="43">
        <v>108</v>
      </c>
      <c r="AM60" s="43">
        <v>86</v>
      </c>
      <c r="AN60" s="43">
        <v>85</v>
      </c>
      <c r="AO60" s="43">
        <v>892</v>
      </c>
      <c r="AP60" s="43">
        <v>1030</v>
      </c>
      <c r="AQ60" s="43">
        <v>1047</v>
      </c>
      <c r="AR60" s="14">
        <f t="shared" si="44"/>
        <v>30.951325301204822</v>
      </c>
      <c r="AS60" s="7">
        <f t="shared" si="44"/>
        <v>28.459437751004014</v>
      </c>
      <c r="AT60" s="8">
        <f t="shared" si="44"/>
        <v>28.592771084337354</v>
      </c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N60" s="13"/>
      <c r="EO60" s="13"/>
      <c r="ET60" s="13"/>
      <c r="EU60" s="13"/>
      <c r="EV60" s="13"/>
      <c r="FA60" s="13"/>
      <c r="FB60" s="13"/>
      <c r="FI60" s="43"/>
      <c r="FO60" s="43"/>
      <c r="FU60" s="43"/>
      <c r="GA60" s="43"/>
      <c r="GG60" s="43"/>
      <c r="GM60" s="43"/>
      <c r="GS60" s="43"/>
      <c r="GY60" s="43"/>
    </row>
    <row r="61" spans="1:238" ht="16.5" thickBot="1" x14ac:dyDescent="0.3">
      <c r="A61" s="10">
        <v>44868</v>
      </c>
      <c r="B61" s="43">
        <v>18</v>
      </c>
      <c r="C61" s="43">
        <v>18</v>
      </c>
      <c r="D61" s="43">
        <v>47</v>
      </c>
      <c r="E61" s="198">
        <v>59</v>
      </c>
      <c r="F61" s="199">
        <v>33</v>
      </c>
      <c r="G61" s="199">
        <v>85</v>
      </c>
      <c r="H61" s="200">
        <v>64</v>
      </c>
      <c r="I61" s="891">
        <f t="shared" si="41"/>
        <v>60.25</v>
      </c>
      <c r="J61" s="43">
        <v>5</v>
      </c>
      <c r="K61" s="43"/>
      <c r="M61" s="43">
        <v>29</v>
      </c>
      <c r="N61" s="43">
        <v>21</v>
      </c>
      <c r="O61" s="43">
        <v>25</v>
      </c>
      <c r="P61" s="43">
        <v>12</v>
      </c>
      <c r="Q61" s="218">
        <v>53</v>
      </c>
      <c r="R61" s="43">
        <v>36</v>
      </c>
      <c r="S61" s="43">
        <v>61</v>
      </c>
      <c r="T61" s="213">
        <v>78</v>
      </c>
      <c r="U61" s="891">
        <f t="shared" si="42"/>
        <v>57</v>
      </c>
      <c r="V61" s="43">
        <v>11</v>
      </c>
      <c r="Y61" s="81">
        <v>36</v>
      </c>
      <c r="Z61" s="43">
        <v>21</v>
      </c>
      <c r="AA61" s="43">
        <v>29</v>
      </c>
      <c r="AB61" s="43">
        <v>16</v>
      </c>
      <c r="AC61" s="198">
        <v>54</v>
      </c>
      <c r="AD61" s="199">
        <v>45</v>
      </c>
      <c r="AE61" s="199">
        <v>68</v>
      </c>
      <c r="AF61" s="200">
        <v>73</v>
      </c>
      <c r="AG61" s="891">
        <f t="shared" si="43"/>
        <v>60</v>
      </c>
      <c r="AH61" s="43">
        <v>11</v>
      </c>
      <c r="AI61" s="43"/>
      <c r="AK61" s="43">
        <v>39</v>
      </c>
      <c r="AL61" s="43">
        <v>58</v>
      </c>
      <c r="AM61" s="43">
        <v>59</v>
      </c>
      <c r="AN61" s="43">
        <v>65</v>
      </c>
      <c r="AO61" s="43">
        <v>997</v>
      </c>
      <c r="AP61" s="43">
        <v>993</v>
      </c>
      <c r="AQ61" s="43">
        <v>1034</v>
      </c>
      <c r="AR61" s="14">
        <f>((AO61/37.5)/0.83)*(AL61/100)</f>
        <v>18.57863453815261</v>
      </c>
      <c r="AS61" s="7">
        <f t="shared" si="44"/>
        <v>18.823132530120482</v>
      </c>
      <c r="AT61" s="8">
        <f t="shared" si="44"/>
        <v>21.593574297188756</v>
      </c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N61" s="13"/>
      <c r="EO61" s="13"/>
      <c r="ET61" s="13"/>
      <c r="EU61" s="13"/>
      <c r="EV61" s="13"/>
      <c r="FA61" s="13"/>
      <c r="FB61" s="13"/>
      <c r="FI61" s="43"/>
      <c r="FO61" s="43"/>
      <c r="FU61" s="43"/>
      <c r="GA61" s="43"/>
      <c r="GG61" s="43"/>
      <c r="GM61" s="43"/>
      <c r="GS61" s="43"/>
      <c r="GY61" s="43"/>
    </row>
    <row r="62" spans="1:238" ht="16.5" thickBot="1" x14ac:dyDescent="0.3">
      <c r="A62" s="10">
        <v>44908</v>
      </c>
      <c r="B62" s="43">
        <v>15</v>
      </c>
      <c r="C62" s="43">
        <v>13</v>
      </c>
      <c r="D62" s="43">
        <v>15</v>
      </c>
      <c r="E62" s="198">
        <v>33</v>
      </c>
      <c r="F62" s="199">
        <v>26</v>
      </c>
      <c r="G62" s="199">
        <v>54</v>
      </c>
      <c r="H62" s="200">
        <v>56</v>
      </c>
      <c r="I62" s="891">
        <f t="shared" si="41"/>
        <v>42.25</v>
      </c>
      <c r="J62" s="43">
        <v>17</v>
      </c>
      <c r="K62" s="43"/>
      <c r="M62" s="43">
        <v>23</v>
      </c>
      <c r="N62" s="43">
        <v>13</v>
      </c>
      <c r="O62" s="43">
        <v>19</v>
      </c>
      <c r="P62" s="43">
        <v>7</v>
      </c>
      <c r="Q62" s="218">
        <v>51</v>
      </c>
      <c r="R62" s="43">
        <v>17</v>
      </c>
      <c r="S62" s="43">
        <v>46</v>
      </c>
      <c r="T62" s="213">
        <v>45</v>
      </c>
      <c r="U62" s="891">
        <f t="shared" si="42"/>
        <v>39.75</v>
      </c>
      <c r="V62" s="43">
        <v>9</v>
      </c>
      <c r="Y62" s="81">
        <v>23</v>
      </c>
      <c r="Z62" s="43">
        <v>17</v>
      </c>
      <c r="AA62" s="43">
        <v>20</v>
      </c>
      <c r="AB62" s="43">
        <v>12</v>
      </c>
      <c r="AC62" s="198">
        <v>41</v>
      </c>
      <c r="AD62" s="199">
        <v>29</v>
      </c>
      <c r="AE62" s="199">
        <v>40</v>
      </c>
      <c r="AF62" s="200">
        <v>53</v>
      </c>
      <c r="AG62" s="891">
        <f t="shared" si="43"/>
        <v>40.75</v>
      </c>
      <c r="AH62" s="43">
        <v>10</v>
      </c>
      <c r="AI62" s="43"/>
      <c r="AK62" s="43">
        <v>30</v>
      </c>
      <c r="AL62" s="43">
        <v>99</v>
      </c>
      <c r="AM62" s="43">
        <v>83</v>
      </c>
      <c r="AN62" s="43">
        <v>98</v>
      </c>
      <c r="AO62" s="43">
        <v>400</v>
      </c>
      <c r="AP62" s="43">
        <v>467</v>
      </c>
      <c r="AQ62" s="43">
        <v>490</v>
      </c>
      <c r="AR62" s="14">
        <f>((AO62/37.5)/0.83)*(AL62/100)</f>
        <v>12.72289156626506</v>
      </c>
      <c r="AS62" s="7">
        <f t="shared" si="44"/>
        <v>12.453333333333333</v>
      </c>
      <c r="AT62" s="8">
        <f t="shared" si="44"/>
        <v>15.428112449799197</v>
      </c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N62" s="13"/>
      <c r="EO62" s="13"/>
      <c r="ET62" s="13"/>
      <c r="EU62" s="13"/>
      <c r="EV62" s="13"/>
      <c r="FA62" s="13"/>
      <c r="FB62" s="13"/>
      <c r="FI62" s="43"/>
      <c r="FO62" s="43"/>
      <c r="FU62" s="43"/>
      <c r="GA62" s="43"/>
      <c r="GG62" s="43"/>
      <c r="GM62" s="43"/>
      <c r="GS62" s="43"/>
      <c r="GY62" s="43"/>
    </row>
    <row r="63" spans="1:238" ht="15.75" thickBot="1" x14ac:dyDescent="0.3">
      <c r="A63" s="10">
        <v>44965</v>
      </c>
      <c r="B63" s="43">
        <v>10</v>
      </c>
      <c r="C63" s="43">
        <v>1</v>
      </c>
      <c r="D63" s="43">
        <v>53</v>
      </c>
      <c r="E63" s="218">
        <v>31</v>
      </c>
      <c r="F63" s="43">
        <v>18</v>
      </c>
      <c r="G63" s="43">
        <v>18</v>
      </c>
      <c r="H63" s="213">
        <v>30</v>
      </c>
      <c r="I63" s="891">
        <f t="shared" si="41"/>
        <v>24.25</v>
      </c>
      <c r="J63" s="43">
        <v>2</v>
      </c>
      <c r="M63" s="43">
        <v>16</v>
      </c>
      <c r="N63" s="43">
        <v>13</v>
      </c>
      <c r="O63" s="43">
        <v>7</v>
      </c>
      <c r="P63" s="43">
        <v>5</v>
      </c>
      <c r="Q63" s="218">
        <v>28</v>
      </c>
      <c r="R63" s="43">
        <v>12</v>
      </c>
      <c r="S63" s="43">
        <v>29</v>
      </c>
      <c r="T63" s="213">
        <v>25</v>
      </c>
      <c r="U63" s="891">
        <f t="shared" si="42"/>
        <v>23.5</v>
      </c>
      <c r="V63" s="43">
        <v>6</v>
      </c>
      <c r="Y63" s="81">
        <v>19</v>
      </c>
      <c r="Z63" s="43">
        <v>26</v>
      </c>
      <c r="AA63" s="43">
        <v>20</v>
      </c>
      <c r="AB63" s="43">
        <v>11</v>
      </c>
      <c r="AC63" s="198">
        <v>50</v>
      </c>
      <c r="AD63" s="199">
        <v>34</v>
      </c>
      <c r="AE63" s="199">
        <v>62</v>
      </c>
      <c r="AF63" s="200">
        <v>53</v>
      </c>
      <c r="AG63" s="891">
        <f t="shared" si="43"/>
        <v>49.75</v>
      </c>
      <c r="AH63" s="43">
        <v>12</v>
      </c>
      <c r="AK63" s="43">
        <v>36</v>
      </c>
      <c r="AL63" s="43">
        <v>67</v>
      </c>
      <c r="AM63" s="43">
        <v>76</v>
      </c>
      <c r="AN63" s="43">
        <v>114</v>
      </c>
      <c r="AO63" s="43">
        <v>311</v>
      </c>
      <c r="AP63" s="43">
        <v>424</v>
      </c>
      <c r="AQ63" s="43">
        <v>497</v>
      </c>
      <c r="AR63" s="14">
        <f>((AO63/37.5)/0.83)*(AL63/100)</f>
        <v>6.6946184738955825</v>
      </c>
      <c r="AS63" s="7">
        <f t="shared" si="44"/>
        <v>10.353092369477912</v>
      </c>
      <c r="AT63" s="8">
        <f t="shared" si="44"/>
        <v>18.203373493975903</v>
      </c>
    </row>
    <row r="64" spans="1:238" ht="15.75" thickBot="1" x14ac:dyDescent="0.3">
      <c r="A64" s="10">
        <v>44992</v>
      </c>
      <c r="B64" s="43">
        <v>10</v>
      </c>
      <c r="C64" s="43">
        <v>3</v>
      </c>
      <c r="D64" s="43">
        <v>37</v>
      </c>
      <c r="E64" s="218">
        <v>21</v>
      </c>
      <c r="F64" s="43">
        <v>9</v>
      </c>
      <c r="G64" s="43">
        <v>12</v>
      </c>
      <c r="H64" s="213">
        <v>18</v>
      </c>
      <c r="I64" s="891">
        <f t="shared" si="41"/>
        <v>15</v>
      </c>
      <c r="J64" s="43">
        <v>4</v>
      </c>
      <c r="M64" s="43">
        <v>18</v>
      </c>
      <c r="N64" s="43">
        <v>5</v>
      </c>
      <c r="O64" s="43">
        <v>12</v>
      </c>
      <c r="P64" s="43">
        <v>6</v>
      </c>
      <c r="Q64" s="218">
        <v>28</v>
      </c>
      <c r="R64" s="43">
        <v>9</v>
      </c>
      <c r="S64" s="43">
        <v>24</v>
      </c>
      <c r="T64" s="213">
        <v>24</v>
      </c>
      <c r="U64" s="891">
        <f t="shared" si="42"/>
        <v>21.25</v>
      </c>
      <c r="V64" s="43">
        <v>6</v>
      </c>
      <c r="Y64" s="81">
        <v>10</v>
      </c>
      <c r="Z64" s="43">
        <v>17</v>
      </c>
      <c r="AA64" s="43">
        <v>23</v>
      </c>
      <c r="AB64" s="43">
        <v>10</v>
      </c>
      <c r="AC64" s="198">
        <v>37</v>
      </c>
      <c r="AD64" s="199">
        <v>22</v>
      </c>
      <c r="AE64" s="199">
        <v>46</v>
      </c>
      <c r="AF64" s="200">
        <v>45</v>
      </c>
      <c r="AG64" s="891">
        <f t="shared" si="43"/>
        <v>37.5</v>
      </c>
      <c r="AH64" s="43">
        <v>10</v>
      </c>
      <c r="AK64" s="43">
        <v>24</v>
      </c>
      <c r="AL64" s="43">
        <v>87</v>
      </c>
      <c r="AM64" s="43">
        <v>61</v>
      </c>
      <c r="AN64" s="43">
        <v>80</v>
      </c>
      <c r="AO64" s="43">
        <v>218</v>
      </c>
      <c r="AP64" s="43">
        <v>341</v>
      </c>
      <c r="AQ64" s="43">
        <v>528</v>
      </c>
      <c r="AR64" s="14">
        <f t="shared" ref="AR64:AT66" si="45">((AO64/37.5)/0.85)*(AL64/100)</f>
        <v>5.950117647058824</v>
      </c>
      <c r="AS64" s="7">
        <f t="shared" si="45"/>
        <v>6.5258039215686283</v>
      </c>
      <c r="AT64" s="8">
        <f t="shared" si="45"/>
        <v>13.251764705882355</v>
      </c>
    </row>
    <row r="65" spans="1:46" ht="15.75" thickBot="1" x14ac:dyDescent="0.3">
      <c r="A65" s="10">
        <v>45020</v>
      </c>
      <c r="B65" s="43">
        <v>9</v>
      </c>
      <c r="C65" s="43">
        <v>14</v>
      </c>
      <c r="D65" s="43">
        <v>14</v>
      </c>
      <c r="E65" s="218">
        <v>29</v>
      </c>
      <c r="F65" s="43">
        <v>12</v>
      </c>
      <c r="G65" s="43">
        <v>25</v>
      </c>
      <c r="H65" s="213">
        <v>30</v>
      </c>
      <c r="I65" s="891">
        <f t="shared" si="41"/>
        <v>24</v>
      </c>
      <c r="J65" s="43">
        <v>5</v>
      </c>
      <c r="M65" s="43">
        <v>19</v>
      </c>
      <c r="N65" s="43">
        <v>10</v>
      </c>
      <c r="O65" s="43">
        <v>18</v>
      </c>
      <c r="P65" s="43">
        <v>0</v>
      </c>
      <c r="Q65" s="218">
        <v>37</v>
      </c>
      <c r="R65" s="43">
        <v>15</v>
      </c>
      <c r="S65" s="43">
        <v>28</v>
      </c>
      <c r="T65" s="213">
        <v>32</v>
      </c>
      <c r="U65" s="891">
        <f t="shared" si="42"/>
        <v>28</v>
      </c>
      <c r="V65" s="43">
        <v>7</v>
      </c>
      <c r="Y65" s="81">
        <v>19</v>
      </c>
      <c r="Z65" s="43">
        <v>15</v>
      </c>
      <c r="AA65" s="43">
        <v>17</v>
      </c>
      <c r="AB65" s="43">
        <v>2</v>
      </c>
      <c r="AC65" s="198">
        <v>26</v>
      </c>
      <c r="AD65" s="199">
        <v>23</v>
      </c>
      <c r="AE65" s="199">
        <v>39</v>
      </c>
      <c r="AF65" s="200">
        <v>35</v>
      </c>
      <c r="AG65" s="891">
        <f t="shared" si="43"/>
        <v>30.75</v>
      </c>
      <c r="AH65" s="43">
        <v>8</v>
      </c>
      <c r="AK65" s="43">
        <v>25</v>
      </c>
      <c r="AL65" s="43">
        <v>97</v>
      </c>
      <c r="AM65" s="43">
        <v>98</v>
      </c>
      <c r="AN65" s="43">
        <v>113</v>
      </c>
      <c r="AO65" s="43">
        <v>267</v>
      </c>
      <c r="AP65" s="43">
        <v>314</v>
      </c>
      <c r="AQ65" s="43">
        <v>305</v>
      </c>
      <c r="AR65" s="14">
        <f t="shared" si="45"/>
        <v>8.1251764705882348</v>
      </c>
      <c r="AS65" s="7">
        <f t="shared" si="45"/>
        <v>9.6539607843137265</v>
      </c>
      <c r="AT65" s="8">
        <f t="shared" si="45"/>
        <v>10.812549019607841</v>
      </c>
    </row>
    <row r="66" spans="1:46" ht="15.75" thickBot="1" x14ac:dyDescent="0.3">
      <c r="A66" s="10">
        <v>45047</v>
      </c>
      <c r="B66" s="43">
        <v>8</v>
      </c>
      <c r="C66" s="43">
        <v>30</v>
      </c>
      <c r="D66" s="43">
        <v>18</v>
      </c>
      <c r="E66" s="218">
        <v>30</v>
      </c>
      <c r="F66" s="43">
        <v>21</v>
      </c>
      <c r="G66" s="43">
        <v>22</v>
      </c>
      <c r="H66" s="213">
        <v>28</v>
      </c>
      <c r="I66" s="891">
        <f t="shared" si="41"/>
        <v>25.25</v>
      </c>
      <c r="J66" s="43">
        <v>16</v>
      </c>
      <c r="M66" s="43">
        <v>15</v>
      </c>
      <c r="N66" s="43">
        <v>12</v>
      </c>
      <c r="O66" s="43">
        <v>37</v>
      </c>
      <c r="P66" s="43">
        <v>1</v>
      </c>
      <c r="Q66" s="218">
        <v>45</v>
      </c>
      <c r="R66" s="43">
        <v>21</v>
      </c>
      <c r="S66" s="43">
        <v>36</v>
      </c>
      <c r="T66" s="213">
        <v>38</v>
      </c>
      <c r="U66" s="891">
        <f t="shared" si="42"/>
        <v>35</v>
      </c>
      <c r="V66" s="43">
        <v>14</v>
      </c>
      <c r="Y66" s="81">
        <v>21</v>
      </c>
      <c r="Z66" s="43">
        <v>16</v>
      </c>
      <c r="AA66" s="43">
        <v>53</v>
      </c>
      <c r="AB66" s="43">
        <v>2</v>
      </c>
      <c r="AC66" s="198">
        <v>58</v>
      </c>
      <c r="AD66" s="199">
        <v>39</v>
      </c>
      <c r="AE66" s="199">
        <v>69</v>
      </c>
      <c r="AF66" s="200">
        <v>53</v>
      </c>
      <c r="AG66" s="891">
        <f t="shared" si="43"/>
        <v>54.75</v>
      </c>
      <c r="AH66" s="43">
        <v>29</v>
      </c>
      <c r="AK66" s="43">
        <v>30</v>
      </c>
      <c r="AL66" s="43">
        <v>103</v>
      </c>
      <c r="AM66" s="43">
        <v>124</v>
      </c>
      <c r="AN66" s="43">
        <v>185</v>
      </c>
      <c r="AO66" s="43">
        <v>270</v>
      </c>
      <c r="AP66" s="43">
        <v>314</v>
      </c>
      <c r="AQ66" s="43">
        <v>305</v>
      </c>
      <c r="AR66" s="14">
        <f t="shared" si="45"/>
        <v>8.7247058823529411</v>
      </c>
      <c r="AS66" s="7">
        <f t="shared" si="45"/>
        <v>12.21521568627451</v>
      </c>
      <c r="AT66" s="8">
        <f t="shared" si="45"/>
        <v>17.701960784313727</v>
      </c>
    </row>
  </sheetData>
  <mergeCells count="9">
    <mergeCell ref="AL2:AM2"/>
    <mergeCell ref="HV2:IA2"/>
    <mergeCell ref="IB2:IG2"/>
    <mergeCell ref="EM2:ER2"/>
    <mergeCell ref="ET2:EY2"/>
    <mergeCell ref="EZ2:FE2"/>
    <mergeCell ref="FF2:FF3"/>
    <mergeCell ref="AO2:AQ2"/>
    <mergeCell ref="AR2:AT2"/>
  </mergeCells>
  <phoneticPr fontId="11" type="noConversion"/>
  <conditionalFormatting sqref="AL27:AN38 L39:M43 C5:C46 FI5:FL52 FO5:FR52 FU5:FX48 GA5:GD48 GG5:GJ48 GM5:GP48 GS5:GV48 GY5:HB48 AL47:AN50 AP39:EL50 M27:M43 D27:F46 D5:H25 J44:M51 J27:K43 X43:X46 J5:M25 V27:W51 X39:AD42 Z43:AD46 AH39:AN46 AE39:AF46 AH5:EL25 V5:AF25 V53 Y27:Y51 AP53:AQ53 C47:F51 G27:H51 J53:K53 M53 C53:H53 Y53 O53:T53 FI53:FI54 FO53:FO54 FU49:FU54 GA49:GA54 GM49:GM54 GS49:GS54 GY49:GY54 GG49:GG54 AU53:EL53 AL53:AN53 O5:T25 O27:T51">
    <cfRule type="cellIs" dxfId="1054" priority="299" operator="lessThan">
      <formula>40</formula>
    </cfRule>
    <cfRule type="cellIs" dxfId="1053" priority="301" operator="greaterThan">
      <formula>80</formula>
    </cfRule>
  </conditionalFormatting>
  <conditionalFormatting sqref="EM5:EO24 FF5:FF52 EN26:EN36 EM25:EN25 EO25:EO36 EM27:EM51 EN37:EO54">
    <cfRule type="cellIs" dxfId="1052" priority="300" operator="greaterThan">
      <formula>80</formula>
    </cfRule>
  </conditionalFormatting>
  <conditionalFormatting sqref="L5:M25">
    <cfRule type="cellIs" dxfId="1051" priority="297" operator="lessThan">
      <formula>40</formula>
    </cfRule>
    <cfRule type="cellIs" dxfId="1050" priority="298" operator="greaterThan">
      <formula>80</formula>
    </cfRule>
  </conditionalFormatting>
  <conditionalFormatting sqref="HE25:HE51">
    <cfRule type="cellIs" dxfId="1049" priority="295" operator="lessThan">
      <formula>40</formula>
    </cfRule>
    <cfRule type="cellIs" dxfId="1048" priority="296" operator="greaterThan">
      <formula>80</formula>
    </cfRule>
  </conditionalFormatting>
  <conditionalFormatting sqref="HK25">
    <cfRule type="cellIs" dxfId="1047" priority="293" operator="lessThan">
      <formula>40</formula>
    </cfRule>
    <cfRule type="cellIs" dxfId="1046" priority="294" operator="greaterThan">
      <formula>80</formula>
    </cfRule>
  </conditionalFormatting>
  <conditionalFormatting sqref="HF5:HH48 HL5:HN48">
    <cfRule type="cellIs" dxfId="1045" priority="283" operator="lessThan">
      <formula>40</formula>
    </cfRule>
    <cfRule type="cellIs" dxfId="1044" priority="284" operator="greaterThan">
      <formula>80</formula>
    </cfRule>
  </conditionalFormatting>
  <conditionalFormatting sqref="EP5:ES52">
    <cfRule type="cellIs" dxfId="1043" priority="281" operator="lessThan">
      <formula>40</formula>
    </cfRule>
    <cfRule type="cellIs" dxfId="1042" priority="282" operator="greaterThan">
      <formula>80</formula>
    </cfRule>
  </conditionalFormatting>
  <conditionalFormatting sqref="AL5:AL25 AL27:AL50 AL53">
    <cfRule type="cellIs" dxfId="1041" priority="279" operator="lessThan">
      <formula>40</formula>
    </cfRule>
    <cfRule type="cellIs" dxfId="1040" priority="280" operator="greaterThan">
      <formula>80</formula>
    </cfRule>
  </conditionalFormatting>
  <conditionalFormatting sqref="HQ24:HQ50">
    <cfRule type="cellIs" dxfId="1039" priority="277" operator="lessThan">
      <formula>40</formula>
    </cfRule>
    <cfRule type="cellIs" dxfId="1038" priority="278" operator="greaterThan">
      <formula>80</formula>
    </cfRule>
  </conditionalFormatting>
  <conditionalFormatting sqref="HR5:HU48">
    <cfRule type="cellIs" dxfId="1037" priority="275" operator="lessThan">
      <formula>40</formula>
    </cfRule>
    <cfRule type="cellIs" dxfId="1036" priority="276" operator="greaterThan">
      <formula>80</formula>
    </cfRule>
  </conditionalFormatting>
  <conditionalFormatting sqref="ET5:EV24 EU26:EU36 ET25:EU25 EV25:EV36 ET27:ET54 EU37:EV54">
    <cfRule type="cellIs" dxfId="1035" priority="274" operator="greaterThan">
      <formula>80</formula>
    </cfRule>
  </conditionalFormatting>
  <conditionalFormatting sqref="EW5:EY52">
    <cfRule type="cellIs" dxfId="1034" priority="272" operator="lessThan">
      <formula>40</formula>
    </cfRule>
    <cfRule type="cellIs" dxfId="1033" priority="273" operator="greaterThan">
      <formula>80</formula>
    </cfRule>
  </conditionalFormatting>
  <conditionalFormatting sqref="EZ5:FB24 FA26:FA36 EZ25:FA25 FB25:FB36 EZ27:EZ51 FA37:FB54">
    <cfRule type="cellIs" dxfId="1032" priority="271" operator="greaterThan">
      <formula>80</formula>
    </cfRule>
  </conditionalFormatting>
  <conditionalFormatting sqref="FC5:FE52">
    <cfRule type="cellIs" dxfId="1031" priority="269" operator="lessThan">
      <formula>40</formula>
    </cfRule>
    <cfRule type="cellIs" dxfId="1030" priority="270" operator="greaterThan">
      <formula>80</formula>
    </cfRule>
  </conditionalFormatting>
  <conditionalFormatting sqref="HX26:HX50">
    <cfRule type="cellIs" dxfId="1029" priority="267" operator="lessThan">
      <formula>40</formula>
    </cfRule>
    <cfRule type="cellIs" dxfId="1028" priority="268" operator="greaterThan">
      <formula>80</formula>
    </cfRule>
  </conditionalFormatting>
  <conditionalFormatting sqref="HY26:IA48">
    <cfRule type="cellIs" dxfId="1027" priority="265" operator="lessThan">
      <formula>40</formula>
    </cfRule>
    <cfRule type="cellIs" dxfId="1026" priority="266" operator="greaterThan">
      <formula>80</formula>
    </cfRule>
  </conditionalFormatting>
  <conditionalFormatting sqref="AM26:AN26">
    <cfRule type="cellIs" dxfId="1025" priority="263" operator="lessThan">
      <formula>40</formula>
    </cfRule>
    <cfRule type="cellIs" dxfId="1024" priority="264" operator="greaterThan">
      <formula>80</formula>
    </cfRule>
  </conditionalFormatting>
  <conditionalFormatting sqref="B39">
    <cfRule type="cellIs" dxfId="1023" priority="261" operator="lessThan">
      <formula>40</formula>
    </cfRule>
    <cfRule type="cellIs" dxfId="1022" priority="262" operator="greaterThan">
      <formula>80</formula>
    </cfRule>
  </conditionalFormatting>
  <conditionalFormatting sqref="B40:B46 B48:B51 B53">
    <cfRule type="cellIs" dxfId="1021" priority="259" operator="lessThan">
      <formula>40</formula>
    </cfRule>
    <cfRule type="cellIs" dxfId="1020" priority="260" operator="greaterThan">
      <formula>80</formula>
    </cfRule>
  </conditionalFormatting>
  <conditionalFormatting sqref="D26">
    <cfRule type="cellIs" dxfId="1019" priority="257" operator="lessThan">
      <formula>40</formula>
    </cfRule>
    <cfRule type="cellIs" dxfId="1018" priority="258" operator="greaterThan">
      <formula>80</formula>
    </cfRule>
  </conditionalFormatting>
  <conditionalFormatting sqref="B47">
    <cfRule type="cellIs" dxfId="1017" priority="253" operator="lessThan">
      <formula>40</formula>
    </cfRule>
    <cfRule type="cellIs" dxfId="1016" priority="254" operator="greaterThan">
      <formula>80</formula>
    </cfRule>
  </conditionalFormatting>
  <conditionalFormatting sqref="I5:I25 I27:I51 I53">
    <cfRule type="cellIs" dxfId="1015" priority="251" operator="lessThan">
      <formula>40</formula>
    </cfRule>
    <cfRule type="cellIs" dxfId="1014" priority="252" operator="greaterThan">
      <formula>80</formula>
    </cfRule>
  </conditionalFormatting>
  <conditionalFormatting sqref="U5:U25 U27:U51 U53">
    <cfRule type="cellIs" dxfId="1013" priority="249" operator="lessThan">
      <formula>40</formula>
    </cfRule>
    <cfRule type="cellIs" dxfId="1012" priority="250" operator="greaterThan">
      <formula>80</formula>
    </cfRule>
  </conditionalFormatting>
  <conditionalFormatting sqref="AG5:AG25 AG27:AG51">
    <cfRule type="cellIs" dxfId="1011" priority="247" operator="lessThan">
      <formula>40</formula>
    </cfRule>
    <cfRule type="cellIs" dxfId="1010" priority="248" operator="greaterThan">
      <formula>80</formula>
    </cfRule>
  </conditionalFormatting>
  <conditionalFormatting sqref="O26:T26 Y26 V26:W26">
    <cfRule type="cellIs" dxfId="1009" priority="245" operator="lessThan">
      <formula>40</formula>
    </cfRule>
    <cfRule type="cellIs" dxfId="1008" priority="246" operator="greaterThan">
      <formula>80</formula>
    </cfRule>
  </conditionalFormatting>
  <conditionalFormatting sqref="U26">
    <cfRule type="cellIs" dxfId="1007" priority="243" operator="lessThan">
      <formula>40</formula>
    </cfRule>
    <cfRule type="cellIs" dxfId="1006" priority="244" operator="greaterThan">
      <formula>80</formula>
    </cfRule>
  </conditionalFormatting>
  <conditionalFormatting sqref="AA53:AF53 AH53:AI53 AK53">
    <cfRule type="cellIs" dxfId="1005" priority="241" operator="lessThan">
      <formula>40</formula>
    </cfRule>
    <cfRule type="cellIs" dxfId="1004" priority="242" operator="greaterThan">
      <formula>80</formula>
    </cfRule>
  </conditionalFormatting>
  <conditionalFormatting sqref="Z53">
    <cfRule type="cellIs" dxfId="1003" priority="239" operator="lessThan">
      <formula>40</formula>
    </cfRule>
    <cfRule type="cellIs" dxfId="1002" priority="240" operator="greaterThan">
      <formula>80</formula>
    </cfRule>
  </conditionalFormatting>
  <conditionalFormatting sqref="AG53">
    <cfRule type="cellIs" dxfId="1001" priority="237" operator="lessThan">
      <formula>40</formula>
    </cfRule>
    <cfRule type="cellIs" dxfId="1000" priority="238" operator="greaterThan">
      <formula>80</formula>
    </cfRule>
  </conditionalFormatting>
  <conditionalFormatting sqref="C52:H52 J52:K52 M52">
    <cfRule type="cellIs" dxfId="999" priority="235" operator="lessThan">
      <formula>40</formula>
    </cfRule>
    <cfRule type="cellIs" dxfId="998" priority="236" operator="greaterThan">
      <formula>80</formula>
    </cfRule>
  </conditionalFormatting>
  <conditionalFormatting sqref="B52">
    <cfRule type="cellIs" dxfId="997" priority="233" operator="lessThan">
      <formula>40</formula>
    </cfRule>
    <cfRule type="cellIs" dxfId="996" priority="234" operator="greaterThan">
      <formula>80</formula>
    </cfRule>
  </conditionalFormatting>
  <conditionalFormatting sqref="I52">
    <cfRule type="cellIs" dxfId="995" priority="231" operator="lessThan">
      <formula>40</formula>
    </cfRule>
    <cfRule type="cellIs" dxfId="994" priority="232" operator="greaterThan">
      <formula>80</formula>
    </cfRule>
  </conditionalFormatting>
  <conditionalFormatting sqref="V54 AP54:AQ54 J54:K54 C54:H54 Y54 O54:P54 AU54:EL54 AL54:AN54">
    <cfRule type="cellIs" dxfId="993" priority="229" operator="lessThan">
      <formula>40</formula>
    </cfRule>
    <cfRule type="cellIs" dxfId="992" priority="230" operator="greaterThan">
      <formula>80</formula>
    </cfRule>
  </conditionalFormatting>
  <conditionalFormatting sqref="AL54">
    <cfRule type="cellIs" dxfId="991" priority="227" operator="lessThan">
      <formula>40</formula>
    </cfRule>
    <cfRule type="cellIs" dxfId="990" priority="228" operator="greaterThan">
      <formula>80</formula>
    </cfRule>
  </conditionalFormatting>
  <conditionalFormatting sqref="B54">
    <cfRule type="cellIs" dxfId="989" priority="225" operator="lessThan">
      <formula>40</formula>
    </cfRule>
    <cfRule type="cellIs" dxfId="988" priority="226" operator="greaterThan">
      <formula>80</formula>
    </cfRule>
  </conditionalFormatting>
  <conditionalFormatting sqref="I54">
    <cfRule type="cellIs" dxfId="987" priority="223" operator="lessThan">
      <formula>40</formula>
    </cfRule>
    <cfRule type="cellIs" dxfId="986" priority="224" operator="greaterThan">
      <formula>80</formula>
    </cfRule>
  </conditionalFormatting>
  <conditionalFormatting sqref="AA54:AB54 AH54:AI54 AK54">
    <cfRule type="cellIs" dxfId="985" priority="219" operator="lessThan">
      <formula>40</formula>
    </cfRule>
    <cfRule type="cellIs" dxfId="984" priority="220" operator="greaterThan">
      <formula>80</formula>
    </cfRule>
  </conditionalFormatting>
  <conditionalFormatting sqref="Z54">
    <cfRule type="cellIs" dxfId="983" priority="217" operator="lessThan">
      <formula>40</formula>
    </cfRule>
    <cfRule type="cellIs" dxfId="982" priority="218" operator="greaterThan">
      <formula>80</formula>
    </cfRule>
  </conditionalFormatting>
  <conditionalFormatting sqref="M54">
    <cfRule type="cellIs" dxfId="981" priority="213" operator="lessThan">
      <formula>40</formula>
    </cfRule>
    <cfRule type="cellIs" dxfId="980" priority="214" operator="greaterThan">
      <formula>80</formula>
    </cfRule>
  </conditionalFormatting>
  <conditionalFormatting sqref="U54">
    <cfRule type="cellIs" dxfId="979" priority="209" operator="lessThan">
      <formula>40</formula>
    </cfRule>
    <cfRule type="cellIs" dxfId="978" priority="210" operator="greaterThan">
      <formula>80</formula>
    </cfRule>
  </conditionalFormatting>
  <conditionalFormatting sqref="AC54:AF54">
    <cfRule type="cellIs" dxfId="977" priority="207" operator="lessThan">
      <formula>40</formula>
    </cfRule>
    <cfRule type="cellIs" dxfId="976" priority="208" operator="greaterThan">
      <formula>80</formula>
    </cfRule>
  </conditionalFormatting>
  <conditionalFormatting sqref="FI55 FO55 FU55 GA55 GM55 GS55 GY55 GG55">
    <cfRule type="cellIs" dxfId="975" priority="200" operator="lessThan">
      <formula>40</formula>
    </cfRule>
    <cfRule type="cellIs" dxfId="974" priority="202" operator="greaterThan">
      <formula>80</formula>
    </cfRule>
  </conditionalFormatting>
  <conditionalFormatting sqref="EN55:EO55">
    <cfRule type="cellIs" dxfId="973" priority="201" operator="greaterThan">
      <formula>80</formula>
    </cfRule>
  </conditionalFormatting>
  <conditionalFormatting sqref="ET55:EV55">
    <cfRule type="cellIs" dxfId="972" priority="199" operator="greaterThan">
      <formula>80</formula>
    </cfRule>
  </conditionalFormatting>
  <conditionalFormatting sqref="FA55:FB55">
    <cfRule type="cellIs" dxfId="971" priority="198" operator="greaterThan">
      <formula>80</formula>
    </cfRule>
  </conditionalFormatting>
  <conditionalFormatting sqref="V55 AP55:AQ55 J55:K55 C55:H55 Y55 O55:P55 AU55:EL55 AL55:AN55">
    <cfRule type="cellIs" dxfId="970" priority="196" operator="lessThan">
      <formula>40</formula>
    </cfRule>
    <cfRule type="cellIs" dxfId="969" priority="197" operator="greaterThan">
      <formula>80</formula>
    </cfRule>
  </conditionalFormatting>
  <conditionalFormatting sqref="AL55">
    <cfRule type="cellIs" dxfId="968" priority="194" operator="lessThan">
      <formula>40</formula>
    </cfRule>
    <cfRule type="cellIs" dxfId="967" priority="195" operator="greaterThan">
      <formula>80</formula>
    </cfRule>
  </conditionalFormatting>
  <conditionalFormatting sqref="B55">
    <cfRule type="cellIs" dxfId="966" priority="192" operator="lessThan">
      <formula>40</formula>
    </cfRule>
    <cfRule type="cellIs" dxfId="965" priority="193" operator="greaterThan">
      <formula>80</formula>
    </cfRule>
  </conditionalFormatting>
  <conditionalFormatting sqref="I55:I57">
    <cfRule type="cellIs" dxfId="964" priority="190" operator="lessThan">
      <formula>40</formula>
    </cfRule>
    <cfRule type="cellIs" dxfId="963" priority="191" operator="greaterThan">
      <formula>80</formula>
    </cfRule>
  </conditionalFormatting>
  <conditionalFormatting sqref="AA55:AB55 AH55:AI55 AK55">
    <cfRule type="cellIs" dxfId="962" priority="188" operator="lessThan">
      <formula>40</formula>
    </cfRule>
    <cfRule type="cellIs" dxfId="961" priority="189" operator="greaterThan">
      <formula>80</formula>
    </cfRule>
  </conditionalFormatting>
  <conditionalFormatting sqref="Z55">
    <cfRule type="cellIs" dxfId="960" priority="186" operator="lessThan">
      <formula>40</formula>
    </cfRule>
    <cfRule type="cellIs" dxfId="959" priority="187" operator="greaterThan">
      <formula>80</formula>
    </cfRule>
  </conditionalFormatting>
  <conditionalFormatting sqref="M55">
    <cfRule type="cellIs" dxfId="958" priority="184" operator="lessThan">
      <formula>40</formula>
    </cfRule>
    <cfRule type="cellIs" dxfId="957" priority="185" operator="greaterThan">
      <formula>80</formula>
    </cfRule>
  </conditionalFormatting>
  <conditionalFormatting sqref="U55:U57">
    <cfRule type="cellIs" dxfId="956" priority="180" operator="lessThan">
      <formula>40</formula>
    </cfRule>
    <cfRule type="cellIs" dxfId="955" priority="181" operator="greaterThan">
      <formula>80</formula>
    </cfRule>
  </conditionalFormatting>
  <conditionalFormatting sqref="AC55:AF55">
    <cfRule type="cellIs" dxfId="954" priority="178" operator="lessThan">
      <formula>40</formula>
    </cfRule>
    <cfRule type="cellIs" dxfId="953" priority="179" operator="greaterThan">
      <formula>80</formula>
    </cfRule>
  </conditionalFormatting>
  <conditionalFormatting sqref="FI56 FO56 FU56 GA56 GM56 GS56 GY56 GG56">
    <cfRule type="cellIs" dxfId="952" priority="173" operator="lessThan">
      <formula>40</formula>
    </cfRule>
    <cfRule type="cellIs" dxfId="951" priority="175" operator="greaterThan">
      <formula>80</formula>
    </cfRule>
  </conditionalFormatting>
  <conditionalFormatting sqref="EN56:EO56">
    <cfRule type="cellIs" dxfId="950" priority="174" operator="greaterThan">
      <formula>80</formula>
    </cfRule>
  </conditionalFormatting>
  <conditionalFormatting sqref="ET56:EV56">
    <cfRule type="cellIs" dxfId="949" priority="172" operator="greaterThan">
      <formula>80</formula>
    </cfRule>
  </conditionalFormatting>
  <conditionalFormatting sqref="FA56:FB56">
    <cfRule type="cellIs" dxfId="948" priority="171" operator="greaterThan">
      <formula>80</formula>
    </cfRule>
  </conditionalFormatting>
  <conditionalFormatting sqref="V56 AP56:AQ56 J56:K56 C56:H56 Y56 O56:P56 AU56:EL56 AL56:AN56">
    <cfRule type="cellIs" dxfId="947" priority="169" operator="lessThan">
      <formula>40</formula>
    </cfRule>
    <cfRule type="cellIs" dxfId="946" priority="170" operator="greaterThan">
      <formula>80</formula>
    </cfRule>
  </conditionalFormatting>
  <conditionalFormatting sqref="AL56">
    <cfRule type="cellIs" dxfId="945" priority="167" operator="lessThan">
      <formula>40</formula>
    </cfRule>
    <cfRule type="cellIs" dxfId="944" priority="168" operator="greaterThan">
      <formula>80</formula>
    </cfRule>
  </conditionalFormatting>
  <conditionalFormatting sqref="B56">
    <cfRule type="cellIs" dxfId="943" priority="165" operator="lessThan">
      <formula>40</formula>
    </cfRule>
    <cfRule type="cellIs" dxfId="942" priority="166" operator="greaterThan">
      <formula>80</formula>
    </cfRule>
  </conditionalFormatting>
  <conditionalFormatting sqref="AA56:AB56 AH56:AI56 AK56">
    <cfRule type="cellIs" dxfId="941" priority="161" operator="lessThan">
      <formula>40</formula>
    </cfRule>
    <cfRule type="cellIs" dxfId="940" priority="162" operator="greaterThan">
      <formula>80</formula>
    </cfRule>
  </conditionalFormatting>
  <conditionalFormatting sqref="Z56">
    <cfRule type="cellIs" dxfId="939" priority="159" operator="lessThan">
      <formula>40</formula>
    </cfRule>
    <cfRule type="cellIs" dxfId="938" priority="160" operator="greaterThan">
      <formula>80</formula>
    </cfRule>
  </conditionalFormatting>
  <conditionalFormatting sqref="M56">
    <cfRule type="cellIs" dxfId="937" priority="157" operator="lessThan">
      <formula>40</formula>
    </cfRule>
    <cfRule type="cellIs" dxfId="936" priority="158" operator="greaterThan">
      <formula>80</formula>
    </cfRule>
  </conditionalFormatting>
  <conditionalFormatting sqref="AC56:AF56">
    <cfRule type="cellIs" dxfId="935" priority="151" operator="lessThan">
      <formula>40</formula>
    </cfRule>
    <cfRule type="cellIs" dxfId="934" priority="152" operator="greaterThan">
      <formula>80</formula>
    </cfRule>
  </conditionalFormatting>
  <conditionalFormatting sqref="FI57 FO57 FU57 GA57 GM57 GS57 GY57 GG57">
    <cfRule type="cellIs" dxfId="933" priority="140" operator="lessThan">
      <formula>40</formula>
    </cfRule>
    <cfRule type="cellIs" dxfId="932" priority="142" operator="greaterThan">
      <formula>80</formula>
    </cfRule>
  </conditionalFormatting>
  <conditionalFormatting sqref="EN57:EO57">
    <cfRule type="cellIs" dxfId="931" priority="141" operator="greaterThan">
      <formula>80</formula>
    </cfRule>
  </conditionalFormatting>
  <conditionalFormatting sqref="ET57:EV57">
    <cfRule type="cellIs" dxfId="930" priority="139" operator="greaterThan">
      <formula>80</formula>
    </cfRule>
  </conditionalFormatting>
  <conditionalFormatting sqref="FA57:FB57">
    <cfRule type="cellIs" dxfId="929" priority="138" operator="greaterThan">
      <formula>80</formula>
    </cfRule>
  </conditionalFormatting>
  <conditionalFormatting sqref="V57 AP57:AQ57 J57:K57 C57:H57 Y57 O57:P57 AU57:EL57 AL57:AN57">
    <cfRule type="cellIs" dxfId="928" priority="136" operator="lessThan">
      <formula>40</formula>
    </cfRule>
    <cfRule type="cellIs" dxfId="927" priority="137" operator="greaterThan">
      <formula>80</formula>
    </cfRule>
  </conditionalFormatting>
  <conditionalFormatting sqref="AL57">
    <cfRule type="cellIs" dxfId="926" priority="134" operator="lessThan">
      <formula>40</formula>
    </cfRule>
    <cfRule type="cellIs" dxfId="925" priority="135" operator="greaterThan">
      <formula>80</formula>
    </cfRule>
  </conditionalFormatting>
  <conditionalFormatting sqref="B57">
    <cfRule type="cellIs" dxfId="924" priority="132" operator="lessThan">
      <formula>40</formula>
    </cfRule>
    <cfRule type="cellIs" dxfId="923" priority="133" operator="greaterThan">
      <formula>80</formula>
    </cfRule>
  </conditionalFormatting>
  <conditionalFormatting sqref="AA57:AB57 AH57:AI57 AK57">
    <cfRule type="cellIs" dxfId="922" priority="130" operator="lessThan">
      <formula>40</formula>
    </cfRule>
    <cfRule type="cellIs" dxfId="921" priority="131" operator="greaterThan">
      <formula>80</formula>
    </cfRule>
  </conditionalFormatting>
  <conditionalFormatting sqref="Z57">
    <cfRule type="cellIs" dxfId="920" priority="128" operator="lessThan">
      <formula>40</formula>
    </cfRule>
    <cfRule type="cellIs" dxfId="919" priority="129" operator="greaterThan">
      <formula>80</formula>
    </cfRule>
  </conditionalFormatting>
  <conditionalFormatting sqref="M57">
    <cfRule type="cellIs" dxfId="918" priority="126" operator="lessThan">
      <formula>40</formula>
    </cfRule>
    <cfRule type="cellIs" dxfId="917" priority="127" operator="greaterThan">
      <formula>80</formula>
    </cfRule>
  </conditionalFormatting>
  <conditionalFormatting sqref="AC57:AF57">
    <cfRule type="cellIs" dxfId="916" priority="122" operator="lessThan">
      <formula>40</formula>
    </cfRule>
    <cfRule type="cellIs" dxfId="915" priority="123" operator="greaterThan">
      <formula>80</formula>
    </cfRule>
  </conditionalFormatting>
  <conditionalFormatting sqref="AG54">
    <cfRule type="cellIs" dxfId="914" priority="120" operator="lessThan">
      <formula>40</formula>
    </cfRule>
    <cfRule type="cellIs" dxfId="913" priority="121" operator="greaterThan">
      <formula>80</formula>
    </cfRule>
  </conditionalFormatting>
  <conditionalFormatting sqref="AG55:AG57">
    <cfRule type="cellIs" dxfId="912" priority="118" operator="lessThan">
      <formula>40</formula>
    </cfRule>
    <cfRule type="cellIs" dxfId="911" priority="119" operator="greaterThan">
      <formula>80</formula>
    </cfRule>
  </conditionalFormatting>
  <conditionalFormatting sqref="I58:I66">
    <cfRule type="cellIs" dxfId="910" priority="116" operator="lessThan">
      <formula>40</formula>
    </cfRule>
    <cfRule type="cellIs" dxfId="909" priority="117" operator="greaterThan">
      <formula>80</formula>
    </cfRule>
  </conditionalFormatting>
  <conditionalFormatting sqref="U58:U66">
    <cfRule type="cellIs" dxfId="908" priority="114" operator="lessThan">
      <formula>40</formula>
    </cfRule>
    <cfRule type="cellIs" dxfId="907" priority="115" operator="greaterThan">
      <formula>80</formula>
    </cfRule>
  </conditionalFormatting>
  <conditionalFormatting sqref="FI58:FI62 FO58:FO62 FU58:FU62 GA58:GA62 GM58:GM62 GS58:GS62 GY58:GY62 GG58:GG62">
    <cfRule type="cellIs" dxfId="906" priority="111" operator="lessThan">
      <formula>40</formula>
    </cfRule>
    <cfRule type="cellIs" dxfId="905" priority="113" operator="greaterThan">
      <formula>80</formula>
    </cfRule>
  </conditionalFormatting>
  <conditionalFormatting sqref="EN58:EO58">
    <cfRule type="cellIs" dxfId="904" priority="112" operator="greaterThan">
      <formula>80</formula>
    </cfRule>
  </conditionalFormatting>
  <conditionalFormatting sqref="ET58:EV58">
    <cfRule type="cellIs" dxfId="903" priority="110" operator="greaterThan">
      <formula>80</formula>
    </cfRule>
  </conditionalFormatting>
  <conditionalFormatting sqref="FA58:FB58">
    <cfRule type="cellIs" dxfId="902" priority="109" operator="greaterThan">
      <formula>80</formula>
    </cfRule>
  </conditionalFormatting>
  <conditionalFormatting sqref="J58:K62 AU58:EL62 Y58:Y66 C58:H66 J63:J66 O58:P66 V58:V66 AL58:AM66 AP58:AQ66">
    <cfRule type="cellIs" dxfId="901" priority="107" operator="lessThan">
      <formula>40</formula>
    </cfRule>
    <cfRule type="cellIs" dxfId="900" priority="108" operator="greaterThan">
      <formula>80</formula>
    </cfRule>
  </conditionalFormatting>
  <conditionalFormatting sqref="AL58:AL66">
    <cfRule type="cellIs" dxfId="899" priority="105" operator="lessThan">
      <formula>40</formula>
    </cfRule>
    <cfRule type="cellIs" dxfId="898" priority="106" operator="greaterThan">
      <formula>80</formula>
    </cfRule>
  </conditionalFormatting>
  <conditionalFormatting sqref="B58:B66">
    <cfRule type="cellIs" dxfId="897" priority="103" operator="lessThan">
      <formula>40</formula>
    </cfRule>
    <cfRule type="cellIs" dxfId="896" priority="104" operator="greaterThan">
      <formula>80</formula>
    </cfRule>
  </conditionalFormatting>
  <conditionalFormatting sqref="AH58:AI62 AA58:AB66 AH63:AH66 AK58:AK66">
    <cfRule type="cellIs" dxfId="895" priority="101" operator="lessThan">
      <formula>40</formula>
    </cfRule>
    <cfRule type="cellIs" dxfId="894" priority="102" operator="greaterThan">
      <formula>80</formula>
    </cfRule>
  </conditionalFormatting>
  <conditionalFormatting sqref="Z58:Z66">
    <cfRule type="cellIs" dxfId="893" priority="99" operator="lessThan">
      <formula>40</formula>
    </cfRule>
    <cfRule type="cellIs" dxfId="892" priority="100" operator="greaterThan">
      <formula>80</formula>
    </cfRule>
  </conditionalFormatting>
  <conditionalFormatting sqref="M58:M66">
    <cfRule type="cellIs" dxfId="891" priority="97" operator="lessThan">
      <formula>40</formula>
    </cfRule>
    <cfRule type="cellIs" dxfId="890" priority="98" operator="greaterThan">
      <formula>80</formula>
    </cfRule>
  </conditionalFormatting>
  <conditionalFormatting sqref="AC58:AF58">
    <cfRule type="cellIs" dxfId="889" priority="93" operator="lessThan">
      <formula>40</formula>
    </cfRule>
    <cfRule type="cellIs" dxfId="888" priority="94" operator="greaterThan">
      <formula>80</formula>
    </cfRule>
  </conditionalFormatting>
  <conditionalFormatting sqref="AG58:AG66">
    <cfRule type="cellIs" dxfId="887" priority="91" operator="lessThan">
      <formula>40</formula>
    </cfRule>
    <cfRule type="cellIs" dxfId="886" priority="92" operator="greaterThan">
      <formula>80</formula>
    </cfRule>
  </conditionalFormatting>
  <conditionalFormatting sqref="AO26:AQ60 AO63:AQ63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59:EO59">
    <cfRule type="cellIs" dxfId="885" priority="89" operator="greaterThan">
      <formula>80</formula>
    </cfRule>
  </conditionalFormatting>
  <conditionalFormatting sqref="ET59:EV59">
    <cfRule type="cellIs" dxfId="884" priority="88" operator="greaterThan">
      <formula>80</formula>
    </cfRule>
  </conditionalFormatting>
  <conditionalFormatting sqref="FA59:FB59">
    <cfRule type="cellIs" dxfId="883" priority="87" operator="greaterThan">
      <formula>80</formula>
    </cfRule>
  </conditionalFormatting>
  <conditionalFormatting sqref="AC59:AF59">
    <cfRule type="cellIs" dxfId="882" priority="83" operator="lessThan">
      <formula>40</formula>
    </cfRule>
    <cfRule type="cellIs" dxfId="881" priority="84" operator="greaterThan">
      <formula>80</formula>
    </cfRule>
  </conditionalFormatting>
  <conditionalFormatting sqref="EN60:EO60">
    <cfRule type="cellIs" dxfId="880" priority="82" operator="greaterThan">
      <formula>80</formula>
    </cfRule>
  </conditionalFormatting>
  <conditionalFormatting sqref="ET60:EV60">
    <cfRule type="cellIs" dxfId="879" priority="81" operator="greaterThan">
      <formula>80</formula>
    </cfRule>
  </conditionalFormatting>
  <conditionalFormatting sqref="FA60:FB60">
    <cfRule type="cellIs" dxfId="878" priority="80" operator="greaterThan">
      <formula>80</formula>
    </cfRule>
  </conditionalFormatting>
  <conditionalFormatting sqref="AC60:AF60">
    <cfRule type="cellIs" dxfId="877" priority="76" operator="lessThan">
      <formula>40</formula>
    </cfRule>
    <cfRule type="cellIs" dxfId="876" priority="77" operator="greaterThan">
      <formula>80</formula>
    </cfRule>
  </conditionalFormatting>
  <conditionalFormatting sqref="AO61:AQ61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61:EO61">
    <cfRule type="cellIs" dxfId="875" priority="74" operator="greaterThan">
      <formula>80</formula>
    </cfRule>
  </conditionalFormatting>
  <conditionalFormatting sqref="ET61:EV61">
    <cfRule type="cellIs" dxfId="874" priority="73" operator="greaterThan">
      <formula>80</formula>
    </cfRule>
  </conditionalFormatting>
  <conditionalFormatting sqref="FA61:FB61">
    <cfRule type="cellIs" dxfId="873" priority="72" operator="greaterThan">
      <formula>80</formula>
    </cfRule>
  </conditionalFormatting>
  <conditionalFormatting sqref="AC61:AF61">
    <cfRule type="cellIs" dxfId="872" priority="68" operator="lessThan">
      <formula>40</formula>
    </cfRule>
    <cfRule type="cellIs" dxfId="871" priority="69" operator="greaterThan">
      <formula>80</formula>
    </cfRule>
  </conditionalFormatting>
  <conditionalFormatting sqref="AR52:AR6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52:AS6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2:AT6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62:AQ6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62:EO62">
    <cfRule type="cellIs" dxfId="870" priority="63" operator="greaterThan">
      <formula>80</formula>
    </cfRule>
  </conditionalFormatting>
  <conditionalFormatting sqref="ET62:EV62">
    <cfRule type="cellIs" dxfId="869" priority="62" operator="greaterThan">
      <formula>80</formula>
    </cfRule>
  </conditionalFormatting>
  <conditionalFormatting sqref="FA62:FB62">
    <cfRule type="cellIs" dxfId="868" priority="61" operator="greaterThan">
      <formula>80</formula>
    </cfRule>
  </conditionalFormatting>
  <conditionalFormatting sqref="AC62:AF62">
    <cfRule type="cellIs" dxfId="867" priority="57" operator="lessThan">
      <formula>40</formula>
    </cfRule>
    <cfRule type="cellIs" dxfId="866" priority="58" operator="greaterThan">
      <formula>80</formula>
    </cfRule>
  </conditionalFormatting>
  <conditionalFormatting sqref="BA4 AU4">
    <cfRule type="cellIs" dxfId="865" priority="54" operator="lessThan">
      <formula>40</formula>
    </cfRule>
    <cfRule type="cellIs" dxfId="864" priority="56" operator="greaterThan">
      <formula>80</formula>
    </cfRule>
  </conditionalFormatting>
  <conditionalFormatting sqref="B4:AT4">
    <cfRule type="cellIs" dxfId="863" priority="38" operator="lessThan">
      <formula>40</formula>
    </cfRule>
    <cfRule type="cellIs" dxfId="862" priority="39" operator="greaterThan">
      <formula>80</formula>
    </cfRule>
  </conditionalFormatting>
  <conditionalFormatting sqref="AN58:AN66">
    <cfRule type="cellIs" dxfId="861" priority="34" operator="lessThan">
      <formula>40</formula>
    </cfRule>
    <cfRule type="cellIs" dxfId="860" priority="35" operator="greaterThan">
      <formula>80</formula>
    </cfRule>
  </conditionalFormatting>
  <conditionalFormatting sqref="N39">
    <cfRule type="cellIs" dxfId="859" priority="32" operator="lessThan">
      <formula>40</formula>
    </cfRule>
    <cfRule type="cellIs" dxfId="858" priority="33" operator="greaterThan">
      <formula>80</formula>
    </cfRule>
  </conditionalFormatting>
  <conditionalFormatting sqref="N40:N46 N48:N51 N53">
    <cfRule type="cellIs" dxfId="857" priority="30" operator="lessThan">
      <formula>40</formula>
    </cfRule>
    <cfRule type="cellIs" dxfId="856" priority="31" operator="greaterThan">
      <formula>80</formula>
    </cfRule>
  </conditionalFormatting>
  <conditionalFormatting sqref="N47">
    <cfRule type="cellIs" dxfId="855" priority="28" operator="lessThan">
      <formula>40</formula>
    </cfRule>
    <cfRule type="cellIs" dxfId="854" priority="29" operator="greaterThan">
      <formula>80</formula>
    </cfRule>
  </conditionalFormatting>
  <conditionalFormatting sqref="N52">
    <cfRule type="cellIs" dxfId="853" priority="26" operator="lessThan">
      <formula>40</formula>
    </cfRule>
    <cfRule type="cellIs" dxfId="852" priority="27" operator="greaterThan">
      <formula>80</formula>
    </cfRule>
  </conditionalFormatting>
  <conditionalFormatting sqref="N54">
    <cfRule type="cellIs" dxfId="851" priority="24" operator="lessThan">
      <formula>40</formula>
    </cfRule>
    <cfRule type="cellIs" dxfId="850" priority="25" operator="greaterThan">
      <formula>80</formula>
    </cfRule>
  </conditionalFormatting>
  <conditionalFormatting sqref="N55">
    <cfRule type="cellIs" dxfId="849" priority="22" operator="lessThan">
      <formula>40</formula>
    </cfRule>
    <cfRule type="cellIs" dxfId="848" priority="23" operator="greaterThan">
      <formula>80</formula>
    </cfRule>
  </conditionalFormatting>
  <conditionalFormatting sqref="N56">
    <cfRule type="cellIs" dxfId="847" priority="20" operator="lessThan">
      <formula>40</formula>
    </cfRule>
    <cfRule type="cellIs" dxfId="846" priority="21" operator="greaterThan">
      <formula>80</formula>
    </cfRule>
  </conditionalFormatting>
  <conditionalFormatting sqref="N57">
    <cfRule type="cellIs" dxfId="845" priority="18" operator="lessThan">
      <formula>40</formula>
    </cfRule>
    <cfRule type="cellIs" dxfId="844" priority="19" operator="greaterThan">
      <formula>80</formula>
    </cfRule>
  </conditionalFormatting>
  <conditionalFormatting sqref="N58:N66">
    <cfRule type="cellIs" dxfId="843" priority="16" operator="lessThan">
      <formula>40</formula>
    </cfRule>
    <cfRule type="cellIs" dxfId="842" priority="17" operator="greaterThan">
      <formula>80</formula>
    </cfRule>
  </conditionalFormatting>
  <conditionalFormatting sqref="Q54:T66">
    <cfRule type="cellIs" dxfId="841" priority="14" operator="lessThan">
      <formula>40</formula>
    </cfRule>
    <cfRule type="cellIs" dxfId="840" priority="15" operator="greaterThan">
      <formula>80</formula>
    </cfRule>
  </conditionalFormatting>
  <conditionalFormatting sqref="AC63:AF63">
    <cfRule type="cellIs" dxfId="839" priority="12" operator="lessThan">
      <formula>40</formula>
    </cfRule>
    <cfRule type="cellIs" dxfId="838" priority="13" operator="greaterThan">
      <formula>80</formula>
    </cfRule>
  </conditionalFormatting>
  <conditionalFormatting sqref="AO64:AQ6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4:AF64">
    <cfRule type="cellIs" dxfId="837" priority="9" operator="lessThan">
      <formula>40</formula>
    </cfRule>
    <cfRule type="cellIs" dxfId="836" priority="10" operator="greaterThan">
      <formula>80</formula>
    </cfRule>
  </conditionalFormatting>
  <conditionalFormatting sqref="AO52:AO6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52:AP6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52:AQ6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65:AQ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5:AF65">
    <cfRule type="cellIs" dxfId="835" priority="3" operator="lessThan">
      <formula>40</formula>
    </cfRule>
    <cfRule type="cellIs" dxfId="834" priority="4" operator="greaterThan">
      <formula>80</formula>
    </cfRule>
  </conditionalFormatting>
  <conditionalFormatting sqref="AC66:AF66">
    <cfRule type="cellIs" dxfId="833" priority="1" operator="lessThan">
      <formula>40</formula>
    </cfRule>
    <cfRule type="cellIs" dxfId="832" priority="2" operator="greaterThan">
      <formula>80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B0682-9491-4EBE-A8DD-4F49672CD006}">
  <sheetPr>
    <tabColor rgb="FF00B050"/>
  </sheetPr>
  <dimension ref="A1:FF66"/>
  <sheetViews>
    <sheetView zoomScaleNormal="100" workbookViewId="0">
      <pane ySplit="4" topLeftCell="A62" activePane="bottomLeft" state="frozen"/>
      <selection pane="bottomLeft" activeCell="A68" sqref="A68"/>
    </sheetView>
  </sheetViews>
  <sheetFormatPr defaultColWidth="4.7109375" defaultRowHeight="15" outlineLevelCol="1" x14ac:dyDescent="0.25"/>
  <cols>
    <col min="1" max="1" width="11.5703125" bestFit="1" customWidth="1"/>
    <col min="2" max="2" width="9.140625" style="223" customWidth="1"/>
    <col min="3" max="4" width="9.140625" customWidth="1"/>
    <col min="5" max="5" width="9.140625" style="4" customWidth="1"/>
    <col min="6" max="6" width="9.140625" style="223" customWidth="1"/>
    <col min="7" max="8" width="9.140625" customWidth="1"/>
    <col min="9" max="9" width="9.140625" style="4" customWidth="1"/>
    <col min="10" max="10" width="9.140625" style="223" customWidth="1"/>
    <col min="11" max="12" width="9.140625" customWidth="1"/>
    <col min="13" max="13" width="9.140625" style="4" customWidth="1"/>
    <col min="14" max="16" width="9.140625" customWidth="1"/>
    <col min="17" max="17" width="9.140625" style="223" customWidth="1"/>
    <col min="18" max="18" width="9.140625" customWidth="1"/>
    <col min="19" max="19" width="9.140625" style="4" customWidth="1"/>
    <col min="20" max="22" width="9.140625" customWidth="1"/>
    <col min="23" max="23" width="9.140625" style="223" customWidth="1"/>
    <col min="24" max="24" width="9.140625" customWidth="1"/>
    <col min="25" max="25" width="9.140625" style="4" customWidth="1"/>
    <col min="26" max="29" width="9.140625" customWidth="1"/>
    <col min="30" max="33" width="10.5703125" customWidth="1"/>
    <col min="36" max="39" width="9.140625" customWidth="1" outlineLevel="1"/>
    <col min="42" max="45" width="9.140625" customWidth="1" outlineLevel="1"/>
    <col min="48" max="51" width="9.140625" customWidth="1" outlineLevel="1"/>
    <col min="54" max="57" width="9.140625" customWidth="1" outlineLevel="1"/>
    <col min="60" max="63" width="9.140625" customWidth="1" outlineLevel="1"/>
    <col min="64" max="64" width="9.140625" customWidth="1"/>
    <col min="65" max="65" width="7.140625" bestFit="1" customWidth="1"/>
  </cols>
  <sheetData>
    <row r="1" spans="1:162" ht="15.75" thickBot="1" x14ac:dyDescent="0.3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FF1" s="9"/>
    </row>
    <row r="2" spans="1:162" ht="96.6" customHeight="1" x14ac:dyDescent="0.25">
      <c r="B2" s="214" t="s">
        <v>104</v>
      </c>
      <c r="C2" s="48" t="s">
        <v>105</v>
      </c>
      <c r="D2" s="47" t="s">
        <v>106</v>
      </c>
      <c r="E2" s="227" t="s">
        <v>107</v>
      </c>
      <c r="F2" s="214" t="s">
        <v>104</v>
      </c>
      <c r="G2" s="48" t="s">
        <v>105</v>
      </c>
      <c r="H2" s="47" t="s">
        <v>106</v>
      </c>
      <c r="I2" s="227" t="s">
        <v>107</v>
      </c>
      <c r="J2" s="214" t="s">
        <v>104</v>
      </c>
      <c r="K2" s="48" t="s">
        <v>105</v>
      </c>
      <c r="L2" s="47" t="s">
        <v>106</v>
      </c>
      <c r="M2" s="227" t="s">
        <v>107</v>
      </c>
      <c r="N2" s="1573" t="s">
        <v>108</v>
      </c>
      <c r="O2" s="1571"/>
      <c r="P2" s="1575"/>
      <c r="Q2" s="1573" t="s">
        <v>109</v>
      </c>
      <c r="R2" s="1571"/>
      <c r="S2" s="1574"/>
      <c r="T2" s="1570" t="s">
        <v>110</v>
      </c>
      <c r="U2" s="1571"/>
      <c r="V2" s="1571"/>
      <c r="W2" s="1573" t="s">
        <v>111</v>
      </c>
      <c r="X2" s="1571"/>
      <c r="Y2" s="1574"/>
      <c r="Z2" s="234"/>
      <c r="AA2" s="1565" t="s">
        <v>112</v>
      </c>
      <c r="AB2" s="1566"/>
      <c r="AC2" s="1566"/>
      <c r="AD2" s="1566"/>
      <c r="AE2" s="1566"/>
      <c r="AF2" s="1566"/>
      <c r="AG2" s="27"/>
      <c r="AJ2" s="47" t="s">
        <v>113</v>
      </c>
      <c r="AK2" s="47" t="s">
        <v>113</v>
      </c>
      <c r="AL2" s="47" t="s">
        <v>113</v>
      </c>
      <c r="AM2" s="47" t="s">
        <v>113</v>
      </c>
      <c r="AP2" s="48" t="s">
        <v>105</v>
      </c>
      <c r="AQ2" s="48" t="s">
        <v>105</v>
      </c>
      <c r="AR2" s="48" t="s">
        <v>105</v>
      </c>
      <c r="AS2" s="48" t="s">
        <v>105</v>
      </c>
      <c r="AV2" s="47" t="s">
        <v>106</v>
      </c>
      <c r="AW2" s="47" t="s">
        <v>106</v>
      </c>
      <c r="AX2" s="47" t="s">
        <v>106</v>
      </c>
      <c r="AY2" s="47" t="s">
        <v>106</v>
      </c>
      <c r="BB2" s="47" t="s">
        <v>107</v>
      </c>
      <c r="BC2" s="47" t="s">
        <v>107</v>
      </c>
      <c r="BD2" s="47" t="s">
        <v>107</v>
      </c>
      <c r="BE2" s="47" t="s">
        <v>107</v>
      </c>
      <c r="BH2" s="47" t="s">
        <v>114</v>
      </c>
      <c r="BI2" s="47" t="s">
        <v>114</v>
      </c>
      <c r="BJ2" s="47" t="s">
        <v>114</v>
      </c>
      <c r="BK2" s="47" t="s">
        <v>114</v>
      </c>
      <c r="BL2" s="1564" t="s">
        <v>115</v>
      </c>
      <c r="BM2" s="1545"/>
      <c r="BN2" s="1545"/>
      <c r="BO2" s="1545"/>
      <c r="BP2" s="1545"/>
      <c r="BQ2" s="1545"/>
      <c r="BR2" s="1564" t="s">
        <v>116</v>
      </c>
      <c r="BS2" s="1545"/>
      <c r="BT2" s="1545"/>
      <c r="BU2" s="1545"/>
      <c r="BV2" s="1545"/>
      <c r="BW2" s="1545"/>
    </row>
    <row r="3" spans="1:162" ht="49.5" customHeight="1" thickBot="1" x14ac:dyDescent="0.3">
      <c r="A3" t="s">
        <v>22</v>
      </c>
      <c r="B3" s="216" t="s">
        <v>75</v>
      </c>
      <c r="C3" s="183" t="s">
        <v>75</v>
      </c>
      <c r="D3" s="181" t="s">
        <v>75</v>
      </c>
      <c r="E3" s="1366" t="s">
        <v>75</v>
      </c>
      <c r="F3" s="216" t="s">
        <v>24</v>
      </c>
      <c r="G3" s="183" t="s">
        <v>24</v>
      </c>
      <c r="H3" s="183" t="s">
        <v>24</v>
      </c>
      <c r="I3" s="217" t="s">
        <v>24</v>
      </c>
      <c r="J3" s="216" t="s">
        <v>25</v>
      </c>
      <c r="K3" s="183" t="s">
        <v>25</v>
      </c>
      <c r="L3" s="183" t="s">
        <v>25</v>
      </c>
      <c r="M3" s="217" t="s">
        <v>25</v>
      </c>
      <c r="N3" s="183" t="s">
        <v>75</v>
      </c>
      <c r="O3" s="183" t="s">
        <v>24</v>
      </c>
      <c r="P3" s="183" t="s">
        <v>25</v>
      </c>
      <c r="Q3" s="216" t="s">
        <v>75</v>
      </c>
      <c r="R3" s="183" t="s">
        <v>24</v>
      </c>
      <c r="S3" s="217" t="s">
        <v>25</v>
      </c>
      <c r="T3" s="183" t="s">
        <v>75</v>
      </c>
      <c r="U3" s="183" t="s">
        <v>24</v>
      </c>
      <c r="V3" s="183" t="s">
        <v>25</v>
      </c>
      <c r="W3" s="216" t="s">
        <v>75</v>
      </c>
      <c r="X3" s="183" t="s">
        <v>24</v>
      </c>
      <c r="Y3" s="217" t="s">
        <v>25</v>
      </c>
      <c r="Z3" s="183"/>
      <c r="AA3" s="17" t="s">
        <v>75</v>
      </c>
      <c r="AB3" s="17" t="s">
        <v>24</v>
      </c>
      <c r="AC3" s="17" t="s">
        <v>78</v>
      </c>
      <c r="AD3" s="17" t="s">
        <v>79</v>
      </c>
      <c r="AE3" s="17" t="s">
        <v>80</v>
      </c>
      <c r="AF3" s="17" t="s">
        <v>81</v>
      </c>
      <c r="AG3" s="183" t="s">
        <v>82</v>
      </c>
      <c r="AJ3" s="183" t="s">
        <v>78</v>
      </c>
      <c r="AK3" s="183" t="s">
        <v>79</v>
      </c>
      <c r="AL3" s="183" t="s">
        <v>80</v>
      </c>
      <c r="AM3" s="182" t="s">
        <v>81</v>
      </c>
      <c r="AP3" s="183" t="s">
        <v>78</v>
      </c>
      <c r="AQ3" s="183" t="s">
        <v>79</v>
      </c>
      <c r="AR3" s="183" t="s">
        <v>80</v>
      </c>
      <c r="AS3" s="183" t="s">
        <v>81</v>
      </c>
      <c r="AV3" s="183" t="s">
        <v>78</v>
      </c>
      <c r="AW3" s="183" t="s">
        <v>79</v>
      </c>
      <c r="AX3" s="183" t="s">
        <v>80</v>
      </c>
      <c r="AY3" s="182" t="s">
        <v>81</v>
      </c>
      <c r="BB3" s="183" t="s">
        <v>78</v>
      </c>
      <c r="BC3" s="183" t="s">
        <v>79</v>
      </c>
      <c r="BD3" s="183" t="s">
        <v>80</v>
      </c>
      <c r="BE3" s="182" t="s">
        <v>81</v>
      </c>
      <c r="BH3" s="183" t="s">
        <v>78</v>
      </c>
      <c r="BI3" s="183" t="s">
        <v>79</v>
      </c>
      <c r="BJ3" s="183" t="s">
        <v>80</v>
      </c>
      <c r="BK3" s="182" t="s">
        <v>81</v>
      </c>
      <c r="BL3" s="181" t="s">
        <v>75</v>
      </c>
      <c r="BM3" s="183" t="s">
        <v>24</v>
      </c>
      <c r="BN3" s="183" t="s">
        <v>78</v>
      </c>
      <c r="BO3" s="183" t="s">
        <v>79</v>
      </c>
      <c r="BP3" s="183" t="s">
        <v>80</v>
      </c>
      <c r="BQ3" s="183" t="s">
        <v>81</v>
      </c>
      <c r="BR3" s="181" t="s">
        <v>75</v>
      </c>
      <c r="BS3" s="183" t="s">
        <v>24</v>
      </c>
      <c r="BT3" s="183" t="s">
        <v>78</v>
      </c>
      <c r="BU3" s="183" t="s">
        <v>79</v>
      </c>
      <c r="BV3" s="183" t="s">
        <v>80</v>
      </c>
      <c r="BW3" s="183" t="s">
        <v>81</v>
      </c>
    </row>
    <row r="4" spans="1:162" x14ac:dyDescent="0.25">
      <c r="A4" s="10">
        <v>45047</v>
      </c>
      <c r="B4" s="7">
        <f>VLOOKUP($A$4,$A$5:$AY$100,B1,FALSE)</f>
        <v>48</v>
      </c>
      <c r="C4" s="7">
        <f t="shared" ref="C4:AT4" si="0">VLOOKUP($A$4,$A$5:$AY$100,C1,FALSE)</f>
        <v>38</v>
      </c>
      <c r="D4" s="7">
        <f t="shared" si="0"/>
        <v>41</v>
      </c>
      <c r="E4" s="7">
        <f t="shared" si="0"/>
        <v>44</v>
      </c>
      <c r="F4" s="7">
        <f t="shared" si="0"/>
        <v>49</v>
      </c>
      <c r="G4" s="7">
        <f t="shared" si="0"/>
        <v>42</v>
      </c>
      <c r="H4" s="7">
        <f t="shared" si="0"/>
        <v>46</v>
      </c>
      <c r="I4" s="7">
        <f t="shared" si="0"/>
        <v>50</v>
      </c>
      <c r="J4" s="7">
        <f t="shared" si="0"/>
        <v>48</v>
      </c>
      <c r="K4" s="7">
        <f t="shared" si="0"/>
        <v>44</v>
      </c>
      <c r="L4" s="7">
        <f t="shared" si="0"/>
        <v>49</v>
      </c>
      <c r="M4" s="7">
        <f t="shared" si="0"/>
        <v>48</v>
      </c>
      <c r="N4" s="7">
        <f t="shared" si="0"/>
        <v>100</v>
      </c>
      <c r="O4" s="7">
        <f t="shared" si="0"/>
        <v>105</v>
      </c>
      <c r="P4" s="7">
        <f t="shared" si="0"/>
        <v>105</v>
      </c>
      <c r="Q4" s="7">
        <f t="shared" si="0"/>
        <v>402</v>
      </c>
      <c r="R4" s="7">
        <f t="shared" si="0"/>
        <v>408</v>
      </c>
      <c r="S4" s="7">
        <f t="shared" si="0"/>
        <v>397</v>
      </c>
      <c r="T4" s="7">
        <f t="shared" si="0"/>
        <v>12.611764705882354</v>
      </c>
      <c r="U4" s="7">
        <f t="shared" si="0"/>
        <v>13.440000000000001</v>
      </c>
      <c r="V4" s="7">
        <f t="shared" si="0"/>
        <v>13.07764705882353</v>
      </c>
      <c r="W4" s="7">
        <f t="shared" si="0"/>
        <v>10.588235294117647</v>
      </c>
      <c r="X4" s="7">
        <f t="shared" si="0"/>
        <v>10.588235294117647</v>
      </c>
      <c r="Y4" s="7">
        <f t="shared" si="0"/>
        <v>10.588235294117647</v>
      </c>
      <c r="Z4" s="7">
        <f t="shared" si="0"/>
        <v>0</v>
      </c>
      <c r="AA4" s="7">
        <f t="shared" si="0"/>
        <v>0</v>
      </c>
      <c r="AB4" s="7">
        <f t="shared" si="0"/>
        <v>0</v>
      </c>
      <c r="AC4" s="7">
        <f t="shared" si="0"/>
        <v>0</v>
      </c>
      <c r="AD4" s="7">
        <f t="shared" si="0"/>
        <v>0</v>
      </c>
      <c r="AE4" s="7">
        <f t="shared" si="0"/>
        <v>0</v>
      </c>
      <c r="AF4" s="7">
        <f t="shared" si="0"/>
        <v>0</v>
      </c>
      <c r="AG4" s="7">
        <f t="shared" si="0"/>
        <v>0</v>
      </c>
      <c r="AH4" s="7">
        <f t="shared" si="0"/>
        <v>0</v>
      </c>
      <c r="AI4" s="7">
        <f t="shared" si="0"/>
        <v>0</v>
      </c>
      <c r="AJ4" s="7">
        <f t="shared" si="0"/>
        <v>0</v>
      </c>
      <c r="AK4" s="7">
        <f t="shared" si="0"/>
        <v>0</v>
      </c>
      <c r="AL4" s="7">
        <f t="shared" si="0"/>
        <v>0</v>
      </c>
      <c r="AM4" s="7">
        <f t="shared" si="0"/>
        <v>0</v>
      </c>
      <c r="AN4" s="7">
        <f t="shared" si="0"/>
        <v>0</v>
      </c>
      <c r="AO4" s="7">
        <f t="shared" si="0"/>
        <v>0</v>
      </c>
      <c r="AP4" s="7">
        <f t="shared" si="0"/>
        <v>50.4</v>
      </c>
      <c r="AQ4" s="7">
        <f t="shared" si="0"/>
        <v>0</v>
      </c>
      <c r="AR4" s="7">
        <f t="shared" si="0"/>
        <v>0</v>
      </c>
      <c r="AS4" s="7">
        <f t="shared" si="0"/>
        <v>0</v>
      </c>
      <c r="AT4" s="7">
        <f t="shared" si="0"/>
        <v>0</v>
      </c>
      <c r="AU4" s="7"/>
      <c r="BA4" s="7"/>
    </row>
    <row r="5" spans="1:162" ht="15.75" x14ac:dyDescent="0.25">
      <c r="A5" s="20">
        <v>43367</v>
      </c>
      <c r="B5" s="218">
        <v>93</v>
      </c>
      <c r="C5" s="43">
        <v>78</v>
      </c>
      <c r="D5" s="67">
        <v>67</v>
      </c>
      <c r="E5" s="1367">
        <v>102</v>
      </c>
      <c r="F5" s="218"/>
      <c r="G5" s="43"/>
      <c r="H5" s="43"/>
      <c r="I5" s="213"/>
      <c r="J5" s="218"/>
      <c r="K5" s="43"/>
      <c r="L5" s="43"/>
      <c r="M5" s="213"/>
      <c r="N5" s="43"/>
      <c r="O5" s="43"/>
      <c r="P5" s="43"/>
      <c r="Q5" s="218"/>
      <c r="R5" s="43"/>
      <c r="S5" s="213"/>
      <c r="T5" s="43"/>
      <c r="U5" s="43"/>
      <c r="V5" s="43"/>
      <c r="W5" s="218"/>
      <c r="X5" s="43"/>
      <c r="Y5" s="213"/>
      <c r="Z5" s="43"/>
      <c r="AA5" s="2">
        <f t="shared" ref="AA5:AA46" si="1">AVERAGE(B5,C5,D5,E5,)</f>
        <v>68</v>
      </c>
      <c r="AB5" s="2"/>
      <c r="AC5" s="2"/>
      <c r="AD5" s="7">
        <f>((AVERAGE(AA5,AC5)*('Summary Page'!$C$2+1))*('Summary Page'!$C$2+1))*('Summary Page'!$C$2+1)</f>
        <v>106.14092799999997</v>
      </c>
      <c r="AE5" s="7">
        <f>((AVERAGE(AA5,AC5)*('Summary Page'!$C$3+1))*('Summary Page'!$C$3+1))*('Summary Page'!$C$3+1)</f>
        <v>132.8125</v>
      </c>
      <c r="AF5" s="7">
        <f>((AVERAGE(AA5,AC5)*('Summary Page'!$C$4+1))*('Summary Page'!$C$4+1))*('Summary Page'!$C$4+1)</f>
        <v>117.50399999999998</v>
      </c>
      <c r="AG5" s="7">
        <v>80</v>
      </c>
      <c r="AJ5" s="43"/>
      <c r="AK5" s="7">
        <f>((AVERAGE(B5,AJ5)*('Summary Page'!$C$2+1))*('Summary Page'!$C$2+1))*('Summary Page'!$C$2+1)</f>
        <v>145.16332799999998</v>
      </c>
      <c r="AL5" s="7">
        <f>((AVERAGE(B5,AJ5)*('Summary Page'!$C$3+1))*('Summary Page'!$C$3+1))*('Summary Page'!$C$3+1)</f>
        <v>181.640625</v>
      </c>
      <c r="AM5" s="8">
        <f>((AVERAGE(B5,AJ5)*('Summary Page'!$C$4+1))*('Summary Page'!$C$4+1))*('Summary Page'!$C$4+1)</f>
        <v>160.70399999999998</v>
      </c>
      <c r="AP5" s="43"/>
      <c r="AQ5" s="7">
        <f>((AVERAGE(C5,AP5)*('Summary Page'!$C$2+1))*('Summary Page'!$C$2+1))*('Summary Page'!$C$2+1)</f>
        <v>121.74988799999997</v>
      </c>
      <c r="AR5" s="7">
        <f>((AVERAGE(C5,AP5)*('Summary Page'!$C$3+1))*('Summary Page'!$C$3+1))*('Summary Page'!$C$3+1)</f>
        <v>152.34375</v>
      </c>
      <c r="AS5" s="7">
        <f>((AVERAGE(C5,AP5)*('Summary Page'!$C$4+1))*('Summary Page'!$C$4+1))*('Summary Page'!$C$4+1)</f>
        <v>134.78399999999999</v>
      </c>
      <c r="AV5" s="43"/>
      <c r="AW5" s="7">
        <f>((AVERAGE(D5,AV5)*('Summary Page'!$C$2+1))*('Summary Page'!$C$2+1))*('Summary Page'!$C$2+1)</f>
        <v>104.58003199999999</v>
      </c>
      <c r="AX5" s="7">
        <f>((AVERAGE(D5,AV5)*('Summary Page'!$C$3+1))*('Summary Page'!$C$3+1))*('Summary Page'!$C$3+1)</f>
        <v>130.859375</v>
      </c>
      <c r="AY5" s="8">
        <f>((AVERAGE(D5,AV5)*('Summary Page'!$C$4+1))*('Summary Page'!$C$4+1))*('Summary Page'!$C$4+1)</f>
        <v>115.77599999999998</v>
      </c>
      <c r="BB5" s="43"/>
      <c r="BC5" s="7">
        <f>((AVERAGE(E5,BB5)*('Summary Page'!$C$2+1))*('Summary Page'!$C$2+1))*('Summary Page'!$C$2+1)</f>
        <v>159.21139199999996</v>
      </c>
      <c r="BD5" s="7">
        <f>((AVERAGE(E5,BB5)*('Summary Page'!$C$3+1))*('Summary Page'!$C$3+1))*('Summary Page'!$C$3+1)</f>
        <v>199.21875</v>
      </c>
      <c r="BE5" s="8">
        <f>((AVERAGE(E5,BB5)*('Summary Page'!$C$4+1))*('Summary Page'!$C$4+1))*('Summary Page'!$C$4+1)</f>
        <v>176.256</v>
      </c>
      <c r="BH5" s="43"/>
      <c r="BI5" s="7" t="e">
        <f>((AVERAGE(N5,BH5)*('Summary Page'!$C$2+1))*('Summary Page'!$C$2+1))*('Summary Page'!$C$2+1)</f>
        <v>#DIV/0!</v>
      </c>
      <c r="BJ5" s="7" t="e">
        <f>((AVERAGE(N5,BH5)*('Summary Page'!$C$3+1))*('Summary Page'!$C$3+1))*('Summary Page'!$C$3+1)</f>
        <v>#DIV/0!</v>
      </c>
      <c r="BK5" s="8" t="e">
        <f>((AVERAGE(N5,BH5)*('Summary Page'!$C$4+1))*('Summary Page'!$C$4+1))*('Summary Page'!$C$4+1)</f>
        <v>#DIV/0!</v>
      </c>
      <c r="BL5" s="9"/>
    </row>
    <row r="6" spans="1:162" ht="15.75" x14ac:dyDescent="0.25">
      <c r="A6" s="20">
        <v>43381</v>
      </c>
      <c r="B6" s="218">
        <v>97</v>
      </c>
      <c r="C6" s="43">
        <v>80</v>
      </c>
      <c r="D6" s="67">
        <v>69</v>
      </c>
      <c r="E6" s="1367">
        <v>82</v>
      </c>
      <c r="F6" s="218"/>
      <c r="G6" s="43"/>
      <c r="H6" s="43"/>
      <c r="I6" s="213"/>
      <c r="J6" s="218"/>
      <c r="K6" s="43"/>
      <c r="L6" s="43"/>
      <c r="M6" s="213"/>
      <c r="N6" s="43"/>
      <c r="O6" s="43"/>
      <c r="P6" s="43"/>
      <c r="Q6" s="218"/>
      <c r="R6" s="43"/>
      <c r="S6" s="213"/>
      <c r="T6" s="43"/>
      <c r="U6" s="43"/>
      <c r="V6" s="43"/>
      <c r="W6" s="218"/>
      <c r="X6" s="43"/>
      <c r="Y6" s="213"/>
      <c r="Z6" s="43"/>
      <c r="AA6" s="2">
        <f t="shared" si="1"/>
        <v>65.599999999999994</v>
      </c>
      <c r="AB6" s="2"/>
      <c r="AC6" s="2"/>
      <c r="AD6" s="7">
        <f>((AVERAGE(AA6,AC6)*('Summary Page'!$C$2+1))*('Summary Page'!$C$2+1))*('Summary Page'!$C$2+1)</f>
        <v>102.39477759999998</v>
      </c>
      <c r="AE6" s="7">
        <f>((AVERAGE(AA6,AC6)*('Summary Page'!$C$3+1))*('Summary Page'!$C$3+1))*('Summary Page'!$C$3+1)</f>
        <v>128.125</v>
      </c>
      <c r="AF6" s="7">
        <f>((AVERAGE(AA6,AC6)*('Summary Page'!$C$4+1))*('Summary Page'!$C$4+1))*('Summary Page'!$C$4+1)</f>
        <v>113.35679999999998</v>
      </c>
      <c r="AG6" s="7">
        <v>80</v>
      </c>
      <c r="AJ6" s="43"/>
      <c r="AK6" s="7">
        <f>((AVERAGE(B6,AJ6)*('Summary Page'!$C$2+1))*('Summary Page'!$C$2+1))*('Summary Page'!$C$2+1)</f>
        <v>151.40691199999995</v>
      </c>
      <c r="AL6" s="7">
        <f>((AVERAGE(B6,AJ6)*('Summary Page'!$C$3+1))*('Summary Page'!$C$3+1))*('Summary Page'!$C$3+1)</f>
        <v>189.453125</v>
      </c>
      <c r="AM6" s="8">
        <f>((AVERAGE(B6,AJ6)*('Summary Page'!$C$4+1))*('Summary Page'!$C$4+1))*('Summary Page'!$C$4+1)</f>
        <v>167.61599999999996</v>
      </c>
      <c r="AP6" s="43"/>
      <c r="AQ6" s="7">
        <f>((AVERAGE(C6,AP6)*('Summary Page'!$C$2+1))*('Summary Page'!$C$2+1))*('Summary Page'!$C$2+1)</f>
        <v>124.87167999999998</v>
      </c>
      <c r="AR6" s="7">
        <f>((AVERAGE(C6,AP6)*('Summary Page'!$C$3+1))*('Summary Page'!$C$3+1))*('Summary Page'!$C$3+1)</f>
        <v>156.25</v>
      </c>
      <c r="AS6" s="7">
        <f>((AVERAGE(C6,AP6)*('Summary Page'!$C$4+1))*('Summary Page'!$C$4+1))*('Summary Page'!$C$4+1)</f>
        <v>138.23999999999998</v>
      </c>
      <c r="AV6" s="43"/>
      <c r="AW6" s="7">
        <f>((AVERAGE(D6,AV6)*('Summary Page'!$C$2+1))*('Summary Page'!$C$2+1))*('Summary Page'!$C$2+1)</f>
        <v>107.70182399999997</v>
      </c>
      <c r="AX6" s="7">
        <f>((AVERAGE(D6,AV6)*('Summary Page'!$C$3+1))*('Summary Page'!$C$3+1))*('Summary Page'!$C$3+1)</f>
        <v>134.765625</v>
      </c>
      <c r="AY6" s="8">
        <f>((AVERAGE(D6,AV6)*('Summary Page'!$C$4+1))*('Summary Page'!$C$4+1))*('Summary Page'!$C$4+1)</f>
        <v>119.232</v>
      </c>
      <c r="BB6" s="43"/>
      <c r="BC6" s="7">
        <f>((AVERAGE(E6,BB6)*('Summary Page'!$C$2+1))*('Summary Page'!$C$2+1))*('Summary Page'!$C$2+1)</f>
        <v>127.99347199999997</v>
      </c>
      <c r="BD6" s="7">
        <f>((AVERAGE(E6,BB6)*('Summary Page'!$C$3+1))*('Summary Page'!$C$3+1))*('Summary Page'!$C$3+1)</f>
        <v>160.15625</v>
      </c>
      <c r="BE6" s="8">
        <f>((AVERAGE(E6,BB6)*('Summary Page'!$C$4+1))*('Summary Page'!$C$4+1))*('Summary Page'!$C$4+1)</f>
        <v>141.69599999999997</v>
      </c>
      <c r="BH6" s="43"/>
      <c r="BI6" s="7" t="e">
        <f>((AVERAGE(N6,BH6)*('Summary Page'!$C$2+1))*('Summary Page'!$C$2+1))*('Summary Page'!$C$2+1)</f>
        <v>#DIV/0!</v>
      </c>
      <c r="BJ6" s="7" t="e">
        <f>((AVERAGE(N6,BH6)*('Summary Page'!$C$3+1))*('Summary Page'!$C$3+1))*('Summary Page'!$C$3+1)</f>
        <v>#DIV/0!</v>
      </c>
      <c r="BK6" s="8" t="e">
        <f>((AVERAGE(N6,BH6)*('Summary Page'!$C$4+1))*('Summary Page'!$C$4+1))*('Summary Page'!$C$4+1)</f>
        <v>#DIV/0!</v>
      </c>
      <c r="BL6" s="9"/>
    </row>
    <row r="7" spans="1:162" ht="15.75" x14ac:dyDescent="0.25">
      <c r="A7" s="20">
        <v>43402</v>
      </c>
      <c r="B7" s="218">
        <v>99</v>
      </c>
      <c r="C7" s="43">
        <v>79</v>
      </c>
      <c r="D7" s="67">
        <v>71</v>
      </c>
      <c r="E7" s="1367">
        <v>96</v>
      </c>
      <c r="F7" s="220"/>
      <c r="G7" s="6"/>
      <c r="H7" s="6"/>
      <c r="I7" s="228"/>
      <c r="J7" s="220"/>
      <c r="K7" s="6"/>
      <c r="L7" s="6"/>
      <c r="M7" s="228"/>
      <c r="N7" s="43"/>
      <c r="O7" s="6"/>
      <c r="P7" s="6"/>
      <c r="Q7" s="220"/>
      <c r="R7" s="6"/>
      <c r="S7" s="228"/>
      <c r="T7" s="6"/>
      <c r="U7" s="6"/>
      <c r="V7" s="6"/>
      <c r="W7" s="220"/>
      <c r="X7" s="6"/>
      <c r="Y7" s="228"/>
      <c r="Z7" s="6"/>
      <c r="AA7" s="2">
        <f t="shared" si="1"/>
        <v>69</v>
      </c>
      <c r="AB7" s="2"/>
      <c r="AC7" s="2"/>
      <c r="AD7" s="7">
        <f>((AVERAGE(AA7,AC7)*('Summary Page'!$C$2+1))*('Summary Page'!$C$2+1))*('Summary Page'!$C$2+1)</f>
        <v>107.70182399999997</v>
      </c>
      <c r="AE7" s="7">
        <f>((AVERAGE(AA7,AC7)*('Summary Page'!$C$3+1))*('Summary Page'!$C$3+1))*('Summary Page'!$C$3+1)</f>
        <v>134.765625</v>
      </c>
      <c r="AF7" s="7">
        <f>((AVERAGE(AA7,AC7)*('Summary Page'!$C$4+1))*('Summary Page'!$C$4+1))*('Summary Page'!$C$4+1)</f>
        <v>119.232</v>
      </c>
      <c r="AG7" s="7">
        <v>80</v>
      </c>
      <c r="AJ7" s="6"/>
      <c r="AK7" s="7">
        <f>((AVERAGE(B7,AJ7)*('Summary Page'!$C$2+1))*('Summary Page'!$C$2+1))*('Summary Page'!$C$2+1)</f>
        <v>154.52870399999998</v>
      </c>
      <c r="AL7" s="7">
        <f>((AVERAGE(B7,AJ7)*('Summary Page'!$C$3+1))*('Summary Page'!$C$3+1))*('Summary Page'!$C$3+1)</f>
        <v>193.359375</v>
      </c>
      <c r="AM7" s="8">
        <f>((AVERAGE(B7,AJ7)*('Summary Page'!$C$4+1))*('Summary Page'!$C$4+1))*('Summary Page'!$C$4+1)</f>
        <v>171.072</v>
      </c>
      <c r="AP7" s="6"/>
      <c r="AQ7" s="7">
        <f>((AVERAGE(C7,AP7)*('Summary Page'!$C$2+1))*('Summary Page'!$C$2+1))*('Summary Page'!$C$2+1)</f>
        <v>123.31078399999998</v>
      </c>
      <c r="AR7" s="7">
        <f>((AVERAGE(C7,AP7)*('Summary Page'!$C$3+1))*('Summary Page'!$C$3+1))*('Summary Page'!$C$3+1)</f>
        <v>154.296875</v>
      </c>
      <c r="AS7" s="7">
        <f>((AVERAGE(C7,AP7)*('Summary Page'!$C$4+1))*('Summary Page'!$C$4+1))*('Summary Page'!$C$4+1)</f>
        <v>136.51199999999997</v>
      </c>
      <c r="AV7" s="6"/>
      <c r="AW7" s="7">
        <f>((AVERAGE(D7,AV7)*('Summary Page'!$C$2+1))*('Summary Page'!$C$2+1))*('Summary Page'!$C$2+1)</f>
        <v>110.82361599999999</v>
      </c>
      <c r="AX7" s="7">
        <f>((AVERAGE(D7,AV7)*('Summary Page'!$C$3+1))*('Summary Page'!$C$3+1))*('Summary Page'!$C$3+1)</f>
        <v>138.671875</v>
      </c>
      <c r="AY7" s="8">
        <f>((AVERAGE(D7,AV7)*('Summary Page'!$C$4+1))*('Summary Page'!$C$4+1))*('Summary Page'!$C$4+1)</f>
        <v>122.68799999999999</v>
      </c>
      <c r="BB7" s="6"/>
      <c r="BC7" s="7">
        <f>((AVERAGE(E7,BB7)*('Summary Page'!$C$2+1))*('Summary Page'!$C$2+1))*('Summary Page'!$C$2+1)</f>
        <v>149.84601599999996</v>
      </c>
      <c r="BD7" s="7">
        <f>((AVERAGE(E7,BB7)*('Summary Page'!$C$3+1))*('Summary Page'!$C$3+1))*('Summary Page'!$C$3+1)</f>
        <v>187.5</v>
      </c>
      <c r="BE7" s="8">
        <f>((AVERAGE(E7,BB7)*('Summary Page'!$C$4+1))*('Summary Page'!$C$4+1))*('Summary Page'!$C$4+1)</f>
        <v>165.88799999999998</v>
      </c>
      <c r="BH7" s="6"/>
      <c r="BI7" s="7" t="e">
        <f>((AVERAGE(N7,BH7)*('Summary Page'!$C$2+1))*('Summary Page'!$C$2+1))*('Summary Page'!$C$2+1)</f>
        <v>#DIV/0!</v>
      </c>
      <c r="BJ7" s="7" t="e">
        <f>((AVERAGE(N7,BH7)*('Summary Page'!$C$3+1))*('Summary Page'!$C$3+1))*('Summary Page'!$C$3+1)</f>
        <v>#DIV/0!</v>
      </c>
      <c r="BK7" s="8" t="e">
        <f>((AVERAGE(N7,BH7)*('Summary Page'!$C$4+1))*('Summary Page'!$C$4+1))*('Summary Page'!$C$4+1)</f>
        <v>#DIV/0!</v>
      </c>
      <c r="BL7" s="9"/>
    </row>
    <row r="8" spans="1:162" ht="15.75" x14ac:dyDescent="0.25">
      <c r="A8" s="20">
        <v>43409</v>
      </c>
      <c r="B8" s="218">
        <v>95</v>
      </c>
      <c r="C8" s="43">
        <v>73</v>
      </c>
      <c r="D8" s="67">
        <v>72</v>
      </c>
      <c r="E8" s="1367">
        <v>91</v>
      </c>
      <c r="F8" s="218"/>
      <c r="G8" s="43"/>
      <c r="H8" s="43"/>
      <c r="I8" s="213"/>
      <c r="J8" s="218"/>
      <c r="K8" s="43"/>
      <c r="L8" s="43"/>
      <c r="M8" s="213"/>
      <c r="N8" s="43"/>
      <c r="O8" s="43"/>
      <c r="P8" s="43"/>
      <c r="Q8" s="218"/>
      <c r="R8" s="43"/>
      <c r="S8" s="213"/>
      <c r="T8" s="43"/>
      <c r="U8" s="43"/>
      <c r="V8" s="43"/>
      <c r="W8" s="218"/>
      <c r="X8" s="43"/>
      <c r="Y8" s="213"/>
      <c r="Z8" s="43"/>
      <c r="AA8" s="2">
        <f t="shared" si="1"/>
        <v>66.2</v>
      </c>
      <c r="AB8" s="2"/>
      <c r="AC8" s="2"/>
      <c r="AD8" s="7">
        <f>((AVERAGE(AA8,AC8)*('Summary Page'!$C$2+1))*('Summary Page'!$C$2+1))*('Summary Page'!$C$2+1)</f>
        <v>103.33131519999998</v>
      </c>
      <c r="AE8" s="7">
        <f>((AVERAGE(AA8,AC8)*('Summary Page'!$C$3+1))*('Summary Page'!$C$3+1))*('Summary Page'!$C$3+1)</f>
        <v>129.296875</v>
      </c>
      <c r="AF8" s="7">
        <f>((AVERAGE(AA8,AC8)*('Summary Page'!$C$4+1))*('Summary Page'!$C$4+1))*('Summary Page'!$C$4+1)</f>
        <v>114.39359999999998</v>
      </c>
      <c r="AG8" s="7">
        <v>80</v>
      </c>
      <c r="AJ8" s="43"/>
      <c r="AK8" s="7">
        <f>((AVERAGE(B8,AJ8)*('Summary Page'!$C$2+1))*('Summary Page'!$C$2+1))*('Summary Page'!$C$2+1)</f>
        <v>148.28511999999998</v>
      </c>
      <c r="AL8" s="7">
        <f>((AVERAGE(B8,AJ8)*('Summary Page'!$C$3+1))*('Summary Page'!$C$3+1))*('Summary Page'!$C$3+1)</f>
        <v>185.546875</v>
      </c>
      <c r="AM8" s="8">
        <f>((AVERAGE(B8,AJ8)*('Summary Page'!$C$4+1))*('Summary Page'!$C$4+1))*('Summary Page'!$C$4+1)</f>
        <v>164.15999999999997</v>
      </c>
      <c r="AP8" s="43"/>
      <c r="AQ8" s="7">
        <f>((AVERAGE(C8,AP8)*('Summary Page'!$C$2+1))*('Summary Page'!$C$2+1))*('Summary Page'!$C$2+1)</f>
        <v>113.94540799999997</v>
      </c>
      <c r="AR8" s="7">
        <f>((AVERAGE(C8,AP8)*('Summary Page'!$C$3+1))*('Summary Page'!$C$3+1))*('Summary Page'!$C$3+1)</f>
        <v>142.578125</v>
      </c>
      <c r="AS8" s="7">
        <f>((AVERAGE(C8,AP8)*('Summary Page'!$C$4+1))*('Summary Page'!$C$4+1))*('Summary Page'!$C$4+1)</f>
        <v>126.14399999999998</v>
      </c>
      <c r="AV8" s="43"/>
      <c r="AW8" s="7">
        <f>((AVERAGE(D8,AV8)*('Summary Page'!$C$2+1))*('Summary Page'!$C$2+1))*('Summary Page'!$C$2+1)</f>
        <v>112.38451199999997</v>
      </c>
      <c r="AX8" s="7">
        <f>((AVERAGE(D8,AV8)*('Summary Page'!$C$3+1))*('Summary Page'!$C$3+1))*('Summary Page'!$C$3+1)</f>
        <v>140.625</v>
      </c>
      <c r="AY8" s="8">
        <f>((AVERAGE(D8,AV8)*('Summary Page'!$C$4+1))*('Summary Page'!$C$4+1))*('Summary Page'!$C$4+1)</f>
        <v>124.41599999999998</v>
      </c>
      <c r="BB8" s="43"/>
      <c r="BC8" s="7">
        <f>((AVERAGE(E8,BB8)*('Summary Page'!$C$2+1))*('Summary Page'!$C$2+1))*('Summary Page'!$C$2+1)</f>
        <v>142.04153599999995</v>
      </c>
      <c r="BD8" s="7">
        <f>((AVERAGE(E8,BB8)*('Summary Page'!$C$3+1))*('Summary Page'!$C$3+1))*('Summary Page'!$C$3+1)</f>
        <v>177.734375</v>
      </c>
      <c r="BE8" s="8">
        <f>((AVERAGE(E8,BB8)*('Summary Page'!$C$4+1))*('Summary Page'!$C$4+1))*('Summary Page'!$C$4+1)</f>
        <v>157.24799999999999</v>
      </c>
      <c r="BH8" s="43"/>
      <c r="BI8" s="7" t="e">
        <f>((AVERAGE(N8,BH8)*('Summary Page'!$C$2+1))*('Summary Page'!$C$2+1))*('Summary Page'!$C$2+1)</f>
        <v>#DIV/0!</v>
      </c>
      <c r="BJ8" s="7" t="e">
        <f>((AVERAGE(N8,BH8)*('Summary Page'!$C$3+1))*('Summary Page'!$C$3+1))*('Summary Page'!$C$3+1)</f>
        <v>#DIV/0!</v>
      </c>
      <c r="BK8" s="8" t="e">
        <f>((AVERAGE(N8,BH8)*('Summary Page'!$C$4+1))*('Summary Page'!$C$4+1))*('Summary Page'!$C$4+1)</f>
        <v>#DIV/0!</v>
      </c>
      <c r="BL8" s="9"/>
    </row>
    <row r="9" spans="1:162" ht="15.75" x14ac:dyDescent="0.25">
      <c r="A9" s="20">
        <v>43423</v>
      </c>
      <c r="B9" s="218">
        <v>94</v>
      </c>
      <c r="C9" s="43">
        <v>66</v>
      </c>
      <c r="D9" s="67">
        <v>77</v>
      </c>
      <c r="E9" s="1367">
        <v>82</v>
      </c>
      <c r="F9" s="218"/>
      <c r="G9" s="43"/>
      <c r="H9" s="43"/>
      <c r="I9" s="213"/>
      <c r="J9" s="218"/>
      <c r="K9" s="43"/>
      <c r="L9" s="43"/>
      <c r="M9" s="213"/>
      <c r="N9" s="43"/>
      <c r="O9" s="43"/>
      <c r="P9" s="43"/>
      <c r="Q9" s="218"/>
      <c r="R9" s="43"/>
      <c r="S9" s="213"/>
      <c r="T9" s="43"/>
      <c r="U9" s="43"/>
      <c r="V9" s="43"/>
      <c r="W9" s="218"/>
      <c r="X9" s="43"/>
      <c r="Y9" s="213"/>
      <c r="Z9" s="43"/>
      <c r="AA9" s="2">
        <f t="shared" si="1"/>
        <v>63.8</v>
      </c>
      <c r="AB9" s="2"/>
      <c r="AC9" s="2"/>
      <c r="AD9" s="7">
        <f>((AVERAGE(AA9,AC9)*('Summary Page'!$C$2+1))*('Summary Page'!$C$2+1))*('Summary Page'!$C$2+1)</f>
        <v>99.585164799999987</v>
      </c>
      <c r="AE9" s="7">
        <f>((AVERAGE(AA9,AC9)*('Summary Page'!$C$3+1))*('Summary Page'!$C$3+1))*('Summary Page'!$C$3+1)</f>
        <v>124.609375</v>
      </c>
      <c r="AF9" s="7">
        <f>((AVERAGE(AA9,AC9)*('Summary Page'!$C$4+1))*('Summary Page'!$C$4+1))*('Summary Page'!$C$4+1)</f>
        <v>110.24639999999998</v>
      </c>
      <c r="AG9" s="7">
        <v>80</v>
      </c>
      <c r="AJ9" s="43"/>
      <c r="AK9" s="7">
        <f>((AVERAGE(B9,AJ9)*('Summary Page'!$C$2+1))*('Summary Page'!$C$2+1))*('Summary Page'!$C$2+1)</f>
        <v>146.72422399999996</v>
      </c>
      <c r="AL9" s="7">
        <f>((AVERAGE(B9,AJ9)*('Summary Page'!$C$3+1))*('Summary Page'!$C$3+1))*('Summary Page'!$C$3+1)</f>
        <v>183.59375</v>
      </c>
      <c r="AM9" s="8">
        <f>((AVERAGE(B9,AJ9)*('Summary Page'!$C$4+1))*('Summary Page'!$C$4+1))*('Summary Page'!$C$4+1)</f>
        <v>162.43199999999999</v>
      </c>
      <c r="AP9" s="43"/>
      <c r="AQ9" s="7">
        <f>((AVERAGE(C9,AP9)*('Summary Page'!$C$2+1))*('Summary Page'!$C$2+1))*('Summary Page'!$C$2+1)</f>
        <v>103.01913599999996</v>
      </c>
      <c r="AR9" s="7">
        <f>((AVERAGE(C9,AP9)*('Summary Page'!$C$3+1))*('Summary Page'!$C$3+1))*('Summary Page'!$C$3+1)</f>
        <v>128.90625</v>
      </c>
      <c r="AS9" s="7">
        <f>((AVERAGE(C9,AP9)*('Summary Page'!$C$4+1))*('Summary Page'!$C$4+1))*('Summary Page'!$C$4+1)</f>
        <v>114.048</v>
      </c>
      <c r="AV9" s="43"/>
      <c r="AW9" s="7">
        <f>((AVERAGE(D9,AV9)*('Summary Page'!$C$2+1))*('Summary Page'!$C$2+1))*('Summary Page'!$C$2+1)</f>
        <v>120.18899199999997</v>
      </c>
      <c r="AX9" s="7">
        <f>((AVERAGE(D9,AV9)*('Summary Page'!$C$3+1))*('Summary Page'!$C$3+1))*('Summary Page'!$C$3+1)</f>
        <v>150.390625</v>
      </c>
      <c r="AY9" s="8">
        <f>((AVERAGE(D9,AV9)*('Summary Page'!$C$4+1))*('Summary Page'!$C$4+1))*('Summary Page'!$C$4+1)</f>
        <v>133.05599999999998</v>
      </c>
      <c r="BB9" s="43"/>
      <c r="BC9" s="7">
        <f>((AVERAGE(E9,BB9)*('Summary Page'!$C$2+1))*('Summary Page'!$C$2+1))*('Summary Page'!$C$2+1)</f>
        <v>127.99347199999997</v>
      </c>
      <c r="BD9" s="7">
        <f>((AVERAGE(E9,BB9)*('Summary Page'!$C$3+1))*('Summary Page'!$C$3+1))*('Summary Page'!$C$3+1)</f>
        <v>160.15625</v>
      </c>
      <c r="BE9" s="8">
        <f>((AVERAGE(E9,BB9)*('Summary Page'!$C$4+1))*('Summary Page'!$C$4+1))*('Summary Page'!$C$4+1)</f>
        <v>141.69599999999997</v>
      </c>
      <c r="BH9" s="43"/>
      <c r="BI9" s="7" t="e">
        <f>((AVERAGE(N9,BH9)*('Summary Page'!$C$2+1))*('Summary Page'!$C$2+1))*('Summary Page'!$C$2+1)</f>
        <v>#DIV/0!</v>
      </c>
      <c r="BJ9" s="7" t="e">
        <f>((AVERAGE(N9,BH9)*('Summary Page'!$C$3+1))*('Summary Page'!$C$3+1))*('Summary Page'!$C$3+1)</f>
        <v>#DIV/0!</v>
      </c>
      <c r="BK9" s="8" t="e">
        <f>((AVERAGE(N9,BH9)*('Summary Page'!$C$4+1))*('Summary Page'!$C$4+1))*('Summary Page'!$C$4+1)</f>
        <v>#DIV/0!</v>
      </c>
      <c r="BL9" s="9"/>
    </row>
    <row r="10" spans="1:162" ht="15.75" x14ac:dyDescent="0.25">
      <c r="A10" s="20">
        <v>43437</v>
      </c>
      <c r="B10" s="218">
        <v>97</v>
      </c>
      <c r="C10" s="43">
        <v>65</v>
      </c>
      <c r="D10" s="67">
        <v>70</v>
      </c>
      <c r="E10" s="1367">
        <v>81</v>
      </c>
      <c r="F10" s="218"/>
      <c r="G10" s="43"/>
      <c r="H10" s="43"/>
      <c r="I10" s="213"/>
      <c r="J10" s="218"/>
      <c r="K10" s="43"/>
      <c r="L10" s="43"/>
      <c r="M10" s="213"/>
      <c r="N10" s="43"/>
      <c r="O10" s="43"/>
      <c r="P10" s="43"/>
      <c r="Q10" s="218"/>
      <c r="R10" s="43"/>
      <c r="S10" s="213"/>
      <c r="T10" s="43"/>
      <c r="U10" s="43"/>
      <c r="V10" s="43"/>
      <c r="W10" s="218"/>
      <c r="X10" s="43"/>
      <c r="Y10" s="213"/>
      <c r="Z10" s="43"/>
      <c r="AA10" s="2">
        <f t="shared" si="1"/>
        <v>62.6</v>
      </c>
      <c r="AB10" s="2"/>
      <c r="AC10" s="2"/>
      <c r="AD10" s="7">
        <f>((AVERAGE(AA10,AC10)*('Summary Page'!$C$2+1))*('Summary Page'!$C$2+1))*('Summary Page'!$C$2+1)</f>
        <v>97.712089599999985</v>
      </c>
      <c r="AE10" s="7">
        <f>((AVERAGE(AA10,AC10)*('Summary Page'!$C$3+1))*('Summary Page'!$C$3+1))*('Summary Page'!$C$3+1)</f>
        <v>122.265625</v>
      </c>
      <c r="AF10" s="7">
        <f>((AVERAGE(AA10,AC10)*('Summary Page'!$C$4+1))*('Summary Page'!$C$4+1))*('Summary Page'!$C$4+1)</f>
        <v>108.17280000000001</v>
      </c>
      <c r="AG10" s="7">
        <v>80</v>
      </c>
      <c r="AJ10" s="43"/>
      <c r="AK10" s="7">
        <f>((AVERAGE(B10,AJ10)*('Summary Page'!$C$2+1))*('Summary Page'!$C$2+1))*('Summary Page'!$C$2+1)</f>
        <v>151.40691199999995</v>
      </c>
      <c r="AL10" s="7">
        <f>((AVERAGE(B10,AJ10)*('Summary Page'!$C$3+1))*('Summary Page'!$C$3+1))*('Summary Page'!$C$3+1)</f>
        <v>189.453125</v>
      </c>
      <c r="AM10" s="8">
        <f>((AVERAGE(B10,AJ10)*('Summary Page'!$C$4+1))*('Summary Page'!$C$4+1))*('Summary Page'!$C$4+1)</f>
        <v>167.61599999999996</v>
      </c>
      <c r="AP10" s="43"/>
      <c r="AQ10" s="7">
        <f>((AVERAGE(C10,AP10)*('Summary Page'!$C$2+1))*('Summary Page'!$C$2+1))*('Summary Page'!$C$2+1)</f>
        <v>101.45823999999998</v>
      </c>
      <c r="AR10" s="7">
        <f>((AVERAGE(C10,AP10)*('Summary Page'!$C$3+1))*('Summary Page'!$C$3+1))*('Summary Page'!$C$3+1)</f>
        <v>126.953125</v>
      </c>
      <c r="AS10" s="7">
        <f>((AVERAGE(C10,AP10)*('Summary Page'!$C$4+1))*('Summary Page'!$C$4+1))*('Summary Page'!$C$4+1)</f>
        <v>112.32</v>
      </c>
      <c r="AV10" s="43"/>
      <c r="AW10" s="7">
        <f>((AVERAGE(D10,AV10)*('Summary Page'!$C$2+1))*('Summary Page'!$C$2+1))*('Summary Page'!$C$2+1)</f>
        <v>109.26271999999997</v>
      </c>
      <c r="AX10" s="7">
        <f>((AVERAGE(D10,AV10)*('Summary Page'!$C$3+1))*('Summary Page'!$C$3+1))*('Summary Page'!$C$3+1)</f>
        <v>136.71875</v>
      </c>
      <c r="AY10" s="8">
        <f>((AVERAGE(D10,AV10)*('Summary Page'!$C$4+1))*('Summary Page'!$C$4+1))*('Summary Page'!$C$4+1)</f>
        <v>120.96</v>
      </c>
      <c r="BB10" s="43"/>
      <c r="BC10" s="7">
        <f>((AVERAGE(E10,BB10)*('Summary Page'!$C$2+1))*('Summary Page'!$C$2+1))*('Summary Page'!$C$2+1)</f>
        <v>126.43257599999997</v>
      </c>
      <c r="BD10" s="7">
        <f>((AVERAGE(E10,BB10)*('Summary Page'!$C$3+1))*('Summary Page'!$C$3+1))*('Summary Page'!$C$3+1)</f>
        <v>158.203125</v>
      </c>
      <c r="BE10" s="8">
        <f>((AVERAGE(E10,BB10)*('Summary Page'!$C$4+1))*('Summary Page'!$C$4+1))*('Summary Page'!$C$4+1)</f>
        <v>139.96799999999999</v>
      </c>
      <c r="BH10" s="43"/>
      <c r="BI10" s="7" t="e">
        <f>((AVERAGE(N10,BH10)*('Summary Page'!$C$2+1))*('Summary Page'!$C$2+1))*('Summary Page'!$C$2+1)</f>
        <v>#DIV/0!</v>
      </c>
      <c r="BJ10" s="7" t="e">
        <f>((AVERAGE(N10,BH10)*('Summary Page'!$C$3+1))*('Summary Page'!$C$3+1))*('Summary Page'!$C$3+1)</f>
        <v>#DIV/0!</v>
      </c>
      <c r="BK10" s="8" t="e">
        <f>((AVERAGE(N10,BH10)*('Summary Page'!$C$4+1))*('Summary Page'!$C$4+1))*('Summary Page'!$C$4+1)</f>
        <v>#DIV/0!</v>
      </c>
      <c r="BL10" s="9"/>
    </row>
    <row r="11" spans="1:162" ht="15.75" x14ac:dyDescent="0.25">
      <c r="A11" s="20">
        <v>43451</v>
      </c>
      <c r="B11" s="218">
        <v>100</v>
      </c>
      <c r="C11" s="43">
        <v>63</v>
      </c>
      <c r="D11" s="67">
        <v>67</v>
      </c>
      <c r="E11" s="1367">
        <v>72</v>
      </c>
      <c r="F11" s="218"/>
      <c r="G11" s="43"/>
      <c r="H11" s="43"/>
      <c r="I11" s="213"/>
      <c r="J11" s="218"/>
      <c r="K11" s="43"/>
      <c r="L11" s="43"/>
      <c r="M11" s="213"/>
      <c r="N11" s="43"/>
      <c r="O11" s="43"/>
      <c r="P11" s="43"/>
      <c r="Q11" s="218"/>
      <c r="R11" s="43"/>
      <c r="S11" s="213"/>
      <c r="T11" s="43"/>
      <c r="U11" s="43"/>
      <c r="V11" s="43"/>
      <c r="W11" s="218"/>
      <c r="X11" s="43"/>
      <c r="Y11" s="213"/>
      <c r="Z11" s="43"/>
      <c r="AA11" s="2">
        <f t="shared" si="1"/>
        <v>60.4</v>
      </c>
      <c r="AB11" s="2"/>
      <c r="AC11" s="2"/>
      <c r="AD11" s="7">
        <f>((AVERAGE(AA11,AC11)*('Summary Page'!$C$2+1))*('Summary Page'!$C$2+1))*('Summary Page'!$C$2+1)</f>
        <v>94.278118399999983</v>
      </c>
      <c r="AE11" s="7">
        <f>((AVERAGE(AA11,AC11)*('Summary Page'!$C$3+1))*('Summary Page'!$C$3+1))*('Summary Page'!$C$3+1)</f>
        <v>117.96875</v>
      </c>
      <c r="AF11" s="7">
        <f>((AVERAGE(AA11,AC11)*('Summary Page'!$C$4+1))*('Summary Page'!$C$4+1))*('Summary Page'!$C$4+1)</f>
        <v>104.37119999999997</v>
      </c>
      <c r="AG11" s="7">
        <v>80</v>
      </c>
      <c r="AJ11" s="43"/>
      <c r="AK11" s="7">
        <f>((AVERAGE(B6:B11)*('Summary Page'!$C$2+1))*('Summary Page'!$C$2+1))*('Summary Page'!$C$2+1)</f>
        <v>151.40691199999995</v>
      </c>
      <c r="AL11" s="7">
        <f>((AVERAGE(B6:B11)*('Summary Page'!$C$3+1))*('Summary Page'!$C$3+1))*('Summary Page'!$C$3+1)</f>
        <v>189.453125</v>
      </c>
      <c r="AM11" s="8">
        <f>((AVERAGE(B6:B11)*('Summary Page'!$C$4+1))*('Summary Page'!$C$4+1))*('Summary Page'!$C$4+1)</f>
        <v>167.61599999999996</v>
      </c>
      <c r="AP11" s="43"/>
      <c r="AQ11" s="7">
        <f>((AVERAGE(C6:C11)*('Summary Page'!$C$2+1))*('Summary Page'!$C$2+1))*('Summary Page'!$C$2+1)</f>
        <v>110.82361599999999</v>
      </c>
      <c r="AR11" s="7">
        <f>((AVERAGE(C6:C11)*('Summary Page'!$C$3+1))*('Summary Page'!$C$3+1))*('Summary Page'!$C$3+1)</f>
        <v>138.671875</v>
      </c>
      <c r="AS11" s="7">
        <f>((AVERAGE(C6:C11)*('Summary Page'!$C$4+1))*('Summary Page'!$C$4+1))*('Summary Page'!$C$4+1)</f>
        <v>122.68799999999999</v>
      </c>
      <c r="AV11" s="43"/>
      <c r="AW11" s="7">
        <f>((AVERAGE(D6:D11)*('Summary Page'!$C$2+1))*('Summary Page'!$C$2+1))*('Summary Page'!$C$2+1)</f>
        <v>110.82361599999999</v>
      </c>
      <c r="AX11" s="7">
        <f>((AVERAGE(D6:D11)*('Summary Page'!$C$3+1))*('Summary Page'!$C$3+1))*('Summary Page'!$C$3+1)</f>
        <v>138.671875</v>
      </c>
      <c r="AY11" s="8">
        <f>((AVERAGE(D6:D11)*('Summary Page'!$C$4+1))*('Summary Page'!$C$4+1))*('Summary Page'!$C$4+1)</f>
        <v>122.68799999999999</v>
      </c>
      <c r="BB11" s="43"/>
      <c r="BC11" s="30">
        <f>((AVERAGE(E6:E11)*('Summary Page'!$C$2+1))*('Summary Page'!$C$2+1))*('Summary Page'!$C$2+1)</f>
        <v>131.11526399999997</v>
      </c>
      <c r="BD11" s="30">
        <f>((AVERAGE(E6:E11)*('Summary Page'!$C$3+1))*('Summary Page'!$C$3+1))*('Summary Page'!$C$3+1)</f>
        <v>164.0625</v>
      </c>
      <c r="BE11" s="32">
        <f>((AVERAGE(E6:E11)*('Summary Page'!$C$4+1))*('Summary Page'!$C$4+1))*('Summary Page'!$C$4+1)</f>
        <v>145.15199999999999</v>
      </c>
      <c r="BH11" s="43"/>
      <c r="BI11" s="7" t="e">
        <f>((AVERAGE(N6:N11)*('Summary Page'!$C$2+1))*('Summary Page'!$C$2+1))*('Summary Page'!$C$2+1)</f>
        <v>#DIV/0!</v>
      </c>
      <c r="BJ11" s="7" t="e">
        <f>((AVERAGE(N6:N11)*('Summary Page'!$C$3+1))*('Summary Page'!$C$3+1))*('Summary Page'!$C$3+1)</f>
        <v>#DIV/0!</v>
      </c>
      <c r="BK11" s="7" t="e">
        <f>((AVERAGE(N6:N11)*('Summary Page'!$C$4+1))*('Summary Page'!$C$4+1))*('Summary Page'!$C$4+1)</f>
        <v>#DIV/0!</v>
      </c>
      <c r="BL11" s="9"/>
    </row>
    <row r="12" spans="1:162" ht="15.75" x14ac:dyDescent="0.25">
      <c r="A12" s="20">
        <v>43465</v>
      </c>
      <c r="B12" s="218">
        <v>100</v>
      </c>
      <c r="C12" s="43">
        <v>63</v>
      </c>
      <c r="D12" s="67">
        <v>67</v>
      </c>
      <c r="E12" s="1367">
        <v>72</v>
      </c>
      <c r="F12" s="218"/>
      <c r="G12" s="43"/>
      <c r="H12" s="43"/>
      <c r="I12" s="213"/>
      <c r="J12" s="218"/>
      <c r="K12" s="43"/>
      <c r="L12" s="43"/>
      <c r="M12" s="213"/>
      <c r="N12" s="43"/>
      <c r="O12" s="43"/>
      <c r="P12" s="43"/>
      <c r="Q12" s="218"/>
      <c r="R12" s="43"/>
      <c r="S12" s="213"/>
      <c r="T12" s="43"/>
      <c r="U12" s="43"/>
      <c r="V12" s="43"/>
      <c r="W12" s="218"/>
      <c r="X12" s="43"/>
      <c r="Y12" s="213"/>
      <c r="Z12" s="43"/>
      <c r="AA12" s="2">
        <f t="shared" si="1"/>
        <v>60.4</v>
      </c>
      <c r="AB12" s="2"/>
      <c r="AC12" s="2"/>
      <c r="AD12" s="7">
        <f>((AVERAGE(AA12,AC12)*('Summary Page'!$C$2+1))*('Summary Page'!$C$2+1))*('Summary Page'!$C$2+1)</f>
        <v>94.278118399999983</v>
      </c>
      <c r="AE12" s="7">
        <f>((AVERAGE(AA12,AC12)*('Summary Page'!$C$3+1))*('Summary Page'!$C$3+1))*('Summary Page'!$C$3+1)</f>
        <v>117.96875</v>
      </c>
      <c r="AF12" s="7">
        <f>((AVERAGE(AA12,AC12)*('Summary Page'!$C$4+1))*('Summary Page'!$C$4+1))*('Summary Page'!$C$4+1)</f>
        <v>104.37119999999997</v>
      </c>
      <c r="AG12" s="7">
        <v>80</v>
      </c>
      <c r="AJ12" s="43"/>
      <c r="AK12" s="7">
        <f>((AVERAGE(B7:B12)*('Summary Page'!$C$2+1))*('Summary Page'!$C$2+1))*('Summary Page'!$C$2+1)</f>
        <v>152.18735999999998</v>
      </c>
      <c r="AL12" s="7">
        <f>((AVERAGE(B7:B12)*('Summary Page'!$C$3+1))*('Summary Page'!$C$3+1))*('Summary Page'!$C$3+1)</f>
        <v>190.4296875</v>
      </c>
      <c r="AM12" s="8">
        <f>((AVERAGE(B7:B12)*('Summary Page'!$C$4+1))*('Summary Page'!$C$4+1))*('Summary Page'!$C$4+1)</f>
        <v>168.48</v>
      </c>
      <c r="AP12" s="43"/>
      <c r="AQ12" s="7">
        <f>((AVERAGE(C7:C12)*('Summary Page'!$C$2+1))*('Summary Page'!$C$2+1))*('Summary Page'!$C$2+1)</f>
        <v>106.40107733333332</v>
      </c>
      <c r="AR12" s="7">
        <f>((AVERAGE(C7:C12)*('Summary Page'!$C$3+1))*('Summary Page'!$C$3+1))*('Summary Page'!$C$3+1)</f>
        <v>133.13802083333337</v>
      </c>
      <c r="AS12" s="7">
        <f>((AVERAGE(C7:C12)*('Summary Page'!$C$4+1))*('Summary Page'!$C$4+1))*('Summary Page'!$C$4+1)</f>
        <v>117.79199999999999</v>
      </c>
      <c r="AV12" s="43"/>
      <c r="AW12" s="7">
        <f>((AVERAGE(D7:D12)*('Summary Page'!$C$2+1))*('Summary Page'!$C$2+1))*('Summary Page'!$C$2+1)</f>
        <v>110.30331733333331</v>
      </c>
      <c r="AX12" s="7">
        <f>((AVERAGE(D7:D12)*('Summary Page'!$C$3+1))*('Summary Page'!$C$3+1))*('Summary Page'!$C$3+1)</f>
        <v>138.02083333333337</v>
      </c>
      <c r="AY12" s="8">
        <f>((AVERAGE(D7:D12)*('Summary Page'!$C$4+1))*('Summary Page'!$C$4+1))*('Summary Page'!$C$4+1)</f>
        <v>122.11199999999998</v>
      </c>
      <c r="BB12" s="43"/>
      <c r="BC12" s="30">
        <f>((AVERAGE(E7:E12)*('Summary Page'!$C$2+1))*('Summary Page'!$C$2+1))*('Summary Page'!$C$2+1)</f>
        <v>128.51377066666663</v>
      </c>
      <c r="BD12" s="30">
        <f>((AVERAGE(E7:E12)*('Summary Page'!$C$3+1))*('Summary Page'!$C$3+1))*('Summary Page'!$C$3+1)</f>
        <v>160.80729166666663</v>
      </c>
      <c r="BE12" s="32">
        <f>((AVERAGE(E7:E12)*('Summary Page'!$C$4+1))*('Summary Page'!$C$4+1))*('Summary Page'!$C$4+1)</f>
        <v>142.27199999999999</v>
      </c>
      <c r="BH12" s="43"/>
      <c r="BI12" s="7" t="e">
        <f>((AVERAGE(N7:N12)*('Summary Page'!$C$2+1))*('Summary Page'!$C$2+1))*('Summary Page'!$C$2+1)</f>
        <v>#DIV/0!</v>
      </c>
      <c r="BJ12" s="7" t="e">
        <f>((AVERAGE(N7:N12)*('Summary Page'!$C$3+1))*('Summary Page'!$C$3+1))*('Summary Page'!$C$3+1)</f>
        <v>#DIV/0!</v>
      </c>
      <c r="BK12" s="7" t="e">
        <f>((AVERAGE(N7:N12)*('Summary Page'!$C$4+1))*('Summary Page'!$C$4+1))*('Summary Page'!$C$4+1)</f>
        <v>#DIV/0!</v>
      </c>
      <c r="BL12" s="9"/>
    </row>
    <row r="13" spans="1:162" ht="15.75" x14ac:dyDescent="0.25">
      <c r="A13" s="20">
        <v>43479</v>
      </c>
      <c r="B13" s="218">
        <v>103</v>
      </c>
      <c r="C13" s="43">
        <v>67</v>
      </c>
      <c r="D13" s="67">
        <v>66</v>
      </c>
      <c r="E13" s="1367">
        <v>70</v>
      </c>
      <c r="F13" s="218"/>
      <c r="G13" s="43"/>
      <c r="H13" s="43"/>
      <c r="I13" s="213"/>
      <c r="J13" s="218"/>
      <c r="K13" s="43"/>
      <c r="L13" s="43"/>
      <c r="M13" s="213"/>
      <c r="N13" s="43"/>
      <c r="O13" s="43"/>
      <c r="P13" s="43"/>
      <c r="Q13" s="218"/>
      <c r="R13" s="43"/>
      <c r="S13" s="213"/>
      <c r="T13" s="43"/>
      <c r="U13" s="43"/>
      <c r="V13" s="43"/>
      <c r="W13" s="218"/>
      <c r="X13" s="43"/>
      <c r="Y13" s="213"/>
      <c r="Z13" s="43"/>
      <c r="AA13" s="2">
        <f t="shared" si="1"/>
        <v>61.2</v>
      </c>
      <c r="AB13" s="2"/>
      <c r="AC13" s="2"/>
      <c r="AD13" s="7">
        <f>((AVERAGE(AA13,AC13)*('Summary Page'!$C$2+1))*('Summary Page'!$C$2+1))*('Summary Page'!$C$2+1)</f>
        <v>95.526835199999994</v>
      </c>
      <c r="AE13" s="7">
        <f>((AVERAGE(AA13,AC13)*('Summary Page'!$C$3+1))*('Summary Page'!$C$3+1))*('Summary Page'!$C$3+1)</f>
        <v>119.53125</v>
      </c>
      <c r="AF13" s="7">
        <f>((AVERAGE(AA13,AC13)*('Summary Page'!$C$4+1))*('Summary Page'!$C$4+1))*('Summary Page'!$C$4+1)</f>
        <v>105.75359999999999</v>
      </c>
      <c r="AG13" s="7">
        <v>80</v>
      </c>
      <c r="AJ13" s="43"/>
      <c r="AK13" s="7">
        <f>((AVERAGE(B8:B13)*('Summary Page'!$C$2+1))*('Summary Page'!$C$2+1))*('Summary Page'!$C$2+1)</f>
        <v>153.22795733333331</v>
      </c>
      <c r="AL13" s="7">
        <f>((AVERAGE(B8:B13)*('Summary Page'!$C$3+1))*('Summary Page'!$C$3+1))*('Summary Page'!$C$3+1)</f>
        <v>191.73177083333337</v>
      </c>
      <c r="AM13" s="8">
        <f>((AVERAGE(B8:B13)*('Summary Page'!$C$4+1))*('Summary Page'!$C$4+1))*('Summary Page'!$C$4+1)</f>
        <v>169.63199999999998</v>
      </c>
      <c r="AP13" s="43"/>
      <c r="AQ13" s="7">
        <f>((AVERAGE(C8:C13)*('Summary Page'!$C$2+1))*('Summary Page'!$C$2+1))*('Summary Page'!$C$2+1)</f>
        <v>103.27928533333331</v>
      </c>
      <c r="AR13" s="7">
        <f>((AVERAGE(C8:C13)*('Summary Page'!$C$3+1))*('Summary Page'!$C$3+1))*('Summary Page'!$C$3+1)</f>
        <v>129.23177083333337</v>
      </c>
      <c r="AS13" s="7">
        <f>((AVERAGE(C8:C13)*('Summary Page'!$C$4+1))*('Summary Page'!$C$4+1))*('Summary Page'!$C$4+1)</f>
        <v>114.336</v>
      </c>
      <c r="AV13" s="43"/>
      <c r="AW13" s="7">
        <f>((AVERAGE(D8:D13)*('Summary Page'!$C$2+1))*('Summary Page'!$C$2+1))*('Summary Page'!$C$2+1)</f>
        <v>109.00257066666664</v>
      </c>
      <c r="AX13" s="7">
        <f>((AVERAGE(D8:D13)*('Summary Page'!$C$3+1))*('Summary Page'!$C$3+1))*('Summary Page'!$C$3+1)</f>
        <v>136.39322916666663</v>
      </c>
      <c r="AY13" s="8">
        <f>((AVERAGE(D8:D13)*('Summary Page'!$C$4+1))*('Summary Page'!$C$4+1))*('Summary Page'!$C$4+1)</f>
        <v>120.67199999999998</v>
      </c>
      <c r="BB13" s="43"/>
      <c r="BC13" s="30">
        <f>((AVERAGE(E8:E13)*('Summary Page'!$C$2+1))*('Summary Page'!$C$2+1))*('Summary Page'!$C$2+1)</f>
        <v>121.74988799999997</v>
      </c>
      <c r="BD13" s="30">
        <f>((AVERAGE(E8:E13)*('Summary Page'!$C$3+1))*('Summary Page'!$C$3+1))*('Summary Page'!$C$3+1)</f>
        <v>152.34375</v>
      </c>
      <c r="BE13" s="32">
        <f>((AVERAGE(E8:E13)*('Summary Page'!$C$4+1))*('Summary Page'!$C$4+1))*('Summary Page'!$C$4+1)</f>
        <v>134.78399999999999</v>
      </c>
      <c r="BH13" s="43"/>
      <c r="BI13" s="7" t="e">
        <f>((AVERAGE(N8:N13)*('Summary Page'!$C$2+1))*('Summary Page'!$C$2+1))*('Summary Page'!$C$2+1)</f>
        <v>#DIV/0!</v>
      </c>
      <c r="BJ13" s="7" t="e">
        <f>((AVERAGE(N8:N13)*('Summary Page'!$C$3+1))*('Summary Page'!$C$3+1))*('Summary Page'!$C$3+1)</f>
        <v>#DIV/0!</v>
      </c>
      <c r="BK13" s="7" t="e">
        <f>((AVERAGE(N8:N13)*('Summary Page'!$C$4+1))*('Summary Page'!$C$4+1))*('Summary Page'!$C$4+1)</f>
        <v>#DIV/0!</v>
      </c>
      <c r="BL13" s="9"/>
    </row>
    <row r="14" spans="1:162" ht="15.75" x14ac:dyDescent="0.25">
      <c r="A14" s="20">
        <v>43493</v>
      </c>
      <c r="B14" s="218">
        <v>100</v>
      </c>
      <c r="C14" s="43">
        <v>76</v>
      </c>
      <c r="D14" s="67">
        <v>74</v>
      </c>
      <c r="E14" s="1367">
        <v>78</v>
      </c>
      <c r="F14" s="218"/>
      <c r="G14" s="43"/>
      <c r="H14" s="43"/>
      <c r="I14" s="213"/>
      <c r="J14" s="218"/>
      <c r="K14" s="43"/>
      <c r="L14" s="43"/>
      <c r="M14" s="213"/>
      <c r="N14" s="43"/>
      <c r="O14" s="43"/>
      <c r="P14" s="43"/>
      <c r="Q14" s="218"/>
      <c r="R14" s="43"/>
      <c r="S14" s="213"/>
      <c r="T14" s="43"/>
      <c r="U14" s="43"/>
      <c r="V14" s="43"/>
      <c r="W14" s="218"/>
      <c r="X14" s="43"/>
      <c r="Y14" s="213"/>
      <c r="Z14" s="43"/>
      <c r="AA14" s="2">
        <f t="shared" si="1"/>
        <v>65.599999999999994</v>
      </c>
      <c r="AB14" s="2"/>
      <c r="AC14" s="2"/>
      <c r="AD14" s="7">
        <f>((AVERAGE(AA14,AC14)*('Summary Page'!$C$2+1))*('Summary Page'!$C$2+1))*('Summary Page'!$C$2+1)</f>
        <v>102.39477759999998</v>
      </c>
      <c r="AE14" s="7">
        <f>((AVERAGE(AA14,AC14)*('Summary Page'!$C$3+1))*('Summary Page'!$C$3+1))*('Summary Page'!$C$3+1)</f>
        <v>128.125</v>
      </c>
      <c r="AF14" s="7">
        <f>((AVERAGE(AA14,AC14)*('Summary Page'!$C$4+1))*('Summary Page'!$C$4+1))*('Summary Page'!$C$4+1)</f>
        <v>113.35679999999998</v>
      </c>
      <c r="AG14" s="7">
        <v>80</v>
      </c>
      <c r="AJ14" s="43"/>
      <c r="AK14" s="7">
        <f>((AVERAGE(B9:B14)*('Summary Page'!$C$2+1))*('Summary Page'!$C$2+1))*('Summary Page'!$C$2+1)</f>
        <v>154.52870399999998</v>
      </c>
      <c r="AL14" s="7">
        <f>((AVERAGE(B9:B14)*('Summary Page'!$C$3+1))*('Summary Page'!$C$3+1))*('Summary Page'!$C$3+1)</f>
        <v>193.359375</v>
      </c>
      <c r="AM14" s="8">
        <f>((AVERAGE(B9:B14)*('Summary Page'!$C$4+1))*('Summary Page'!$C$4+1))*('Summary Page'!$C$4+1)</f>
        <v>171.072</v>
      </c>
      <c r="AP14" s="43"/>
      <c r="AQ14" s="7">
        <f>((AVERAGE(C9:C14)*('Summary Page'!$C$2+1))*('Summary Page'!$C$2+1))*('Summary Page'!$C$2+1)</f>
        <v>104.05973333333331</v>
      </c>
      <c r="AR14" s="7">
        <f>((AVERAGE(C9:C14)*('Summary Page'!$C$3+1))*('Summary Page'!$C$3+1))*('Summary Page'!$C$3+1)</f>
        <v>130.20833333333337</v>
      </c>
      <c r="AS14" s="7">
        <f>((AVERAGE(C9:C14)*('Summary Page'!$C$4+1))*('Summary Page'!$C$4+1))*('Summary Page'!$C$4+1)</f>
        <v>115.19999999999999</v>
      </c>
      <c r="AV14" s="43"/>
      <c r="AW14" s="7">
        <f>((AVERAGE(D9:D14)*('Summary Page'!$C$2+1))*('Summary Page'!$C$2+1))*('Summary Page'!$C$2+1)</f>
        <v>109.52286933333332</v>
      </c>
      <c r="AX14" s="7">
        <f>((AVERAGE(D9:D14)*('Summary Page'!$C$3+1))*('Summary Page'!$C$3+1))*('Summary Page'!$C$3+1)</f>
        <v>137.04427083333337</v>
      </c>
      <c r="AY14" s="8">
        <f>((AVERAGE(D9:D14)*('Summary Page'!$C$4+1))*('Summary Page'!$C$4+1))*('Summary Page'!$C$4+1)</f>
        <v>121.248</v>
      </c>
      <c r="BB14" s="43"/>
      <c r="BC14" s="30">
        <f>((AVERAGE(E9:E14)*('Summary Page'!$C$2+1))*('Summary Page'!$C$2+1))*('Summary Page'!$C$2+1)</f>
        <v>118.36794666666664</v>
      </c>
      <c r="BD14" s="30">
        <f>((AVERAGE(E9:E14)*('Summary Page'!$C$3+1))*('Summary Page'!$C$3+1))*('Summary Page'!$C$3+1)</f>
        <v>148.11197916666663</v>
      </c>
      <c r="BE14" s="32">
        <f>((AVERAGE(E9:E14)*('Summary Page'!$C$4+1))*('Summary Page'!$C$4+1))*('Summary Page'!$C$4+1)</f>
        <v>131.03999999999996</v>
      </c>
      <c r="BH14" s="43"/>
      <c r="BI14" s="7" t="e">
        <f>((AVERAGE(N9:N14)*('Summary Page'!$C$2+1))*('Summary Page'!$C$2+1))*('Summary Page'!$C$2+1)</f>
        <v>#DIV/0!</v>
      </c>
      <c r="BJ14" s="7" t="e">
        <f>((AVERAGE(N9:N14)*('Summary Page'!$C$3+1))*('Summary Page'!$C$3+1))*('Summary Page'!$C$3+1)</f>
        <v>#DIV/0!</v>
      </c>
      <c r="BK14" s="7" t="e">
        <f>((AVERAGE(N9:N14)*('Summary Page'!$C$4+1))*('Summary Page'!$C$4+1))*('Summary Page'!$C$4+1)</f>
        <v>#DIV/0!</v>
      </c>
      <c r="BL14" s="9"/>
    </row>
    <row r="15" spans="1:162" ht="15.75" x14ac:dyDescent="0.25">
      <c r="A15" s="20">
        <v>43510</v>
      </c>
      <c r="B15" s="218">
        <v>87.5</v>
      </c>
      <c r="C15" s="43">
        <v>72</v>
      </c>
      <c r="D15" s="67">
        <v>69</v>
      </c>
      <c r="E15" s="1367">
        <v>77</v>
      </c>
      <c r="F15" s="218"/>
      <c r="G15" s="43"/>
      <c r="H15" s="43"/>
      <c r="I15" s="213"/>
      <c r="J15" s="218"/>
      <c r="K15" s="43"/>
      <c r="L15" s="43"/>
      <c r="M15" s="213"/>
      <c r="N15" s="43"/>
      <c r="O15" s="43"/>
      <c r="P15" s="43"/>
      <c r="Q15" s="218"/>
      <c r="R15" s="43"/>
      <c r="S15" s="213"/>
      <c r="T15" s="43"/>
      <c r="U15" s="43"/>
      <c r="V15" s="43"/>
      <c r="W15" s="218"/>
      <c r="X15" s="43"/>
      <c r="Y15" s="213"/>
      <c r="Z15" s="43"/>
      <c r="AA15" s="2">
        <f t="shared" si="1"/>
        <v>61.1</v>
      </c>
      <c r="AB15" s="2"/>
      <c r="AC15" s="2"/>
      <c r="AD15" s="7">
        <f>((AVERAGE(AA15,AC15)*('Summary Page'!$C$2+1))*('Summary Page'!$C$2+1))*('Summary Page'!$C$2+1)</f>
        <v>95.370745599999978</v>
      </c>
      <c r="AE15" s="7">
        <f>((AVERAGE(AA15,AC15)*('Summary Page'!$C$3+1))*('Summary Page'!$C$3+1))*('Summary Page'!$C$3+1)</f>
        <v>119.3359375</v>
      </c>
      <c r="AF15" s="7">
        <f>((AVERAGE(AA15,AC15)*('Summary Page'!$C$4+1))*('Summary Page'!$C$4+1))*('Summary Page'!$C$4+1)</f>
        <v>105.5808</v>
      </c>
      <c r="AG15" s="7">
        <v>80</v>
      </c>
      <c r="AJ15" s="43"/>
      <c r="AK15" s="7">
        <f>((AVERAGE(B10:B15)*('Summary Page'!$C$2+1))*('Summary Page'!$C$2+1))*('Summary Page'!$C$2+1)</f>
        <v>152.83773333333332</v>
      </c>
      <c r="AL15" s="7">
        <f>((AVERAGE(B10:B15)*('Summary Page'!$C$3+1))*('Summary Page'!$C$3+1))*('Summary Page'!$C$3+1)</f>
        <v>191.24348958333337</v>
      </c>
      <c r="AM15" s="8">
        <f>((AVERAGE(B10:B15)*('Summary Page'!$C$4+1))*('Summary Page'!$C$4+1))*('Summary Page'!$C$4+1)</f>
        <v>169.2</v>
      </c>
      <c r="AP15" s="43"/>
      <c r="AQ15" s="7">
        <f>((AVERAGE(C10:C15)*('Summary Page'!$C$2+1))*('Summary Page'!$C$2+1))*('Summary Page'!$C$2+1)</f>
        <v>105.62062933333333</v>
      </c>
      <c r="AR15" s="7">
        <f>((AVERAGE(C10:C15)*('Summary Page'!$C$3+1))*('Summary Page'!$C$3+1))*('Summary Page'!$C$3+1)</f>
        <v>132.16145833333337</v>
      </c>
      <c r="AS15" s="7">
        <f>((AVERAGE(C10:C15)*('Summary Page'!$C$4+1))*('Summary Page'!$C$4+1))*('Summary Page'!$C$4+1)</f>
        <v>116.928</v>
      </c>
      <c r="AV15" s="43"/>
      <c r="AW15" s="7">
        <f>((AVERAGE(D10:D15)*('Summary Page'!$C$2+1))*('Summary Page'!$C$2+1))*('Summary Page'!$C$2+1)</f>
        <v>107.44167466666663</v>
      </c>
      <c r="AX15" s="7">
        <f>((AVERAGE(D10:D15)*('Summary Page'!$C$3+1))*('Summary Page'!$C$3+1))*('Summary Page'!$C$3+1)</f>
        <v>134.44010416666663</v>
      </c>
      <c r="AY15" s="8">
        <f>((AVERAGE(D10:D15)*('Summary Page'!$C$4+1))*('Summary Page'!$C$4+1))*('Summary Page'!$C$4+1)</f>
        <v>118.94399999999999</v>
      </c>
      <c r="BB15" s="43"/>
      <c r="BC15" s="30">
        <f>((AVERAGE(E10:E15)*('Summary Page'!$C$2+1))*('Summary Page'!$C$2+1))*('Summary Page'!$C$2+1)</f>
        <v>117.06719999999997</v>
      </c>
      <c r="BD15" s="30">
        <f>((AVERAGE(E10:E15)*('Summary Page'!$C$3+1))*('Summary Page'!$C$3+1))*('Summary Page'!$C$3+1)</f>
        <v>146.484375</v>
      </c>
      <c r="BE15" s="32">
        <f>((AVERAGE(E10:E15)*('Summary Page'!$C$4+1))*('Summary Page'!$C$4+1))*('Summary Page'!$C$4+1)</f>
        <v>129.6</v>
      </c>
      <c r="BH15" s="43"/>
      <c r="BI15" s="7" t="e">
        <f>((AVERAGE(N10:N15)*('Summary Page'!$C$2+1))*('Summary Page'!$C$2+1))*('Summary Page'!$C$2+1)</f>
        <v>#DIV/0!</v>
      </c>
      <c r="BJ15" s="7" t="e">
        <f>((AVERAGE(N10:N15)*('Summary Page'!$C$3+1))*('Summary Page'!$C$3+1))*('Summary Page'!$C$3+1)</f>
        <v>#DIV/0!</v>
      </c>
      <c r="BK15" s="7" t="e">
        <f>((AVERAGE(N10:N15)*('Summary Page'!$C$4+1))*('Summary Page'!$C$4+1))*('Summary Page'!$C$4+1)</f>
        <v>#DIV/0!</v>
      </c>
      <c r="BL15" s="9"/>
    </row>
    <row r="16" spans="1:162" s="31" customFormat="1" ht="15.75" x14ac:dyDescent="0.25">
      <c r="A16" s="20">
        <v>43525</v>
      </c>
      <c r="B16" s="221">
        <v>80</v>
      </c>
      <c r="C16" s="191">
        <v>69</v>
      </c>
      <c r="D16" s="190">
        <v>70</v>
      </c>
      <c r="E16" s="528">
        <v>66</v>
      </c>
      <c r="F16" s="221"/>
      <c r="G16" s="191"/>
      <c r="H16" s="191"/>
      <c r="I16" s="226"/>
      <c r="J16" s="221"/>
      <c r="K16" s="191"/>
      <c r="L16" s="191"/>
      <c r="M16" s="226"/>
      <c r="N16" s="191"/>
      <c r="O16" s="191"/>
      <c r="P16" s="191"/>
      <c r="Q16" s="221"/>
      <c r="R16" s="191"/>
      <c r="S16" s="226"/>
      <c r="T16" s="191"/>
      <c r="U16" s="191"/>
      <c r="V16" s="191"/>
      <c r="W16" s="221"/>
      <c r="X16" s="191"/>
      <c r="Y16" s="226"/>
      <c r="Z16" s="191"/>
      <c r="AA16" s="33">
        <f t="shared" si="1"/>
        <v>57</v>
      </c>
      <c r="AB16" s="33"/>
      <c r="AC16" s="33"/>
      <c r="AD16" s="30">
        <f>((AVERAGE(AA5:AA16)*('Summary Page'!$C$2+1))*('Summary Page'!$C$2+1))*('Summary Page'!$C$2+1)</f>
        <v>98.97381386666666</v>
      </c>
      <c r="AE16" s="30">
        <f>((AVERAGE(AA5:AA16)*('Summary Page'!$C$3+1))*('Summary Page'!$C$3+1))*('Summary Page'!$C$3+1)</f>
        <v>123.84440104166669</v>
      </c>
      <c r="AF16" s="30">
        <f>((AVERAGE(AA5:AA16)*('Summary Page'!$C$4+1))*('Summary Page'!$C$4+1))*('Summary Page'!$C$4+1)</f>
        <v>109.56960000000001</v>
      </c>
      <c r="AG16" s="30">
        <v>80</v>
      </c>
      <c r="AJ16" s="191"/>
      <c r="AK16" s="7">
        <f>((AVERAGE(B11:B16)*('Summary Page'!$C$2+1))*('Summary Page'!$C$2+1))*('Summary Page'!$C$2+1)</f>
        <v>148.41519466666662</v>
      </c>
      <c r="AL16" s="7">
        <f>((AVERAGE(B11:B16)*('Summary Page'!$C$3+1))*('Summary Page'!$C$3+1))*('Summary Page'!$C$3+1)</f>
        <v>185.70963541666663</v>
      </c>
      <c r="AM16" s="8">
        <f>((AVERAGE(B11:B16)*('Summary Page'!$C$4+1))*('Summary Page'!$C$4+1))*('Summary Page'!$C$4+1)</f>
        <v>164.30399999999997</v>
      </c>
      <c r="AP16" s="191"/>
      <c r="AQ16" s="7">
        <f>((AVERAGE(C11:C16)*('Summary Page'!$C$2+1))*('Summary Page'!$C$2+1))*('Summary Page'!$C$2+1)</f>
        <v>106.66122666666664</v>
      </c>
      <c r="AR16" s="7">
        <f>((AVERAGE(C11:C16)*('Summary Page'!$C$3+1))*('Summary Page'!$C$3+1))*('Summary Page'!$C$3+1)</f>
        <v>133.46354166666663</v>
      </c>
      <c r="AS16" s="7">
        <f>((AVERAGE(C11:C16)*('Summary Page'!$C$4+1))*('Summary Page'!$C$4+1))*('Summary Page'!$C$4+1)</f>
        <v>118.07999999999997</v>
      </c>
      <c r="AV16" s="191"/>
      <c r="AW16" s="7">
        <f>((AVERAGE(D11:D16)*('Summary Page'!$C$2+1))*('Summary Page'!$C$2+1))*('Summary Page'!$C$2+1)</f>
        <v>107.44167466666663</v>
      </c>
      <c r="AX16" s="7">
        <f>((AVERAGE(D11:D16)*('Summary Page'!$C$3+1))*('Summary Page'!$C$3+1))*('Summary Page'!$C$3+1)</f>
        <v>134.44010416666663</v>
      </c>
      <c r="AY16" s="8">
        <f>((AVERAGE(D11:D16)*('Summary Page'!$C$4+1))*('Summary Page'!$C$4+1))*('Summary Page'!$C$4+1)</f>
        <v>118.94399999999999</v>
      </c>
      <c r="BB16" s="191"/>
      <c r="BC16" s="30">
        <f>((AVERAGE(E11:E16)*('Summary Page'!$C$2+1))*('Summary Page'!$C$2+1))*('Summary Page'!$C$2+1)</f>
        <v>113.16495999999998</v>
      </c>
      <c r="BD16" s="30">
        <f>((AVERAGE(E11:E16)*('Summary Page'!$C$3+1))*('Summary Page'!$C$3+1))*('Summary Page'!$C$3+1)</f>
        <v>141.6015625</v>
      </c>
      <c r="BE16" s="32">
        <f>((AVERAGE(E11:E16)*('Summary Page'!$C$4+1))*('Summary Page'!$C$4+1))*('Summary Page'!$C$4+1)</f>
        <v>125.27999999999999</v>
      </c>
      <c r="BH16" s="191"/>
      <c r="BI16" s="7" t="e">
        <f>((AVERAGE(N11:N16)*('Summary Page'!$C$2+1))*('Summary Page'!$C$2+1))*('Summary Page'!$C$2+1)</f>
        <v>#DIV/0!</v>
      </c>
      <c r="BJ16" s="7" t="e">
        <f>((AVERAGE(N11:N16)*('Summary Page'!$C$3+1))*('Summary Page'!$C$3+1))*('Summary Page'!$C$3+1)</f>
        <v>#DIV/0!</v>
      </c>
      <c r="BK16" s="7" t="e">
        <f>((AVERAGE(N11:N16)*('Summary Page'!$C$4+1))*('Summary Page'!$C$4+1))*('Summary Page'!$C$4+1)</f>
        <v>#DIV/0!</v>
      </c>
      <c r="BL16"/>
      <c r="BM16"/>
      <c r="BN16"/>
      <c r="BO16"/>
      <c r="BP16"/>
      <c r="BQ16"/>
    </row>
    <row r="17" spans="1:75" ht="15.75" x14ac:dyDescent="0.25">
      <c r="A17" s="20">
        <v>43538</v>
      </c>
      <c r="B17" s="218">
        <v>78</v>
      </c>
      <c r="C17" s="43">
        <v>72</v>
      </c>
      <c r="D17" s="67">
        <v>72</v>
      </c>
      <c r="E17" s="1367">
        <v>69</v>
      </c>
      <c r="F17" s="218"/>
      <c r="G17" s="43"/>
      <c r="H17" s="43"/>
      <c r="I17" s="213"/>
      <c r="J17" s="218"/>
      <c r="K17" s="43"/>
      <c r="L17" s="43"/>
      <c r="M17" s="213"/>
      <c r="N17" s="43"/>
      <c r="O17" s="43"/>
      <c r="P17" s="43"/>
      <c r="Q17" s="218"/>
      <c r="R17" s="43"/>
      <c r="S17" s="213"/>
      <c r="T17" s="43"/>
      <c r="U17" s="43"/>
      <c r="V17" s="43"/>
      <c r="W17" s="218"/>
      <c r="X17" s="43"/>
      <c r="Y17" s="213"/>
      <c r="Z17" s="43"/>
      <c r="AA17" s="2">
        <f t="shared" si="1"/>
        <v>58.2</v>
      </c>
      <c r="AB17" s="2"/>
      <c r="AC17" s="2"/>
      <c r="AD17" s="30">
        <f>((AVERAGE(AA6:AA17)*('Summary Page'!$C$2+1))*('Summary Page'!$C$2+1))*('Summary Page'!$C$2+1)</f>
        <v>97.69908213333332</v>
      </c>
      <c r="AE17" s="30">
        <f>((AVERAGE(AA6:AA17)*('Summary Page'!$C$3+1))*('Summary Page'!$C$3+1))*('Summary Page'!$C$3+1)</f>
        <v>122.24934895833336</v>
      </c>
      <c r="AF17" s="30">
        <f>((AVERAGE(AA6:AA17)*('Summary Page'!$C$4+1))*('Summary Page'!$C$4+1))*('Summary Page'!$C$4+1)</f>
        <v>108.15839999999999</v>
      </c>
      <c r="AG17" s="7">
        <v>80</v>
      </c>
      <c r="AJ17" s="43"/>
      <c r="AK17" s="7">
        <f>((AVERAGE(B12:B17)*('Summary Page'!$C$2+1))*('Summary Page'!$C$2+1))*('Summary Page'!$C$2+1)</f>
        <v>142.69190933333331</v>
      </c>
      <c r="AL17" s="7">
        <f>((AVERAGE(B12:B17)*('Summary Page'!$C$3+1))*('Summary Page'!$C$3+1))*('Summary Page'!$C$3+1)</f>
        <v>178.54817708333337</v>
      </c>
      <c r="AM17" s="8">
        <f>((AVERAGE(B12:B17)*('Summary Page'!$C$4+1))*('Summary Page'!$C$4+1))*('Summary Page'!$C$4+1)</f>
        <v>157.96799999999999</v>
      </c>
      <c r="AP17" s="43"/>
      <c r="AQ17" s="7">
        <f>((AVERAGE(C12:C17)*('Summary Page'!$C$2+1))*('Summary Page'!$C$2+1))*('Summary Page'!$C$2+1)</f>
        <v>109.00257066666664</v>
      </c>
      <c r="AR17" s="7">
        <f>((AVERAGE(C12:C17)*('Summary Page'!$C$3+1))*('Summary Page'!$C$3+1))*('Summary Page'!$C$3+1)</f>
        <v>136.39322916666663</v>
      </c>
      <c r="AS17" s="7">
        <f>((AVERAGE(C12:C17)*('Summary Page'!$C$4+1))*('Summary Page'!$C$4+1))*('Summary Page'!$C$4+1)</f>
        <v>120.67199999999998</v>
      </c>
      <c r="AV17" s="43"/>
      <c r="AW17" s="7">
        <f>((AVERAGE(D12:D17)*('Summary Page'!$C$2+1))*('Summary Page'!$C$2+1))*('Summary Page'!$C$2+1)</f>
        <v>108.74242133333333</v>
      </c>
      <c r="AX17" s="7">
        <f>((AVERAGE(D12:D17)*('Summary Page'!$C$3+1))*('Summary Page'!$C$3+1))*('Summary Page'!$C$3+1)</f>
        <v>136.06770833333337</v>
      </c>
      <c r="AY17" s="8">
        <f>((AVERAGE(D12:D17)*('Summary Page'!$C$4+1))*('Summary Page'!$C$4+1))*('Summary Page'!$C$4+1)</f>
        <v>120.384</v>
      </c>
      <c r="BB17" s="43"/>
      <c r="BC17" s="30">
        <f>((AVERAGE(E12:E17)*('Summary Page'!$C$2+1))*('Summary Page'!$C$2+1))*('Summary Page'!$C$2+1)</f>
        <v>112.38451199999997</v>
      </c>
      <c r="BD17" s="30">
        <f>((AVERAGE(E12:E17)*('Summary Page'!$C$3+1))*('Summary Page'!$C$3+1))*('Summary Page'!$C$3+1)</f>
        <v>140.625</v>
      </c>
      <c r="BE17" s="32">
        <f>((AVERAGE(E12:E17)*('Summary Page'!$C$4+1))*('Summary Page'!$C$4+1))*('Summary Page'!$C$4+1)</f>
        <v>124.41599999999998</v>
      </c>
      <c r="BH17" s="43"/>
      <c r="BI17" s="7" t="e">
        <f>((AVERAGE(N12:N17)*('Summary Page'!$C$2+1))*('Summary Page'!$C$2+1))*('Summary Page'!$C$2+1)</f>
        <v>#DIV/0!</v>
      </c>
      <c r="BJ17" s="7" t="e">
        <f>((AVERAGE(N12:N17)*('Summary Page'!$C$3+1))*('Summary Page'!$C$3+1))*('Summary Page'!$C$3+1)</f>
        <v>#DIV/0!</v>
      </c>
      <c r="BK17" s="7" t="e">
        <f>((AVERAGE(N12:N17)*('Summary Page'!$C$4+1))*('Summary Page'!$C$4+1))*('Summary Page'!$C$4+1)</f>
        <v>#DIV/0!</v>
      </c>
    </row>
    <row r="18" spans="1:75" ht="15.75" x14ac:dyDescent="0.25">
      <c r="A18" s="20">
        <v>43556</v>
      </c>
      <c r="B18" s="218">
        <v>78</v>
      </c>
      <c r="C18" s="43">
        <v>74</v>
      </c>
      <c r="D18" s="67">
        <v>73</v>
      </c>
      <c r="E18" s="1367">
        <v>73</v>
      </c>
      <c r="F18" s="218"/>
      <c r="G18" s="43"/>
      <c r="H18" s="43"/>
      <c r="I18" s="213"/>
      <c r="J18" s="218"/>
      <c r="K18" s="43"/>
      <c r="L18" s="43"/>
      <c r="M18" s="213"/>
      <c r="N18" s="43"/>
      <c r="O18" s="43"/>
      <c r="P18" s="43"/>
      <c r="Q18" s="218"/>
      <c r="R18" s="43"/>
      <c r="S18" s="213"/>
      <c r="T18" s="43"/>
      <c r="U18" s="43"/>
      <c r="V18" s="43"/>
      <c r="W18" s="218"/>
      <c r="X18" s="43"/>
      <c r="Y18" s="213"/>
      <c r="Z18" s="43"/>
      <c r="AA18" s="2">
        <f t="shared" si="1"/>
        <v>59.6</v>
      </c>
      <c r="AB18" s="2"/>
      <c r="AC18" s="2"/>
      <c r="AD18" s="30">
        <f>((AVERAGE(AA7:AA18)*('Summary Page'!$C$2+1))*('Summary Page'!$C$2+1))*('Summary Page'!$C$2+1)</f>
        <v>96.918634133333299</v>
      </c>
      <c r="AE18" s="30">
        <f>((AVERAGE(AA7:AA18)*('Summary Page'!$C$3+1))*('Summary Page'!$C$3+1))*('Summary Page'!$C$3+1)</f>
        <v>121.27278645833336</v>
      </c>
      <c r="AF18" s="30">
        <f>((AVERAGE(AA7:AA18)*('Summary Page'!$C$4+1))*('Summary Page'!$C$4+1))*('Summary Page'!$C$4+1)</f>
        <v>107.29440000000001</v>
      </c>
      <c r="AG18" s="7">
        <v>80</v>
      </c>
      <c r="AJ18" s="43"/>
      <c r="AK18" s="7">
        <f>((AVERAGE(B13:B18)*('Summary Page'!$C$2+1))*('Summary Page'!$C$2+1))*('Summary Page'!$C$2+1)</f>
        <v>136.96862399999998</v>
      </c>
      <c r="AL18" s="7">
        <f>((AVERAGE(B13:B18)*('Summary Page'!$C$3+1))*('Summary Page'!$C$3+1))*('Summary Page'!$C$3+1)</f>
        <v>171.38671875</v>
      </c>
      <c r="AM18" s="8">
        <f>((AVERAGE(B13:B18)*('Summary Page'!$C$4+1))*('Summary Page'!$C$4+1))*('Summary Page'!$C$4+1)</f>
        <v>151.63199999999998</v>
      </c>
      <c r="AP18" s="43"/>
      <c r="AQ18" s="7">
        <f>((AVERAGE(C13:C18)*('Summary Page'!$C$2+1))*('Summary Page'!$C$2+1))*('Summary Page'!$C$2+1)</f>
        <v>111.86421333333332</v>
      </c>
      <c r="AR18" s="7">
        <f>((AVERAGE(C13:C18)*('Summary Page'!$C$3+1))*('Summary Page'!$C$3+1))*('Summary Page'!$C$3+1)</f>
        <v>139.97395833333337</v>
      </c>
      <c r="AS18" s="7">
        <f>((AVERAGE(C13:C18)*('Summary Page'!$C$4+1))*('Summary Page'!$C$4+1))*('Summary Page'!$C$4+1)</f>
        <v>123.84</v>
      </c>
      <c r="AV18" s="43"/>
      <c r="AW18" s="7">
        <f>((AVERAGE(D13:D18)*('Summary Page'!$C$2+1))*('Summary Page'!$C$2+1))*('Summary Page'!$C$2+1)</f>
        <v>110.30331733333331</v>
      </c>
      <c r="AX18" s="7">
        <f>((AVERAGE(D13:D18)*('Summary Page'!$C$3+1))*('Summary Page'!$C$3+1))*('Summary Page'!$C$3+1)</f>
        <v>138.02083333333337</v>
      </c>
      <c r="AY18" s="8">
        <f>((AVERAGE(D13:D18)*('Summary Page'!$C$4+1))*('Summary Page'!$C$4+1))*('Summary Page'!$C$4+1)</f>
        <v>122.11199999999998</v>
      </c>
      <c r="BB18" s="43"/>
      <c r="BC18" s="30">
        <f>((AVERAGE(E13:E18)*('Summary Page'!$C$2+1))*('Summary Page'!$C$2+1))*('Summary Page'!$C$2+1)</f>
        <v>112.64466133333333</v>
      </c>
      <c r="BD18" s="30">
        <f>((AVERAGE(E13:E18)*('Summary Page'!$C$3+1))*('Summary Page'!$C$3+1))*('Summary Page'!$C$3+1)</f>
        <v>140.95052083333337</v>
      </c>
      <c r="BE18" s="32">
        <f>((AVERAGE(E13:E18)*('Summary Page'!$C$4+1))*('Summary Page'!$C$4+1))*('Summary Page'!$C$4+1)</f>
        <v>124.70399999999999</v>
      </c>
      <c r="BH18" s="43"/>
      <c r="BI18" s="7" t="e">
        <f>((AVERAGE(N13:N18)*('Summary Page'!$C$2+1))*('Summary Page'!$C$2+1))*('Summary Page'!$C$2+1)</f>
        <v>#DIV/0!</v>
      </c>
      <c r="BJ18" s="7" t="e">
        <f>((AVERAGE(N13:N18)*('Summary Page'!$C$3+1))*('Summary Page'!$C$3+1))*('Summary Page'!$C$3+1)</f>
        <v>#DIV/0!</v>
      </c>
      <c r="BK18" s="7" t="e">
        <f>((AVERAGE(N13:N18)*('Summary Page'!$C$4+1))*('Summary Page'!$C$4+1))*('Summary Page'!$C$4+1)</f>
        <v>#DIV/0!</v>
      </c>
    </row>
    <row r="19" spans="1:75" ht="15.75" x14ac:dyDescent="0.25">
      <c r="A19" s="20">
        <v>43570</v>
      </c>
      <c r="B19" s="218">
        <v>83</v>
      </c>
      <c r="C19" s="43">
        <v>73</v>
      </c>
      <c r="D19" s="67">
        <v>73</v>
      </c>
      <c r="E19" s="1367">
        <v>84</v>
      </c>
      <c r="F19" s="218"/>
      <c r="G19" s="43"/>
      <c r="H19" s="43"/>
      <c r="I19" s="213"/>
      <c r="J19" s="218"/>
      <c r="K19" s="43"/>
      <c r="L19" s="43"/>
      <c r="M19" s="213"/>
      <c r="N19" s="43"/>
      <c r="O19" s="43"/>
      <c r="P19" s="43"/>
      <c r="Q19" s="218"/>
      <c r="R19" s="43"/>
      <c r="S19" s="213"/>
      <c r="T19" s="43"/>
      <c r="U19" s="43"/>
      <c r="V19" s="43"/>
      <c r="W19" s="218"/>
      <c r="X19" s="43"/>
      <c r="Y19" s="213"/>
      <c r="Z19" s="43"/>
      <c r="AA19" s="2">
        <f t="shared" si="1"/>
        <v>62.6</v>
      </c>
      <c r="AB19" s="2"/>
      <c r="AC19" s="2"/>
      <c r="AD19" s="30">
        <f>((AVERAGE(AA8:AA19)*('Summary Page'!$C$2+1))*('Summary Page'!$C$2+1))*('Summary Page'!$C$2+1)</f>
        <v>96.086156266666663</v>
      </c>
      <c r="AE19" s="30">
        <f>((AVERAGE(AA8:AA19)*('Summary Page'!$C$3+1))*('Summary Page'!$C$3+1))*('Summary Page'!$C$3+1)</f>
        <v>120.23111979166669</v>
      </c>
      <c r="AF19" s="30">
        <f>((AVERAGE(AA8:AA19)*('Summary Page'!$C$4+1))*('Summary Page'!$C$4+1))*('Summary Page'!$C$4+1)</f>
        <v>106.3728</v>
      </c>
      <c r="AG19" s="7">
        <v>80</v>
      </c>
      <c r="AJ19" s="43"/>
      <c r="AK19" s="7">
        <f>((AVERAGE(B14:B19)*('Summary Page'!$C$2+1))*('Summary Page'!$C$2+1))*('Summary Page'!$C$2+1)</f>
        <v>131.76563733333333</v>
      </c>
      <c r="AL19" s="7">
        <f>((AVERAGE(B14:B19)*('Summary Page'!$C$3+1))*('Summary Page'!$C$3+1))*('Summary Page'!$C$3+1)</f>
        <v>164.87630208333337</v>
      </c>
      <c r="AM19" s="8">
        <f>((AVERAGE(B14:B19)*('Summary Page'!$C$4+1))*('Summary Page'!$C$4+1))*('Summary Page'!$C$4+1)</f>
        <v>145.87199999999999</v>
      </c>
      <c r="AP19" s="43"/>
      <c r="AQ19" s="7">
        <f>((AVERAGE(C14:C19)*('Summary Page'!$C$2+1))*('Summary Page'!$C$2+1))*('Summary Page'!$C$2+1)</f>
        <v>113.42510933333332</v>
      </c>
      <c r="AR19" s="7">
        <f>((AVERAGE(C14:C19)*('Summary Page'!$C$3+1))*('Summary Page'!$C$3+1))*('Summary Page'!$C$3+1)</f>
        <v>141.92708333333337</v>
      </c>
      <c r="AS19" s="7">
        <f>((AVERAGE(C14:C19)*('Summary Page'!$C$4+1))*('Summary Page'!$C$4+1))*('Summary Page'!$C$4+1)</f>
        <v>125.568</v>
      </c>
      <c r="AV19" s="43"/>
      <c r="AW19" s="7">
        <f>((AVERAGE(D14:D19)*('Summary Page'!$C$2+1))*('Summary Page'!$C$2+1))*('Summary Page'!$C$2+1)</f>
        <v>112.12436266666663</v>
      </c>
      <c r="AX19" s="7">
        <f>((AVERAGE(D14:D19)*('Summary Page'!$C$3+1))*('Summary Page'!$C$3+1))*('Summary Page'!$C$3+1)</f>
        <v>140.29947916666663</v>
      </c>
      <c r="AY19" s="8">
        <f>((AVERAGE(D14:D19)*('Summary Page'!$C$4+1))*('Summary Page'!$C$4+1))*('Summary Page'!$C$4+1)</f>
        <v>124.12799999999997</v>
      </c>
      <c r="BB19" s="43"/>
      <c r="BC19" s="30">
        <f>((AVERAGE(E14:E19)*('Summary Page'!$C$2+1))*('Summary Page'!$C$2+1))*('Summary Page'!$C$2+1)</f>
        <v>116.28675199999996</v>
      </c>
      <c r="BD19" s="30">
        <f>((AVERAGE(E14:E19)*('Summary Page'!$C$3+1))*('Summary Page'!$C$3+1))*('Summary Page'!$C$3+1)</f>
        <v>145.5078125</v>
      </c>
      <c r="BE19" s="32">
        <f>((AVERAGE(E14:E19)*('Summary Page'!$C$4+1))*('Summary Page'!$C$4+1))*('Summary Page'!$C$4+1)</f>
        <v>128.73599999999999</v>
      </c>
      <c r="BH19" s="43"/>
      <c r="BI19" s="7" t="e">
        <f>((AVERAGE(N14:N19)*('Summary Page'!$C$2+1))*('Summary Page'!$C$2+1))*('Summary Page'!$C$2+1)</f>
        <v>#DIV/0!</v>
      </c>
      <c r="BJ19" s="7" t="e">
        <f>((AVERAGE(N14:N19)*('Summary Page'!$C$3+1))*('Summary Page'!$C$3+1))*('Summary Page'!$C$3+1)</f>
        <v>#DIV/0!</v>
      </c>
      <c r="BK19" s="7" t="e">
        <f>((AVERAGE(N14:N19)*('Summary Page'!$C$4+1))*('Summary Page'!$C$4+1))*('Summary Page'!$C$4+1)</f>
        <v>#DIV/0!</v>
      </c>
    </row>
    <row r="20" spans="1:75" ht="15.75" x14ac:dyDescent="0.25">
      <c r="A20" s="20">
        <v>43586</v>
      </c>
      <c r="B20" s="218">
        <v>83</v>
      </c>
      <c r="C20" s="43">
        <v>72</v>
      </c>
      <c r="D20" s="67">
        <v>76</v>
      </c>
      <c r="E20" s="1367">
        <v>80</v>
      </c>
      <c r="F20" s="218"/>
      <c r="G20" s="43"/>
      <c r="H20" s="43"/>
      <c r="I20" s="213"/>
      <c r="J20" s="218"/>
      <c r="K20" s="43"/>
      <c r="L20" s="43"/>
      <c r="M20" s="213"/>
      <c r="N20" s="43"/>
      <c r="O20" s="43"/>
      <c r="P20" s="43"/>
      <c r="Q20" s="218"/>
      <c r="R20" s="43"/>
      <c r="S20" s="213"/>
      <c r="T20" s="43"/>
      <c r="U20" s="43"/>
      <c r="V20" s="43"/>
      <c r="W20" s="218"/>
      <c r="X20" s="43"/>
      <c r="Y20" s="213"/>
      <c r="Z20" s="43"/>
      <c r="AA20" s="2">
        <f t="shared" si="1"/>
        <v>62.2</v>
      </c>
      <c r="AB20" s="2"/>
      <c r="AC20" s="2"/>
      <c r="AD20" s="30">
        <f>((AVERAGE(AA9:AA20)*('Summary Page'!$C$2+1))*('Summary Page'!$C$2+1))*('Summary Page'!$C$2+1)</f>
        <v>95.565857600000015</v>
      </c>
      <c r="AE20" s="30">
        <f>((AVERAGE(AA9:AA20)*('Summary Page'!$C$3+1))*('Summary Page'!$C$3+1))*('Summary Page'!$C$3+1)</f>
        <v>119.58007812500001</v>
      </c>
      <c r="AF20" s="30">
        <f>((AVERAGE(AA9:AA20)*('Summary Page'!$C$4+1))*('Summary Page'!$C$4+1))*('Summary Page'!$C$4+1)</f>
        <v>105.79680000000002</v>
      </c>
      <c r="AG20" s="7">
        <v>80</v>
      </c>
      <c r="AJ20" s="43"/>
      <c r="AK20" s="7">
        <f>((AVERAGE(B15:B20)*('Summary Page'!$C$2+1))*('Summary Page'!$C$2+1))*('Summary Page'!$C$2+1)</f>
        <v>127.34309866666663</v>
      </c>
      <c r="AL20" s="7">
        <f>((AVERAGE(B15:B20)*('Summary Page'!$C$3+1))*('Summary Page'!$C$3+1))*('Summary Page'!$C$3+1)</f>
        <v>159.34244791666663</v>
      </c>
      <c r="AM20" s="8">
        <f>((AVERAGE(B15:B20)*('Summary Page'!$C$4+1))*('Summary Page'!$C$4+1))*('Summary Page'!$C$4+1)</f>
        <v>140.97599999999997</v>
      </c>
      <c r="AP20" s="43"/>
      <c r="AQ20" s="7">
        <f>((AVERAGE(C15:C20)*('Summary Page'!$C$2+1))*('Summary Page'!$C$2+1))*('Summary Page'!$C$2+1)</f>
        <v>112.38451199999997</v>
      </c>
      <c r="AR20" s="7">
        <f>((AVERAGE(C15:C20)*('Summary Page'!$C$3+1))*('Summary Page'!$C$3+1))*('Summary Page'!$C$3+1)</f>
        <v>140.625</v>
      </c>
      <c r="AS20" s="7">
        <f>((AVERAGE(C15:C20)*('Summary Page'!$C$4+1))*('Summary Page'!$C$4+1))*('Summary Page'!$C$4+1)</f>
        <v>124.41599999999998</v>
      </c>
      <c r="AV20" s="43"/>
      <c r="AW20" s="7">
        <f>((AVERAGE(D15:D20)*('Summary Page'!$C$2+1))*('Summary Page'!$C$2+1))*('Summary Page'!$C$2+1)</f>
        <v>112.64466133333333</v>
      </c>
      <c r="AX20" s="7">
        <f>((AVERAGE(D15:D20)*('Summary Page'!$C$3+1))*('Summary Page'!$C$3+1))*('Summary Page'!$C$3+1)</f>
        <v>140.95052083333337</v>
      </c>
      <c r="AY20" s="8">
        <f>((AVERAGE(D15:D20)*('Summary Page'!$C$4+1))*('Summary Page'!$C$4+1))*('Summary Page'!$C$4+1)</f>
        <v>124.70399999999999</v>
      </c>
      <c r="BB20" s="43"/>
      <c r="BC20" s="30">
        <f>((AVERAGE(E15:E20)*('Summary Page'!$C$2+1))*('Summary Page'!$C$2+1))*('Summary Page'!$C$2+1)</f>
        <v>116.80705066666664</v>
      </c>
      <c r="BD20" s="30">
        <f>((AVERAGE(E15:E20)*('Summary Page'!$C$3+1))*('Summary Page'!$C$3+1))*('Summary Page'!$C$3+1)</f>
        <v>146.15885416666663</v>
      </c>
      <c r="BE20" s="32">
        <f>((AVERAGE(E15:E20)*('Summary Page'!$C$4+1))*('Summary Page'!$C$4+1))*('Summary Page'!$C$4+1)</f>
        <v>129.31199999999998</v>
      </c>
      <c r="BH20" s="43"/>
      <c r="BI20" s="7" t="e">
        <f>((AVERAGE(N15:N20)*('Summary Page'!$C$2+1))*('Summary Page'!$C$2+1))*('Summary Page'!$C$2+1)</f>
        <v>#DIV/0!</v>
      </c>
      <c r="BJ20" s="7" t="e">
        <f>((AVERAGE(N15:N20)*('Summary Page'!$C$3+1))*('Summary Page'!$C$3+1))*('Summary Page'!$C$3+1)</f>
        <v>#DIV/0!</v>
      </c>
      <c r="BK20" s="7" t="e">
        <f>((AVERAGE(N15:N20)*('Summary Page'!$C$4+1))*('Summary Page'!$C$4+1))*('Summary Page'!$C$4+1)</f>
        <v>#DIV/0!</v>
      </c>
    </row>
    <row r="21" spans="1:75" ht="15.75" x14ac:dyDescent="0.25">
      <c r="A21" s="20">
        <v>43599</v>
      </c>
      <c r="B21" s="218">
        <v>86.5</v>
      </c>
      <c r="C21" s="43">
        <v>81</v>
      </c>
      <c r="D21" s="67">
        <v>84</v>
      </c>
      <c r="E21" s="1367">
        <v>90</v>
      </c>
      <c r="F21" s="218"/>
      <c r="G21" s="43"/>
      <c r="H21" s="43"/>
      <c r="I21" s="213"/>
      <c r="J21" s="218"/>
      <c r="K21" s="43"/>
      <c r="L21" s="43"/>
      <c r="M21" s="213"/>
      <c r="N21" s="43"/>
      <c r="O21" s="43"/>
      <c r="P21" s="43"/>
      <c r="Q21" s="218"/>
      <c r="R21" s="43"/>
      <c r="S21" s="213"/>
      <c r="T21" s="43"/>
      <c r="U21" s="43"/>
      <c r="V21" s="43"/>
      <c r="W21" s="218"/>
      <c r="X21" s="43"/>
      <c r="Y21" s="213"/>
      <c r="Z21" s="43"/>
      <c r="AA21" s="2">
        <f t="shared" si="1"/>
        <v>68.3</v>
      </c>
      <c r="AB21" s="2"/>
      <c r="AC21" s="2"/>
      <c r="AD21" s="30">
        <f>((AVERAGE(AA10:AA21)*('Summary Page'!$C$2+1))*('Summary Page'!$C$2+1))*('Summary Page'!$C$2+1)</f>
        <v>96.151193599999985</v>
      </c>
      <c r="AE21" s="30">
        <f>((AVERAGE(AA10:AA21)*('Summary Page'!$C$3+1))*('Summary Page'!$C$3+1))*('Summary Page'!$C$3+1)</f>
        <v>120.3125</v>
      </c>
      <c r="AF21" s="30">
        <f>((AVERAGE(AA10:AA21)*('Summary Page'!$C$4+1))*('Summary Page'!$C$4+1))*('Summary Page'!$C$4+1)</f>
        <v>106.44479999999999</v>
      </c>
      <c r="AG21" s="7">
        <v>80</v>
      </c>
      <c r="AJ21" s="43"/>
      <c r="AK21" s="7">
        <f>((AVERAGE(B16:B21)*('Summary Page'!$C$2+1))*('Summary Page'!$C$2+1))*('Summary Page'!$C$2+1)</f>
        <v>127.0829493333333</v>
      </c>
      <c r="AL21" s="7">
        <f>((AVERAGE(B16:B21)*('Summary Page'!$C$3+1))*('Summary Page'!$C$3+1))*('Summary Page'!$C$3+1)</f>
        <v>159.01692708333337</v>
      </c>
      <c r="AM21" s="8">
        <f>((AVERAGE(B16:B21)*('Summary Page'!$C$4+1))*('Summary Page'!$C$4+1))*('Summary Page'!$C$4+1)</f>
        <v>140.68799999999999</v>
      </c>
      <c r="AP21" s="43"/>
      <c r="AQ21" s="7">
        <f>((AVERAGE(C16:C21)*('Summary Page'!$C$2+1))*('Summary Page'!$C$2+1))*('Summary Page'!$C$2+1)</f>
        <v>114.72585599999998</v>
      </c>
      <c r="AR21" s="7">
        <f>((AVERAGE(C16:C21)*('Summary Page'!$C$3+1))*('Summary Page'!$C$3+1))*('Summary Page'!$C$3+1)</f>
        <v>143.5546875</v>
      </c>
      <c r="AS21" s="7">
        <f>((AVERAGE(C16:C21)*('Summary Page'!$C$4+1))*('Summary Page'!$C$4+1))*('Summary Page'!$C$4+1)</f>
        <v>127.008</v>
      </c>
      <c r="AV21" s="43"/>
      <c r="AW21" s="7">
        <f>((AVERAGE(D16:D21)*('Summary Page'!$C$2+1))*('Summary Page'!$C$2+1))*('Summary Page'!$C$2+1)</f>
        <v>116.54690133333331</v>
      </c>
      <c r="AX21" s="7">
        <f>((AVERAGE(D16:D21)*('Summary Page'!$C$3+1))*('Summary Page'!$C$3+1))*('Summary Page'!$C$3+1)</f>
        <v>145.83333333333337</v>
      </c>
      <c r="AY21" s="8">
        <f>((AVERAGE(D16:D21)*('Summary Page'!$C$4+1))*('Summary Page'!$C$4+1))*('Summary Page'!$C$4+1)</f>
        <v>129.024</v>
      </c>
      <c r="BB21" s="43"/>
      <c r="BC21" s="30">
        <f>((AVERAGE(E16:E21)*('Summary Page'!$C$2+1))*('Summary Page'!$C$2+1))*('Summary Page'!$C$2+1)</f>
        <v>120.18899199999997</v>
      </c>
      <c r="BD21" s="30">
        <f>((AVERAGE(E16:E21)*('Summary Page'!$C$3+1))*('Summary Page'!$C$3+1))*('Summary Page'!$C$3+1)</f>
        <v>150.390625</v>
      </c>
      <c r="BE21" s="32">
        <f>((AVERAGE(E16:E21)*('Summary Page'!$C$4+1))*('Summary Page'!$C$4+1))*('Summary Page'!$C$4+1)</f>
        <v>133.05599999999998</v>
      </c>
      <c r="BH21" s="43"/>
      <c r="BI21" s="7" t="e">
        <f>((AVERAGE(N16:N21)*('Summary Page'!$C$2+1))*('Summary Page'!$C$2+1))*('Summary Page'!$C$2+1)</f>
        <v>#DIV/0!</v>
      </c>
      <c r="BJ21" s="7" t="e">
        <f>((AVERAGE(N16:N21)*('Summary Page'!$C$3+1))*('Summary Page'!$C$3+1))*('Summary Page'!$C$3+1)</f>
        <v>#DIV/0!</v>
      </c>
      <c r="BK21" s="7" t="e">
        <f>((AVERAGE(N16:N21)*('Summary Page'!$C$4+1))*('Summary Page'!$C$4+1))*('Summary Page'!$C$4+1)</f>
        <v>#DIV/0!</v>
      </c>
    </row>
    <row r="22" spans="1:75" ht="15.75" x14ac:dyDescent="0.25">
      <c r="A22" s="20">
        <v>43617</v>
      </c>
      <c r="B22" s="218">
        <v>64</v>
      </c>
      <c r="C22" s="43">
        <v>79</v>
      </c>
      <c r="D22" s="67">
        <v>84</v>
      </c>
      <c r="E22" s="1367">
        <v>91</v>
      </c>
      <c r="F22" s="218"/>
      <c r="G22" s="43"/>
      <c r="H22" s="43"/>
      <c r="I22" s="213"/>
      <c r="J22" s="218"/>
      <c r="K22" s="43"/>
      <c r="L22" s="43"/>
      <c r="M22" s="213"/>
      <c r="N22" s="43"/>
      <c r="O22" s="43"/>
      <c r="P22" s="43"/>
      <c r="Q22" s="218"/>
      <c r="R22" s="43"/>
      <c r="S22" s="213"/>
      <c r="T22" s="43"/>
      <c r="U22" s="43"/>
      <c r="V22" s="43"/>
      <c r="W22" s="218"/>
      <c r="X22" s="43"/>
      <c r="Y22" s="213"/>
      <c r="Z22" s="43"/>
      <c r="AA22" s="2">
        <f t="shared" si="1"/>
        <v>63.6</v>
      </c>
      <c r="AB22" s="2"/>
      <c r="AC22" s="2"/>
      <c r="AD22" s="30">
        <f>((AVERAGE(AA11:AA22)*('Summary Page'!$C$2+1))*('Summary Page'!$C$2+1))*('Summary Page'!$C$2+1)</f>
        <v>96.281268266666657</v>
      </c>
      <c r="AE22" s="30">
        <f>((AVERAGE(AA11:AA22)*('Summary Page'!$C$3+1))*('Summary Page'!$C$3+1))*('Summary Page'!$C$3+1)</f>
        <v>120.47526041666669</v>
      </c>
      <c r="AF22" s="30">
        <f>((AVERAGE(AA11:AA22)*('Summary Page'!$C$4+1))*('Summary Page'!$C$4+1))*('Summary Page'!$C$4+1)</f>
        <v>106.58879999999999</v>
      </c>
      <c r="AG22" s="7">
        <v>80</v>
      </c>
      <c r="AJ22" s="43"/>
      <c r="AK22" s="7">
        <f>((AVERAGE(B17:B22)*('Summary Page'!$C$2+1))*('Summary Page'!$C$2+1))*('Summary Page'!$C$2+1)</f>
        <v>122.92055999999997</v>
      </c>
      <c r="AL22" s="7">
        <f>((AVERAGE(B17:B22)*('Summary Page'!$C$3+1))*('Summary Page'!$C$3+1))*('Summary Page'!$C$3+1)</f>
        <v>153.80859375</v>
      </c>
      <c r="AM22" s="8">
        <f>((AVERAGE(B17:B22)*('Summary Page'!$C$4+1))*('Summary Page'!$C$4+1))*('Summary Page'!$C$4+1)</f>
        <v>136.07999999999998</v>
      </c>
      <c r="AP22" s="43"/>
      <c r="AQ22" s="7">
        <f>((AVERAGE(C17:C22)*('Summary Page'!$C$2+1))*('Summary Page'!$C$2+1))*('Summary Page'!$C$2+1)</f>
        <v>117.3273493333333</v>
      </c>
      <c r="AR22" s="7">
        <f>((AVERAGE(C17:C22)*('Summary Page'!$C$3+1))*('Summary Page'!$C$3+1))*('Summary Page'!$C$3+1)</f>
        <v>146.80989583333337</v>
      </c>
      <c r="AS22" s="7">
        <f>((AVERAGE(C17:C22)*('Summary Page'!$C$4+1))*('Summary Page'!$C$4+1))*('Summary Page'!$C$4+1)</f>
        <v>129.88799999999998</v>
      </c>
      <c r="AV22" s="43"/>
      <c r="AW22" s="7">
        <f>((AVERAGE(D17:D22)*('Summary Page'!$C$2+1))*('Summary Page'!$C$2+1))*('Summary Page'!$C$2+1)</f>
        <v>120.18899199999997</v>
      </c>
      <c r="AX22" s="7">
        <f>((AVERAGE(D17:D22)*('Summary Page'!$C$3+1))*('Summary Page'!$C$3+1))*('Summary Page'!$C$3+1)</f>
        <v>150.390625</v>
      </c>
      <c r="AY22" s="8">
        <f>((AVERAGE(D17:D22)*('Summary Page'!$C$4+1))*('Summary Page'!$C$4+1))*('Summary Page'!$C$4+1)</f>
        <v>133.05599999999998</v>
      </c>
      <c r="BB22" s="43"/>
      <c r="BC22" s="30">
        <f>((AVERAGE(E17:E22)*('Summary Page'!$C$2+1))*('Summary Page'!$C$2+1))*('Summary Page'!$C$2+1)</f>
        <v>126.69272533333333</v>
      </c>
      <c r="BD22" s="30">
        <f>((AVERAGE(E17:E22)*('Summary Page'!$C$3+1))*('Summary Page'!$C$3+1))*('Summary Page'!$C$3+1)</f>
        <v>158.52864583333337</v>
      </c>
      <c r="BE22" s="32">
        <f>((AVERAGE(E17:E22)*('Summary Page'!$C$4+1))*('Summary Page'!$C$4+1))*('Summary Page'!$C$4+1)</f>
        <v>140.256</v>
      </c>
      <c r="BH22" s="43"/>
      <c r="BI22" s="7" t="e">
        <f>((AVERAGE(N17:N22)*('Summary Page'!$C$2+1))*('Summary Page'!$C$2+1))*('Summary Page'!$C$2+1)</f>
        <v>#DIV/0!</v>
      </c>
      <c r="BJ22" s="7" t="e">
        <f>((AVERAGE(N17:N22)*('Summary Page'!$C$3+1))*('Summary Page'!$C$3+1))*('Summary Page'!$C$3+1)</f>
        <v>#DIV/0!</v>
      </c>
      <c r="BK22" s="7" t="e">
        <f>((AVERAGE(N17:N22)*('Summary Page'!$C$4+1))*('Summary Page'!$C$4+1))*('Summary Page'!$C$4+1)</f>
        <v>#DIV/0!</v>
      </c>
    </row>
    <row r="23" spans="1:75" ht="15.75" x14ac:dyDescent="0.25">
      <c r="A23" s="20">
        <v>43630</v>
      </c>
      <c r="B23" s="218">
        <v>65</v>
      </c>
      <c r="C23" s="43">
        <v>77</v>
      </c>
      <c r="D23" s="67">
        <v>85</v>
      </c>
      <c r="E23" s="1367">
        <v>95</v>
      </c>
      <c r="F23" s="218"/>
      <c r="G23" s="43"/>
      <c r="H23" s="43"/>
      <c r="I23" s="213"/>
      <c r="J23" s="218"/>
      <c r="K23" s="43"/>
      <c r="L23" s="43"/>
      <c r="M23" s="213"/>
      <c r="N23" s="43"/>
      <c r="O23" s="43"/>
      <c r="P23" s="43"/>
      <c r="Q23" s="218"/>
      <c r="R23" s="43"/>
      <c r="S23" s="213"/>
      <c r="T23" s="43"/>
      <c r="U23" s="43"/>
      <c r="V23" s="43"/>
      <c r="W23" s="218"/>
      <c r="X23" s="43"/>
      <c r="Y23" s="213"/>
      <c r="Z23" s="43"/>
      <c r="AA23" s="2">
        <f t="shared" si="1"/>
        <v>64.400000000000006</v>
      </c>
      <c r="AB23" s="2"/>
      <c r="AC23" s="2"/>
      <c r="AD23" s="30">
        <f>((AVERAGE(AA12:AA23)*('Summary Page'!$C$2+1))*('Summary Page'!$C$2+1))*('Summary Page'!$C$2+1)</f>
        <v>96.801566933333305</v>
      </c>
      <c r="AE23" s="30">
        <f>((AVERAGE(AA12:AA23)*('Summary Page'!$C$3+1))*('Summary Page'!$C$3+1))*('Summary Page'!$C$3+1)</f>
        <v>121.12630208333331</v>
      </c>
      <c r="AF23" s="30">
        <f>((AVERAGE(AA12:AA23)*('Summary Page'!$C$4+1))*('Summary Page'!$C$4+1))*('Summary Page'!$C$4+1)</f>
        <v>107.16479999999999</v>
      </c>
      <c r="AG23" s="7">
        <v>80</v>
      </c>
      <c r="AJ23" s="43"/>
      <c r="AK23" s="7">
        <f>((AVERAGE(B18:B23)*('Summary Page'!$C$2+1))*('Summary Page'!$C$2+1))*('Summary Page'!$C$2+1)</f>
        <v>119.53861866666664</v>
      </c>
      <c r="AL23" s="7">
        <f>((AVERAGE(B18:B23)*('Summary Page'!$C$3+1))*('Summary Page'!$C$3+1))*('Summary Page'!$C$3+1)</f>
        <v>149.57682291666663</v>
      </c>
      <c r="AM23" s="8">
        <f>((AVERAGE(B18:B23)*('Summary Page'!$C$4+1))*('Summary Page'!$C$4+1))*('Summary Page'!$C$4+1)</f>
        <v>132.33599999999998</v>
      </c>
      <c r="AP23" s="43"/>
      <c r="AQ23" s="7">
        <f>((AVERAGE(C18:C23)*('Summary Page'!$C$2+1))*('Summary Page'!$C$2+1))*('Summary Page'!$C$2+1)</f>
        <v>118.62809599999999</v>
      </c>
      <c r="AR23" s="7">
        <f>((AVERAGE(C18:C23)*('Summary Page'!$C$3+1))*('Summary Page'!$C$3+1))*('Summary Page'!$C$3+1)</f>
        <v>148.4375</v>
      </c>
      <c r="AS23" s="7">
        <f>((AVERAGE(C18:C23)*('Summary Page'!$C$4+1))*('Summary Page'!$C$4+1))*('Summary Page'!$C$4+1)</f>
        <v>131.328</v>
      </c>
      <c r="AV23" s="43"/>
      <c r="AW23" s="7">
        <f>((AVERAGE(D18:D23)*('Summary Page'!$C$2+1))*('Summary Page'!$C$2+1))*('Summary Page'!$C$2+1)</f>
        <v>123.57093333333331</v>
      </c>
      <c r="AX23" s="7">
        <f>((AVERAGE(D18:D23)*('Summary Page'!$C$3+1))*('Summary Page'!$C$3+1))*('Summary Page'!$C$3+1)</f>
        <v>154.62239583333337</v>
      </c>
      <c r="AY23" s="8">
        <f>((AVERAGE(D18:D23)*('Summary Page'!$C$4+1))*('Summary Page'!$C$4+1))*('Summary Page'!$C$4+1)</f>
        <v>136.79999999999998</v>
      </c>
      <c r="BB23" s="43"/>
      <c r="BC23" s="30">
        <f>((AVERAGE(E18:E23)*('Summary Page'!$C$2+1))*('Summary Page'!$C$2+1))*('Summary Page'!$C$2+1)</f>
        <v>133.45660799999996</v>
      </c>
      <c r="BD23" s="30">
        <f>((AVERAGE(E18:E23)*('Summary Page'!$C$3+1))*('Summary Page'!$C$3+1))*('Summary Page'!$C$3+1)</f>
        <v>166.9921875</v>
      </c>
      <c r="BE23" s="32">
        <f>((AVERAGE(E18:E23)*('Summary Page'!$C$4+1))*('Summary Page'!$C$4+1))*('Summary Page'!$C$4+1)</f>
        <v>147.74399999999997</v>
      </c>
      <c r="BH23" s="43"/>
      <c r="BI23" s="7" t="e">
        <f>((AVERAGE(N18:N23)*('Summary Page'!$C$2+1))*('Summary Page'!$C$2+1))*('Summary Page'!$C$2+1)</f>
        <v>#DIV/0!</v>
      </c>
      <c r="BJ23" s="7" t="e">
        <f>((AVERAGE(N18:N23)*('Summary Page'!$C$3+1))*('Summary Page'!$C$3+1))*('Summary Page'!$C$3+1)</f>
        <v>#DIV/0!</v>
      </c>
      <c r="BK23" s="7" t="e">
        <f>((AVERAGE(N18:N23)*('Summary Page'!$C$4+1))*('Summary Page'!$C$4+1))*('Summary Page'!$C$4+1)</f>
        <v>#DIV/0!</v>
      </c>
    </row>
    <row r="24" spans="1:75" ht="15.75" x14ac:dyDescent="0.25">
      <c r="A24" s="20">
        <v>43647</v>
      </c>
      <c r="B24" s="218">
        <v>68</v>
      </c>
      <c r="C24" s="43">
        <v>72</v>
      </c>
      <c r="D24" s="67">
        <v>78</v>
      </c>
      <c r="E24" s="1367">
        <v>99</v>
      </c>
      <c r="F24" s="218">
        <v>64</v>
      </c>
      <c r="G24" s="43">
        <v>64</v>
      </c>
      <c r="H24" s="43">
        <v>72</v>
      </c>
      <c r="I24" s="213">
        <v>77</v>
      </c>
      <c r="J24" s="218"/>
      <c r="K24" s="43"/>
      <c r="L24" s="43"/>
      <c r="M24" s="213"/>
      <c r="N24" s="43">
        <v>82</v>
      </c>
      <c r="O24" s="43">
        <v>70</v>
      </c>
      <c r="P24" s="43"/>
      <c r="Q24" s="218"/>
      <c r="R24" s="43"/>
      <c r="S24" s="213"/>
      <c r="T24" s="43"/>
      <c r="U24" s="43"/>
      <c r="V24" s="43"/>
      <c r="W24" s="218"/>
      <c r="X24" s="43"/>
      <c r="Y24" s="213"/>
      <c r="Z24" s="43"/>
      <c r="AA24" s="2">
        <f t="shared" si="1"/>
        <v>63.4</v>
      </c>
      <c r="AB24" s="2">
        <v>55</v>
      </c>
      <c r="AC24" s="2">
        <f t="shared" ref="AC24:AC46" si="2">AB24*1.2</f>
        <v>66</v>
      </c>
      <c r="AD24" s="30">
        <f>((AVERAGE(AA13:AA24)*('Summary Page'!$C$2+1))*('Summary Page'!$C$2+1))*('Summary Page'!$C$2+1)</f>
        <v>97.191790933333323</v>
      </c>
      <c r="AE24" s="30">
        <f>((AVERAGE(AA13:AA24)*('Summary Page'!$C$3+1))*('Summary Page'!$C$3+1))*('Summary Page'!$C$3+1)</f>
        <v>121.61458333333336</v>
      </c>
      <c r="AF24" s="30">
        <f>((AVERAGE(AA13:AA24)*('Summary Page'!$C$4+1))*('Summary Page'!$C$4+1))*('Summary Page'!$C$4+1)</f>
        <v>107.5968</v>
      </c>
      <c r="AG24" s="7">
        <v>80</v>
      </c>
      <c r="AJ24" s="7">
        <f t="shared" ref="AJ24:AJ29" si="3">F24*1.2</f>
        <v>76.8</v>
      </c>
      <c r="AK24" s="7">
        <f>((AVERAGE(B19:B24)*('Summary Page'!$C$2+1))*('Summary Page'!$C$2+1))*('Summary Page'!$C$2+1)</f>
        <v>116.93712533333333</v>
      </c>
      <c r="AL24" s="7">
        <f>((AVERAGE(B19:B24)*('Summary Page'!$C$3+1))*('Summary Page'!$C$3+1))*('Summary Page'!$C$3+1)</f>
        <v>146.32161458333337</v>
      </c>
      <c r="AM24" s="8">
        <f>((AVERAGE(B19:B24)*('Summary Page'!$C$4+1))*('Summary Page'!$C$4+1))*('Summary Page'!$C$4+1)</f>
        <v>129.45600000000002</v>
      </c>
      <c r="AP24" s="7">
        <f t="shared" ref="AP24:AP29" si="4">G24*1.2</f>
        <v>76.8</v>
      </c>
      <c r="AQ24" s="7">
        <f>((AVERAGE(C19:C24)*('Summary Page'!$C$2+1))*('Summary Page'!$C$2+1))*('Summary Page'!$C$2+1)</f>
        <v>118.10779733333331</v>
      </c>
      <c r="AR24" s="7">
        <f>((AVERAGE(C19:C24)*('Summary Page'!$C$3+1))*('Summary Page'!$C$3+1))*('Summary Page'!$C$3+1)</f>
        <v>147.78645833333337</v>
      </c>
      <c r="AS24" s="7">
        <f>((AVERAGE(C19:C24)*('Summary Page'!$C$4+1))*('Summary Page'!$C$4+1))*('Summary Page'!$C$4+1)</f>
        <v>130.75199999999998</v>
      </c>
      <c r="AV24" s="43">
        <f t="shared" ref="AV24:AV29" si="5">H24*1.2</f>
        <v>86.399999999999991</v>
      </c>
      <c r="AW24" s="7">
        <f>((AVERAGE(D19:D24)*('Summary Page'!$C$2+1))*('Summary Page'!$C$2+1))*('Summary Page'!$C$2+1)</f>
        <v>124.87167999999998</v>
      </c>
      <c r="AX24" s="7">
        <f>((AVERAGE(D19:D24)*('Summary Page'!$C$3+1))*('Summary Page'!$C$3+1))*('Summary Page'!$C$3+1)</f>
        <v>156.25</v>
      </c>
      <c r="AY24" s="8">
        <f>((AVERAGE(D19:D24)*('Summary Page'!$C$4+1))*('Summary Page'!$C$4+1))*('Summary Page'!$C$4+1)</f>
        <v>138.23999999999998</v>
      </c>
      <c r="BB24" s="43">
        <f t="shared" ref="BB24:BB29" si="6">I24*1.2</f>
        <v>92.399999999999991</v>
      </c>
      <c r="BC24" s="30">
        <f>((AVERAGE(E19:E24)*('Summary Page'!$C$2+1))*('Summary Page'!$C$2+1))*('Summary Page'!$C$2+1)</f>
        <v>140.22049066666662</v>
      </c>
      <c r="BD24" s="30">
        <f>((AVERAGE(E19:E24)*('Summary Page'!$C$3+1))*('Summary Page'!$C$3+1))*('Summary Page'!$C$3+1)</f>
        <v>175.45572916666663</v>
      </c>
      <c r="BE24" s="32">
        <f>((AVERAGE(E19:E24)*('Summary Page'!$C$4+1))*('Summary Page'!$C$4+1))*('Summary Page'!$C$4+1)</f>
        <v>155.23199999999997</v>
      </c>
      <c r="BH24" s="43">
        <f t="shared" ref="BH24:BH29" si="7">O24*1.2</f>
        <v>84</v>
      </c>
      <c r="BI24" s="7">
        <f>((AVERAGE(N19:N24)*('Summary Page'!$C$2+1))*('Summary Page'!$C$2+1))*('Summary Page'!$C$2+1)</f>
        <v>127.99347199999997</v>
      </c>
      <c r="BJ24" s="7">
        <f>((AVERAGE(N19:N24)*('Summary Page'!$C$3+1))*('Summary Page'!$C$3+1))*('Summary Page'!$C$3+1)</f>
        <v>160.15625</v>
      </c>
      <c r="BK24" s="7">
        <f>((AVERAGE(N19:N24)*('Summary Page'!$C$4+1))*('Summary Page'!$C$4+1))*('Summary Page'!$C$4+1)</f>
        <v>141.69599999999997</v>
      </c>
    </row>
    <row r="25" spans="1:75" ht="15.75" x14ac:dyDescent="0.25">
      <c r="A25" s="20">
        <v>43661</v>
      </c>
      <c r="B25" s="218">
        <v>63</v>
      </c>
      <c r="C25" s="43">
        <v>66</v>
      </c>
      <c r="D25" s="67">
        <v>70</v>
      </c>
      <c r="E25" s="1367">
        <v>90</v>
      </c>
      <c r="F25" s="218">
        <v>59</v>
      </c>
      <c r="G25" s="43">
        <v>58</v>
      </c>
      <c r="H25" s="43">
        <v>65</v>
      </c>
      <c r="I25" s="213">
        <v>68</v>
      </c>
      <c r="J25" s="218"/>
      <c r="K25" s="43"/>
      <c r="L25" s="43"/>
      <c r="M25" s="213"/>
      <c r="N25" s="43">
        <v>82</v>
      </c>
      <c r="O25" s="43">
        <v>70</v>
      </c>
      <c r="P25" s="43"/>
      <c r="Q25" s="218"/>
      <c r="R25" s="43"/>
      <c r="S25" s="213"/>
      <c r="T25" s="43"/>
      <c r="U25" s="43"/>
      <c r="V25" s="43"/>
      <c r="W25" s="218"/>
      <c r="X25" s="43"/>
      <c r="Y25" s="213"/>
      <c r="Z25" s="43"/>
      <c r="AA25" s="2">
        <f t="shared" si="1"/>
        <v>57.8</v>
      </c>
      <c r="AB25" s="2">
        <f t="shared" ref="AB25:AB46" si="8">AVERAGE(F25,G25,H25,I25,)</f>
        <v>50</v>
      </c>
      <c r="AC25" s="2">
        <f t="shared" si="2"/>
        <v>60</v>
      </c>
      <c r="AD25" s="30">
        <f>((AVERAGE(AA14:AA25)*('Summary Page'!$C$2+1))*('Summary Page'!$C$2+1))*('Summary Page'!$C$2+1)</f>
        <v>96.749537066666633</v>
      </c>
      <c r="AE25" s="30">
        <f>((AVERAGE(AA14:AA25)*('Summary Page'!$C$3+1))*('Summary Page'!$C$3+1))*('Summary Page'!$C$3+1)</f>
        <v>121.06119791666664</v>
      </c>
      <c r="AF25" s="30">
        <f>((AVERAGE(AA14:AA25)*('Summary Page'!$C$4+1))*('Summary Page'!$C$4+1))*('Summary Page'!$C$4+1)</f>
        <v>107.10719999999998</v>
      </c>
      <c r="AG25" s="7">
        <v>80</v>
      </c>
      <c r="AJ25" s="7">
        <f t="shared" si="3"/>
        <v>70.8</v>
      </c>
      <c r="AK25" s="7">
        <f>((AVERAGE(B20:B25)*('Summary Page'!$C$2+1))*('Summary Page'!$C$2+1))*('Summary Page'!$C$2+1)</f>
        <v>111.73413866666665</v>
      </c>
      <c r="AL25" s="7">
        <f>((AVERAGE(B20:B25)*('Summary Page'!$C$3+1))*('Summary Page'!$C$3+1))*('Summary Page'!$C$3+1)</f>
        <v>139.81119791666663</v>
      </c>
      <c r="AM25" s="8">
        <f>((AVERAGE(B20:B25)*('Summary Page'!$C$4+1))*('Summary Page'!$C$4+1))*('Summary Page'!$C$4+1)</f>
        <v>123.69599999999997</v>
      </c>
      <c r="AP25" s="7">
        <f t="shared" si="4"/>
        <v>69.599999999999994</v>
      </c>
      <c r="AQ25" s="7">
        <f>((AVERAGE(C20:C25)*('Summary Page'!$C$2+1))*('Summary Page'!$C$2+1))*('Summary Page'!$C$2+1)</f>
        <v>116.28675199999996</v>
      </c>
      <c r="AR25" s="7">
        <f>((AVERAGE(C20:C25)*('Summary Page'!$C$3+1))*('Summary Page'!$C$3+1))*('Summary Page'!$C$3+1)</f>
        <v>145.5078125</v>
      </c>
      <c r="AS25" s="7">
        <f>((AVERAGE(C20:C25)*('Summary Page'!$C$4+1))*('Summary Page'!$C$4+1))*('Summary Page'!$C$4+1)</f>
        <v>128.73599999999999</v>
      </c>
      <c r="AV25" s="43">
        <f t="shared" si="5"/>
        <v>78</v>
      </c>
      <c r="AW25" s="7">
        <f>((AVERAGE(D20:D25)*('Summary Page'!$C$2+1))*('Summary Page'!$C$2+1))*('Summary Page'!$C$2+1)</f>
        <v>124.09123199999998</v>
      </c>
      <c r="AX25" s="7">
        <f>((AVERAGE(D20:D25)*('Summary Page'!$C$3+1))*('Summary Page'!$C$3+1))*('Summary Page'!$C$3+1)</f>
        <v>155.2734375</v>
      </c>
      <c r="AY25" s="8">
        <f>((AVERAGE(D20:D25)*('Summary Page'!$C$4+1))*('Summary Page'!$C$4+1))*('Summary Page'!$C$4+1)</f>
        <v>137.37599999999998</v>
      </c>
      <c r="BB25" s="43">
        <f t="shared" si="6"/>
        <v>81.599999999999994</v>
      </c>
      <c r="BC25" s="30">
        <f>((AVERAGE(E20:E25)*('Summary Page'!$C$2+1))*('Summary Page'!$C$2+1))*('Summary Page'!$C$2+1)</f>
        <v>141.78138666666663</v>
      </c>
      <c r="BD25" s="30">
        <f>((AVERAGE(E20:E25)*('Summary Page'!$C$3+1))*('Summary Page'!$C$3+1))*('Summary Page'!$C$3+1)</f>
        <v>177.40885416666663</v>
      </c>
      <c r="BE25" s="32">
        <f>((AVERAGE(E20:E25)*('Summary Page'!$C$4+1))*('Summary Page'!$C$4+1))*('Summary Page'!$C$4+1)</f>
        <v>156.95999999999998</v>
      </c>
      <c r="BH25" s="43">
        <f t="shared" si="7"/>
        <v>84</v>
      </c>
      <c r="BI25" s="7">
        <f>((AVERAGE(N20:N25)*('Summary Page'!$C$2+1))*('Summary Page'!$C$2+1))*('Summary Page'!$C$2+1)</f>
        <v>127.99347199999997</v>
      </c>
      <c r="BJ25" s="7">
        <f>((AVERAGE(N20:N25)*('Summary Page'!$C$3+1))*('Summary Page'!$C$3+1))*('Summary Page'!$C$3+1)</f>
        <v>160.15625</v>
      </c>
      <c r="BK25" s="7">
        <f>((AVERAGE(N20:N25)*('Summary Page'!$C$4+1))*('Summary Page'!$C$4+1))*('Summary Page'!$C$4+1)</f>
        <v>141.69599999999997</v>
      </c>
    </row>
    <row r="26" spans="1:75" ht="15.75" x14ac:dyDescent="0.25">
      <c r="A26" s="10">
        <v>43678</v>
      </c>
      <c r="B26" s="218">
        <v>60</v>
      </c>
      <c r="C26" s="43">
        <v>65</v>
      </c>
      <c r="D26" s="9">
        <v>67</v>
      </c>
      <c r="E26" s="1368">
        <v>65</v>
      </c>
      <c r="F26" s="223">
        <v>58</v>
      </c>
      <c r="G26">
        <v>56</v>
      </c>
      <c r="H26">
        <v>62</v>
      </c>
      <c r="I26" s="4">
        <v>59</v>
      </c>
      <c r="N26">
        <v>75</v>
      </c>
      <c r="O26">
        <v>64</v>
      </c>
      <c r="Q26" s="223">
        <v>634</v>
      </c>
      <c r="R26">
        <v>634</v>
      </c>
      <c r="AA26" s="2">
        <f t="shared" si="1"/>
        <v>51.4</v>
      </c>
      <c r="AB26" s="2">
        <f t="shared" si="8"/>
        <v>47</v>
      </c>
      <c r="AC26" s="2">
        <f t="shared" si="2"/>
        <v>56.4</v>
      </c>
      <c r="AD26" s="30">
        <f>((AVERAGE(AA15:AA26)*('Summary Page'!$C$2+1))*('Summary Page'!$C$2+1))*('Summary Page'!$C$2+1)</f>
        <v>94.90247679999996</v>
      </c>
      <c r="AE26" s="30">
        <f>((AVERAGE(AA15:AA26)*('Summary Page'!$C$3+1))*('Summary Page'!$C$3+1))*('Summary Page'!$C$3+1)</f>
        <v>118.74999999999999</v>
      </c>
      <c r="AF26" s="30">
        <f>((AVERAGE(AA15:AA26)*('Summary Page'!$C$4+1))*('Summary Page'!$C$4+1))*('Summary Page'!$C$4+1)</f>
        <v>105.06239999999997</v>
      </c>
      <c r="AG26" s="7">
        <v>80</v>
      </c>
      <c r="AJ26" s="7">
        <f t="shared" si="3"/>
        <v>69.599999999999994</v>
      </c>
      <c r="AK26" s="7">
        <f>((AVERAGE(B21:B26)*('Summary Page'!$C$2+1))*('Summary Page'!$C$2+1))*('Summary Page'!$C$2+1)</f>
        <v>105.75070399999997</v>
      </c>
      <c r="AL26" s="7">
        <f>((AVERAGE(B21:B26)*('Summary Page'!$C$3+1))*('Summary Page'!$C$3+1))*('Summary Page'!$C$3+1)</f>
        <v>132.32421875</v>
      </c>
      <c r="AM26" s="8">
        <f>((AVERAGE(B21:B26)*('Summary Page'!$C$4+1))*('Summary Page'!$C$4+1))*('Summary Page'!$C$4+1)</f>
        <v>117.07199999999997</v>
      </c>
      <c r="AP26" s="7">
        <f t="shared" si="4"/>
        <v>67.2</v>
      </c>
      <c r="AQ26" s="7">
        <f>((AVERAGE(C21:C26)*('Summary Page'!$C$2+1))*('Summary Page'!$C$2+1))*('Summary Page'!$C$2+1)</f>
        <v>114.46570666666663</v>
      </c>
      <c r="AR26" s="7">
        <f>((AVERAGE(C21:C26)*('Summary Page'!$C$3+1))*('Summary Page'!$C$3+1))*('Summary Page'!$C$3+1)</f>
        <v>143.22916666666663</v>
      </c>
      <c r="AS26" s="7">
        <f>((AVERAGE(C21:C26)*('Summary Page'!$C$4+1))*('Summary Page'!$C$4+1))*('Summary Page'!$C$4+1)</f>
        <v>126.71999999999997</v>
      </c>
      <c r="AV26" s="43">
        <f t="shared" si="5"/>
        <v>74.399999999999991</v>
      </c>
      <c r="AW26" s="7">
        <f>((AVERAGE(D21:D26)*('Summary Page'!$C$2+1))*('Summary Page'!$C$2+1))*('Summary Page'!$C$2+1)</f>
        <v>121.74988799999997</v>
      </c>
      <c r="AX26" s="7">
        <f>((AVERAGE(D21:D26)*('Summary Page'!$C$3+1))*('Summary Page'!$C$3+1))*('Summary Page'!$C$3+1)</f>
        <v>152.34375</v>
      </c>
      <c r="AY26" s="8">
        <f>((AVERAGE(D21:D26)*('Summary Page'!$C$4+1))*('Summary Page'!$C$4+1))*('Summary Page'!$C$4+1)</f>
        <v>134.78399999999999</v>
      </c>
      <c r="BB26" s="43">
        <f t="shared" si="6"/>
        <v>70.8</v>
      </c>
      <c r="BC26" s="30">
        <f>((AVERAGE(E21:E26)*('Summary Page'!$C$2+1))*('Summary Page'!$C$2+1))*('Summary Page'!$C$2+1)</f>
        <v>137.87914666666663</v>
      </c>
      <c r="BD26" s="30">
        <f>((AVERAGE(E21:E26)*('Summary Page'!$C$3+1))*('Summary Page'!$C$3+1))*('Summary Page'!$C$3+1)</f>
        <v>172.52604166666663</v>
      </c>
      <c r="BE26" s="32">
        <f>((AVERAGE(E21:E26)*('Summary Page'!$C$4+1))*('Summary Page'!$C$4+1))*('Summary Page'!$C$4+1)</f>
        <v>152.63999999999996</v>
      </c>
      <c r="BH26" s="43">
        <f t="shared" si="7"/>
        <v>76.8</v>
      </c>
      <c r="BI26" s="7">
        <f>((AVERAGE(N21:N26)*('Summary Page'!$C$2+1))*('Summary Page'!$C$2+1))*('Summary Page'!$C$2+1)</f>
        <v>124.35138133333331</v>
      </c>
      <c r="BJ26" s="7">
        <f>((AVERAGE(N21:N26)*('Summary Page'!$C$3+1))*('Summary Page'!$C$3+1))*('Summary Page'!$C$3+1)</f>
        <v>155.59895833333337</v>
      </c>
      <c r="BK26" s="7">
        <f>((AVERAGE(N21:N26)*('Summary Page'!$C$4+1))*('Summary Page'!$C$4+1))*('Summary Page'!$C$4+1)</f>
        <v>137.66400000000002</v>
      </c>
      <c r="BL26" s="16">
        <f t="shared" ref="BL26:BM28" si="9">Q26/7.5/0.89/5</f>
        <v>18.99625468164794</v>
      </c>
      <c r="BM26" s="16">
        <f t="shared" si="9"/>
        <v>18.99625468164794</v>
      </c>
      <c r="BN26" s="7">
        <f t="shared" ref="BN26:BN31" si="10">BM26*1.2</f>
        <v>22.795505617977529</v>
      </c>
      <c r="BO26" s="7">
        <f>((AVERAGE(BL21:BL26)*('Summary Page'!$C$2+1))*('Summary Page'!$C$2+1))*('Summary Page'!$C$2+1)</f>
        <v>29.651177947565539</v>
      </c>
      <c r="BP26" s="7">
        <f>((AVERAGE(BL21:BL26)*('Summary Page'!$C$3+1))*('Summary Page'!$C$3+1))*('Summary Page'!$C$3+1)</f>
        <v>37.102059925093634</v>
      </c>
      <c r="BQ26" s="7">
        <f>((AVERAGE(BL21:BL26)*('Summary Page'!$C$4+1))*('Summary Page'!$C$4+1))*('Summary Page'!$C$4+1)</f>
        <v>32.825528089887641</v>
      </c>
      <c r="BR26" s="11">
        <f t="shared" ref="BR26:BR31" si="11">(BL26/6)+BL26</f>
        <v>22.162297128589262</v>
      </c>
      <c r="BS26" s="11">
        <f t="shared" ref="BS26:BS48" si="12">(BM26/6)+BM26</f>
        <v>22.162297128589262</v>
      </c>
      <c r="BT26" s="11">
        <f t="shared" ref="BT26:BT48" si="13">(BN26/6)+BN26</f>
        <v>26.594756554307118</v>
      </c>
      <c r="BU26" s="11">
        <f t="shared" ref="BU26:BU48" si="14">(BO26/6)+BO26</f>
        <v>34.593040938826462</v>
      </c>
      <c r="BV26" s="11">
        <f t="shared" ref="BV26:BV48" si="15">(BP26/6)+BP26</f>
        <v>43.285736579275905</v>
      </c>
      <c r="BW26" s="11">
        <f t="shared" ref="BW26:BW48" si="16">(BQ26/6)+BQ26</f>
        <v>38.296449438202245</v>
      </c>
    </row>
    <row r="27" spans="1:75" ht="15.75" x14ac:dyDescent="0.25">
      <c r="A27" s="10">
        <v>43710</v>
      </c>
      <c r="B27" s="218">
        <v>65</v>
      </c>
      <c r="C27" s="43">
        <v>70</v>
      </c>
      <c r="D27" s="67">
        <v>76</v>
      </c>
      <c r="E27" s="1367">
        <v>85</v>
      </c>
      <c r="F27" s="218">
        <v>49</v>
      </c>
      <c r="G27" s="43">
        <v>49</v>
      </c>
      <c r="H27" s="43">
        <v>54</v>
      </c>
      <c r="I27" s="213">
        <v>47</v>
      </c>
      <c r="J27" s="218"/>
      <c r="K27" s="43"/>
      <c r="L27" s="43"/>
      <c r="M27" s="213"/>
      <c r="N27" s="43">
        <v>78</v>
      </c>
      <c r="O27" s="43">
        <v>60</v>
      </c>
      <c r="P27" s="43"/>
      <c r="Q27" s="223">
        <v>656</v>
      </c>
      <c r="R27">
        <v>578</v>
      </c>
      <c r="AA27" s="2">
        <f t="shared" si="1"/>
        <v>59.2</v>
      </c>
      <c r="AB27" s="2">
        <f t="shared" si="8"/>
        <v>39.799999999999997</v>
      </c>
      <c r="AC27" s="2">
        <f t="shared" si="2"/>
        <v>47.76</v>
      </c>
      <c r="AD27" s="30">
        <f>((AVERAGE(AA16:AA27)*('Summary Page'!$C$2+1))*('Summary Page'!$C$2+1))*('Summary Page'!$C$2+1)</f>
        <v>94.655334933333336</v>
      </c>
      <c r="AE27" s="30">
        <f>((AVERAGE(AA16:AA27)*('Summary Page'!$C$3+1))*('Summary Page'!$C$3+1))*('Summary Page'!$C$3+1)</f>
        <v>118.44075520833336</v>
      </c>
      <c r="AF27" s="30">
        <f>((AVERAGE(AA16:AA27)*('Summary Page'!$C$4+1))*('Summary Page'!$C$4+1))*('Summary Page'!$C$4+1)</f>
        <v>104.78880000000001</v>
      </c>
      <c r="AG27" s="7">
        <v>80</v>
      </c>
      <c r="AJ27" s="7">
        <f t="shared" si="3"/>
        <v>58.8</v>
      </c>
      <c r="AK27" s="7">
        <f>((AVERAGE(B22:B27)*('Summary Page'!$C$2+1))*('Summary Page'!$C$2+1))*('Summary Page'!$C$2+1)</f>
        <v>100.15749333333332</v>
      </c>
      <c r="AL27" s="7">
        <f>((AVERAGE(B22:B27)*('Summary Page'!$C$3+1))*('Summary Page'!$C$3+1))*('Summary Page'!$C$3+1)</f>
        <v>125.32552083333336</v>
      </c>
      <c r="AM27" s="8">
        <f>((AVERAGE(B22:B27)*('Summary Page'!$C$4+1))*('Summary Page'!$C$4+1))*('Summary Page'!$C$4+1)</f>
        <v>110.87999999999998</v>
      </c>
      <c r="AP27" s="7">
        <f t="shared" si="4"/>
        <v>58.8</v>
      </c>
      <c r="AQ27" s="7">
        <f>((AVERAGE(C22:C27)*('Summary Page'!$C$2+1))*('Summary Page'!$C$2+1))*('Summary Page'!$C$2+1)</f>
        <v>111.60406399999998</v>
      </c>
      <c r="AR27" s="7">
        <f>((AVERAGE(C22:C27)*('Summary Page'!$C$3+1))*('Summary Page'!$C$3+1))*('Summary Page'!$C$3+1)</f>
        <v>139.6484375</v>
      </c>
      <c r="AS27" s="7">
        <f>((AVERAGE(C22:C27)*('Summary Page'!$C$4+1))*('Summary Page'!$C$4+1))*('Summary Page'!$C$4+1)</f>
        <v>123.55199999999999</v>
      </c>
      <c r="AV27" s="43">
        <f t="shared" si="5"/>
        <v>64.8</v>
      </c>
      <c r="AW27" s="7">
        <f>((AVERAGE(D22:D27)*('Summary Page'!$C$2+1))*('Summary Page'!$C$2+1))*('Summary Page'!$C$2+1)</f>
        <v>119.66869333333332</v>
      </c>
      <c r="AX27" s="7">
        <f>((AVERAGE(D22:D27)*('Summary Page'!$C$3+1))*('Summary Page'!$C$3+1))*('Summary Page'!$C$3+1)</f>
        <v>149.73958333333337</v>
      </c>
      <c r="AY27" s="8">
        <f>((AVERAGE(D22:D27)*('Summary Page'!$C$4+1))*('Summary Page'!$C$4+1))*('Summary Page'!$C$4+1)</f>
        <v>132.47999999999999</v>
      </c>
      <c r="BB27" s="43">
        <f t="shared" si="6"/>
        <v>56.4</v>
      </c>
      <c r="BC27" s="30">
        <f>((AVERAGE(E22:E27)*('Summary Page'!$C$2+1))*('Summary Page'!$C$2+1))*('Summary Page'!$C$2+1)</f>
        <v>136.57839999999999</v>
      </c>
      <c r="BD27" s="30">
        <f>((AVERAGE(E22:E27)*('Summary Page'!$C$3+1))*('Summary Page'!$C$3+1))*('Summary Page'!$C$3+1)</f>
        <v>170.8984375</v>
      </c>
      <c r="BE27" s="32">
        <f>((AVERAGE(E22:E27)*('Summary Page'!$C$4+1))*('Summary Page'!$C$4+1))*('Summary Page'!$C$4+1)</f>
        <v>151.19999999999999</v>
      </c>
      <c r="BH27" s="43">
        <f t="shared" si="7"/>
        <v>72</v>
      </c>
      <c r="BI27" s="7">
        <f>((AVERAGE(N22:N27)*('Summary Page'!$C$2+1))*('Summary Page'!$C$2+1))*('Summary Page'!$C$2+1)</f>
        <v>123.70100799999997</v>
      </c>
      <c r="BJ27" s="7">
        <f>((AVERAGE(N22:N27)*('Summary Page'!$C$3+1))*('Summary Page'!$C$3+1))*('Summary Page'!$C$3+1)</f>
        <v>154.78515625</v>
      </c>
      <c r="BK27" s="7">
        <f>((AVERAGE(N22:N27)*('Summary Page'!$C$4+1))*('Summary Page'!$C$4+1))*('Summary Page'!$C$4+1)</f>
        <v>136.94399999999999</v>
      </c>
      <c r="BL27" s="16">
        <f t="shared" si="9"/>
        <v>19.655430711610485</v>
      </c>
      <c r="BM27" s="16">
        <f t="shared" si="9"/>
        <v>17.318352059925093</v>
      </c>
      <c r="BN27" s="7">
        <f t="shared" si="10"/>
        <v>20.782022471910111</v>
      </c>
      <c r="BO27" s="7">
        <f>((AVERAGE(BL22:BL27)*('Summary Page'!$C$2+1))*('Summary Page'!$C$2+1))*('Summary Page'!$C$2+1)</f>
        <v>30.165630561797744</v>
      </c>
      <c r="BP27" s="7">
        <f>((AVERAGE(BL22:BL27)*('Summary Page'!$C$3+1))*('Summary Page'!$C$3+1))*('Summary Page'!$C$3+1)</f>
        <v>37.745786516853926</v>
      </c>
      <c r="BQ27" s="7">
        <f>((AVERAGE(BL22:BL27)*('Summary Page'!$C$4+1))*('Summary Page'!$C$4+1))*('Summary Page'!$C$4+1)</f>
        <v>33.395056179775281</v>
      </c>
      <c r="BR27" s="11">
        <f t="shared" si="11"/>
        <v>22.931335830212234</v>
      </c>
      <c r="BS27" s="11">
        <f t="shared" si="12"/>
        <v>20.204744069912607</v>
      </c>
      <c r="BT27" s="11">
        <f t="shared" si="13"/>
        <v>24.245692883895128</v>
      </c>
      <c r="BU27" s="11">
        <f t="shared" si="14"/>
        <v>35.193235655430705</v>
      </c>
      <c r="BV27" s="11">
        <f t="shared" si="15"/>
        <v>44.036750936329582</v>
      </c>
      <c r="BW27" s="11">
        <f t="shared" si="16"/>
        <v>38.960898876404492</v>
      </c>
    </row>
    <row r="28" spans="1:75" ht="15.75" x14ac:dyDescent="0.25">
      <c r="A28" s="10">
        <v>43740</v>
      </c>
      <c r="B28" s="218">
        <v>86</v>
      </c>
      <c r="C28" s="43">
        <v>84</v>
      </c>
      <c r="D28" s="67">
        <v>112</v>
      </c>
      <c r="E28" s="1367">
        <v>123</v>
      </c>
      <c r="F28" s="218">
        <v>68</v>
      </c>
      <c r="G28" s="43">
        <v>68</v>
      </c>
      <c r="H28" s="43">
        <v>88</v>
      </c>
      <c r="I28" s="213">
        <v>57</v>
      </c>
      <c r="J28" s="218"/>
      <c r="K28" s="43"/>
      <c r="L28" s="43"/>
      <c r="M28" s="213"/>
      <c r="N28" s="43">
        <v>109</v>
      </c>
      <c r="O28" s="43">
        <v>88</v>
      </c>
      <c r="P28" s="43"/>
      <c r="Q28" s="218">
        <v>419</v>
      </c>
      <c r="R28" s="43">
        <v>421</v>
      </c>
      <c r="S28" s="213"/>
      <c r="T28" s="43"/>
      <c r="U28" s="43"/>
      <c r="V28" s="43"/>
      <c r="W28" s="218"/>
      <c r="X28" s="43"/>
      <c r="Y28" s="213"/>
      <c r="Z28" s="43"/>
      <c r="AA28" s="2">
        <f t="shared" si="1"/>
        <v>81</v>
      </c>
      <c r="AB28" s="2">
        <f t="shared" si="8"/>
        <v>56.2</v>
      </c>
      <c r="AC28" s="2">
        <f t="shared" si="2"/>
        <v>67.44</v>
      </c>
      <c r="AD28" s="30">
        <f>((AVERAGE(AA17:AA28)*('Summary Page'!$C$2+1))*('Summary Page'!$C$2+1))*('Summary Page'!$C$2+1)</f>
        <v>97.777126933333307</v>
      </c>
      <c r="AE28" s="30">
        <f>((AVERAGE(AA17:AA28)*('Summary Page'!$C$3+1))*('Summary Page'!$C$3+1))*('Summary Page'!$C$3+1)</f>
        <v>122.34700520833336</v>
      </c>
      <c r="AF28" s="30">
        <f>((AVERAGE(AA17:AA28)*('Summary Page'!$C$4+1))*('Summary Page'!$C$4+1))*('Summary Page'!$C$4+1)</f>
        <v>108.24479999999998</v>
      </c>
      <c r="AG28" s="7">
        <v>80</v>
      </c>
      <c r="AJ28" s="7">
        <f t="shared" si="3"/>
        <v>81.599999999999994</v>
      </c>
      <c r="AK28" s="7">
        <f>((AVERAGE(B23:B28)*('Summary Page'!$C$2+1))*('Summary Page'!$C$2+1))*('Summary Page'!$C$2+1)</f>
        <v>105.88077866666663</v>
      </c>
      <c r="AL28" s="7">
        <f>((AVERAGE(B23:B28)*('Summary Page'!$C$3+1))*('Summary Page'!$C$3+1))*('Summary Page'!$C$3+1)</f>
        <v>132.48697916666663</v>
      </c>
      <c r="AM28" s="8">
        <f>((AVERAGE(B23:B28)*('Summary Page'!$C$4+1))*('Summary Page'!$C$4+1))*('Summary Page'!$C$4+1)</f>
        <v>117.21599999999998</v>
      </c>
      <c r="AP28" s="7">
        <f t="shared" si="4"/>
        <v>81.599999999999994</v>
      </c>
      <c r="AQ28" s="7">
        <f>((AVERAGE(C23:C28)*('Summary Page'!$C$2+1))*('Summary Page'!$C$2+1))*('Summary Page'!$C$2+1)</f>
        <v>112.90481066666662</v>
      </c>
      <c r="AR28" s="7">
        <f>((AVERAGE(C23:C28)*('Summary Page'!$C$3+1))*('Summary Page'!$C$3+1))*('Summary Page'!$C$3+1)</f>
        <v>141.27604166666663</v>
      </c>
      <c r="AS28" s="7">
        <f>((AVERAGE(C23:C28)*('Summary Page'!$C$4+1))*('Summary Page'!$C$4+1))*('Summary Page'!$C$4+1)</f>
        <v>124.99199999999999</v>
      </c>
      <c r="AV28" s="43">
        <f t="shared" si="5"/>
        <v>105.6</v>
      </c>
      <c r="AW28" s="7">
        <f>((AVERAGE(D23:D28)*('Summary Page'!$C$2+1))*('Summary Page'!$C$2+1))*('Summary Page'!$C$2+1)</f>
        <v>126.95287466666662</v>
      </c>
      <c r="AX28" s="7">
        <f>((AVERAGE(D23:D28)*('Summary Page'!$C$3+1))*('Summary Page'!$C$3+1))*('Summary Page'!$C$3+1)</f>
        <v>158.85416666666663</v>
      </c>
      <c r="AY28" s="8">
        <f>((AVERAGE(D23:D28)*('Summary Page'!$C$4+1))*('Summary Page'!$C$4+1))*('Summary Page'!$C$4+1)</f>
        <v>140.54399999999998</v>
      </c>
      <c r="BB28" s="43">
        <f t="shared" si="6"/>
        <v>68.399999999999991</v>
      </c>
      <c r="BC28" s="30">
        <f>((AVERAGE(E23:E28)*('Summary Page'!$C$2+1))*('Summary Page'!$C$2+1))*('Summary Page'!$C$2+1)</f>
        <v>144.90317866666663</v>
      </c>
      <c r="BD28" s="30">
        <f>((AVERAGE(E23:E28)*('Summary Page'!$C$3+1))*('Summary Page'!$C$3+1))*('Summary Page'!$C$3+1)</f>
        <v>181.31510416666663</v>
      </c>
      <c r="BE28" s="32">
        <f>((AVERAGE(E23:E28)*('Summary Page'!$C$4+1))*('Summary Page'!$C$4+1))*('Summary Page'!$C$4+1)</f>
        <v>160.41599999999997</v>
      </c>
      <c r="BH28" s="43">
        <f t="shared" si="7"/>
        <v>105.6</v>
      </c>
      <c r="BI28" s="7">
        <f>((AVERAGE(N23:N28)*('Summary Page'!$C$2+1))*('Summary Page'!$C$2+1))*('Summary Page'!$C$2+1)</f>
        <v>132.98833919999998</v>
      </c>
      <c r="BJ28" s="7">
        <f>((AVERAGE(N23:N28)*('Summary Page'!$C$3+1))*('Summary Page'!$C$3+1))*('Summary Page'!$C$3+1)</f>
        <v>166.40625</v>
      </c>
      <c r="BK28" s="7">
        <f>((AVERAGE(N23:N28)*('Summary Page'!$C$4+1))*('Summary Page'!$C$4+1))*('Summary Page'!$C$4+1)</f>
        <v>147.22559999999999</v>
      </c>
      <c r="BL28" s="16">
        <f t="shared" si="9"/>
        <v>12.554307116104869</v>
      </c>
      <c r="BM28" s="16">
        <f t="shared" si="9"/>
        <v>12.614232209737827</v>
      </c>
      <c r="BN28" s="7">
        <f t="shared" si="10"/>
        <v>15.137078651685391</v>
      </c>
      <c r="BO28" s="7">
        <f>((AVERAGE(BL23:BL28)*('Summary Page'!$C$2+1))*('Summary Page'!$C$2+1))*('Summary Page'!$C$2+1)</f>
        <v>26.642409627965041</v>
      </c>
      <c r="BP28" s="7">
        <f>((AVERAGE(BL23:BL28)*('Summary Page'!$C$3+1))*('Summary Page'!$C$3+1))*('Summary Page'!$C$3+1)</f>
        <v>33.337234706616734</v>
      </c>
      <c r="BQ28" s="7">
        <f>((AVERAGE(BL23:BL28)*('Summary Page'!$C$4+1))*('Summary Page'!$C$4+1))*('Summary Page'!$C$4+1)</f>
        <v>29.494651685393258</v>
      </c>
      <c r="BR28" s="11">
        <f t="shared" si="11"/>
        <v>14.646691635455682</v>
      </c>
      <c r="BS28" s="11">
        <f t="shared" si="12"/>
        <v>14.716604244694132</v>
      </c>
      <c r="BT28" s="11">
        <f t="shared" si="13"/>
        <v>17.659925093632957</v>
      </c>
      <c r="BU28" s="11">
        <f t="shared" si="14"/>
        <v>31.082811232625879</v>
      </c>
      <c r="BV28" s="11">
        <f t="shared" si="15"/>
        <v>38.893440491052857</v>
      </c>
      <c r="BW28" s="11">
        <f t="shared" si="16"/>
        <v>34.410426966292135</v>
      </c>
    </row>
    <row r="29" spans="1:75" ht="15.75" x14ac:dyDescent="0.25">
      <c r="A29" s="10">
        <v>43773</v>
      </c>
      <c r="B29" s="218">
        <v>85</v>
      </c>
      <c r="C29" s="43">
        <v>88</v>
      </c>
      <c r="D29" s="67">
        <v>118</v>
      </c>
      <c r="E29" s="1367">
        <v>91</v>
      </c>
      <c r="F29" s="218">
        <v>52</v>
      </c>
      <c r="G29" s="43">
        <v>47</v>
      </c>
      <c r="H29" s="43">
        <v>61</v>
      </c>
      <c r="I29" s="213">
        <v>31</v>
      </c>
      <c r="J29" s="218"/>
      <c r="K29" s="43"/>
      <c r="L29" s="43"/>
      <c r="M29" s="213"/>
      <c r="N29" s="43">
        <v>118</v>
      </c>
      <c r="O29" s="43">
        <v>61</v>
      </c>
      <c r="P29" s="43"/>
      <c r="Q29" s="218">
        <v>405</v>
      </c>
      <c r="R29" s="43">
        <v>413</v>
      </c>
      <c r="S29" s="213"/>
      <c r="T29" s="43"/>
      <c r="U29" s="43"/>
      <c r="V29" s="43"/>
      <c r="W29" s="218"/>
      <c r="X29" s="43"/>
      <c r="Y29" s="213"/>
      <c r="Z29" s="43"/>
      <c r="AA29" s="2">
        <f t="shared" si="1"/>
        <v>76.400000000000006</v>
      </c>
      <c r="AB29" s="2">
        <f t="shared" si="8"/>
        <v>38.200000000000003</v>
      </c>
      <c r="AC29" s="2">
        <f t="shared" si="2"/>
        <v>45.84</v>
      </c>
      <c r="AD29" s="30">
        <f>((AVERAGE(AA18:AA29)*('Summary Page'!$C$2+1))*('Summary Page'!$C$2+1))*('Summary Page'!$C$2+1)</f>
        <v>100.14448586666667</v>
      </c>
      <c r="AE29" s="30">
        <f>((AVERAGE(AA18:AA29)*('Summary Page'!$C$3+1))*('Summary Page'!$C$3+1))*('Summary Page'!$C$3+1)</f>
        <v>125.3092447916667</v>
      </c>
      <c r="AF29" s="30">
        <f>((AVERAGE(AA18:AA29)*('Summary Page'!$C$4+1))*('Summary Page'!$C$4+1))*('Summary Page'!$C$4+1)</f>
        <v>110.8656</v>
      </c>
      <c r="AG29" s="7">
        <v>80</v>
      </c>
      <c r="AJ29" s="7">
        <f t="shared" si="3"/>
        <v>62.4</v>
      </c>
      <c r="AK29" s="7">
        <f>((AVERAGE(B24:B29)*('Summary Page'!$C$2+1))*('Summary Page'!$C$2+1))*('Summary Page'!$C$2+1)</f>
        <v>111.0837653333333</v>
      </c>
      <c r="AL29" s="7">
        <f>((AVERAGE(B24:B29)*('Summary Page'!$C$3+1))*('Summary Page'!$C$3+1))*('Summary Page'!$C$3+1)</f>
        <v>138.99739583333337</v>
      </c>
      <c r="AM29" s="8">
        <f>((AVERAGE(B24:B29)*('Summary Page'!$C$4+1))*('Summary Page'!$C$4+1))*('Summary Page'!$C$4+1)</f>
        <v>122.976</v>
      </c>
      <c r="AP29" s="7">
        <f t="shared" si="4"/>
        <v>56.4</v>
      </c>
      <c r="AQ29" s="7">
        <f>((AVERAGE(C24:C29)*('Summary Page'!$C$2+1))*('Summary Page'!$C$2+1))*('Summary Page'!$C$2+1)</f>
        <v>115.76645333333332</v>
      </c>
      <c r="AR29" s="7">
        <f>((AVERAGE(C24:C29)*('Summary Page'!$C$3+1))*('Summary Page'!$C$3+1))*('Summary Page'!$C$3+1)</f>
        <v>144.85677083333337</v>
      </c>
      <c r="AS29" s="7">
        <f>((AVERAGE(C24:C29)*('Summary Page'!$C$4+1))*('Summary Page'!$C$4+1))*('Summary Page'!$C$4+1)</f>
        <v>128.16</v>
      </c>
      <c r="AV29" s="43">
        <f t="shared" si="5"/>
        <v>73.2</v>
      </c>
      <c r="AW29" s="7">
        <f>((AVERAGE(D24:D29)*('Summary Page'!$C$2+1))*('Summary Page'!$C$2+1))*('Summary Page'!$C$2+1)</f>
        <v>135.53780266666664</v>
      </c>
      <c r="AX29" s="7">
        <f>((AVERAGE(D24:D29)*('Summary Page'!$C$3+1))*('Summary Page'!$C$3+1))*('Summary Page'!$C$3+1)</f>
        <v>169.59635416666663</v>
      </c>
      <c r="AY29" s="8">
        <f>((AVERAGE(D24:D29)*('Summary Page'!$C$4+1))*('Summary Page'!$C$4+1))*('Summary Page'!$C$4+1)</f>
        <v>150.04799999999997</v>
      </c>
      <c r="BB29" s="43">
        <f t="shared" si="6"/>
        <v>37.199999999999996</v>
      </c>
      <c r="BC29" s="30">
        <f>((AVERAGE(E24:E29)*('Summary Page'!$C$2+1))*('Summary Page'!$C$2+1))*('Summary Page'!$C$2+1)</f>
        <v>143.86258133333331</v>
      </c>
      <c r="BD29" s="30">
        <f>((AVERAGE(E24:E29)*('Summary Page'!$C$3+1))*('Summary Page'!$C$3+1))*('Summary Page'!$C$3+1)</f>
        <v>180.01302083333337</v>
      </c>
      <c r="BE29" s="32">
        <f>((AVERAGE(E24:E29)*('Summary Page'!$C$4+1))*('Summary Page'!$C$4+1))*('Summary Page'!$C$4+1)</f>
        <v>159.26399999999998</v>
      </c>
      <c r="BH29" s="43">
        <f t="shared" si="7"/>
        <v>73.2</v>
      </c>
      <c r="BI29" s="7">
        <f>((AVERAGE(N24:N29)*('Summary Page'!$C$2+1))*('Summary Page'!$C$2+1))*('Summary Page'!$C$2+1)</f>
        <v>141.52123733333332</v>
      </c>
      <c r="BJ29" s="7">
        <f>((AVERAGE(N24:N29)*('Summary Page'!$C$3+1))*('Summary Page'!$C$3+1))*('Summary Page'!$C$3+1)</f>
        <v>177.08333333333337</v>
      </c>
      <c r="BK29" s="7">
        <f>((AVERAGE(N24:N29)*('Summary Page'!$C$4+1))*('Summary Page'!$C$4+1))*('Summary Page'!$C$4+1)</f>
        <v>156.672</v>
      </c>
      <c r="BL29" s="16">
        <f t="shared" ref="BL29:BL50" si="17">Q29/7.5/0.89/5</f>
        <v>12.134831460674157</v>
      </c>
      <c r="BM29" s="16">
        <f t="shared" ref="BM29:BM50" si="18">R29/7.5/0.89/5</f>
        <v>12.374531835205993</v>
      </c>
      <c r="BN29" s="7">
        <f t="shared" si="10"/>
        <v>14.849438202247191</v>
      </c>
      <c r="BO29" s="7">
        <f>((AVERAGE(BL24:BL29)*('Summary Page'!$C$2+1))*('Summary Page'!$C$2+1))*('Summary Page'!$C$2+1)</f>
        <v>24.717109692883888</v>
      </c>
      <c r="BP29" s="7">
        <f>((AVERAGE(BL24:BL29)*('Summary Page'!$C$3+1))*('Summary Page'!$C$3+1))*('Summary Page'!$C$3+1)</f>
        <v>30.928136704119851</v>
      </c>
      <c r="BQ29" s="7">
        <f>((AVERAGE(BL24:BL29)*('Summary Page'!$C$4+1))*('Summary Page'!$C$4+1))*('Summary Page'!$C$4+1)</f>
        <v>27.363235955056179</v>
      </c>
      <c r="BR29" s="11">
        <f t="shared" si="11"/>
        <v>14.157303370786517</v>
      </c>
      <c r="BS29" s="11">
        <f t="shared" si="12"/>
        <v>14.436953807740325</v>
      </c>
      <c r="BT29" s="11">
        <f t="shared" si="13"/>
        <v>17.324344569288389</v>
      </c>
      <c r="BU29" s="11">
        <f t="shared" si="14"/>
        <v>28.836627975031202</v>
      </c>
      <c r="BV29" s="11">
        <f t="shared" si="15"/>
        <v>36.08282615480649</v>
      </c>
      <c r="BW29" s="11">
        <f t="shared" si="16"/>
        <v>31.923775280898877</v>
      </c>
    </row>
    <row r="30" spans="1:75" ht="15.75" x14ac:dyDescent="0.25">
      <c r="A30" s="10">
        <v>43801</v>
      </c>
      <c r="B30" s="218">
        <v>79</v>
      </c>
      <c r="C30" s="43">
        <v>81</v>
      </c>
      <c r="D30" s="67">
        <v>110</v>
      </c>
      <c r="E30" s="1367">
        <v>76</v>
      </c>
      <c r="F30" s="218">
        <v>52</v>
      </c>
      <c r="G30" s="43">
        <v>52</v>
      </c>
      <c r="H30" s="43">
        <v>63</v>
      </c>
      <c r="I30" s="213">
        <v>40</v>
      </c>
      <c r="J30" s="218"/>
      <c r="K30" s="43"/>
      <c r="L30" s="43"/>
      <c r="M30" s="213"/>
      <c r="N30" s="43">
        <v>108</v>
      </c>
      <c r="O30" s="43">
        <v>67</v>
      </c>
      <c r="P30" s="43"/>
      <c r="Q30" s="218">
        <v>438</v>
      </c>
      <c r="R30" s="43">
        <v>274</v>
      </c>
      <c r="S30" s="213"/>
      <c r="T30" s="43"/>
      <c r="U30" s="43"/>
      <c r="V30" s="43"/>
      <c r="W30" s="218"/>
      <c r="X30" s="43"/>
      <c r="Y30" s="213"/>
      <c r="Z30" s="43"/>
      <c r="AA30" s="2">
        <f t="shared" si="1"/>
        <v>69.2</v>
      </c>
      <c r="AB30" s="2">
        <f t="shared" si="8"/>
        <v>41.4</v>
      </c>
      <c r="AC30" s="2">
        <f t="shared" si="2"/>
        <v>49.68</v>
      </c>
      <c r="AD30" s="30">
        <f>((AVERAGE(AA19:AA30)*('Summary Page'!$C$2+1))*('Summary Page'!$C$2+1))*('Summary Page'!$C$2+1)</f>
        <v>101.39320266666664</v>
      </c>
      <c r="AE30" s="30">
        <f>((AVERAGE(AA19:AA30)*('Summary Page'!$C$3+1))*('Summary Page'!$C$3+1))*('Summary Page'!$C$3+1)</f>
        <v>126.87174479166664</v>
      </c>
      <c r="AF30" s="30">
        <f>((AVERAGE(AA19:AA30)*('Summary Page'!$C$4+1))*('Summary Page'!$C$4+1))*('Summary Page'!$C$4+1)</f>
        <v>112.24799999999998</v>
      </c>
      <c r="AG30" s="7">
        <v>80</v>
      </c>
      <c r="AJ30" s="7">
        <f t="shared" ref="AJ30:AJ49" si="19">F30*1.2</f>
        <v>62.4</v>
      </c>
      <c r="AK30" s="7">
        <f>((AVERAGE(B25:B30)*('Summary Page'!$C$2+1))*('Summary Page'!$C$2+1))*('Summary Page'!$C$2+1)</f>
        <v>113.94540799999997</v>
      </c>
      <c r="AL30" s="7">
        <f>((AVERAGE(B25:B30)*('Summary Page'!$C$3+1))*('Summary Page'!$C$3+1))*('Summary Page'!$C$3+1)</f>
        <v>142.578125</v>
      </c>
      <c r="AM30" s="8">
        <f>((AVERAGE(B25:B30)*('Summary Page'!$C$4+1))*('Summary Page'!$C$4+1))*('Summary Page'!$C$4+1)</f>
        <v>126.14399999999998</v>
      </c>
      <c r="AP30" s="7">
        <f t="shared" ref="AP30:AP66" si="20">G30*1.2</f>
        <v>62.4</v>
      </c>
      <c r="AQ30" s="7">
        <f>((AVERAGE(C25:C30)*('Summary Page'!$C$2+1))*('Summary Page'!$C$2+1))*('Summary Page'!$C$2+1)</f>
        <v>118.10779733333331</v>
      </c>
      <c r="AR30" s="7">
        <f>((AVERAGE(C25:C30)*('Summary Page'!$C$3+1))*('Summary Page'!$C$3+1))*('Summary Page'!$C$3+1)</f>
        <v>147.78645833333337</v>
      </c>
      <c r="AS30" s="7">
        <f>((AVERAGE(C25:C30)*('Summary Page'!$C$4+1))*('Summary Page'!$C$4+1))*('Summary Page'!$C$4+1)</f>
        <v>130.75199999999998</v>
      </c>
      <c r="AV30" s="43">
        <f t="shared" ref="AV30:AV66" si="21">H30*1.2</f>
        <v>75.599999999999994</v>
      </c>
      <c r="AW30" s="7">
        <f>((AVERAGE(D25:D30)*('Summary Page'!$C$2+1))*('Summary Page'!$C$2+1))*('Summary Page'!$C$2+1)</f>
        <v>143.86258133333331</v>
      </c>
      <c r="AX30" s="7">
        <f>((AVERAGE(D25:D30)*('Summary Page'!$C$3+1))*('Summary Page'!$C$3+1))*('Summary Page'!$C$3+1)</f>
        <v>180.01302083333337</v>
      </c>
      <c r="AY30" s="8">
        <f>((AVERAGE(D25:D30)*('Summary Page'!$C$4+1))*('Summary Page'!$C$4+1))*('Summary Page'!$C$4+1)</f>
        <v>159.26399999999998</v>
      </c>
      <c r="BB30" s="43">
        <f t="shared" ref="BB30:BB49" si="22">I30*1.2</f>
        <v>48</v>
      </c>
      <c r="BC30" s="30">
        <f>((AVERAGE(E25:E30)*('Summary Page'!$C$2+1))*('Summary Page'!$C$2+1))*('Summary Page'!$C$2+1)</f>
        <v>137.87914666666663</v>
      </c>
      <c r="BD30" s="30">
        <f>((AVERAGE(E25:E30)*('Summary Page'!$C$3+1))*('Summary Page'!$C$3+1))*('Summary Page'!$C$3+1)</f>
        <v>172.52604166666663</v>
      </c>
      <c r="BE30" s="32">
        <f>((AVERAGE(E25:E30)*('Summary Page'!$C$4+1))*('Summary Page'!$C$4+1))*('Summary Page'!$C$4+1)</f>
        <v>152.63999999999996</v>
      </c>
      <c r="BH30" s="43">
        <f t="shared" ref="BH30:BH50" si="23">O30*1.2</f>
        <v>80.399999999999991</v>
      </c>
      <c r="BI30" s="7">
        <f>((AVERAGE(N25:N30)*('Summary Page'!$C$2+1))*('Summary Page'!$C$2+1))*('Summary Page'!$C$2+1)</f>
        <v>148.28511999999998</v>
      </c>
      <c r="BJ30" s="7">
        <f>((AVERAGE(N25:N30)*('Summary Page'!$C$3+1))*('Summary Page'!$C$3+1))*('Summary Page'!$C$3+1)</f>
        <v>185.546875</v>
      </c>
      <c r="BK30" s="7">
        <f>((AVERAGE(N25:N30)*('Summary Page'!$C$4+1))*('Summary Page'!$C$4+1))*('Summary Page'!$C$4+1)</f>
        <v>164.15999999999997</v>
      </c>
      <c r="BL30" s="16">
        <f t="shared" si="17"/>
        <v>13.123595505617976</v>
      </c>
      <c r="BM30" s="16">
        <f t="shared" si="18"/>
        <v>8.2097378277153545</v>
      </c>
      <c r="BN30" s="7">
        <f t="shared" si="10"/>
        <v>9.8516853932584247</v>
      </c>
      <c r="BO30" s="7">
        <f>((AVERAGE(BL25:BL30)*('Summary Page'!$C$2+1))*('Summary Page'!$C$2+1))*('Summary Page'!$C$2+1)</f>
        <v>23.870601300374528</v>
      </c>
      <c r="BP30" s="7">
        <f>((AVERAGE(BL25:BL30)*('Summary Page'!$C$3+1))*('Summary Page'!$C$3+1))*('Summary Page'!$C$3+1)</f>
        <v>29.868913857677903</v>
      </c>
      <c r="BQ30" s="7">
        <f>((AVERAGE(BL25:BL30)*('Summary Page'!$C$4+1))*('Summary Page'!$C$4+1))*('Summary Page'!$C$4+1)</f>
        <v>26.426103370786517</v>
      </c>
      <c r="BR30" s="11">
        <f t="shared" si="11"/>
        <v>15.310861423220972</v>
      </c>
      <c r="BS30" s="11">
        <f t="shared" si="12"/>
        <v>9.5780274656679136</v>
      </c>
      <c r="BT30" s="11">
        <f t="shared" si="13"/>
        <v>11.493632958801495</v>
      </c>
      <c r="BU30" s="11">
        <f t="shared" si="14"/>
        <v>27.849034850436951</v>
      </c>
      <c r="BV30" s="11">
        <f t="shared" si="15"/>
        <v>34.84706616729089</v>
      </c>
      <c r="BW30" s="11">
        <f t="shared" si="16"/>
        <v>30.83045393258427</v>
      </c>
    </row>
    <row r="31" spans="1:75" ht="15.75" x14ac:dyDescent="0.25">
      <c r="A31" s="10">
        <v>43838</v>
      </c>
      <c r="B31" s="218">
        <v>67</v>
      </c>
      <c r="C31" s="43">
        <v>71</v>
      </c>
      <c r="D31" s="67">
        <v>58</v>
      </c>
      <c r="E31" s="1367">
        <v>77</v>
      </c>
      <c r="F31" s="218">
        <v>67</v>
      </c>
      <c r="G31" s="43">
        <v>64</v>
      </c>
      <c r="H31" s="43">
        <v>53</v>
      </c>
      <c r="I31" s="213">
        <v>51</v>
      </c>
      <c r="J31" s="218"/>
      <c r="K31" s="43"/>
      <c r="L31" s="43"/>
      <c r="M31" s="213"/>
      <c r="N31" s="43">
        <v>95</v>
      </c>
      <c r="O31" s="43">
        <v>78</v>
      </c>
      <c r="P31" s="43"/>
      <c r="Q31" s="218">
        <v>397</v>
      </c>
      <c r="R31" s="43">
        <v>414</v>
      </c>
      <c r="S31" s="213"/>
      <c r="T31" s="43"/>
      <c r="U31" s="43"/>
      <c r="V31" s="43"/>
      <c r="W31" s="218"/>
      <c r="X31" s="43"/>
      <c r="Y31" s="213"/>
      <c r="Z31" s="43"/>
      <c r="AA31" s="2">
        <f t="shared" si="1"/>
        <v>54.6</v>
      </c>
      <c r="AB31" s="2">
        <f t="shared" si="8"/>
        <v>47</v>
      </c>
      <c r="AC31" s="2">
        <f t="shared" si="2"/>
        <v>56.4</v>
      </c>
      <c r="AD31" s="30">
        <f>((AVERAGE(AA20:AA31)*('Summary Page'!$C$2+1))*('Summary Page'!$C$2+1))*('Summary Page'!$C$2+1)</f>
        <v>100.35260533333332</v>
      </c>
      <c r="AE31" s="30">
        <f>((AVERAGE(AA20:AA31)*('Summary Page'!$C$3+1))*('Summary Page'!$C$3+1))*('Summary Page'!$C$3+1)</f>
        <v>125.56966145833336</v>
      </c>
      <c r="AF31" s="30">
        <f>((AVERAGE(AA20:AA31)*('Summary Page'!$C$4+1))*('Summary Page'!$C$4+1))*('Summary Page'!$C$4+1)</f>
        <v>111.09599999999999</v>
      </c>
      <c r="AG31" s="7">
        <f t="shared" ref="AG31:AG48" si="24">AG30</f>
        <v>80</v>
      </c>
      <c r="AJ31" s="7">
        <f t="shared" si="19"/>
        <v>80.399999999999991</v>
      </c>
      <c r="AK31" s="7">
        <f>((AVERAGE(B26:B31)*('Summary Page'!$C$2+1))*('Summary Page'!$C$2+1))*('Summary Page'!$C$2+1)</f>
        <v>114.98600533333331</v>
      </c>
      <c r="AL31" s="7">
        <f>((AVERAGE(B26:B31)*('Summary Page'!$C$3+1))*('Summary Page'!$C$3+1))*('Summary Page'!$C$3+1)</f>
        <v>143.88020833333337</v>
      </c>
      <c r="AM31" s="8">
        <f>((AVERAGE(B26:B31)*('Summary Page'!$C$4+1))*('Summary Page'!$C$4+1))*('Summary Page'!$C$4+1)</f>
        <v>127.29599999999999</v>
      </c>
      <c r="AP31" s="7">
        <f t="shared" si="20"/>
        <v>76.8</v>
      </c>
      <c r="AQ31" s="7">
        <f>((AVERAGE(C26:C31)*('Summary Page'!$C$2+1))*('Summary Page'!$C$2+1))*('Summary Page'!$C$2+1)</f>
        <v>119.40854399999998</v>
      </c>
      <c r="AR31" s="7">
        <f>((AVERAGE(C26:C31)*('Summary Page'!$C$3+1))*('Summary Page'!$C$3+1))*('Summary Page'!$C$3+1)</f>
        <v>149.4140625</v>
      </c>
      <c r="AS31" s="7">
        <f>((AVERAGE(C26:C31)*('Summary Page'!$C$4+1))*('Summary Page'!$C$4+1))*('Summary Page'!$C$4+1)</f>
        <v>132.19199999999998</v>
      </c>
      <c r="AV31" s="43">
        <f t="shared" si="21"/>
        <v>63.599999999999994</v>
      </c>
      <c r="AW31" s="7">
        <f>((AVERAGE(D26:D31)*('Summary Page'!$C$2+1))*('Summary Page'!$C$2+1))*('Summary Page'!$C$2+1)</f>
        <v>140.74078933333331</v>
      </c>
      <c r="AX31" s="7">
        <f>((AVERAGE(D26:D31)*('Summary Page'!$C$3+1))*('Summary Page'!$C$3+1))*('Summary Page'!$C$3+1)</f>
        <v>176.10677083333337</v>
      </c>
      <c r="AY31" s="8">
        <f>((AVERAGE(D26:D31)*('Summary Page'!$C$4+1))*('Summary Page'!$C$4+1))*('Summary Page'!$C$4+1)</f>
        <v>155.80799999999999</v>
      </c>
      <c r="BB31" s="43">
        <f t="shared" si="22"/>
        <v>61.199999999999996</v>
      </c>
      <c r="BC31" s="30">
        <f>((AVERAGE(E26:E31)*('Summary Page'!$C$2+1))*('Summary Page'!$C$2+1))*('Summary Page'!$C$2+1)</f>
        <v>134.49720533333331</v>
      </c>
      <c r="BD31" s="30">
        <f>((AVERAGE(E26:E31)*('Summary Page'!$C$3+1))*('Summary Page'!$C$3+1))*('Summary Page'!$C$3+1)</f>
        <v>168.29427083333337</v>
      </c>
      <c r="BE31" s="32">
        <f>((AVERAGE(E26:E31)*('Summary Page'!$C$4+1))*('Summary Page'!$C$4+1))*('Summary Page'!$C$4+1)</f>
        <v>148.89599999999999</v>
      </c>
      <c r="BH31" s="43">
        <f t="shared" si="23"/>
        <v>93.6</v>
      </c>
      <c r="BI31" s="7">
        <f>((AVERAGE(N26:N31)*('Summary Page'!$C$2+1))*('Summary Page'!$C$2+1))*('Summary Page'!$C$2+1)</f>
        <v>151.66706133333329</v>
      </c>
      <c r="BJ31" s="7">
        <f>((AVERAGE(N26:N31)*('Summary Page'!$C$3+1))*('Summary Page'!$C$3+1))*('Summary Page'!$C$3+1)</f>
        <v>189.77864583333337</v>
      </c>
      <c r="BK31" s="7">
        <f>((AVERAGE(N26:N31)*('Summary Page'!$C$4+1))*('Summary Page'!$C$4+1))*('Summary Page'!$C$4+1)</f>
        <v>167.90399999999997</v>
      </c>
      <c r="BL31" s="16">
        <f t="shared" si="17"/>
        <v>11.895131086142321</v>
      </c>
      <c r="BM31" s="16">
        <f t="shared" si="18"/>
        <v>12.404494382022472</v>
      </c>
      <c r="BN31" s="7">
        <f t="shared" si="10"/>
        <v>14.885393258426966</v>
      </c>
      <c r="BO31" s="7">
        <f>((AVERAGE(BL26:BL31)*('Summary Page'!$C$2+1))*('Summary Page'!$C$2+1))*('Summary Page'!$C$2+1)</f>
        <v>22.986678172284641</v>
      </c>
      <c r="BP31" s="7">
        <f>((AVERAGE(BL26:BL31)*('Summary Page'!$C$3+1))*('Summary Page'!$C$3+1))*('Summary Page'!$C$3+1)</f>
        <v>28.762874531835209</v>
      </c>
      <c r="BQ31" s="7">
        <f>((AVERAGE(BL26:BL31)*('Summary Page'!$C$4+1))*('Summary Page'!$C$4+1))*('Summary Page'!$C$4+1)</f>
        <v>25.447550561797751</v>
      </c>
      <c r="BR31" s="11">
        <f t="shared" si="11"/>
        <v>13.877652933832708</v>
      </c>
      <c r="BS31" s="11">
        <f t="shared" si="12"/>
        <v>14.47191011235955</v>
      </c>
      <c r="BT31" s="11">
        <f t="shared" si="13"/>
        <v>17.366292134831461</v>
      </c>
      <c r="BU31" s="11">
        <f t="shared" si="14"/>
        <v>26.817791200998748</v>
      </c>
      <c r="BV31" s="11">
        <f t="shared" si="15"/>
        <v>33.556686953807741</v>
      </c>
      <c r="BW31" s="11">
        <f t="shared" si="16"/>
        <v>29.688808988764045</v>
      </c>
    </row>
    <row r="32" spans="1:75" ht="15.75" x14ac:dyDescent="0.25">
      <c r="A32" s="10">
        <v>43864</v>
      </c>
      <c r="B32" s="218">
        <v>60</v>
      </c>
      <c r="C32" s="43">
        <v>74</v>
      </c>
      <c r="D32" s="67">
        <v>60</v>
      </c>
      <c r="E32" s="1367">
        <v>68</v>
      </c>
      <c r="F32" s="218">
        <v>39</v>
      </c>
      <c r="G32" s="43">
        <v>44</v>
      </c>
      <c r="H32" s="43">
        <v>36</v>
      </c>
      <c r="I32" s="213">
        <v>38</v>
      </c>
      <c r="J32" s="218"/>
      <c r="K32" s="43"/>
      <c r="L32" s="43"/>
      <c r="M32" s="213"/>
      <c r="N32" s="43">
        <v>97</v>
      </c>
      <c r="O32" s="43">
        <v>56</v>
      </c>
      <c r="P32" s="43"/>
      <c r="Q32" s="218">
        <v>403</v>
      </c>
      <c r="R32" s="43">
        <v>427</v>
      </c>
      <c r="S32" s="213"/>
      <c r="T32" s="43"/>
      <c r="U32" s="43"/>
      <c r="V32" s="43"/>
      <c r="W32" s="218"/>
      <c r="X32" s="43"/>
      <c r="Y32" s="213"/>
      <c r="Z32" s="43"/>
      <c r="AA32" s="2">
        <f t="shared" si="1"/>
        <v>52.4</v>
      </c>
      <c r="AB32" s="2">
        <f t="shared" si="8"/>
        <v>31.4</v>
      </c>
      <c r="AC32" s="2">
        <f t="shared" si="2"/>
        <v>37.68</v>
      </c>
      <c r="AD32" s="30">
        <f>((AVERAGE(AA21:AA32)*('Summary Page'!$C$2+1))*('Summary Page'!$C$2+1))*('Summary Page'!$C$2+1)</f>
        <v>99.07787359999999</v>
      </c>
      <c r="AE32" s="30">
        <f>((AVERAGE(AA21:AA32)*('Summary Page'!$C$3+1))*('Summary Page'!$C$3+1))*('Summary Page'!$C$3+1)</f>
        <v>123.974609375</v>
      </c>
      <c r="AF32" s="30">
        <f>((AVERAGE(AA21:AA32)*('Summary Page'!$C$4+1))*('Summary Page'!$C$4+1))*('Summary Page'!$C$4+1)</f>
        <v>109.6848</v>
      </c>
      <c r="AG32" s="7">
        <f t="shared" si="24"/>
        <v>80</v>
      </c>
      <c r="AJ32" s="7">
        <f t="shared" si="19"/>
        <v>46.8</v>
      </c>
      <c r="AK32" s="7">
        <f>((AVERAGE(B27:B32)*('Summary Page'!$C$2+1))*('Summary Page'!$C$2+1))*('Summary Page'!$C$2+1)</f>
        <v>114.98600533333331</v>
      </c>
      <c r="AL32" s="7">
        <f>((AVERAGE(B27:B32)*('Summary Page'!$C$3+1))*('Summary Page'!$C$3+1))*('Summary Page'!$C$3+1)</f>
        <v>143.88020833333337</v>
      </c>
      <c r="AM32" s="8">
        <f>((AVERAGE(B27:B32)*('Summary Page'!$C$4+1))*('Summary Page'!$C$4+1))*('Summary Page'!$C$4+1)</f>
        <v>127.29599999999999</v>
      </c>
      <c r="AP32" s="7">
        <f t="shared" si="20"/>
        <v>52.8</v>
      </c>
      <c r="AQ32" s="7">
        <f>((AVERAGE(C27:C32)*('Summary Page'!$C$2+1))*('Summary Page'!$C$2+1))*('Summary Page'!$C$2+1)</f>
        <v>121.74988799999997</v>
      </c>
      <c r="AR32" s="7">
        <f>((AVERAGE(C27:C32)*('Summary Page'!$C$3+1))*('Summary Page'!$C$3+1))*('Summary Page'!$C$3+1)</f>
        <v>152.34375</v>
      </c>
      <c r="AS32" s="7">
        <f>((AVERAGE(C27:C32)*('Summary Page'!$C$4+1))*('Summary Page'!$C$4+1))*('Summary Page'!$C$4+1)</f>
        <v>134.78399999999999</v>
      </c>
      <c r="AV32" s="43">
        <f t="shared" si="21"/>
        <v>43.199999999999996</v>
      </c>
      <c r="AW32" s="7">
        <f>((AVERAGE(D27:D32)*('Summary Page'!$C$2+1))*('Summary Page'!$C$2+1))*('Summary Page'!$C$2+1)</f>
        <v>138.91974399999998</v>
      </c>
      <c r="AX32" s="7">
        <f>((AVERAGE(D27:D32)*('Summary Page'!$C$3+1))*('Summary Page'!$C$3+1))*('Summary Page'!$C$3+1)</f>
        <v>173.828125</v>
      </c>
      <c r="AY32" s="8">
        <f>((AVERAGE(D27:D32)*('Summary Page'!$C$4+1))*('Summary Page'!$C$4+1))*('Summary Page'!$C$4+1)</f>
        <v>153.792</v>
      </c>
      <c r="BB32" s="43">
        <f t="shared" si="22"/>
        <v>45.6</v>
      </c>
      <c r="BC32" s="30">
        <f>((AVERAGE(E27:E32)*('Summary Page'!$C$2+1))*('Summary Page'!$C$2+1))*('Summary Page'!$C$2+1)</f>
        <v>135.27765333333332</v>
      </c>
      <c r="BD32" s="30">
        <f>((AVERAGE(E27:E32)*('Summary Page'!$C$3+1))*('Summary Page'!$C$3+1))*('Summary Page'!$C$3+1)</f>
        <v>169.27083333333337</v>
      </c>
      <c r="BE32" s="32">
        <f>((AVERAGE(E27:E32)*('Summary Page'!$C$4+1))*('Summary Page'!$C$4+1))*('Summary Page'!$C$4+1)</f>
        <v>149.76</v>
      </c>
      <c r="BH32" s="43">
        <f t="shared" si="23"/>
        <v>67.2</v>
      </c>
      <c r="BI32" s="7">
        <f>((AVERAGE(N27:N32)*('Summary Page'!$C$2+1))*('Summary Page'!$C$2+1))*('Summary Page'!$C$2+1)</f>
        <v>157.3903466666666</v>
      </c>
      <c r="BJ32" s="7">
        <f>((AVERAGE(N27:N32)*('Summary Page'!$C$3+1))*('Summary Page'!$C$3+1))*('Summary Page'!$C$3+1)</f>
        <v>196.94010416666663</v>
      </c>
      <c r="BK32" s="7">
        <f>((AVERAGE(N27:N32)*('Summary Page'!$C$4+1))*('Summary Page'!$C$4+1))*('Summary Page'!$C$4+1)</f>
        <v>174.23999999999998</v>
      </c>
      <c r="BL32" s="16">
        <f t="shared" si="17"/>
        <v>12.074906367041198</v>
      </c>
      <c r="BM32" s="16">
        <f t="shared" si="18"/>
        <v>12.794007490636703</v>
      </c>
      <c r="BN32" s="7">
        <f t="shared" ref="BN32:BN50" si="25">BM32*1.2</f>
        <v>15.352808988764043</v>
      </c>
      <c r="BO32" s="7">
        <f>((AVERAGE(BL27:BL32)*('Summary Page'!$C$2+1))*('Summary Page'!$C$2+1))*('Summary Page'!$C$2+1)</f>
        <v>21.186094022471906</v>
      </c>
      <c r="BP32" s="7">
        <f>((AVERAGE(BL27:BL32)*('Summary Page'!$C$3+1))*('Summary Page'!$C$3+1))*('Summary Page'!$C$3+1)</f>
        <v>26.50983146067416</v>
      </c>
      <c r="BQ32" s="7">
        <f>((AVERAGE(BL27:BL32)*('Summary Page'!$C$4+1))*('Summary Page'!$C$4+1))*('Summary Page'!$C$4+1)</f>
        <v>23.454202247191009</v>
      </c>
      <c r="BR32" s="11">
        <f t="shared" ref="BR32:BR50" si="26">(BL32/6)+BL32</f>
        <v>14.087390761548065</v>
      </c>
      <c r="BS32" s="11">
        <f t="shared" si="12"/>
        <v>14.926342072409486</v>
      </c>
      <c r="BT32" s="11">
        <f t="shared" si="13"/>
        <v>17.911610486891384</v>
      </c>
      <c r="BU32" s="11">
        <f t="shared" si="14"/>
        <v>24.717109692883891</v>
      </c>
      <c r="BV32" s="11">
        <f t="shared" si="15"/>
        <v>30.928136704119854</v>
      </c>
      <c r="BW32" s="11">
        <f t="shared" si="16"/>
        <v>27.363235955056176</v>
      </c>
    </row>
    <row r="33" spans="1:75" ht="15.75" x14ac:dyDescent="0.25">
      <c r="A33" s="10">
        <v>43894</v>
      </c>
      <c r="B33" s="218">
        <v>48</v>
      </c>
      <c r="C33" s="43">
        <v>64</v>
      </c>
      <c r="D33" s="67">
        <v>52</v>
      </c>
      <c r="E33" s="1367">
        <v>68</v>
      </c>
      <c r="F33" s="218">
        <v>44</v>
      </c>
      <c r="G33" s="43">
        <v>50</v>
      </c>
      <c r="H33" s="43">
        <v>43</v>
      </c>
      <c r="I33" s="213">
        <v>42</v>
      </c>
      <c r="J33" s="218"/>
      <c r="K33" s="43"/>
      <c r="L33" s="43"/>
      <c r="M33" s="213"/>
      <c r="N33" s="43">
        <v>79</v>
      </c>
      <c r="O33" s="43">
        <v>59</v>
      </c>
      <c r="P33" s="43"/>
      <c r="Q33" s="218">
        <v>347</v>
      </c>
      <c r="R33" s="43">
        <v>276</v>
      </c>
      <c r="S33" s="213"/>
      <c r="T33" s="43"/>
      <c r="U33" s="43"/>
      <c r="V33" s="43"/>
      <c r="W33" s="218"/>
      <c r="X33" s="43"/>
      <c r="Y33" s="213"/>
      <c r="Z33" s="43"/>
      <c r="AA33" s="2">
        <f t="shared" si="1"/>
        <v>46.4</v>
      </c>
      <c r="AB33" s="2">
        <f t="shared" si="8"/>
        <v>35.799999999999997</v>
      </c>
      <c r="AC33" s="2">
        <f t="shared" si="2"/>
        <v>42.959999999999994</v>
      </c>
      <c r="AD33" s="30">
        <f>((AVERAGE(AA22:AA33)*('Summary Page'!$C$2+1))*('Summary Page'!$C$2+1))*('Summary Page'!$C$2+1)</f>
        <v>96.229238399999986</v>
      </c>
      <c r="AE33" s="30">
        <f>((AVERAGE(AA22:AA33)*('Summary Page'!$C$3+1))*('Summary Page'!$C$3+1))*('Summary Page'!$C$3+1)</f>
        <v>120.41015625</v>
      </c>
      <c r="AF33" s="30">
        <f>((AVERAGE(AA22:AA33)*('Summary Page'!$C$4+1))*('Summary Page'!$C$4+1))*('Summary Page'!$C$4+1)</f>
        <v>106.53119999999997</v>
      </c>
      <c r="AG33" s="7">
        <f t="shared" si="24"/>
        <v>80</v>
      </c>
      <c r="AJ33" s="7">
        <f t="shared" si="19"/>
        <v>52.8</v>
      </c>
      <c r="AK33" s="7">
        <f>((AVERAGE(B28:B33)*('Summary Page'!$C$2+1))*('Summary Page'!$C$2+1))*('Summary Page'!$C$2+1)</f>
        <v>110.56346666666664</v>
      </c>
      <c r="AL33" s="7">
        <f>((AVERAGE(B28:B33)*('Summary Page'!$C$3+1))*('Summary Page'!$C$3+1))*('Summary Page'!$C$3+1)</f>
        <v>138.34635416666663</v>
      </c>
      <c r="AM33" s="8">
        <f>((AVERAGE(B28:B33)*('Summary Page'!$C$4+1))*('Summary Page'!$C$4+1))*('Summary Page'!$C$4+1)</f>
        <v>122.39999999999998</v>
      </c>
      <c r="AP33" s="7">
        <f t="shared" si="20"/>
        <v>60</v>
      </c>
      <c r="AQ33" s="7">
        <f>((AVERAGE(C28:C33)*('Summary Page'!$C$2+1))*('Summary Page'!$C$2+1))*('Summary Page'!$C$2+1)</f>
        <v>120.18899199999997</v>
      </c>
      <c r="AR33" s="7">
        <f>((AVERAGE(C28:C33)*('Summary Page'!$C$3+1))*('Summary Page'!$C$3+1))*('Summary Page'!$C$3+1)</f>
        <v>150.390625</v>
      </c>
      <c r="AS33" s="7">
        <f>((AVERAGE(C28:C33)*('Summary Page'!$C$4+1))*('Summary Page'!$C$4+1))*('Summary Page'!$C$4+1)</f>
        <v>133.05599999999998</v>
      </c>
      <c r="AV33" s="43">
        <f t="shared" si="21"/>
        <v>51.6</v>
      </c>
      <c r="AW33" s="7">
        <f>((AVERAGE(D28:D33)*('Summary Page'!$C$2+1))*('Summary Page'!$C$2+1))*('Summary Page'!$C$2+1)</f>
        <v>132.67615999999998</v>
      </c>
      <c r="AX33" s="7">
        <f>((AVERAGE(D28:D33)*('Summary Page'!$C$3+1))*('Summary Page'!$C$3+1))*('Summary Page'!$C$3+1)</f>
        <v>166.015625</v>
      </c>
      <c r="AY33" s="8">
        <f>((AVERAGE(D28:D33)*('Summary Page'!$C$4+1))*('Summary Page'!$C$4+1))*('Summary Page'!$C$4+1)</f>
        <v>146.88</v>
      </c>
      <c r="BB33" s="43">
        <f t="shared" si="22"/>
        <v>50.4</v>
      </c>
      <c r="BC33" s="30">
        <f>((AVERAGE(E28:E33)*('Summary Page'!$C$2+1))*('Summary Page'!$C$2+1))*('Summary Page'!$C$2+1)</f>
        <v>130.85511466666662</v>
      </c>
      <c r="BD33" s="30">
        <f>((AVERAGE(E28:E33)*('Summary Page'!$C$3+1))*('Summary Page'!$C$3+1))*('Summary Page'!$C$3+1)</f>
        <v>163.73697916666663</v>
      </c>
      <c r="BE33" s="32">
        <f>((AVERAGE(E28:E33)*('Summary Page'!$C$4+1))*('Summary Page'!$C$4+1))*('Summary Page'!$C$4+1)</f>
        <v>144.86399999999998</v>
      </c>
      <c r="BH33" s="43">
        <f t="shared" si="23"/>
        <v>70.8</v>
      </c>
      <c r="BI33" s="7">
        <f>((AVERAGE(N28:N33)*('Summary Page'!$C$2+1))*('Summary Page'!$C$2+1))*('Summary Page'!$C$2+1)</f>
        <v>157.65049599999998</v>
      </c>
      <c r="BJ33" s="7">
        <f>((AVERAGE(N28:N33)*('Summary Page'!$C$3+1))*('Summary Page'!$C$3+1))*('Summary Page'!$C$3+1)</f>
        <v>197.265625</v>
      </c>
      <c r="BK33" s="7">
        <f>((AVERAGE(N28:N33)*('Summary Page'!$C$4+1))*('Summary Page'!$C$4+1))*('Summary Page'!$C$4+1)</f>
        <v>174.52799999999996</v>
      </c>
      <c r="BL33" s="16">
        <f t="shared" si="17"/>
        <v>10.397003745318353</v>
      </c>
      <c r="BM33" s="16">
        <f t="shared" si="18"/>
        <v>8.2696629213483135</v>
      </c>
      <c r="BN33" s="7">
        <f t="shared" si="25"/>
        <v>9.9235955056179765</v>
      </c>
      <c r="BO33" s="7">
        <f>((AVERAGE(BL28:BL33)*('Summary Page'!$C$2+1))*('Summary Page'!$C$2+1))*('Summary Page'!$C$2+1)</f>
        <v>18.77752041947565</v>
      </c>
      <c r="BP33" s="7">
        <f>((AVERAGE(BL28:BL33)*('Summary Page'!$C$3+1))*('Summary Page'!$C$3+1))*('Summary Page'!$C$3+1)</f>
        <v>23.496020599250937</v>
      </c>
      <c r="BQ33" s="7">
        <f>((AVERAGE(BL28:BL33)*('Summary Page'!$C$4+1))*('Summary Page'!$C$4+1))*('Summary Page'!$C$4+1)</f>
        <v>20.787775280898877</v>
      </c>
      <c r="BR33" s="11">
        <f t="shared" si="26"/>
        <v>12.129837702871411</v>
      </c>
      <c r="BS33" s="11">
        <f t="shared" si="12"/>
        <v>9.6479400749063657</v>
      </c>
      <c r="BT33" s="11">
        <f t="shared" si="13"/>
        <v>11.57752808988764</v>
      </c>
      <c r="BU33" s="11">
        <f t="shared" si="14"/>
        <v>21.907107156054924</v>
      </c>
      <c r="BV33" s="11">
        <f t="shared" si="15"/>
        <v>27.412024032459428</v>
      </c>
      <c r="BW33" s="11">
        <f t="shared" si="16"/>
        <v>24.252404494382024</v>
      </c>
    </row>
    <row r="34" spans="1:75" ht="15.75" x14ac:dyDescent="0.25">
      <c r="A34" s="10">
        <v>43927</v>
      </c>
      <c r="B34" s="218">
        <v>62</v>
      </c>
      <c r="C34" s="43">
        <v>74</v>
      </c>
      <c r="D34" s="67">
        <v>62</v>
      </c>
      <c r="E34" s="1367">
        <v>66</v>
      </c>
      <c r="F34" s="218">
        <v>54</v>
      </c>
      <c r="G34" s="43">
        <v>70</v>
      </c>
      <c r="H34" s="43">
        <v>60</v>
      </c>
      <c r="I34" s="213">
        <v>57</v>
      </c>
      <c r="J34" s="218"/>
      <c r="K34" s="43"/>
      <c r="L34" s="43"/>
      <c r="M34" s="213"/>
      <c r="N34" s="43">
        <v>84</v>
      </c>
      <c r="O34" s="43">
        <v>81</v>
      </c>
      <c r="P34" s="43"/>
      <c r="Q34" s="218">
        <v>592</v>
      </c>
      <c r="R34" s="43">
        <v>592</v>
      </c>
      <c r="S34" s="213"/>
      <c r="T34" s="43"/>
      <c r="U34" s="43"/>
      <c r="V34" s="43"/>
      <c r="W34" s="218"/>
      <c r="X34" s="43"/>
      <c r="Y34" s="213"/>
      <c r="Z34" s="43"/>
      <c r="AA34" s="2">
        <f t="shared" si="1"/>
        <v>52.8</v>
      </c>
      <c r="AB34" s="2">
        <f t="shared" si="8"/>
        <v>48.2</v>
      </c>
      <c r="AC34" s="2">
        <f t="shared" si="2"/>
        <v>57.84</v>
      </c>
      <c r="AD34" s="30">
        <f>((AVERAGE(AA23:AA34)*('Summary Page'!$C$2+1))*('Summary Page'!$C$2+1))*('Summary Page'!$C$2+1)</f>
        <v>94.824431999999987</v>
      </c>
      <c r="AE34" s="30">
        <f>((AVERAGE(AA23:AA34)*('Summary Page'!$C$3+1))*('Summary Page'!$C$3+1))*('Summary Page'!$C$3+1)</f>
        <v>118.65234375</v>
      </c>
      <c r="AF34" s="30">
        <f>((AVERAGE(AA23:AA34)*('Summary Page'!$C$4+1))*('Summary Page'!$C$4+1))*('Summary Page'!$C$4+1)</f>
        <v>104.97599999999998</v>
      </c>
      <c r="AG34" s="7">
        <f t="shared" si="24"/>
        <v>80</v>
      </c>
      <c r="AJ34" s="7">
        <f t="shared" si="19"/>
        <v>64.8</v>
      </c>
      <c r="AK34" s="7">
        <f>((AVERAGE(B29:B34)*('Summary Page'!$C$2+1))*('Summary Page'!$C$2+1))*('Summary Page'!$C$2+1)</f>
        <v>104.31988266666664</v>
      </c>
      <c r="AL34" s="7">
        <f>((AVERAGE(B29:B34)*('Summary Page'!$C$3+1))*('Summary Page'!$C$3+1))*('Summary Page'!$C$3+1)</f>
        <v>130.53385416666663</v>
      </c>
      <c r="AM34" s="8">
        <f>((AVERAGE(B29:B34)*('Summary Page'!$C$4+1))*('Summary Page'!$C$4+1))*('Summary Page'!$C$4+1)</f>
        <v>115.48799999999997</v>
      </c>
      <c r="AP34" s="7">
        <f t="shared" si="20"/>
        <v>84</v>
      </c>
      <c r="AQ34" s="7">
        <f>((AVERAGE(C29:C34)*('Summary Page'!$C$2+1))*('Summary Page'!$C$2+1))*('Summary Page'!$C$2+1)</f>
        <v>117.58749866666665</v>
      </c>
      <c r="AR34" s="7">
        <f>((AVERAGE(C29:C34)*('Summary Page'!$C$3+1))*('Summary Page'!$C$3+1))*('Summary Page'!$C$3+1)</f>
        <v>147.13541666666663</v>
      </c>
      <c r="AS34" s="7">
        <f>((AVERAGE(C29:C34)*('Summary Page'!$C$4+1))*('Summary Page'!$C$4+1))*('Summary Page'!$C$4+1)</f>
        <v>130.17599999999999</v>
      </c>
      <c r="AV34" s="43">
        <f t="shared" si="21"/>
        <v>72</v>
      </c>
      <c r="AW34" s="7">
        <f>((AVERAGE(D29:D34)*('Summary Page'!$C$2+1))*('Summary Page'!$C$2+1))*('Summary Page'!$C$2+1)</f>
        <v>119.66869333333332</v>
      </c>
      <c r="AX34" s="7">
        <f>((AVERAGE(D29:D34)*('Summary Page'!$C$3+1))*('Summary Page'!$C$3+1))*('Summary Page'!$C$3+1)</f>
        <v>149.73958333333337</v>
      </c>
      <c r="AY34" s="8">
        <f>((AVERAGE(D29:D34)*('Summary Page'!$C$4+1))*('Summary Page'!$C$4+1))*('Summary Page'!$C$4+1)</f>
        <v>132.47999999999999</v>
      </c>
      <c r="BB34" s="43">
        <f t="shared" si="22"/>
        <v>68.399999999999991</v>
      </c>
      <c r="BC34" s="30">
        <f>((AVERAGE(E29:E34)*('Summary Page'!$C$2+1))*('Summary Page'!$C$2+1))*('Summary Page'!$C$2+1)</f>
        <v>116.02660266666663</v>
      </c>
      <c r="BD34" s="30">
        <f>((AVERAGE(E29:E34)*('Summary Page'!$C$3+1))*('Summary Page'!$C$3+1))*('Summary Page'!$C$3+1)</f>
        <v>145.18229166666663</v>
      </c>
      <c r="BE34" s="32">
        <f>((AVERAGE(E29:E34)*('Summary Page'!$C$4+1))*('Summary Page'!$C$4+1))*('Summary Page'!$C$4+1)</f>
        <v>128.44799999999998</v>
      </c>
      <c r="BH34" s="43">
        <f t="shared" si="23"/>
        <v>97.2</v>
      </c>
      <c r="BI34" s="7">
        <f>((AVERAGE(N29:N34)*('Summary Page'!$C$2+1))*('Summary Page'!$C$2+1))*('Summary Page'!$C$2+1)</f>
        <v>151.14676266666663</v>
      </c>
      <c r="BJ34" s="7">
        <f>((AVERAGE(N29:N34)*('Summary Page'!$C$3+1))*('Summary Page'!$C$3+1))*('Summary Page'!$C$3+1)</f>
        <v>189.12760416666663</v>
      </c>
      <c r="BK34" s="7">
        <f>((AVERAGE(N29:N34)*('Summary Page'!$C$4+1))*('Summary Page'!$C$4+1))*('Summary Page'!$C$4+1)</f>
        <v>167.32799999999995</v>
      </c>
      <c r="BL34" s="16">
        <f t="shared" si="17"/>
        <v>17.737827715355806</v>
      </c>
      <c r="BM34" s="16">
        <f t="shared" si="18"/>
        <v>17.737827715355806</v>
      </c>
      <c r="BN34" s="7">
        <f t="shared" si="25"/>
        <v>21.285393258426968</v>
      </c>
      <c r="BO34" s="7">
        <f>((AVERAGE(BL29:BL34)*('Summary Page'!$C$2+1))*('Summary Page'!$C$2+1))*('Summary Page'!$C$2+1)</f>
        <v>20.126009847690387</v>
      </c>
      <c r="BP34" s="7">
        <f>((AVERAGE(BL29:BL34)*('Summary Page'!$C$3+1))*('Summary Page'!$C$3+1))*('Summary Page'!$C$3+1)</f>
        <v>25.183364544319602</v>
      </c>
      <c r="BQ34" s="7">
        <f>((AVERAGE(BL29:BL34)*('Summary Page'!$C$4+1))*('Summary Page'!$C$4+1))*('Summary Page'!$C$4+1)</f>
        <v>22.280629213483145</v>
      </c>
      <c r="BR34" s="11">
        <f t="shared" si="26"/>
        <v>20.694132334581774</v>
      </c>
      <c r="BS34" s="11">
        <f t="shared" si="12"/>
        <v>20.694132334581774</v>
      </c>
      <c r="BT34" s="11">
        <f t="shared" si="13"/>
        <v>24.83295880149813</v>
      </c>
      <c r="BU34" s="11">
        <f t="shared" si="14"/>
        <v>23.480344822305451</v>
      </c>
      <c r="BV34" s="11">
        <f t="shared" si="15"/>
        <v>29.380591968372869</v>
      </c>
      <c r="BW34" s="11">
        <f t="shared" si="16"/>
        <v>25.994067415730335</v>
      </c>
    </row>
    <row r="35" spans="1:75" ht="15.75" x14ac:dyDescent="0.25">
      <c r="A35" s="10">
        <v>43955</v>
      </c>
      <c r="B35" s="218">
        <v>65</v>
      </c>
      <c r="C35" s="43">
        <v>81</v>
      </c>
      <c r="D35" s="67">
        <v>68</v>
      </c>
      <c r="E35" s="1367">
        <v>75</v>
      </c>
      <c r="F35" s="218">
        <v>52</v>
      </c>
      <c r="G35" s="43">
        <v>65</v>
      </c>
      <c r="H35" s="43">
        <v>55</v>
      </c>
      <c r="I35" s="213">
        <v>48</v>
      </c>
      <c r="J35" s="218"/>
      <c r="K35" s="43"/>
      <c r="L35" s="43"/>
      <c r="M35" s="213"/>
      <c r="N35" s="43">
        <v>96</v>
      </c>
      <c r="O35" s="43">
        <v>76</v>
      </c>
      <c r="P35" s="43"/>
      <c r="Q35" s="218">
        <v>461</v>
      </c>
      <c r="R35" s="43">
        <v>460</v>
      </c>
      <c r="S35" s="213"/>
      <c r="T35" s="43"/>
      <c r="U35" s="43"/>
      <c r="V35" s="43"/>
      <c r="W35" s="218"/>
      <c r="X35" s="43"/>
      <c r="Y35" s="213"/>
      <c r="Z35" s="43"/>
      <c r="AA35" s="2">
        <f t="shared" si="1"/>
        <v>57.8</v>
      </c>
      <c r="AB35" s="2">
        <f t="shared" si="8"/>
        <v>44</v>
      </c>
      <c r="AC35" s="2">
        <f t="shared" si="2"/>
        <v>52.8</v>
      </c>
      <c r="AD35" s="30">
        <f>((AVERAGE(AA24:AA35)*('Summary Page'!$C$2+1))*('Summary Page'!$C$2+1))*('Summary Page'!$C$2+1)</f>
        <v>93.965939199999966</v>
      </c>
      <c r="AE35" s="30">
        <f>((AVERAGE(AA24:AA35)*('Summary Page'!$C$3+1))*('Summary Page'!$C$3+1))*('Summary Page'!$C$3+1)</f>
        <v>117.57812499999999</v>
      </c>
      <c r="AF35" s="30">
        <f>((AVERAGE(AA24:AA35)*('Summary Page'!$C$4+1))*('Summary Page'!$C$4+1))*('Summary Page'!$C$4+1)</f>
        <v>104.02559999999997</v>
      </c>
      <c r="AG35" s="7">
        <f t="shared" si="24"/>
        <v>80</v>
      </c>
      <c r="AJ35" s="7">
        <f t="shared" si="19"/>
        <v>62.4</v>
      </c>
      <c r="AK35" s="7">
        <f>((AVERAGE(B30:B35)*('Summary Page'!$C$2+1))*('Summary Page'!$C$2+1))*('Summary Page'!$C$2+1)</f>
        <v>99.116895999999969</v>
      </c>
      <c r="AL35" s="7">
        <f>((AVERAGE(B30:B35)*('Summary Page'!$C$3+1))*('Summary Page'!$C$3+1))*('Summary Page'!$C$3+1)</f>
        <v>124.0234375</v>
      </c>
      <c r="AM35" s="8">
        <f>((AVERAGE(B30:B35)*('Summary Page'!$C$4+1))*('Summary Page'!$C$4+1))*('Summary Page'!$C$4+1)</f>
        <v>109.72799999999999</v>
      </c>
      <c r="AP35" s="7">
        <f t="shared" si="20"/>
        <v>78</v>
      </c>
      <c r="AQ35" s="7">
        <f>((AVERAGE(C30:C35)*('Summary Page'!$C$2+1))*('Summary Page'!$C$2+1))*('Summary Page'!$C$2+1)</f>
        <v>115.76645333333332</v>
      </c>
      <c r="AR35" s="7">
        <f>((AVERAGE(C30:C35)*('Summary Page'!$C$3+1))*('Summary Page'!$C$3+1))*('Summary Page'!$C$3+1)</f>
        <v>144.85677083333337</v>
      </c>
      <c r="AS35" s="7">
        <f>((AVERAGE(C30:C35)*('Summary Page'!$C$4+1))*('Summary Page'!$C$4+1))*('Summary Page'!$C$4+1)</f>
        <v>128.16</v>
      </c>
      <c r="AV35" s="43">
        <f t="shared" si="21"/>
        <v>66</v>
      </c>
      <c r="AW35" s="7">
        <f>((AVERAGE(D30:D35)*('Summary Page'!$C$2+1))*('Summary Page'!$C$2+1))*('Summary Page'!$C$2+1)</f>
        <v>106.66122666666664</v>
      </c>
      <c r="AX35" s="7">
        <f>((AVERAGE(D30:D35)*('Summary Page'!$C$3+1))*('Summary Page'!$C$3+1))*('Summary Page'!$C$3+1)</f>
        <v>133.46354166666663</v>
      </c>
      <c r="AY35" s="8">
        <f>((AVERAGE(D30:D35)*('Summary Page'!$C$4+1))*('Summary Page'!$C$4+1))*('Summary Page'!$C$4+1)</f>
        <v>118.07999999999997</v>
      </c>
      <c r="BB35" s="43">
        <f t="shared" si="22"/>
        <v>57.599999999999994</v>
      </c>
      <c r="BC35" s="30">
        <f>((AVERAGE(E30:E35)*('Summary Page'!$C$2+1))*('Summary Page'!$C$2+1))*('Summary Page'!$C$2+1)</f>
        <v>111.86421333333332</v>
      </c>
      <c r="BD35" s="30">
        <f>((AVERAGE(E30:E35)*('Summary Page'!$C$3+1))*('Summary Page'!$C$3+1))*('Summary Page'!$C$3+1)</f>
        <v>139.97395833333337</v>
      </c>
      <c r="BE35" s="32">
        <f>((AVERAGE(E30:E35)*('Summary Page'!$C$4+1))*('Summary Page'!$C$4+1))*('Summary Page'!$C$4+1)</f>
        <v>123.84</v>
      </c>
      <c r="BH35" s="43">
        <f t="shared" si="23"/>
        <v>91.2</v>
      </c>
      <c r="BI35" s="7">
        <f>((AVERAGE(N30:N35)*('Summary Page'!$C$2+1))*('Summary Page'!$C$2+1))*('Summary Page'!$C$2+1)</f>
        <v>145.42347733333332</v>
      </c>
      <c r="BJ35" s="7">
        <f>((AVERAGE(N30:N35)*('Summary Page'!$C$3+1))*('Summary Page'!$C$3+1))*('Summary Page'!$C$3+1)</f>
        <v>181.96614583333337</v>
      </c>
      <c r="BK35" s="7">
        <f>((AVERAGE(N30:N35)*('Summary Page'!$C$4+1))*('Summary Page'!$C$4+1))*('Summary Page'!$C$4+1)</f>
        <v>160.99199999999999</v>
      </c>
      <c r="BL35" s="16">
        <f t="shared" si="17"/>
        <v>13.812734082397004</v>
      </c>
      <c r="BM35" s="16">
        <f t="shared" si="18"/>
        <v>13.782771535580526</v>
      </c>
      <c r="BN35" s="7">
        <f t="shared" si="25"/>
        <v>16.539325842696631</v>
      </c>
      <c r="BO35" s="7">
        <f>((AVERAGE(BL30:BL35)*('Summary Page'!$C$2+1))*('Summary Page'!$C$2+1))*('Summary Page'!$C$2+1)</f>
        <v>20.562515096129825</v>
      </c>
      <c r="BP35" s="7">
        <f>((AVERAGE(BL30:BL35)*('Summary Page'!$C$3+1))*('Summary Page'!$C$3+1))*('Summary Page'!$C$3+1)</f>
        <v>25.729556803995003</v>
      </c>
      <c r="BQ35" s="7">
        <f>((AVERAGE(BL30:BL35)*('Summary Page'!$C$4+1))*('Summary Page'!$C$4+1))*('Summary Page'!$C$4+1)</f>
        <v>22.763865168539319</v>
      </c>
      <c r="BR35" s="11">
        <f t="shared" si="26"/>
        <v>16.11485642946317</v>
      </c>
      <c r="BS35" s="11">
        <f t="shared" si="12"/>
        <v>16.079900124843945</v>
      </c>
      <c r="BT35" s="11">
        <f t="shared" si="13"/>
        <v>19.295880149812735</v>
      </c>
      <c r="BU35" s="11">
        <f t="shared" si="14"/>
        <v>23.989600945484796</v>
      </c>
      <c r="BV35" s="11">
        <f t="shared" si="15"/>
        <v>30.017816271327504</v>
      </c>
      <c r="BW35" s="11">
        <f t="shared" si="16"/>
        <v>26.557842696629205</v>
      </c>
    </row>
    <row r="36" spans="1:75" ht="15.75" x14ac:dyDescent="0.25">
      <c r="A36" s="10">
        <v>43984</v>
      </c>
      <c r="B36" s="218">
        <v>64</v>
      </c>
      <c r="C36" s="43">
        <v>81</v>
      </c>
      <c r="D36" s="67">
        <v>71</v>
      </c>
      <c r="E36" s="1367">
        <v>72</v>
      </c>
      <c r="F36" s="218">
        <v>47</v>
      </c>
      <c r="G36" s="43">
        <v>74</v>
      </c>
      <c r="H36" s="43">
        <v>63</v>
      </c>
      <c r="I36" s="213">
        <v>65</v>
      </c>
      <c r="J36" s="218"/>
      <c r="K36" s="43"/>
      <c r="L36" s="43"/>
      <c r="M36" s="213"/>
      <c r="N36" s="43">
        <v>94</v>
      </c>
      <c r="O36" s="43">
        <v>86</v>
      </c>
      <c r="P36" s="43"/>
      <c r="Q36" s="218">
        <v>460</v>
      </c>
      <c r="R36" s="43">
        <v>460</v>
      </c>
      <c r="S36" s="213"/>
      <c r="T36" s="43"/>
      <c r="U36" s="43"/>
      <c r="V36" s="43"/>
      <c r="W36" s="218"/>
      <c r="X36" s="43"/>
      <c r="Y36" s="213"/>
      <c r="Z36" s="43"/>
      <c r="AA36" s="2">
        <f t="shared" si="1"/>
        <v>57.6</v>
      </c>
      <c r="AB36" s="2">
        <f t="shared" si="8"/>
        <v>49.8</v>
      </c>
      <c r="AC36" s="2">
        <f t="shared" si="2"/>
        <v>59.759999999999991</v>
      </c>
      <c r="AD36" s="30">
        <f>((AVERAGE(AA25:AA36)*('Summary Page'!$C$2+1))*('Summary Page'!$C$2+1))*('Summary Page'!$C$2+1)</f>
        <v>93.211506133333302</v>
      </c>
      <c r="AE36" s="30">
        <f>((AVERAGE(AA25:AA36)*('Summary Page'!$C$3+1))*('Summary Page'!$C$3+1))*('Summary Page'!$C$3+1)</f>
        <v>116.63411458333331</v>
      </c>
      <c r="AF36" s="30">
        <f>((AVERAGE(AA25:AA36)*('Summary Page'!$C$4+1))*('Summary Page'!$C$4+1))*('Summary Page'!$C$4+1)</f>
        <v>103.19039999999998</v>
      </c>
      <c r="AG36" s="7">
        <f t="shared" si="24"/>
        <v>80</v>
      </c>
      <c r="AJ36" s="7">
        <f t="shared" si="19"/>
        <v>56.4</v>
      </c>
      <c r="AK36" s="7">
        <f>((AVERAGE(B31:B36)*('Summary Page'!$C$2+1))*('Summary Page'!$C$2+1))*('Summary Page'!$C$2+1)</f>
        <v>95.214655999999977</v>
      </c>
      <c r="AL36" s="7">
        <f>((AVERAGE(B31:B36)*('Summary Page'!$C$3+1))*('Summary Page'!$C$3+1))*('Summary Page'!$C$3+1)</f>
        <v>119.140625</v>
      </c>
      <c r="AM36" s="8">
        <f>((AVERAGE(B31:B36)*('Summary Page'!$C$4+1))*('Summary Page'!$C$4+1))*('Summary Page'!$C$4+1)</f>
        <v>105.408</v>
      </c>
      <c r="AP36" s="7">
        <f t="shared" si="20"/>
        <v>88.8</v>
      </c>
      <c r="AQ36" s="7">
        <f>((AVERAGE(C31:C36)*('Summary Page'!$C$2+1))*('Summary Page'!$C$2+1))*('Summary Page'!$C$2+1)</f>
        <v>115.76645333333332</v>
      </c>
      <c r="AR36" s="7">
        <f>((AVERAGE(C31:C36)*('Summary Page'!$C$3+1))*('Summary Page'!$C$3+1))*('Summary Page'!$C$3+1)</f>
        <v>144.85677083333337</v>
      </c>
      <c r="AS36" s="7">
        <f>((AVERAGE(C31:C36)*('Summary Page'!$C$4+1))*('Summary Page'!$C$4+1))*('Summary Page'!$C$4+1)</f>
        <v>128.16</v>
      </c>
      <c r="AV36" s="43">
        <f t="shared" si="21"/>
        <v>75.599999999999994</v>
      </c>
      <c r="AW36" s="7">
        <f>((AVERAGE(D31:D36)*('Summary Page'!$C$2+1))*('Summary Page'!$C$2+1))*('Summary Page'!$C$2+1)</f>
        <v>96.515402666666645</v>
      </c>
      <c r="AX36" s="7">
        <f>((AVERAGE(D31:D36)*('Summary Page'!$C$3+1))*('Summary Page'!$C$3+1))*('Summary Page'!$C$3+1)</f>
        <v>120.76822916666669</v>
      </c>
      <c r="AY36" s="8">
        <f>((AVERAGE(D31:D36)*('Summary Page'!$C$4+1))*('Summary Page'!$C$4+1))*('Summary Page'!$C$4+1)</f>
        <v>106.848</v>
      </c>
      <c r="BB36" s="43">
        <f t="shared" si="22"/>
        <v>78</v>
      </c>
      <c r="BC36" s="30">
        <f>((AVERAGE(E31:E36)*('Summary Page'!$C$2+1))*('Summary Page'!$C$2+1))*('Summary Page'!$C$2+1)</f>
        <v>110.82361599999999</v>
      </c>
      <c r="BD36" s="30">
        <f>((AVERAGE(E31:E36)*('Summary Page'!$C$3+1))*('Summary Page'!$C$3+1))*('Summary Page'!$C$3+1)</f>
        <v>138.671875</v>
      </c>
      <c r="BE36" s="32">
        <f>((AVERAGE(E31:E36)*('Summary Page'!$C$4+1))*('Summary Page'!$C$4+1))*('Summary Page'!$C$4+1)</f>
        <v>122.68799999999999</v>
      </c>
      <c r="BH36" s="43">
        <f t="shared" si="23"/>
        <v>103.2</v>
      </c>
      <c r="BI36" s="7">
        <f>((AVERAGE(N31:N36)*('Summary Page'!$C$2+1))*('Summary Page'!$C$2+1))*('Summary Page'!$C$2+1)</f>
        <v>141.78138666666663</v>
      </c>
      <c r="BJ36" s="7">
        <f>((AVERAGE(N31:N36)*('Summary Page'!$C$3+1))*('Summary Page'!$C$3+1))*('Summary Page'!$C$3+1)</f>
        <v>177.40885416666663</v>
      </c>
      <c r="BK36" s="7">
        <f>((AVERAGE(N31:N36)*('Summary Page'!$C$4+1))*('Summary Page'!$C$4+1))*('Summary Page'!$C$4+1)</f>
        <v>156.95999999999998</v>
      </c>
      <c r="BL36" s="16">
        <f t="shared" si="17"/>
        <v>13.782771535580526</v>
      </c>
      <c r="BM36" s="16">
        <f t="shared" si="18"/>
        <v>13.782771535580526</v>
      </c>
      <c r="BN36" s="7">
        <f t="shared" si="25"/>
        <v>16.539325842696631</v>
      </c>
      <c r="BO36" s="7">
        <f>((AVERAGE(BL31:BL36)*('Summary Page'!$C$2+1))*('Summary Page'!$C$2+1))*('Summary Page'!$C$2+1)</f>
        <v>20.733999300873901</v>
      </c>
      <c r="BP36" s="7">
        <f>((AVERAGE(BL31:BL36)*('Summary Page'!$C$3+1))*('Summary Page'!$C$3+1))*('Summary Page'!$C$3+1)</f>
        <v>25.94413233458177</v>
      </c>
      <c r="BQ36" s="7">
        <f>((AVERAGE(BL31:BL36)*('Summary Page'!$C$4+1))*('Summary Page'!$C$4+1))*('Summary Page'!$C$4+1)</f>
        <v>22.953707865168539</v>
      </c>
      <c r="BR36" s="11">
        <f t="shared" si="26"/>
        <v>16.079900124843945</v>
      </c>
      <c r="BS36" s="11">
        <f t="shared" si="12"/>
        <v>16.079900124843945</v>
      </c>
      <c r="BT36" s="11">
        <f t="shared" si="13"/>
        <v>19.295880149812735</v>
      </c>
      <c r="BU36" s="11">
        <f t="shared" si="14"/>
        <v>24.189665851019551</v>
      </c>
      <c r="BV36" s="11">
        <f t="shared" si="15"/>
        <v>30.268154390345398</v>
      </c>
      <c r="BW36" s="11">
        <f t="shared" si="16"/>
        <v>26.779325842696629</v>
      </c>
    </row>
    <row r="37" spans="1:75" ht="15.75" x14ac:dyDescent="0.25">
      <c r="A37" s="10">
        <v>44014</v>
      </c>
      <c r="B37" s="218">
        <v>62</v>
      </c>
      <c r="C37" s="43">
        <v>86</v>
      </c>
      <c r="D37" s="67">
        <v>73</v>
      </c>
      <c r="E37" s="1367">
        <v>85</v>
      </c>
      <c r="F37" s="218">
        <v>55</v>
      </c>
      <c r="G37" s="43">
        <v>82</v>
      </c>
      <c r="H37" s="43">
        <v>70</v>
      </c>
      <c r="I37" s="213">
        <v>68</v>
      </c>
      <c r="J37" s="218"/>
      <c r="K37" s="43"/>
      <c r="L37" s="43"/>
      <c r="M37" s="213"/>
      <c r="N37" s="43">
        <v>102</v>
      </c>
      <c r="O37" s="43">
        <v>92</v>
      </c>
      <c r="P37" s="43"/>
      <c r="Q37" s="218">
        <v>598</v>
      </c>
      <c r="R37" s="43">
        <v>517</v>
      </c>
      <c r="S37" s="213"/>
      <c r="T37" s="43"/>
      <c r="U37" s="43"/>
      <c r="V37" s="43"/>
      <c r="W37" s="218"/>
      <c r="X37" s="43"/>
      <c r="Y37" s="213"/>
      <c r="Z37" s="43"/>
      <c r="AA37" s="2">
        <f t="shared" si="1"/>
        <v>61.2</v>
      </c>
      <c r="AB37" s="2">
        <f t="shared" si="8"/>
        <v>55</v>
      </c>
      <c r="AC37" s="2">
        <f t="shared" si="2"/>
        <v>66</v>
      </c>
      <c r="AD37" s="30">
        <f>((AVERAGE(AA26:AA37)*('Summary Page'!$C$2+1))*('Summary Page'!$C$2+1))*('Summary Page'!$C$2+1)</f>
        <v>93.653759999999977</v>
      </c>
      <c r="AE37" s="30">
        <f>((AVERAGE(AA26:AA37)*('Summary Page'!$C$3+1))*('Summary Page'!$C$3+1))*('Summary Page'!$C$3+1)</f>
        <v>117.1875</v>
      </c>
      <c r="AF37" s="30">
        <f>((AVERAGE(AA26:AA37)*('Summary Page'!$C$4+1))*('Summary Page'!$C$4+1))*('Summary Page'!$C$4+1)</f>
        <v>103.67999999999999</v>
      </c>
      <c r="AG37" s="7">
        <f t="shared" si="24"/>
        <v>80</v>
      </c>
      <c r="AJ37" s="7">
        <f t="shared" si="19"/>
        <v>66</v>
      </c>
      <c r="AK37" s="7">
        <f>((AVERAGE(B32:B37)*('Summary Page'!$C$2+1))*('Summary Page'!$C$2+1))*('Summary Page'!$C$2+1)</f>
        <v>93.913909333333308</v>
      </c>
      <c r="AL37" s="7">
        <f>((AVERAGE(B32:B37)*('Summary Page'!$C$3+1))*('Summary Page'!$C$3+1))*('Summary Page'!$C$3+1)</f>
        <v>117.51302083333331</v>
      </c>
      <c r="AM37" s="8">
        <f>((AVERAGE(B32:B37)*('Summary Page'!$C$4+1))*('Summary Page'!$C$4+1))*('Summary Page'!$C$4+1)</f>
        <v>103.96799999999998</v>
      </c>
      <c r="AP37" s="7">
        <f t="shared" si="20"/>
        <v>98.399999999999991</v>
      </c>
      <c r="AQ37" s="7">
        <f>((AVERAGE(C32:C37)*('Summary Page'!$C$2+1))*('Summary Page'!$C$2+1))*('Summary Page'!$C$2+1)</f>
        <v>119.66869333333332</v>
      </c>
      <c r="AR37" s="7">
        <f>((AVERAGE(C32:C37)*('Summary Page'!$C$3+1))*('Summary Page'!$C$3+1))*('Summary Page'!$C$3+1)</f>
        <v>149.73958333333337</v>
      </c>
      <c r="AS37" s="7">
        <f>((AVERAGE(C32:C37)*('Summary Page'!$C$4+1))*('Summary Page'!$C$4+1))*('Summary Page'!$C$4+1)</f>
        <v>132.47999999999999</v>
      </c>
      <c r="AV37" s="43">
        <f t="shared" si="21"/>
        <v>84</v>
      </c>
      <c r="AW37" s="7">
        <f>((AVERAGE(D32:D37)*('Summary Page'!$C$2+1))*('Summary Page'!$C$2+1))*('Summary Page'!$C$2+1)</f>
        <v>100.41764266666664</v>
      </c>
      <c r="AX37" s="7">
        <f>((AVERAGE(D32:D37)*('Summary Page'!$C$3+1))*('Summary Page'!$C$3+1))*('Summary Page'!$C$3+1)</f>
        <v>125.65104166666664</v>
      </c>
      <c r="AY37" s="8">
        <f>((AVERAGE(D32:D37)*('Summary Page'!$C$4+1))*('Summary Page'!$C$4+1))*('Summary Page'!$C$4+1)</f>
        <v>111.16799999999998</v>
      </c>
      <c r="BB37" s="43">
        <f t="shared" si="22"/>
        <v>81.599999999999994</v>
      </c>
      <c r="BC37" s="30">
        <f>((AVERAGE(E32:E37)*('Summary Page'!$C$2+1))*('Summary Page'!$C$2+1))*('Summary Page'!$C$2+1)</f>
        <v>112.90481066666662</v>
      </c>
      <c r="BD37" s="30">
        <f>((AVERAGE(E32:E37)*('Summary Page'!$C$3+1))*('Summary Page'!$C$3+1))*('Summary Page'!$C$3+1)</f>
        <v>141.27604166666663</v>
      </c>
      <c r="BE37" s="32">
        <f>((AVERAGE(E32:E37)*('Summary Page'!$C$4+1))*('Summary Page'!$C$4+1))*('Summary Page'!$C$4+1)</f>
        <v>124.99199999999999</v>
      </c>
      <c r="BH37" s="43">
        <f t="shared" si="23"/>
        <v>110.39999999999999</v>
      </c>
      <c r="BI37" s="7">
        <f>((AVERAGE(N32:N37)*('Summary Page'!$C$2+1))*('Summary Page'!$C$2+1))*('Summary Page'!$C$2+1)</f>
        <v>143.60243199999999</v>
      </c>
      <c r="BJ37" s="7">
        <f>((AVERAGE(N32:N37)*('Summary Page'!$C$3+1))*('Summary Page'!$C$3+1))*('Summary Page'!$C$3+1)</f>
        <v>179.6875</v>
      </c>
      <c r="BK37" s="7">
        <f>((AVERAGE(N32:N37)*('Summary Page'!$C$4+1))*('Summary Page'!$C$4+1))*('Summary Page'!$C$4+1)</f>
        <v>158.97599999999997</v>
      </c>
      <c r="BL37" s="16">
        <f t="shared" si="17"/>
        <v>17.917602996254679</v>
      </c>
      <c r="BM37" s="16">
        <f t="shared" si="18"/>
        <v>15.490636704119851</v>
      </c>
      <c r="BN37" s="7">
        <f t="shared" si="25"/>
        <v>18.588764044943819</v>
      </c>
      <c r="BO37" s="7">
        <f>((AVERAGE(BL32:BL37)*('Summary Page'!$C$2+1))*('Summary Page'!$C$2+1))*('Summary Page'!$C$2+1)</f>
        <v>22.300741353308361</v>
      </c>
      <c r="BP37" s="7">
        <f>((AVERAGE(BL32:BL37)*('Summary Page'!$C$3+1))*('Summary Page'!$C$3+1))*('Summary Page'!$C$3+1)</f>
        <v>27.904572409488139</v>
      </c>
      <c r="BQ37" s="7">
        <f>((AVERAGE(BL32:BL37)*('Summary Page'!$C$4+1))*('Summary Page'!$C$4+1))*('Summary Page'!$C$4+1)</f>
        <v>24.688179775280897</v>
      </c>
      <c r="BR37" s="11">
        <f t="shared" si="26"/>
        <v>20.903870162297125</v>
      </c>
      <c r="BS37" s="11">
        <f t="shared" si="12"/>
        <v>18.072409488139826</v>
      </c>
      <c r="BT37" s="11">
        <f t="shared" si="13"/>
        <v>21.686891385767787</v>
      </c>
      <c r="BU37" s="11">
        <f t="shared" si="14"/>
        <v>26.017531578859753</v>
      </c>
      <c r="BV37" s="11">
        <f t="shared" si="15"/>
        <v>32.55533447773616</v>
      </c>
      <c r="BW37" s="11">
        <f t="shared" si="16"/>
        <v>28.802876404494381</v>
      </c>
    </row>
    <row r="38" spans="1:75" ht="15.75" x14ac:dyDescent="0.25">
      <c r="A38" s="10">
        <v>44054</v>
      </c>
      <c r="B38" s="218">
        <v>64</v>
      </c>
      <c r="C38" s="43">
        <v>95</v>
      </c>
      <c r="D38" s="67">
        <v>80</v>
      </c>
      <c r="E38" s="1367">
        <v>93</v>
      </c>
      <c r="F38" s="218">
        <v>56</v>
      </c>
      <c r="G38" s="43">
        <v>88</v>
      </c>
      <c r="H38" s="43">
        <v>77</v>
      </c>
      <c r="I38" s="213">
        <v>83</v>
      </c>
      <c r="J38" s="218"/>
      <c r="K38" s="43"/>
      <c r="L38" s="43"/>
      <c r="M38" s="213"/>
      <c r="N38" s="43">
        <v>104</v>
      </c>
      <c r="O38" s="43">
        <v>92</v>
      </c>
      <c r="P38" s="43"/>
      <c r="Q38" s="218">
        <v>517</v>
      </c>
      <c r="R38" s="43">
        <v>495</v>
      </c>
      <c r="S38" s="213"/>
      <c r="T38" s="43"/>
      <c r="U38" s="43"/>
      <c r="V38" s="43"/>
      <c r="W38" s="218"/>
      <c r="X38" s="43"/>
      <c r="Y38" s="213"/>
      <c r="Z38" s="43"/>
      <c r="AA38" s="2">
        <f t="shared" si="1"/>
        <v>66.400000000000006</v>
      </c>
      <c r="AB38" s="2">
        <f t="shared" si="8"/>
        <v>60.8</v>
      </c>
      <c r="AC38" s="2">
        <f t="shared" si="2"/>
        <v>72.959999999999994</v>
      </c>
      <c r="AD38" s="30">
        <f>((AVERAGE(AA27:AA38)*('Summary Page'!$C$2+1))*('Summary Page'!$C$2+1))*('Summary Page'!$C$2+1)</f>
        <v>95.60487999999998</v>
      </c>
      <c r="AE38" s="30">
        <f>((AVERAGE(AA27:AA38)*('Summary Page'!$C$3+1))*('Summary Page'!$C$3+1))*('Summary Page'!$C$3+1)</f>
        <v>119.62890625</v>
      </c>
      <c r="AF38" s="30">
        <f>((AVERAGE(AA27:AA38)*('Summary Page'!$C$4+1))*('Summary Page'!$C$4+1))*('Summary Page'!$C$4+1)</f>
        <v>105.84</v>
      </c>
      <c r="AG38" s="7">
        <f t="shared" si="24"/>
        <v>80</v>
      </c>
      <c r="AJ38" s="7">
        <f t="shared" si="19"/>
        <v>67.2</v>
      </c>
      <c r="AK38" s="7">
        <f>((AVERAGE(B33:B38)*('Summary Page'!$C$2+1))*('Summary Page'!$C$2+1))*('Summary Page'!$C$2+1)</f>
        <v>94.95450666666666</v>
      </c>
      <c r="AL38" s="7">
        <f>((AVERAGE(B33:B38)*('Summary Page'!$C$3+1))*('Summary Page'!$C$3+1))*('Summary Page'!$C$3+1)</f>
        <v>118.81510416666669</v>
      </c>
      <c r="AM38" s="8">
        <f>((AVERAGE(B33:B38)*('Summary Page'!$C$4+1))*('Summary Page'!$C$4+1))*('Summary Page'!$C$4+1)</f>
        <v>105.11999999999999</v>
      </c>
      <c r="AP38" s="7">
        <f t="shared" si="20"/>
        <v>105.6</v>
      </c>
      <c r="AQ38" s="7">
        <f>((AVERAGE(C33:C38)*('Summary Page'!$C$2+1))*('Summary Page'!$C$2+1))*('Summary Page'!$C$2+1)</f>
        <v>125.13182933333331</v>
      </c>
      <c r="AR38" s="7">
        <f>((AVERAGE(C33:C38)*('Summary Page'!$C$3+1))*('Summary Page'!$C$3+1))*('Summary Page'!$C$3+1)</f>
        <v>156.57552083333337</v>
      </c>
      <c r="AS38" s="7">
        <f>((AVERAGE(C33:C38)*('Summary Page'!$C$4+1))*('Summary Page'!$C$4+1))*('Summary Page'!$C$4+1)</f>
        <v>138.52799999999999</v>
      </c>
      <c r="AV38" s="43">
        <f t="shared" si="21"/>
        <v>92.399999999999991</v>
      </c>
      <c r="AW38" s="7">
        <f>((AVERAGE(D33:D38)*('Summary Page'!$C$2+1))*('Summary Page'!$C$2+1))*('Summary Page'!$C$2+1)</f>
        <v>105.62062933333333</v>
      </c>
      <c r="AX38" s="7">
        <f>((AVERAGE(D33:D38)*('Summary Page'!$C$3+1))*('Summary Page'!$C$3+1))*('Summary Page'!$C$3+1)</f>
        <v>132.16145833333337</v>
      </c>
      <c r="AY38" s="8">
        <f>((AVERAGE(D33:D38)*('Summary Page'!$C$4+1))*('Summary Page'!$C$4+1))*('Summary Page'!$C$4+1)</f>
        <v>116.928</v>
      </c>
      <c r="BB38" s="43">
        <f t="shared" si="22"/>
        <v>99.6</v>
      </c>
      <c r="BC38" s="30">
        <f>((AVERAGE(E33:E38)*('Summary Page'!$C$2+1))*('Summary Page'!$C$2+1))*('Summary Page'!$C$2+1)</f>
        <v>119.40854399999998</v>
      </c>
      <c r="BD38" s="30">
        <f>((AVERAGE(E33:E38)*('Summary Page'!$C$3+1))*('Summary Page'!$C$3+1))*('Summary Page'!$C$3+1)</f>
        <v>149.4140625</v>
      </c>
      <c r="BE38" s="32">
        <f>((AVERAGE(E33:E38)*('Summary Page'!$C$4+1))*('Summary Page'!$C$4+1))*('Summary Page'!$C$4+1)</f>
        <v>132.19199999999998</v>
      </c>
      <c r="BH38" s="43">
        <f t="shared" si="23"/>
        <v>110.39999999999999</v>
      </c>
      <c r="BI38" s="7">
        <f>((AVERAGE(N33:N38)*('Summary Page'!$C$2+1))*('Summary Page'!$C$2+1))*('Summary Page'!$C$2+1)</f>
        <v>145.42347733333332</v>
      </c>
      <c r="BJ38" s="7">
        <f>((AVERAGE(N33:N38)*('Summary Page'!$C$3+1))*('Summary Page'!$C$3+1))*('Summary Page'!$C$3+1)</f>
        <v>181.96614583333337</v>
      </c>
      <c r="BK38" s="7">
        <f>((AVERAGE(N33:N38)*('Summary Page'!$C$4+1))*('Summary Page'!$C$4+1))*('Summary Page'!$C$4+1)</f>
        <v>160.99199999999999</v>
      </c>
      <c r="BL38" s="16">
        <f t="shared" si="17"/>
        <v>15.490636704119851</v>
      </c>
      <c r="BM38" s="16">
        <f t="shared" si="18"/>
        <v>14.831460674157304</v>
      </c>
      <c r="BN38" s="7">
        <f t="shared" si="25"/>
        <v>17.797752808988765</v>
      </c>
      <c r="BO38" s="7">
        <f>((AVERAGE(BL33:BL38)*('Summary Page'!$C$2+1))*('Summary Page'!$C$2+1))*('Summary Page'!$C$2+1)</f>
        <v>23.189341323345808</v>
      </c>
      <c r="BP38" s="7">
        <f>((AVERAGE(BL33:BL38)*('Summary Page'!$C$3+1))*('Summary Page'!$C$3+1))*('Summary Page'!$C$3+1)</f>
        <v>29.016463795255927</v>
      </c>
      <c r="BQ38" s="7">
        <f>((AVERAGE(BL33:BL38)*('Summary Page'!$C$4+1))*('Summary Page'!$C$4+1))*('Summary Page'!$C$4+1)</f>
        <v>25.671910112359544</v>
      </c>
      <c r="BR38" s="11">
        <f t="shared" si="26"/>
        <v>18.072409488139826</v>
      </c>
      <c r="BS38" s="11">
        <f t="shared" si="12"/>
        <v>17.303370786516854</v>
      </c>
      <c r="BT38" s="11">
        <f t="shared" si="13"/>
        <v>20.764044943820224</v>
      </c>
      <c r="BU38" s="11">
        <f t="shared" si="14"/>
        <v>27.054231543903441</v>
      </c>
      <c r="BV38" s="11">
        <f t="shared" si="15"/>
        <v>33.852541094465245</v>
      </c>
      <c r="BW38" s="11">
        <f t="shared" si="16"/>
        <v>29.950561797752801</v>
      </c>
    </row>
    <row r="39" spans="1:75" ht="15.75" x14ac:dyDescent="0.25">
      <c r="A39" s="10">
        <v>44078</v>
      </c>
      <c r="B39" s="218">
        <v>67</v>
      </c>
      <c r="C39" s="43">
        <v>113</v>
      </c>
      <c r="D39" s="67">
        <v>99</v>
      </c>
      <c r="E39" s="1367">
        <v>113</v>
      </c>
      <c r="F39" s="218">
        <v>41</v>
      </c>
      <c r="G39" s="43">
        <v>70</v>
      </c>
      <c r="H39" s="43">
        <v>62</v>
      </c>
      <c r="I39" s="213">
        <v>68</v>
      </c>
      <c r="J39" s="218"/>
      <c r="K39" s="43"/>
      <c r="L39" s="43"/>
      <c r="M39" s="213"/>
      <c r="N39" s="43">
        <v>130</v>
      </c>
      <c r="O39" s="43">
        <v>77</v>
      </c>
      <c r="P39" s="43"/>
      <c r="Q39" s="218">
        <v>501</v>
      </c>
      <c r="R39" s="43">
        <v>473</v>
      </c>
      <c r="S39" s="213"/>
      <c r="T39" s="43"/>
      <c r="U39" s="43"/>
      <c r="V39" s="43"/>
      <c r="W39" s="218"/>
      <c r="X39" s="43"/>
      <c r="Y39" s="213"/>
      <c r="Z39" s="43"/>
      <c r="AA39" s="2">
        <f t="shared" si="1"/>
        <v>78.400000000000006</v>
      </c>
      <c r="AB39" s="2">
        <f t="shared" si="8"/>
        <v>48.2</v>
      </c>
      <c r="AC39" s="2">
        <f t="shared" si="2"/>
        <v>57.84</v>
      </c>
      <c r="AD39" s="30">
        <f>((AVERAGE(AA28:AA39)*('Summary Page'!$C$2+1))*('Summary Page'!$C$2+1))*('Summary Page'!$C$2+1)</f>
        <v>98.102313599999974</v>
      </c>
      <c r="AE39" s="30">
        <f>((AVERAGE(AA28:AA39)*('Summary Page'!$C$3+1))*('Summary Page'!$C$3+1))*('Summary Page'!$C$3+1)</f>
        <v>122.75390625</v>
      </c>
      <c r="AF39" s="30">
        <f>((AVERAGE(AA28:AA39)*('Summary Page'!$C$4+1))*('Summary Page'!$C$4+1))*('Summary Page'!$C$4+1)</f>
        <v>108.6048</v>
      </c>
      <c r="AG39" s="7">
        <f t="shared" si="24"/>
        <v>80</v>
      </c>
      <c r="AJ39" s="7">
        <f t="shared" si="19"/>
        <v>49.199999999999996</v>
      </c>
      <c r="AK39" s="7">
        <f>((AVERAGE(B34:B39)*('Summary Page'!$C$2+1))*('Summary Page'!$C$2+1))*('Summary Page'!$C$2+1)</f>
        <v>99.89734399999999</v>
      </c>
      <c r="AL39" s="7">
        <f>((AVERAGE(B34:B39)*('Summary Page'!$C$3+1))*('Summary Page'!$C$3+1))*('Summary Page'!$C$3+1)</f>
        <v>125</v>
      </c>
      <c r="AM39" s="8">
        <f>((AVERAGE(B34:B39)*('Summary Page'!$C$4+1))*('Summary Page'!$C$4+1))*('Summary Page'!$C$4+1)</f>
        <v>110.592</v>
      </c>
      <c r="AP39" s="7">
        <f t="shared" si="20"/>
        <v>84</v>
      </c>
      <c r="AQ39" s="7">
        <f>((AVERAGE(C34:C39)*('Summary Page'!$C$2+1))*('Summary Page'!$C$2+1))*('Summary Page'!$C$2+1)</f>
        <v>137.87914666666663</v>
      </c>
      <c r="AR39" s="7">
        <f>((AVERAGE(C34:C39)*('Summary Page'!$C$3+1))*('Summary Page'!$C$3+1))*('Summary Page'!$C$3+1)</f>
        <v>172.52604166666663</v>
      </c>
      <c r="AS39" s="7">
        <f>((AVERAGE(C34:C39)*('Summary Page'!$C$4+1))*('Summary Page'!$C$4+1))*('Summary Page'!$C$4+1)</f>
        <v>152.63999999999996</v>
      </c>
      <c r="AV39" s="43">
        <f t="shared" si="21"/>
        <v>74.399999999999991</v>
      </c>
      <c r="AW39" s="7">
        <f>((AVERAGE(D34:D39)*('Summary Page'!$C$2+1))*('Summary Page'!$C$2+1))*('Summary Page'!$C$2+1)</f>
        <v>117.84764799999999</v>
      </c>
      <c r="AX39" s="7">
        <f>((AVERAGE(D34:D39)*('Summary Page'!$C$3+1))*('Summary Page'!$C$3+1))*('Summary Page'!$C$3+1)</f>
        <v>147.4609375</v>
      </c>
      <c r="AY39" s="8">
        <f>((AVERAGE(D34:D39)*('Summary Page'!$C$4+1))*('Summary Page'!$C$4+1))*('Summary Page'!$C$4+1)</f>
        <v>130.46399999999997</v>
      </c>
      <c r="BB39" s="43">
        <f t="shared" si="22"/>
        <v>81.599999999999994</v>
      </c>
      <c r="BC39" s="30">
        <f>((AVERAGE(E34:E39)*('Summary Page'!$C$2+1))*('Summary Page'!$C$2+1))*('Summary Page'!$C$2+1)</f>
        <v>131.11526399999997</v>
      </c>
      <c r="BD39" s="30">
        <f>((AVERAGE(E34:E39)*('Summary Page'!$C$3+1))*('Summary Page'!$C$3+1))*('Summary Page'!$C$3+1)</f>
        <v>164.0625</v>
      </c>
      <c r="BE39" s="32">
        <f>((AVERAGE(E34:E39)*('Summary Page'!$C$4+1))*('Summary Page'!$C$4+1))*('Summary Page'!$C$4+1)</f>
        <v>145.15199999999999</v>
      </c>
      <c r="BH39" s="43">
        <f t="shared" si="23"/>
        <v>92.399999999999991</v>
      </c>
      <c r="BI39" s="7">
        <f>((AVERAGE(N34:N39)*('Summary Page'!$C$2+1))*('Summary Page'!$C$2+1))*('Summary Page'!$C$2+1)</f>
        <v>158.6910933333333</v>
      </c>
      <c r="BJ39" s="7">
        <f>((AVERAGE(N34:N39)*('Summary Page'!$C$3+1))*('Summary Page'!$C$3+1))*('Summary Page'!$C$3+1)</f>
        <v>198.56770833333337</v>
      </c>
      <c r="BK39" s="7">
        <f>((AVERAGE(N34:N39)*('Summary Page'!$C$4+1))*('Summary Page'!$C$4+1))*('Summary Page'!$C$4+1)</f>
        <v>175.68</v>
      </c>
      <c r="BL39" s="16">
        <f t="shared" si="17"/>
        <v>15.011235955056179</v>
      </c>
      <c r="BM39" s="16">
        <f t="shared" si="18"/>
        <v>14.172284644194757</v>
      </c>
      <c r="BN39" s="7">
        <f t="shared" si="25"/>
        <v>17.006741573033707</v>
      </c>
      <c r="BO39" s="7">
        <f>((AVERAGE(BL34:BL39)*('Summary Page'!$C$2+1))*('Summary Page'!$C$2+1))*('Summary Page'!$C$2+1)</f>
        <v>24.3897307565543</v>
      </c>
      <c r="BP39" s="7">
        <f>((AVERAGE(BL34:BL39)*('Summary Page'!$C$3+1))*('Summary Page'!$C$3+1))*('Summary Page'!$C$3+1)</f>
        <v>30.518492509363291</v>
      </c>
      <c r="BQ39" s="7">
        <f>((AVERAGE(BL34:BL39)*('Summary Page'!$C$4+1))*('Summary Page'!$C$4+1))*('Summary Page'!$C$4+1)</f>
        <v>27.000808988764042</v>
      </c>
      <c r="BR39" s="11">
        <f t="shared" si="26"/>
        <v>17.513108614232209</v>
      </c>
      <c r="BS39" s="11">
        <f t="shared" si="12"/>
        <v>16.534332084893883</v>
      </c>
      <c r="BT39" s="11">
        <f t="shared" si="13"/>
        <v>19.841198501872658</v>
      </c>
      <c r="BU39" s="11">
        <f t="shared" si="14"/>
        <v>28.454685882646682</v>
      </c>
      <c r="BV39" s="11">
        <f t="shared" si="15"/>
        <v>35.604907927590503</v>
      </c>
      <c r="BW39" s="11">
        <f t="shared" si="16"/>
        <v>31.500943820224716</v>
      </c>
    </row>
    <row r="40" spans="1:75" ht="15.75" x14ac:dyDescent="0.25">
      <c r="A40" s="10">
        <v>44105</v>
      </c>
      <c r="B40" s="218">
        <v>62</v>
      </c>
      <c r="C40" s="43">
        <v>115</v>
      </c>
      <c r="D40" s="67">
        <v>89</v>
      </c>
      <c r="E40" s="1367">
        <v>118</v>
      </c>
      <c r="F40" s="218">
        <v>63</v>
      </c>
      <c r="G40" s="43">
        <v>64</v>
      </c>
      <c r="H40" s="43">
        <v>50</v>
      </c>
      <c r="I40" s="213">
        <v>64</v>
      </c>
      <c r="J40" s="218"/>
      <c r="K40" s="43"/>
      <c r="L40" s="43"/>
      <c r="M40" s="213"/>
      <c r="N40" s="43">
        <v>103</v>
      </c>
      <c r="O40" s="43">
        <v>54</v>
      </c>
      <c r="P40" s="43"/>
      <c r="Q40" s="218">
        <v>604</v>
      </c>
      <c r="R40" s="43">
        <v>627</v>
      </c>
      <c r="S40" s="213"/>
      <c r="T40" s="43"/>
      <c r="U40" s="43"/>
      <c r="V40" s="43"/>
      <c r="W40" s="218"/>
      <c r="X40" s="43"/>
      <c r="Y40" s="213"/>
      <c r="Z40" s="43"/>
      <c r="AA40" s="2">
        <f t="shared" si="1"/>
        <v>76.8</v>
      </c>
      <c r="AB40" s="2">
        <f t="shared" si="8"/>
        <v>48.2</v>
      </c>
      <c r="AC40" s="2">
        <f t="shared" si="2"/>
        <v>57.84</v>
      </c>
      <c r="AD40" s="30">
        <f>((AVERAGE(AA29:AA40)*('Summary Page'!$C$2+1))*('Summary Page'!$C$2+1))*('Summary Page'!$C$2+1)</f>
        <v>97.555999999999983</v>
      </c>
      <c r="AE40" s="30">
        <f>((AVERAGE(AA29:AA40)*('Summary Page'!$C$3+1))*('Summary Page'!$C$3+1))*('Summary Page'!$C$3+1)</f>
        <v>122.0703125</v>
      </c>
      <c r="AF40" s="30">
        <f>((AVERAGE(AA29:AA40)*('Summary Page'!$C$4+1))*('Summary Page'!$C$4+1))*('Summary Page'!$C$4+1)</f>
        <v>108</v>
      </c>
      <c r="AG40" s="7">
        <f t="shared" si="24"/>
        <v>80</v>
      </c>
      <c r="AJ40" s="7">
        <f t="shared" si="19"/>
        <v>75.599999999999994</v>
      </c>
      <c r="AK40" s="7">
        <f>((AVERAGE(B35:B40)*('Summary Page'!$C$2+1))*('Summary Page'!$C$2+1))*('Summary Page'!$C$2+1)</f>
        <v>99.89734399999999</v>
      </c>
      <c r="AL40" s="7">
        <f>((AVERAGE(B35:B40)*('Summary Page'!$C$3+1))*('Summary Page'!$C$3+1))*('Summary Page'!$C$3+1)</f>
        <v>125</v>
      </c>
      <c r="AM40" s="8">
        <f>((AVERAGE(B35:B40)*('Summary Page'!$C$4+1))*('Summary Page'!$C$4+1))*('Summary Page'!$C$4+1)</f>
        <v>110.592</v>
      </c>
      <c r="AP40" s="7">
        <f t="shared" si="20"/>
        <v>76.8</v>
      </c>
      <c r="AQ40" s="7">
        <f>((AVERAGE(C35:C40)*('Summary Page'!$C$2+1))*('Summary Page'!$C$2+1))*('Summary Page'!$C$2+1)</f>
        <v>148.54526933333332</v>
      </c>
      <c r="AR40" s="7">
        <f>((AVERAGE(C35:C40)*('Summary Page'!$C$3+1))*('Summary Page'!$C$3+1))*('Summary Page'!$C$3+1)</f>
        <v>185.87239583333337</v>
      </c>
      <c r="AS40" s="7">
        <f>((AVERAGE(C35:C40)*('Summary Page'!$C$4+1))*('Summary Page'!$C$4+1))*('Summary Page'!$C$4+1)</f>
        <v>164.44799999999998</v>
      </c>
      <c r="AV40" s="43">
        <f t="shared" si="21"/>
        <v>60</v>
      </c>
      <c r="AW40" s="7">
        <f>((AVERAGE(D35:D40)*('Summary Page'!$C$2+1))*('Summary Page'!$C$2+1))*('Summary Page'!$C$2+1)</f>
        <v>124.87167999999998</v>
      </c>
      <c r="AX40" s="7">
        <f>((AVERAGE(D35:D40)*('Summary Page'!$C$3+1))*('Summary Page'!$C$3+1))*('Summary Page'!$C$3+1)</f>
        <v>156.25</v>
      </c>
      <c r="AY40" s="8">
        <f>((AVERAGE(D35:D40)*('Summary Page'!$C$4+1))*('Summary Page'!$C$4+1))*('Summary Page'!$C$4+1)</f>
        <v>138.23999999999998</v>
      </c>
      <c r="BB40" s="43">
        <f t="shared" si="22"/>
        <v>76.8</v>
      </c>
      <c r="BC40" s="30">
        <f>((AVERAGE(E35:E40)*('Summary Page'!$C$2+1))*('Summary Page'!$C$2+1))*('Summary Page'!$C$2+1)</f>
        <v>144.64302933333332</v>
      </c>
      <c r="BD40" s="30">
        <f>((AVERAGE(E35:E40)*('Summary Page'!$C$3+1))*('Summary Page'!$C$3+1))*('Summary Page'!$C$3+1)</f>
        <v>180.98958333333337</v>
      </c>
      <c r="BE40" s="32">
        <f>((AVERAGE(E35:E40)*('Summary Page'!$C$4+1))*('Summary Page'!$C$4+1))*('Summary Page'!$C$4+1)</f>
        <v>160.12799999999999</v>
      </c>
      <c r="BH40" s="43">
        <f t="shared" si="23"/>
        <v>64.8</v>
      </c>
      <c r="BI40" s="7">
        <f>((AVERAGE(N35:N40)*('Summary Page'!$C$2+1))*('Summary Page'!$C$2+1))*('Summary Page'!$C$2+1)</f>
        <v>163.63393066666663</v>
      </c>
      <c r="BJ40" s="7">
        <f>((AVERAGE(N35:N40)*('Summary Page'!$C$3+1))*('Summary Page'!$C$3+1))*('Summary Page'!$C$3+1)</f>
        <v>204.75260416666663</v>
      </c>
      <c r="BK40" s="7">
        <f>((AVERAGE(N35:N40)*('Summary Page'!$C$4+1))*('Summary Page'!$C$4+1))*('Summary Page'!$C$4+1)</f>
        <v>181.15199999999996</v>
      </c>
      <c r="BL40" s="16">
        <f t="shared" si="17"/>
        <v>18.09737827715356</v>
      </c>
      <c r="BM40" s="16">
        <f t="shared" si="18"/>
        <v>18.786516853932582</v>
      </c>
      <c r="BN40" s="7">
        <f t="shared" si="25"/>
        <v>22.543820224719099</v>
      </c>
      <c r="BO40" s="7">
        <f>((AVERAGE(BL35:BL40)*('Summary Page'!$C$2+1))*('Summary Page'!$C$2+1))*('Summary Page'!$C$2+1)</f>
        <v>24.483267595505609</v>
      </c>
      <c r="BP40" s="7">
        <f>((AVERAGE(BL35:BL40)*('Summary Page'!$C$3+1))*('Summary Page'!$C$3+1))*('Summary Page'!$C$3+1)</f>
        <v>30.635533707865164</v>
      </c>
      <c r="BQ40" s="7">
        <f>((AVERAGE(BL35:BL40)*('Summary Page'!$C$4+1))*('Summary Page'!$C$4+1))*('Summary Page'!$C$4+1)</f>
        <v>27.104359550561789</v>
      </c>
      <c r="BR40" s="11">
        <f t="shared" si="26"/>
        <v>21.113607990012486</v>
      </c>
      <c r="BS40" s="11">
        <f t="shared" si="12"/>
        <v>21.917602996254679</v>
      </c>
      <c r="BT40" s="11">
        <f t="shared" si="13"/>
        <v>26.301123595505615</v>
      </c>
      <c r="BU40" s="11">
        <f t="shared" si="14"/>
        <v>28.563812194756544</v>
      </c>
      <c r="BV40" s="11">
        <f t="shared" si="15"/>
        <v>35.741455992509358</v>
      </c>
      <c r="BW40" s="11">
        <f t="shared" si="16"/>
        <v>31.621752808988752</v>
      </c>
    </row>
    <row r="41" spans="1:75" ht="15.75" x14ac:dyDescent="0.25">
      <c r="A41" s="10">
        <v>44138</v>
      </c>
      <c r="B41" s="218">
        <v>51</v>
      </c>
      <c r="C41" s="43">
        <v>100</v>
      </c>
      <c r="D41" s="67">
        <v>81</v>
      </c>
      <c r="E41" s="1367">
        <v>112</v>
      </c>
      <c r="F41" s="218">
        <v>39</v>
      </c>
      <c r="G41" s="43">
        <v>63</v>
      </c>
      <c r="H41" s="43">
        <v>51</v>
      </c>
      <c r="I41" s="213">
        <v>51</v>
      </c>
      <c r="J41" s="218"/>
      <c r="K41" s="43"/>
      <c r="L41" s="43"/>
      <c r="M41" s="213"/>
      <c r="N41" s="43">
        <v>86</v>
      </c>
      <c r="O41" s="43">
        <v>50</v>
      </c>
      <c r="P41" s="43"/>
      <c r="Q41" s="218">
        <v>597</v>
      </c>
      <c r="R41" s="43">
        <v>627</v>
      </c>
      <c r="S41" s="213"/>
      <c r="T41" s="43"/>
      <c r="U41" s="43"/>
      <c r="V41" s="43"/>
      <c r="W41" s="218"/>
      <c r="X41" s="43"/>
      <c r="Y41" s="213"/>
      <c r="Z41" s="43"/>
      <c r="AA41" s="2">
        <f t="shared" si="1"/>
        <v>68.8</v>
      </c>
      <c r="AB41" s="2">
        <f t="shared" si="8"/>
        <v>40.799999999999997</v>
      </c>
      <c r="AC41" s="2">
        <f t="shared" si="2"/>
        <v>48.959999999999994</v>
      </c>
      <c r="AD41" s="30">
        <f>((AVERAGE(AA30:AA41)*('Summary Page'!$C$2+1))*('Summary Page'!$C$2+1))*('Summary Page'!$C$2+1)</f>
        <v>96.567432533333317</v>
      </c>
      <c r="AE41" s="30">
        <f>((AVERAGE(AA30:AA41)*('Summary Page'!$C$3+1))*('Summary Page'!$C$3+1))*('Summary Page'!$C$3+1)</f>
        <v>120.83333333333331</v>
      </c>
      <c r="AF41" s="30">
        <f>((AVERAGE(AA30:AA41)*('Summary Page'!$C$4+1))*('Summary Page'!$C$4+1))*('Summary Page'!$C$4+1)</f>
        <v>106.90559999999999</v>
      </c>
      <c r="AG41" s="7">
        <f t="shared" si="24"/>
        <v>80</v>
      </c>
      <c r="AJ41" s="7">
        <f t="shared" si="19"/>
        <v>46.8</v>
      </c>
      <c r="AK41" s="7">
        <f>((AVERAGE(B36:B41)*('Summary Page'!$C$2+1))*('Summary Page'!$C$2+1))*('Summary Page'!$C$2+1)</f>
        <v>96.255253333333314</v>
      </c>
      <c r="AL41" s="7">
        <f>((AVERAGE(B36:B41)*('Summary Page'!$C$3+1))*('Summary Page'!$C$3+1))*('Summary Page'!$C$3+1)</f>
        <v>120.44270833333331</v>
      </c>
      <c r="AM41" s="8">
        <f>((AVERAGE(B36:B41)*('Summary Page'!$C$4+1))*('Summary Page'!$C$4+1))*('Summary Page'!$C$4+1)</f>
        <v>106.55999999999999</v>
      </c>
      <c r="AP41" s="7">
        <f t="shared" si="20"/>
        <v>75.599999999999994</v>
      </c>
      <c r="AQ41" s="7">
        <f>((AVERAGE(C36:C41)*('Summary Page'!$C$2+1))*('Summary Page'!$C$2+1))*('Summary Page'!$C$2+1)</f>
        <v>153.48810666666662</v>
      </c>
      <c r="AR41" s="7">
        <f>((AVERAGE(C36:C41)*('Summary Page'!$C$3+1))*('Summary Page'!$C$3+1))*('Summary Page'!$C$3+1)</f>
        <v>192.05729166666663</v>
      </c>
      <c r="AS41" s="7">
        <f>((AVERAGE(C36:C41)*('Summary Page'!$C$4+1))*('Summary Page'!$C$4+1))*('Summary Page'!$C$4+1)</f>
        <v>169.91999999999996</v>
      </c>
      <c r="AV41" s="43">
        <f t="shared" si="21"/>
        <v>61.199999999999996</v>
      </c>
      <c r="AW41" s="7">
        <f>((AVERAGE(D36:D41)*('Summary Page'!$C$2+1))*('Summary Page'!$C$2+1))*('Summary Page'!$C$2+1)</f>
        <v>128.25362133333331</v>
      </c>
      <c r="AX41" s="7">
        <f>((AVERAGE(D36:D41)*('Summary Page'!$C$3+1))*('Summary Page'!$C$3+1))*('Summary Page'!$C$3+1)</f>
        <v>160.48177083333337</v>
      </c>
      <c r="AY41" s="8">
        <f>((AVERAGE(D36:D41)*('Summary Page'!$C$4+1))*('Summary Page'!$C$4+1))*('Summary Page'!$C$4+1)</f>
        <v>141.98400000000001</v>
      </c>
      <c r="BB41" s="43">
        <f t="shared" si="22"/>
        <v>61.199999999999996</v>
      </c>
      <c r="BC41" s="30">
        <f>((AVERAGE(E36:E41)*('Summary Page'!$C$2+1))*('Summary Page'!$C$2+1))*('Summary Page'!$C$2+1)</f>
        <v>154.2685546666666</v>
      </c>
      <c r="BD41" s="30">
        <f>((AVERAGE(E36:E41)*('Summary Page'!$C$3+1))*('Summary Page'!$C$3+1))*('Summary Page'!$C$3+1)</f>
        <v>193.03385416666663</v>
      </c>
      <c r="BE41" s="32">
        <f>((AVERAGE(E36:E41)*('Summary Page'!$C$4+1))*('Summary Page'!$C$4+1))*('Summary Page'!$C$4+1)</f>
        <v>170.78399999999999</v>
      </c>
      <c r="BH41" s="43">
        <f t="shared" si="23"/>
        <v>60</v>
      </c>
      <c r="BI41" s="7">
        <f>((AVERAGE(N36:N41)*('Summary Page'!$C$2+1))*('Summary Page'!$C$2+1))*('Summary Page'!$C$2+1)</f>
        <v>161.03243733333332</v>
      </c>
      <c r="BJ41" s="7">
        <f>((AVERAGE(N36:N41)*('Summary Page'!$C$3+1))*('Summary Page'!$C$3+1))*('Summary Page'!$C$3+1)</f>
        <v>201.49739583333337</v>
      </c>
      <c r="BK41" s="7">
        <f>((AVERAGE(N36:N41)*('Summary Page'!$C$4+1))*('Summary Page'!$C$4+1))*('Summary Page'!$C$4+1)</f>
        <v>178.27199999999999</v>
      </c>
      <c r="BL41" s="16">
        <f t="shared" si="17"/>
        <v>17.887640449438202</v>
      </c>
      <c r="BM41" s="16">
        <f t="shared" si="18"/>
        <v>18.786516853932582</v>
      </c>
      <c r="BN41" s="7">
        <f t="shared" si="25"/>
        <v>22.543820224719099</v>
      </c>
      <c r="BO41" s="7">
        <f>((AVERAGE(BL36:BL41)*('Summary Page'!$C$2+1))*('Summary Page'!$C$2+1))*('Summary Page'!$C$2+1)</f>
        <v>25.543351770287138</v>
      </c>
      <c r="BP41" s="7">
        <f>((AVERAGE(BL36:BL41)*('Summary Page'!$C$3+1))*('Summary Page'!$C$3+1))*('Summary Page'!$C$3+1)</f>
        <v>31.962000624219726</v>
      </c>
      <c r="BQ41" s="7">
        <f>((AVERAGE(BL36:BL41)*('Summary Page'!$C$4+1))*('Summary Page'!$C$4+1))*('Summary Page'!$C$4+1)</f>
        <v>28.277932584269667</v>
      </c>
      <c r="BR41" s="11">
        <f t="shared" si="26"/>
        <v>20.868913857677903</v>
      </c>
      <c r="BS41" s="11">
        <f t="shared" si="12"/>
        <v>21.917602996254679</v>
      </c>
      <c r="BT41" s="11">
        <f t="shared" si="13"/>
        <v>26.301123595505615</v>
      </c>
      <c r="BU41" s="11">
        <f t="shared" si="14"/>
        <v>29.800577065334995</v>
      </c>
      <c r="BV41" s="11">
        <f t="shared" si="15"/>
        <v>37.289000728256347</v>
      </c>
      <c r="BW41" s="11">
        <f t="shared" si="16"/>
        <v>32.990921348314615</v>
      </c>
    </row>
    <row r="42" spans="1:75" ht="15.75" x14ac:dyDescent="0.25">
      <c r="A42" s="10">
        <v>44166</v>
      </c>
      <c r="B42" s="218">
        <v>47</v>
      </c>
      <c r="C42" s="43">
        <v>84</v>
      </c>
      <c r="D42" s="67">
        <v>71</v>
      </c>
      <c r="E42" s="1367">
        <v>82</v>
      </c>
      <c r="F42" s="218">
        <v>40</v>
      </c>
      <c r="G42" s="43">
        <v>66</v>
      </c>
      <c r="H42" s="43">
        <v>55</v>
      </c>
      <c r="I42" s="213">
        <v>60</v>
      </c>
      <c r="J42" s="218"/>
      <c r="K42" s="43"/>
      <c r="L42" s="43"/>
      <c r="M42" s="213"/>
      <c r="N42" s="43">
        <v>87</v>
      </c>
      <c r="O42" s="43">
        <v>65</v>
      </c>
      <c r="P42" s="43"/>
      <c r="Q42" s="218">
        <v>457</v>
      </c>
      <c r="R42" s="43">
        <v>493</v>
      </c>
      <c r="S42" s="213"/>
      <c r="T42" s="43"/>
      <c r="U42" s="43"/>
      <c r="V42" s="43"/>
      <c r="W42" s="218"/>
      <c r="X42" s="43"/>
      <c r="Y42" s="213"/>
      <c r="Z42" s="43"/>
      <c r="AA42" s="2">
        <f t="shared" si="1"/>
        <v>56.8</v>
      </c>
      <c r="AB42" s="2">
        <f t="shared" si="8"/>
        <v>44.2</v>
      </c>
      <c r="AC42" s="2">
        <f t="shared" si="2"/>
        <v>53.04</v>
      </c>
      <c r="AD42" s="30">
        <f>((AVERAGE(AA31:AA42)*('Summary Page'!$C$2+1))*('Summary Page'!$C$2+1))*('Summary Page'!$C$2+1)</f>
        <v>94.954506666666617</v>
      </c>
      <c r="AE42" s="30">
        <f>((AVERAGE(AA31:AA42)*('Summary Page'!$C$3+1))*('Summary Page'!$C$3+1))*('Summary Page'!$C$3+1)</f>
        <v>118.81510416666664</v>
      </c>
      <c r="AF42" s="30">
        <f>((AVERAGE(AA31:AA42)*('Summary Page'!$C$4+1))*('Summary Page'!$C$4+1))*('Summary Page'!$C$4+1)</f>
        <v>105.11999999999998</v>
      </c>
      <c r="AG42" s="7">
        <f t="shared" si="24"/>
        <v>80</v>
      </c>
      <c r="AJ42" s="7">
        <f t="shared" si="19"/>
        <v>48</v>
      </c>
      <c r="AK42" s="7">
        <f>((AVERAGE(B37:B42)*('Summary Page'!$C$2+1))*('Summary Page'!$C$2+1))*('Summary Page'!$C$2+1)</f>
        <v>91.832714666666661</v>
      </c>
      <c r="AL42" s="7">
        <f>((AVERAGE(B37:B42)*('Summary Page'!$C$3+1))*('Summary Page'!$C$3+1))*('Summary Page'!$C$3+1)</f>
        <v>114.90885416666669</v>
      </c>
      <c r="AM42" s="8">
        <f>((AVERAGE(B37:B42)*('Summary Page'!$C$4+1))*('Summary Page'!$C$4+1))*('Summary Page'!$C$4+1)</f>
        <v>101.66399999999997</v>
      </c>
      <c r="AP42" s="7">
        <f t="shared" si="20"/>
        <v>79.2</v>
      </c>
      <c r="AQ42" s="7">
        <f>((AVERAGE(C37:C42)*('Summary Page'!$C$2+1))*('Summary Page'!$C$2+1))*('Summary Page'!$C$2+1)</f>
        <v>154.2685546666666</v>
      </c>
      <c r="AR42" s="7">
        <f>((AVERAGE(C37:C42)*('Summary Page'!$C$3+1))*('Summary Page'!$C$3+1))*('Summary Page'!$C$3+1)</f>
        <v>193.03385416666663</v>
      </c>
      <c r="AS42" s="7">
        <f>((AVERAGE(C37:C42)*('Summary Page'!$C$4+1))*('Summary Page'!$C$4+1))*('Summary Page'!$C$4+1)</f>
        <v>170.78399999999999</v>
      </c>
      <c r="AV42" s="43">
        <f t="shared" si="21"/>
        <v>66</v>
      </c>
      <c r="AW42" s="7">
        <f>((AVERAGE(D37:D42)*('Summary Page'!$C$2+1))*('Summary Page'!$C$2+1))*('Summary Page'!$C$2+1)</f>
        <v>128.25362133333331</v>
      </c>
      <c r="AX42" s="7">
        <f>((AVERAGE(D37:D42)*('Summary Page'!$C$3+1))*('Summary Page'!$C$3+1))*('Summary Page'!$C$3+1)</f>
        <v>160.48177083333337</v>
      </c>
      <c r="AY42" s="8">
        <f>((AVERAGE(D37:D42)*('Summary Page'!$C$4+1))*('Summary Page'!$C$4+1))*('Summary Page'!$C$4+1)</f>
        <v>141.98400000000001</v>
      </c>
      <c r="BB42" s="43">
        <f t="shared" si="22"/>
        <v>72</v>
      </c>
      <c r="BC42" s="30">
        <f>((AVERAGE(E37:E42)*('Summary Page'!$C$2+1))*('Summary Page'!$C$2+1))*('Summary Page'!$C$2+1)</f>
        <v>156.870048</v>
      </c>
      <c r="BD42" s="30">
        <f>((AVERAGE(E37:E42)*('Summary Page'!$C$3+1))*('Summary Page'!$C$3+1))*('Summary Page'!$C$3+1)</f>
        <v>196.2890625</v>
      </c>
      <c r="BE42" s="32">
        <f>((AVERAGE(E37:E42)*('Summary Page'!$C$4+1))*('Summary Page'!$C$4+1))*('Summary Page'!$C$4+1)</f>
        <v>173.66399999999999</v>
      </c>
      <c r="BH42" s="43">
        <f t="shared" si="23"/>
        <v>78</v>
      </c>
      <c r="BI42" s="7">
        <f>((AVERAGE(N37:N42)*('Summary Page'!$C$2+1))*('Summary Page'!$C$2+1))*('Summary Page'!$C$2+1)</f>
        <v>159.21139199999996</v>
      </c>
      <c r="BJ42" s="7">
        <f>((AVERAGE(N37:N42)*('Summary Page'!$C$3+1))*('Summary Page'!$C$3+1))*('Summary Page'!$C$3+1)</f>
        <v>199.21875</v>
      </c>
      <c r="BK42" s="7">
        <f>((AVERAGE(N37:N42)*('Summary Page'!$C$4+1))*('Summary Page'!$C$4+1))*('Summary Page'!$C$4+1)</f>
        <v>176.256</v>
      </c>
      <c r="BL42" s="16">
        <f t="shared" si="17"/>
        <v>13.692883895131086</v>
      </c>
      <c r="BM42" s="16">
        <f t="shared" si="18"/>
        <v>14.771535580524343</v>
      </c>
      <c r="BN42" s="7">
        <f t="shared" si="25"/>
        <v>17.725842696629211</v>
      </c>
      <c r="BO42" s="7">
        <f>((AVERAGE(BL37:BL42)*('Summary Page'!$C$2+1))*('Summary Page'!$C$2+1))*('Summary Page'!$C$2+1)</f>
        <v>25.519967560549315</v>
      </c>
      <c r="BP42" s="7">
        <f>((AVERAGE(BL37:BL42)*('Summary Page'!$C$3+1))*('Summary Page'!$C$3+1))*('Summary Page'!$C$3+1)</f>
        <v>31.93274032459426</v>
      </c>
      <c r="BQ42" s="7">
        <f>((AVERAGE(BL37:BL42)*('Summary Page'!$C$4+1))*('Summary Page'!$C$4+1))*('Summary Page'!$C$4+1)</f>
        <v>28.252044943820227</v>
      </c>
      <c r="BR42" s="11">
        <f t="shared" si="26"/>
        <v>15.975031210986266</v>
      </c>
      <c r="BS42" s="11">
        <f t="shared" si="12"/>
        <v>17.233458177278401</v>
      </c>
      <c r="BT42" s="11">
        <f t="shared" si="13"/>
        <v>20.680149812734079</v>
      </c>
      <c r="BU42" s="11">
        <f t="shared" si="14"/>
        <v>29.773295487307536</v>
      </c>
      <c r="BV42" s="11">
        <f t="shared" si="15"/>
        <v>37.254863712026633</v>
      </c>
      <c r="BW42" s="11">
        <f t="shared" si="16"/>
        <v>32.960719101123601</v>
      </c>
    </row>
    <row r="43" spans="1:75" ht="15.75" x14ac:dyDescent="0.25">
      <c r="A43" s="10">
        <v>44230</v>
      </c>
      <c r="B43" s="218">
        <v>45</v>
      </c>
      <c r="C43" s="43">
        <v>86</v>
      </c>
      <c r="D43" s="67">
        <v>74</v>
      </c>
      <c r="E43" s="1367">
        <v>85</v>
      </c>
      <c r="F43" s="218">
        <v>37</v>
      </c>
      <c r="G43" s="43">
        <v>59</v>
      </c>
      <c r="H43" s="43">
        <v>48</v>
      </c>
      <c r="I43" s="213">
        <v>53</v>
      </c>
      <c r="J43" s="218"/>
      <c r="K43" s="43"/>
      <c r="L43" s="43"/>
      <c r="M43" s="213"/>
      <c r="N43" s="43">
        <v>94</v>
      </c>
      <c r="O43" s="43">
        <v>62</v>
      </c>
      <c r="P43" s="43"/>
      <c r="Q43" s="218">
        <v>430</v>
      </c>
      <c r="R43" s="43">
        <v>447</v>
      </c>
      <c r="S43" s="213"/>
      <c r="T43" s="43"/>
      <c r="U43" s="43"/>
      <c r="V43" s="43"/>
      <c r="W43" s="218"/>
      <c r="X43" s="43"/>
      <c r="Y43" s="213"/>
      <c r="Z43" s="43"/>
      <c r="AA43" s="2">
        <f t="shared" si="1"/>
        <v>58</v>
      </c>
      <c r="AB43" s="2">
        <f t="shared" si="8"/>
        <v>39.4</v>
      </c>
      <c r="AC43" s="2">
        <f t="shared" si="2"/>
        <v>47.279999999999994</v>
      </c>
      <c r="AD43" s="30">
        <f>((AVERAGE(AA32:AA43)*('Summary Page'!$C$2+1))*('Summary Page'!$C$2+1))*('Summary Page'!$C$2+1)</f>
        <v>95.396760533333293</v>
      </c>
      <c r="AE43" s="30">
        <f>((AVERAGE(AA32:AA43)*('Summary Page'!$C$3+1))*('Summary Page'!$C$3+1))*('Summary Page'!$C$3+1)</f>
        <v>119.3684895833333</v>
      </c>
      <c r="AF43" s="30">
        <f>((AVERAGE(AA32:AA43)*('Summary Page'!$C$4+1))*('Summary Page'!$C$4+1))*('Summary Page'!$C$4+1)</f>
        <v>105.60959999999996</v>
      </c>
      <c r="AG43" s="7">
        <f t="shared" si="24"/>
        <v>80</v>
      </c>
      <c r="AJ43" s="7">
        <f t="shared" si="19"/>
        <v>44.4</v>
      </c>
      <c r="AK43" s="7">
        <f>((AVERAGE(B38:B43)*('Summary Page'!$C$2+1))*('Summary Page'!$C$2+1))*('Summary Page'!$C$2+1)</f>
        <v>87.410175999999979</v>
      </c>
      <c r="AL43" s="7">
        <f>((AVERAGE(B38:B43)*('Summary Page'!$C$3+1))*('Summary Page'!$C$3+1))*('Summary Page'!$C$3+1)</f>
        <v>109.375</v>
      </c>
      <c r="AM43" s="8">
        <f>((AVERAGE(B38:B43)*('Summary Page'!$C$4+1))*('Summary Page'!$C$4+1))*('Summary Page'!$C$4+1)</f>
        <v>96.768000000000001</v>
      </c>
      <c r="AP43" s="7">
        <f t="shared" si="20"/>
        <v>70.8</v>
      </c>
      <c r="AQ43" s="7">
        <f>((AVERAGE(C38:C43)*('Summary Page'!$C$2+1))*('Summary Page'!$C$2+1))*('Summary Page'!$C$2+1)</f>
        <v>154.2685546666666</v>
      </c>
      <c r="AR43" s="7">
        <f>((AVERAGE(C38:C43)*('Summary Page'!$C$3+1))*('Summary Page'!$C$3+1))*('Summary Page'!$C$3+1)</f>
        <v>193.03385416666663</v>
      </c>
      <c r="AS43" s="7">
        <f>((AVERAGE(C38:C43)*('Summary Page'!$C$4+1))*('Summary Page'!$C$4+1))*('Summary Page'!$C$4+1)</f>
        <v>170.78399999999999</v>
      </c>
      <c r="AV43" s="43">
        <f t="shared" si="21"/>
        <v>57.599999999999994</v>
      </c>
      <c r="AW43" s="7">
        <f>((AVERAGE(D38:D43)*('Summary Page'!$C$2+1))*('Summary Page'!$C$2+1))*('Summary Page'!$C$2+1)</f>
        <v>128.51377066666663</v>
      </c>
      <c r="AX43" s="7">
        <f>((AVERAGE(D38:D43)*('Summary Page'!$C$3+1))*('Summary Page'!$C$3+1))*('Summary Page'!$C$3+1)</f>
        <v>160.80729166666663</v>
      </c>
      <c r="AY43" s="8">
        <f>((AVERAGE(D38:D43)*('Summary Page'!$C$4+1))*('Summary Page'!$C$4+1))*('Summary Page'!$C$4+1)</f>
        <v>142.27199999999999</v>
      </c>
      <c r="BB43" s="43">
        <f t="shared" si="22"/>
        <v>63.599999999999994</v>
      </c>
      <c r="BC43" s="30">
        <f>((AVERAGE(E38:E43)*('Summary Page'!$C$2+1))*('Summary Page'!$C$2+1))*('Summary Page'!$C$2+1)</f>
        <v>156.870048</v>
      </c>
      <c r="BD43" s="30">
        <f>((AVERAGE(E38:E43)*('Summary Page'!$C$3+1))*('Summary Page'!$C$3+1))*('Summary Page'!$C$3+1)</f>
        <v>196.2890625</v>
      </c>
      <c r="BE43" s="32">
        <f>((AVERAGE(E38:E43)*('Summary Page'!$C$4+1))*('Summary Page'!$C$4+1))*('Summary Page'!$C$4+1)</f>
        <v>173.66399999999999</v>
      </c>
      <c r="BH43" s="43">
        <f t="shared" si="23"/>
        <v>74.399999999999991</v>
      </c>
      <c r="BI43" s="7">
        <f>((AVERAGE(N38:N43)*('Summary Page'!$C$2+1))*('Summary Page'!$C$2+1))*('Summary Page'!$C$2+1)</f>
        <v>157.13019733333331</v>
      </c>
      <c r="BJ43" s="7">
        <f>((AVERAGE(N38:N43)*('Summary Page'!$C$3+1))*('Summary Page'!$C$3+1))*('Summary Page'!$C$3+1)</f>
        <v>196.61458333333337</v>
      </c>
      <c r="BK43" s="7">
        <f>((AVERAGE(N38:N43)*('Summary Page'!$C$4+1))*('Summary Page'!$C$4+1))*('Summary Page'!$C$4+1)</f>
        <v>173.95199999999997</v>
      </c>
      <c r="BL43" s="16">
        <f t="shared" si="17"/>
        <v>12.883895131086144</v>
      </c>
      <c r="BM43" s="16">
        <f t="shared" si="18"/>
        <v>13.393258426966293</v>
      </c>
      <c r="BN43" s="7">
        <f t="shared" si="25"/>
        <v>16.07191011235955</v>
      </c>
      <c r="BO43" s="7">
        <f>((AVERAGE(BL38:BL43)*('Summary Page'!$C$2+1))*('Summary Page'!$C$2+1))*('Summary Page'!$C$2+1)</f>
        <v>24.210451815230961</v>
      </c>
      <c r="BP43" s="7">
        <f>((AVERAGE(BL38:BL43)*('Summary Page'!$C$3+1))*('Summary Page'!$C$3+1))*('Summary Page'!$C$3+1)</f>
        <v>30.294163545568043</v>
      </c>
      <c r="BQ43" s="7">
        <f>((AVERAGE(BL38:BL43)*('Summary Page'!$C$4+1))*('Summary Page'!$C$4+1))*('Summary Page'!$C$4+1)</f>
        <v>26.802337078651686</v>
      </c>
      <c r="BR43" s="11">
        <f t="shared" si="26"/>
        <v>15.031210986267167</v>
      </c>
      <c r="BS43" s="11">
        <f t="shared" si="12"/>
        <v>15.625468164794007</v>
      </c>
      <c r="BT43" s="11">
        <f t="shared" si="13"/>
        <v>18.750561797752809</v>
      </c>
      <c r="BU43" s="11">
        <f t="shared" si="14"/>
        <v>28.245527117769456</v>
      </c>
      <c r="BV43" s="11">
        <f t="shared" si="15"/>
        <v>35.34319080316272</v>
      </c>
      <c r="BW43" s="11">
        <f t="shared" si="16"/>
        <v>31.269393258426966</v>
      </c>
    </row>
    <row r="44" spans="1:75" ht="15.75" x14ac:dyDescent="0.25">
      <c r="A44" s="10">
        <v>44292</v>
      </c>
      <c r="B44" s="218">
        <v>48</v>
      </c>
      <c r="C44" s="43">
        <v>96</v>
      </c>
      <c r="D44" s="67">
        <v>78</v>
      </c>
      <c r="E44" s="1367">
        <v>45</v>
      </c>
      <c r="F44" s="218">
        <v>50</v>
      </c>
      <c r="G44" s="43">
        <v>76</v>
      </c>
      <c r="H44" s="43">
        <v>66</v>
      </c>
      <c r="I44" s="213">
        <v>45</v>
      </c>
      <c r="J44" s="218"/>
      <c r="K44" s="43"/>
      <c r="L44" s="43"/>
      <c r="M44" s="213"/>
      <c r="N44" s="43">
        <v>103</v>
      </c>
      <c r="O44" s="43">
        <v>85</v>
      </c>
      <c r="P44" s="43"/>
      <c r="Q44" s="218">
        <v>442</v>
      </c>
      <c r="R44" s="43">
        <v>456</v>
      </c>
      <c r="S44" s="213"/>
      <c r="T44" s="43"/>
      <c r="U44" s="43"/>
      <c r="V44" s="43"/>
      <c r="W44" s="218"/>
      <c r="X44" s="43"/>
      <c r="Y44" s="213"/>
      <c r="Z44" s="43"/>
      <c r="AA44" s="2">
        <f t="shared" si="1"/>
        <v>53.4</v>
      </c>
      <c r="AB44" s="2">
        <f t="shared" si="8"/>
        <v>47.4</v>
      </c>
      <c r="AC44" s="2">
        <f t="shared" si="2"/>
        <v>56.879999999999995</v>
      </c>
      <c r="AD44" s="30">
        <f>((AVERAGE(AA33:AA44)*('Summary Page'!$C$2+1))*('Summary Page'!$C$2+1))*('Summary Page'!$C$2+1)</f>
        <v>95.526835199999965</v>
      </c>
      <c r="AE44" s="30">
        <f>((AVERAGE(AA33:AA44)*('Summary Page'!$C$3+1))*('Summary Page'!$C$3+1))*('Summary Page'!$C$3+1)</f>
        <v>119.53125</v>
      </c>
      <c r="AF44" s="30">
        <f>((AVERAGE(AA33:AA44)*('Summary Page'!$C$4+1))*('Summary Page'!$C$4+1))*('Summary Page'!$C$4+1)</f>
        <v>105.75359999999999</v>
      </c>
      <c r="AG44" s="7">
        <f t="shared" si="24"/>
        <v>80</v>
      </c>
      <c r="AJ44" s="7">
        <f t="shared" si="19"/>
        <v>60</v>
      </c>
      <c r="AK44" s="7">
        <f>((AVERAGE(B39:B44)*('Summary Page'!$C$2+1))*('Summary Page'!$C$2+1))*('Summary Page'!$C$2+1)</f>
        <v>83.247786666666656</v>
      </c>
      <c r="AL44" s="7">
        <f>((AVERAGE(B39:B44)*('Summary Page'!$C$3+1))*('Summary Page'!$C$3+1))*('Summary Page'!$C$3+1)</f>
        <v>104.16666666666669</v>
      </c>
      <c r="AM44" s="8">
        <f>((AVERAGE(B39:B44)*('Summary Page'!$C$4+1))*('Summary Page'!$C$4+1))*('Summary Page'!$C$4+1)</f>
        <v>92.16</v>
      </c>
      <c r="AP44" s="7">
        <f t="shared" si="20"/>
        <v>91.2</v>
      </c>
      <c r="AQ44" s="7">
        <f>((AVERAGE(C39:C44)*('Summary Page'!$C$2+1))*('Summary Page'!$C$2+1))*('Summary Page'!$C$2+1)</f>
        <v>154.52870399999998</v>
      </c>
      <c r="AR44" s="7">
        <f>((AVERAGE(C39:C44)*('Summary Page'!$C$3+1))*('Summary Page'!$C$3+1))*('Summary Page'!$C$3+1)</f>
        <v>193.359375</v>
      </c>
      <c r="AS44" s="7">
        <f>((AVERAGE(C39:C44)*('Summary Page'!$C$4+1))*('Summary Page'!$C$4+1))*('Summary Page'!$C$4+1)</f>
        <v>171.072</v>
      </c>
      <c r="AV44" s="43">
        <f t="shared" si="21"/>
        <v>79.2</v>
      </c>
      <c r="AW44" s="7">
        <f>((AVERAGE(D39:D44)*('Summary Page'!$C$2+1))*('Summary Page'!$C$2+1))*('Summary Page'!$C$2+1)</f>
        <v>127.99347199999997</v>
      </c>
      <c r="AX44" s="7">
        <f>((AVERAGE(D39:D44)*('Summary Page'!$C$3+1))*('Summary Page'!$C$3+1))*('Summary Page'!$C$3+1)</f>
        <v>160.15625</v>
      </c>
      <c r="AY44" s="8">
        <f>((AVERAGE(D39:D44)*('Summary Page'!$C$4+1))*('Summary Page'!$C$4+1))*('Summary Page'!$C$4+1)</f>
        <v>141.69599999999997</v>
      </c>
      <c r="BB44" s="43">
        <f t="shared" si="22"/>
        <v>54</v>
      </c>
      <c r="BC44" s="30">
        <f>((AVERAGE(E39:E44)*('Summary Page'!$C$2+1))*('Summary Page'!$C$2+1))*('Summary Page'!$C$2+1)</f>
        <v>144.38287999999997</v>
      </c>
      <c r="BD44" s="30">
        <f>((AVERAGE(E39:E44)*('Summary Page'!$C$3+1))*('Summary Page'!$C$3+1))*('Summary Page'!$C$3+1)</f>
        <v>180.6640625</v>
      </c>
      <c r="BE44" s="32">
        <f>((AVERAGE(E39:E44)*('Summary Page'!$C$4+1))*('Summary Page'!$C$4+1))*('Summary Page'!$C$4+1)</f>
        <v>159.83999999999997</v>
      </c>
      <c r="BH44" s="43">
        <f t="shared" si="23"/>
        <v>102</v>
      </c>
      <c r="BI44" s="7">
        <f>((AVERAGE(N39:N44)*('Summary Page'!$C$2+1))*('Summary Page'!$C$2+1))*('Summary Page'!$C$2+1)</f>
        <v>156.870048</v>
      </c>
      <c r="BJ44" s="7">
        <f>((AVERAGE(N39:N44)*('Summary Page'!$C$3+1))*('Summary Page'!$C$3+1))*('Summary Page'!$C$3+1)</f>
        <v>196.2890625</v>
      </c>
      <c r="BK44" s="7">
        <f>((AVERAGE(N39:N44)*('Summary Page'!$C$4+1))*('Summary Page'!$C$4+1))*('Summary Page'!$C$4+1)</f>
        <v>173.66399999999999</v>
      </c>
      <c r="BL44" s="16">
        <f t="shared" si="17"/>
        <v>13.243445692883896</v>
      </c>
      <c r="BM44" s="16">
        <f t="shared" si="18"/>
        <v>13.662921348314606</v>
      </c>
      <c r="BN44" s="7">
        <f t="shared" si="25"/>
        <v>16.395505617977527</v>
      </c>
      <c r="BO44" s="7">
        <f>((AVERAGE(BL39:BL44)*('Summary Page'!$C$2+1))*('Summary Page'!$C$2+1))*('Summary Page'!$C$2+1)</f>
        <v>23.625846571785264</v>
      </c>
      <c r="BP44" s="7">
        <f>((AVERAGE(BL39:BL44)*('Summary Page'!$C$3+1))*('Summary Page'!$C$3+1))*('Summary Page'!$C$3+1)</f>
        <v>29.562656054931338</v>
      </c>
      <c r="BQ44" s="7">
        <f>((AVERAGE(BL39:BL44)*('Summary Page'!$C$4+1))*('Summary Page'!$C$4+1))*('Summary Page'!$C$4+1)</f>
        <v>26.155146067415728</v>
      </c>
      <c r="BR44" s="11">
        <f t="shared" si="26"/>
        <v>15.450686641697878</v>
      </c>
      <c r="BS44" s="11">
        <f t="shared" si="12"/>
        <v>15.940074906367041</v>
      </c>
      <c r="BT44" s="11">
        <f t="shared" si="13"/>
        <v>19.128089887640449</v>
      </c>
      <c r="BU44" s="11">
        <f t="shared" si="14"/>
        <v>27.563487667082807</v>
      </c>
      <c r="BV44" s="11">
        <f t="shared" si="15"/>
        <v>34.489765397419895</v>
      </c>
      <c r="BW44" s="11">
        <f t="shared" si="16"/>
        <v>30.514337078651682</v>
      </c>
    </row>
    <row r="45" spans="1:75" ht="15.75" x14ac:dyDescent="0.25">
      <c r="A45" s="10">
        <v>44363</v>
      </c>
      <c r="B45" s="218">
        <v>73</v>
      </c>
      <c r="C45" s="43">
        <v>98</v>
      </c>
      <c r="D45" s="67">
        <v>96</v>
      </c>
      <c r="E45" s="1367">
        <v>59</v>
      </c>
      <c r="F45" s="218">
        <v>88</v>
      </c>
      <c r="G45" s="43">
        <v>110</v>
      </c>
      <c r="H45" s="43">
        <v>121</v>
      </c>
      <c r="I45" s="213">
        <v>68</v>
      </c>
      <c r="J45" s="218"/>
      <c r="K45" s="43"/>
      <c r="L45" s="43"/>
      <c r="M45" s="213"/>
      <c r="N45" s="43">
        <v>119</v>
      </c>
      <c r="O45" s="43">
        <v>131</v>
      </c>
      <c r="P45" s="43"/>
      <c r="Q45" s="218">
        <v>507</v>
      </c>
      <c r="R45" s="43">
        <v>508</v>
      </c>
      <c r="S45" s="213"/>
      <c r="T45" s="43"/>
      <c r="U45" s="43"/>
      <c r="V45" s="43"/>
      <c r="W45" s="218"/>
      <c r="X45" s="43"/>
      <c r="Y45" s="213"/>
      <c r="Z45" s="43"/>
      <c r="AA45" s="2">
        <f t="shared" si="1"/>
        <v>65.2</v>
      </c>
      <c r="AB45" s="2">
        <f t="shared" si="8"/>
        <v>77.400000000000006</v>
      </c>
      <c r="AC45" s="2">
        <f t="shared" si="2"/>
        <v>92.88000000000001</v>
      </c>
      <c r="AD45" s="30">
        <f>((AVERAGE(AA34:AA45)*('Summary Page'!$C$2+1))*('Summary Page'!$C$2+1))*('Summary Page'!$C$2+1)</f>
        <v>97.972238933333287</v>
      </c>
      <c r="AE45" s="30">
        <f>((AVERAGE(AA34:AA45)*('Summary Page'!$C$3+1))*('Summary Page'!$C$3+1))*('Summary Page'!$C$3+1)</f>
        <v>122.59114583333331</v>
      </c>
      <c r="AF45" s="30">
        <f>((AVERAGE(AA34:AA45)*('Summary Page'!$C$4+1))*('Summary Page'!$C$4+1))*('Summary Page'!$C$4+1)</f>
        <v>108.46079999999998</v>
      </c>
      <c r="AG45" s="7">
        <f t="shared" si="24"/>
        <v>80</v>
      </c>
      <c r="AJ45" s="7">
        <f t="shared" si="19"/>
        <v>105.6</v>
      </c>
      <c r="AK45" s="7">
        <f>((AVERAGE(B40:B45)*('Summary Page'!$C$2+1))*('Summary Page'!$C$2+1))*('Summary Page'!$C$2+1)</f>
        <v>84.808682666666641</v>
      </c>
      <c r="AL45" s="7">
        <f>((AVERAGE(B40:B45)*('Summary Page'!$C$3+1))*('Summary Page'!$C$3+1))*('Summary Page'!$C$3+1)</f>
        <v>106.11979166666669</v>
      </c>
      <c r="AM45" s="8">
        <f>((AVERAGE(B40:B45)*('Summary Page'!$C$4+1))*('Summary Page'!$C$4+1))*('Summary Page'!$C$4+1)</f>
        <v>93.887999999999991</v>
      </c>
      <c r="AP45" s="7">
        <f t="shared" si="20"/>
        <v>132</v>
      </c>
      <c r="AQ45" s="7">
        <f>((AVERAGE(C40:C45)*('Summary Page'!$C$2+1))*('Summary Page'!$C$2+1))*('Summary Page'!$C$2+1)</f>
        <v>150.62646399999997</v>
      </c>
      <c r="AR45" s="7">
        <f>((AVERAGE(C40:C45)*('Summary Page'!$C$3+1))*('Summary Page'!$C$3+1))*('Summary Page'!$C$3+1)</f>
        <v>188.4765625</v>
      </c>
      <c r="AS45" s="7">
        <f>((AVERAGE(C40:C45)*('Summary Page'!$C$4+1))*('Summary Page'!$C$4+1))*('Summary Page'!$C$4+1)</f>
        <v>166.75199999999998</v>
      </c>
      <c r="AV45" s="43">
        <f t="shared" si="21"/>
        <v>145.19999999999999</v>
      </c>
      <c r="AW45" s="7">
        <f>((AVERAGE(D40:D45)*('Summary Page'!$C$2+1))*('Summary Page'!$C$2+1))*('Summary Page'!$C$2+1)</f>
        <v>127.21302399999998</v>
      </c>
      <c r="AX45" s="7">
        <f>((AVERAGE(D40:D45)*('Summary Page'!$C$3+1))*('Summary Page'!$C$3+1))*('Summary Page'!$C$3+1)</f>
        <v>159.1796875</v>
      </c>
      <c r="AY45" s="8">
        <f>((AVERAGE(D40:D45)*('Summary Page'!$C$4+1))*('Summary Page'!$C$4+1))*('Summary Page'!$C$4+1)</f>
        <v>140.83199999999997</v>
      </c>
      <c r="BB45" s="43">
        <f t="shared" si="22"/>
        <v>81.599999999999994</v>
      </c>
      <c r="BC45" s="30">
        <f>((AVERAGE(E40:E45)*('Summary Page'!$C$2+1))*('Summary Page'!$C$2+1))*('Summary Page'!$C$2+1)</f>
        <v>130.33481599999999</v>
      </c>
      <c r="BD45" s="30">
        <f>((AVERAGE(E40:E45)*('Summary Page'!$C$3+1))*('Summary Page'!$C$3+1))*('Summary Page'!$C$3+1)</f>
        <v>163.0859375</v>
      </c>
      <c r="BE45" s="32">
        <f>((AVERAGE(E40:E45)*('Summary Page'!$C$4+1))*('Summary Page'!$C$4+1))*('Summary Page'!$C$4+1)</f>
        <v>144.28799999999998</v>
      </c>
      <c r="BH45" s="43">
        <f t="shared" si="23"/>
        <v>157.19999999999999</v>
      </c>
      <c r="BI45" s="7">
        <f>((AVERAGE(N40:N45)*('Summary Page'!$C$2+1))*('Summary Page'!$C$2+1))*('Summary Page'!$C$2+1)</f>
        <v>154.00840533333331</v>
      </c>
      <c r="BJ45" s="7">
        <f>((AVERAGE(N40:N45)*('Summary Page'!$C$3+1))*('Summary Page'!$C$3+1))*('Summary Page'!$C$3+1)</f>
        <v>192.70833333333337</v>
      </c>
      <c r="BK45" s="7">
        <f>((AVERAGE(N40:N45)*('Summary Page'!$C$4+1))*('Summary Page'!$C$4+1))*('Summary Page'!$C$4+1)</f>
        <v>170.49600000000001</v>
      </c>
      <c r="BL45" s="16">
        <f t="shared" si="17"/>
        <v>15.191011235955054</v>
      </c>
      <c r="BM45" s="16">
        <f t="shared" si="18"/>
        <v>15.220973782771534</v>
      </c>
      <c r="BN45" s="7">
        <f t="shared" si="25"/>
        <v>18.265168539325838</v>
      </c>
      <c r="BO45" s="7">
        <f>((AVERAGE(BL40:BL45)*('Summary Page'!$C$2+1))*('Summary Page'!$C$2+1))*('Summary Page'!$C$2+1)</f>
        <v>23.672614991260918</v>
      </c>
      <c r="BP45" s="7">
        <f>((AVERAGE(BL40:BL45)*('Summary Page'!$C$3+1))*('Summary Page'!$C$3+1))*('Summary Page'!$C$3+1)</f>
        <v>29.621176654182282</v>
      </c>
      <c r="BQ45" s="7">
        <f>((AVERAGE(BL40:BL45)*('Summary Page'!$C$4+1))*('Summary Page'!$C$4+1))*('Summary Page'!$C$4+1)</f>
        <v>26.206921348314609</v>
      </c>
      <c r="BR45" s="11">
        <f t="shared" si="26"/>
        <v>17.722846441947564</v>
      </c>
      <c r="BS45" s="11">
        <f t="shared" si="12"/>
        <v>17.757802746566789</v>
      </c>
      <c r="BT45" s="11">
        <f t="shared" si="13"/>
        <v>21.309363295880146</v>
      </c>
      <c r="BU45" s="11">
        <f t="shared" si="14"/>
        <v>27.618050823137736</v>
      </c>
      <c r="BV45" s="11">
        <f t="shared" si="15"/>
        <v>34.558039429879329</v>
      </c>
      <c r="BW45" s="11">
        <f t="shared" si="16"/>
        <v>30.574741573033709</v>
      </c>
    </row>
    <row r="46" spans="1:75" ht="15.75" x14ac:dyDescent="0.25">
      <c r="A46" s="10">
        <v>44419</v>
      </c>
      <c r="B46" s="218">
        <v>94</v>
      </c>
      <c r="C46" s="43">
        <v>93</v>
      </c>
      <c r="D46" s="67">
        <v>123</v>
      </c>
      <c r="E46" s="1367">
        <v>61</v>
      </c>
      <c r="F46" s="218">
        <v>77</v>
      </c>
      <c r="G46" s="43">
        <v>83</v>
      </c>
      <c r="H46" s="43">
        <v>98</v>
      </c>
      <c r="I46" s="213">
        <v>48</v>
      </c>
      <c r="J46" s="218"/>
      <c r="K46" s="43"/>
      <c r="L46" s="43"/>
      <c r="M46" s="213"/>
      <c r="N46" s="43">
        <v>126</v>
      </c>
      <c r="O46" s="43">
        <v>115</v>
      </c>
      <c r="P46" s="43"/>
      <c r="Q46" s="218">
        <v>497</v>
      </c>
      <c r="R46" s="43">
        <v>498</v>
      </c>
      <c r="S46" s="213"/>
      <c r="T46" s="43"/>
      <c r="U46" s="43"/>
      <c r="V46" s="43"/>
      <c r="W46" s="218"/>
      <c r="X46" s="43"/>
      <c r="Y46" s="213"/>
      <c r="Z46" s="43"/>
      <c r="AA46" s="2">
        <f t="shared" si="1"/>
        <v>74.2</v>
      </c>
      <c r="AB46" s="2">
        <f t="shared" si="8"/>
        <v>61.2</v>
      </c>
      <c r="AC46" s="2">
        <f t="shared" si="2"/>
        <v>73.44</v>
      </c>
      <c r="AD46" s="30">
        <f>((AVERAGE(AA35:AA46)*('Summary Page'!$C$2+1))*('Summary Page'!$C$2+1))*('Summary Page'!$C$2+1)</f>
        <v>100.75583680000001</v>
      </c>
      <c r="AE46" s="30">
        <f>((AVERAGE(AA35:AA46)*('Summary Page'!$C$3+1))*('Summary Page'!$C$3+1))*('Summary Page'!$C$3+1)</f>
        <v>126.07421875000001</v>
      </c>
      <c r="AF46" s="30">
        <f>((AVERAGE(AA35:AA46)*('Summary Page'!$C$4+1))*('Summary Page'!$C$4+1))*('Summary Page'!$C$4+1)</f>
        <v>111.54240000000001</v>
      </c>
      <c r="AG46" s="7">
        <f t="shared" si="24"/>
        <v>80</v>
      </c>
      <c r="AJ46" s="7">
        <f t="shared" si="19"/>
        <v>92.399999999999991</v>
      </c>
      <c r="AK46" s="7">
        <f>((AVERAGE(B41:B46)*('Summary Page'!$C$2+1))*('Summary Page'!$C$2+1))*('Summary Page'!$C$2+1)</f>
        <v>93.133461333333301</v>
      </c>
      <c r="AL46" s="7">
        <f>((AVERAGE(B41:B46)*('Summary Page'!$C$3+1))*('Summary Page'!$C$3+1))*('Summary Page'!$C$3+1)</f>
        <v>116.53645833333331</v>
      </c>
      <c r="AM46" s="8">
        <f>((AVERAGE(B41:B46)*('Summary Page'!$C$4+1))*('Summary Page'!$C$4+1))*('Summary Page'!$C$4+1)</f>
        <v>103.10399999999998</v>
      </c>
      <c r="AP46" s="7">
        <f t="shared" si="20"/>
        <v>99.6</v>
      </c>
      <c r="AQ46" s="7">
        <f>((AVERAGE(C41:C46)*('Summary Page'!$C$2+1))*('Summary Page'!$C$2+1))*('Summary Page'!$C$2+1)</f>
        <v>144.90317866666663</v>
      </c>
      <c r="AR46" s="7">
        <f>((AVERAGE(C41:C46)*('Summary Page'!$C$3+1))*('Summary Page'!$C$3+1))*('Summary Page'!$C$3+1)</f>
        <v>181.31510416666663</v>
      </c>
      <c r="AS46" s="7">
        <f>((AVERAGE(C41:C46)*('Summary Page'!$C$4+1))*('Summary Page'!$C$4+1))*('Summary Page'!$C$4+1)</f>
        <v>160.41599999999997</v>
      </c>
      <c r="AV46" s="43">
        <f t="shared" si="21"/>
        <v>117.6</v>
      </c>
      <c r="AW46" s="7">
        <f>((AVERAGE(D41:D46)*('Summary Page'!$C$2+1))*('Summary Page'!$C$2+1))*('Summary Page'!$C$2+1)</f>
        <v>136.0581013333333</v>
      </c>
      <c r="AX46" s="7">
        <f>((AVERAGE(D41:D46)*('Summary Page'!$C$3+1))*('Summary Page'!$C$3+1))*('Summary Page'!$C$3+1)</f>
        <v>170.24739583333337</v>
      </c>
      <c r="AY46" s="8">
        <f>((AVERAGE(D41:D46)*('Summary Page'!$C$4+1))*('Summary Page'!$C$4+1))*('Summary Page'!$C$4+1)</f>
        <v>150.624</v>
      </c>
      <c r="BB46" s="43">
        <f t="shared" si="22"/>
        <v>57.599999999999994</v>
      </c>
      <c r="BC46" s="30">
        <f>((AVERAGE(E41:E46)*('Summary Page'!$C$2+1))*('Summary Page'!$C$2+1))*('Summary Page'!$C$2+1)</f>
        <v>115.50630399999997</v>
      </c>
      <c r="BD46" s="30">
        <f>((AVERAGE(E41:E46)*('Summary Page'!$C$3+1))*('Summary Page'!$C$3+1))*('Summary Page'!$C$3+1)</f>
        <v>144.53125</v>
      </c>
      <c r="BE46" s="32">
        <f>((AVERAGE(E41:E46)*('Summary Page'!$C$4+1))*('Summary Page'!$C$4+1))*('Summary Page'!$C$4+1)</f>
        <v>127.87199999999999</v>
      </c>
      <c r="BH46" s="43">
        <f t="shared" si="23"/>
        <v>138</v>
      </c>
      <c r="BI46" s="7">
        <f>((AVERAGE(N41:N46)*('Summary Page'!$C$2+1))*('Summary Page'!$C$2+1))*('Summary Page'!$C$2+1)</f>
        <v>159.99183999999997</v>
      </c>
      <c r="BJ46" s="7">
        <f>((AVERAGE(N41:N46)*('Summary Page'!$C$3+1))*('Summary Page'!$C$3+1))*('Summary Page'!$C$3+1)</f>
        <v>200.1953125</v>
      </c>
      <c r="BK46" s="7">
        <f>((AVERAGE(N41:N46)*('Summary Page'!$C$4+1))*('Summary Page'!$C$4+1))*('Summary Page'!$C$4+1)</f>
        <v>177.11999999999998</v>
      </c>
      <c r="BL46" s="16">
        <f t="shared" si="17"/>
        <v>14.891385767790263</v>
      </c>
      <c r="BM46" s="16">
        <f t="shared" si="18"/>
        <v>14.921348314606742</v>
      </c>
      <c r="BN46" s="7">
        <f t="shared" si="25"/>
        <v>17.905617977528092</v>
      </c>
      <c r="BO46" s="7">
        <f>((AVERAGE(BL41:BL46)*('Summary Page'!$C$2+1))*('Summary Page'!$C$2+1))*('Summary Page'!$C$2+1)</f>
        <v>22.8385781772784</v>
      </c>
      <c r="BP46" s="7">
        <f>((AVERAGE(BL41:BL46)*('Summary Page'!$C$3+1))*('Summary Page'!$C$3+1))*('Summary Page'!$C$3+1)</f>
        <v>28.577559300873911</v>
      </c>
      <c r="BQ46" s="7">
        <f>((AVERAGE(BL41:BL46)*('Summary Page'!$C$4+1))*('Summary Page'!$C$4+1))*('Summary Page'!$C$4+1)</f>
        <v>25.283595505617978</v>
      </c>
      <c r="BR46" s="11">
        <f t="shared" si="26"/>
        <v>17.373283395755308</v>
      </c>
      <c r="BS46" s="11">
        <f t="shared" si="12"/>
        <v>17.408239700374533</v>
      </c>
      <c r="BT46" s="11">
        <f t="shared" si="13"/>
        <v>20.889887640449441</v>
      </c>
      <c r="BU46" s="11">
        <f t="shared" si="14"/>
        <v>26.645007873491465</v>
      </c>
      <c r="BV46" s="11">
        <f t="shared" si="15"/>
        <v>33.340485851019565</v>
      </c>
      <c r="BW46" s="11">
        <f t="shared" si="16"/>
        <v>29.497528089887641</v>
      </c>
    </row>
    <row r="47" spans="1:75" ht="15.75" x14ac:dyDescent="0.25">
      <c r="A47" s="10">
        <v>44447</v>
      </c>
      <c r="B47" s="218">
        <v>98</v>
      </c>
      <c r="C47" s="43">
        <v>90</v>
      </c>
      <c r="D47" s="67">
        <v>123</v>
      </c>
      <c r="E47" s="1367">
        <v>56</v>
      </c>
      <c r="F47" s="218">
        <v>69</v>
      </c>
      <c r="G47" s="43">
        <v>66</v>
      </c>
      <c r="H47" s="43">
        <v>87</v>
      </c>
      <c r="I47" s="213">
        <v>41</v>
      </c>
      <c r="J47" s="218"/>
      <c r="K47" s="43"/>
      <c r="L47" s="43"/>
      <c r="M47" s="213"/>
      <c r="N47" s="43">
        <v>123</v>
      </c>
      <c r="O47" s="43">
        <v>92</v>
      </c>
      <c r="P47" s="43"/>
      <c r="Q47" s="218">
        <v>506</v>
      </c>
      <c r="R47" s="43">
        <v>498</v>
      </c>
      <c r="S47" s="213"/>
      <c r="T47" s="43"/>
      <c r="U47" s="43"/>
      <c r="V47" s="43"/>
      <c r="W47" s="218"/>
      <c r="X47" s="43"/>
      <c r="Y47" s="213"/>
      <c r="Z47" s="43"/>
      <c r="AA47" s="2">
        <f t="shared" ref="AA47:AA64" si="27">AVERAGE(B47,C47,D47,E47,)</f>
        <v>73.400000000000006</v>
      </c>
      <c r="AB47" s="2">
        <f>AVERAGE(F47,G47,H47,I47,)</f>
        <v>52.6</v>
      </c>
      <c r="AC47" s="2">
        <f>AB47*1.2</f>
        <v>63.12</v>
      </c>
      <c r="AD47" s="30">
        <f>((AVERAGE(AA36:AA47)*('Summary Page'!$C$2+1))*('Summary Page'!$C$2+1))*('Summary Page'!$C$2+1)</f>
        <v>102.78500159999999</v>
      </c>
      <c r="AE47" s="30">
        <f>((AVERAGE(AA36:AA47)*('Summary Page'!$C$3+1))*('Summary Page'!$C$3+1))*('Summary Page'!$C$3+1)</f>
        <v>128.61328125000003</v>
      </c>
      <c r="AF47" s="30">
        <f>((AVERAGE(AA36:AA47)*('Summary Page'!$C$4+1))*('Summary Page'!$C$4+1))*('Summary Page'!$C$4+1)</f>
        <v>113.78880000000001</v>
      </c>
      <c r="AG47" s="7">
        <f t="shared" si="24"/>
        <v>80</v>
      </c>
      <c r="AJ47" s="7">
        <f t="shared" si="19"/>
        <v>82.8</v>
      </c>
      <c r="AK47" s="7">
        <f>((AVERAGE(B42:B47)*('Summary Page'!$C$2+1))*('Summary Page'!$C$2+1))*('Summary Page'!$C$2+1)</f>
        <v>105.36047999999998</v>
      </c>
      <c r="AL47" s="7">
        <f>((AVERAGE(B42:B47)*('Summary Page'!$C$3+1))*('Summary Page'!$C$3+1))*('Summary Page'!$C$3+1)</f>
        <v>131.8359375</v>
      </c>
      <c r="AM47" s="8">
        <f>((AVERAGE(B42:B47)*('Summary Page'!$C$4+1))*('Summary Page'!$C$4+1))*('Summary Page'!$C$4+1)</f>
        <v>116.64</v>
      </c>
      <c r="AP47" s="7">
        <f t="shared" si="20"/>
        <v>79.2</v>
      </c>
      <c r="AQ47" s="7">
        <f>((AVERAGE(C42:C47)*('Summary Page'!$C$2+1))*('Summary Page'!$C$2+1))*('Summary Page'!$C$2+1)</f>
        <v>142.3016853333333</v>
      </c>
      <c r="AR47" s="7">
        <f>((AVERAGE(C42:C47)*('Summary Page'!$C$3+1))*('Summary Page'!$C$3+1))*('Summary Page'!$C$3+1)</f>
        <v>178.05989583333337</v>
      </c>
      <c r="AS47" s="7">
        <f>((AVERAGE(C42:C47)*('Summary Page'!$C$4+1))*('Summary Page'!$C$4+1))*('Summary Page'!$C$4+1)</f>
        <v>157.536</v>
      </c>
      <c r="AV47" s="43">
        <f t="shared" si="21"/>
        <v>104.39999999999999</v>
      </c>
      <c r="AW47" s="7">
        <f>((AVERAGE(D42:D47)*('Summary Page'!$C$2+1))*('Summary Page'!$C$2+1))*('Summary Page'!$C$2+1)</f>
        <v>146.98437333333331</v>
      </c>
      <c r="AX47" s="7">
        <f>((AVERAGE(D42:D47)*('Summary Page'!$C$3+1))*('Summary Page'!$C$3+1))*('Summary Page'!$C$3+1)</f>
        <v>183.91927083333337</v>
      </c>
      <c r="AY47" s="8">
        <f>((AVERAGE(D42:D47)*('Summary Page'!$C$4+1))*('Summary Page'!$C$4+1))*('Summary Page'!$C$4+1)</f>
        <v>162.72</v>
      </c>
      <c r="BB47" s="43">
        <f t="shared" si="22"/>
        <v>49.199999999999996</v>
      </c>
      <c r="BC47" s="30">
        <f>((AVERAGE(E42:E47)*('Summary Page'!$C$2+1))*('Summary Page'!$C$2+1))*('Summary Page'!$C$2+1)</f>
        <v>100.93794133333333</v>
      </c>
      <c r="BD47" s="30">
        <f>((AVERAGE(E42:E47)*('Summary Page'!$C$3+1))*('Summary Page'!$C$3+1))*('Summary Page'!$C$3+1)</f>
        <v>126.30208333333336</v>
      </c>
      <c r="BE47" s="32">
        <f>((AVERAGE(E42:E47)*('Summary Page'!$C$4+1))*('Summary Page'!$C$4+1))*('Summary Page'!$C$4+1)</f>
        <v>111.744</v>
      </c>
      <c r="BH47" s="43">
        <f t="shared" si="23"/>
        <v>110.39999999999999</v>
      </c>
      <c r="BI47" s="7">
        <f>((AVERAGE(N42:N47)*('Summary Page'!$C$2+1))*('Summary Page'!$C$2+1))*('Summary Page'!$C$2+1)</f>
        <v>169.61736533333328</v>
      </c>
      <c r="BJ47" s="7">
        <f>((AVERAGE(N42:N47)*('Summary Page'!$C$3+1))*('Summary Page'!$C$3+1))*('Summary Page'!$C$3+1)</f>
        <v>212.23958333333337</v>
      </c>
      <c r="BK47" s="7">
        <f>((AVERAGE(N42:N47)*('Summary Page'!$C$4+1))*('Summary Page'!$C$4+1))*('Summary Page'!$C$4+1)</f>
        <v>187.77599999999998</v>
      </c>
      <c r="BL47" s="16">
        <f t="shared" si="17"/>
        <v>15.161048689138577</v>
      </c>
      <c r="BM47" s="16">
        <f t="shared" si="18"/>
        <v>14.921348314606742</v>
      </c>
      <c r="BN47" s="7">
        <f t="shared" si="25"/>
        <v>17.905617977528092</v>
      </c>
      <c r="BO47" s="7">
        <f>((AVERAGE(BL42:BL47)*('Summary Page'!$C$2+1))*('Summary Page'!$C$2+1))*('Summary Page'!$C$2+1)</f>
        <v>22.129257148564292</v>
      </c>
      <c r="BP47" s="7">
        <f>((AVERAGE(BL42:BL47)*('Summary Page'!$C$3+1))*('Summary Page'!$C$3+1))*('Summary Page'!$C$3+1)</f>
        <v>27.689996878901376</v>
      </c>
      <c r="BQ47" s="7">
        <f>((AVERAGE(BL42:BL47)*('Summary Page'!$C$4+1))*('Summary Page'!$C$4+1))*('Summary Page'!$C$4+1)</f>
        <v>24.498337078651687</v>
      </c>
      <c r="BR47" s="11">
        <f t="shared" si="26"/>
        <v>17.687890137328338</v>
      </c>
      <c r="BS47" s="11">
        <f t="shared" si="12"/>
        <v>17.408239700374533</v>
      </c>
      <c r="BT47" s="11">
        <f t="shared" si="13"/>
        <v>20.889887640449441</v>
      </c>
      <c r="BU47" s="11">
        <f t="shared" si="14"/>
        <v>25.817466673325008</v>
      </c>
      <c r="BV47" s="11">
        <f t="shared" si="15"/>
        <v>32.30499635871827</v>
      </c>
      <c r="BW47" s="11">
        <f t="shared" si="16"/>
        <v>28.581393258426967</v>
      </c>
    </row>
    <row r="48" spans="1:75" ht="15.75" x14ac:dyDescent="0.25">
      <c r="A48" s="10">
        <v>44475</v>
      </c>
      <c r="B48" s="218">
        <v>119</v>
      </c>
      <c r="C48" s="43">
        <v>96</v>
      </c>
      <c r="D48" s="67">
        <v>132</v>
      </c>
      <c r="E48" s="1367">
        <v>69</v>
      </c>
      <c r="F48" s="218">
        <v>88</v>
      </c>
      <c r="G48" s="43">
        <v>73</v>
      </c>
      <c r="H48" s="43">
        <v>94</v>
      </c>
      <c r="I48" s="213">
        <v>41</v>
      </c>
      <c r="J48" s="218"/>
      <c r="K48" s="43"/>
      <c r="L48" s="43"/>
      <c r="M48" s="213"/>
      <c r="N48" s="43">
        <v>117</v>
      </c>
      <c r="O48" s="43">
        <v>85</v>
      </c>
      <c r="P48" s="43"/>
      <c r="Q48" s="218">
        <v>650</v>
      </c>
      <c r="R48" s="43">
        <v>502</v>
      </c>
      <c r="S48" s="213"/>
      <c r="T48" s="43"/>
      <c r="U48" s="43"/>
      <c r="V48" s="43"/>
      <c r="W48" s="218"/>
      <c r="X48" s="43"/>
      <c r="Y48" s="213"/>
      <c r="Z48" s="43"/>
      <c r="AA48" s="2">
        <f t="shared" si="27"/>
        <v>83.2</v>
      </c>
      <c r="AB48" s="2">
        <f>AVERAGE(F48,G48,H48,I48,)</f>
        <v>59.2</v>
      </c>
      <c r="AC48" s="2">
        <f>AB48*1.2</f>
        <v>71.040000000000006</v>
      </c>
      <c r="AD48" s="30">
        <f>((AVERAGE(AA37:AA48)*('Summary Page'!$C$2+1))*('Summary Page'!$C$2+1))*('Summary Page'!$C$2+1)</f>
        <v>106.11491306666666</v>
      </c>
      <c r="AE48" s="30">
        <f>((AVERAGE(AA37:AA48)*('Summary Page'!$C$3+1))*('Summary Page'!$C$3+1))*('Summary Page'!$C$3+1)</f>
        <v>132.77994791666669</v>
      </c>
      <c r="AF48" s="30">
        <f>((AVERAGE(AA37:AA48)*('Summary Page'!$C$4+1))*('Summary Page'!$C$4+1))*('Summary Page'!$C$4+1)</f>
        <v>117.47520000000002</v>
      </c>
      <c r="AG48" s="7">
        <f t="shared" si="24"/>
        <v>80</v>
      </c>
      <c r="AJ48" s="7">
        <f t="shared" si="19"/>
        <v>105.6</v>
      </c>
      <c r="AK48" s="7">
        <f>((AVERAGE(B43:B48)*('Summary Page'!$C$2+1))*('Summary Page'!$C$2+1))*('Summary Page'!$C$2+1)</f>
        <v>124.09123199999998</v>
      </c>
      <c r="AL48" s="7">
        <f>((AVERAGE(B43:B48)*('Summary Page'!$C$3+1))*('Summary Page'!$C$3+1))*('Summary Page'!$C$3+1)</f>
        <v>155.2734375</v>
      </c>
      <c r="AM48" s="8">
        <f>((AVERAGE(B43:B48)*('Summary Page'!$C$4+1))*('Summary Page'!$C$4+1))*('Summary Page'!$C$4+1)</f>
        <v>137.37599999999998</v>
      </c>
      <c r="AP48" s="7">
        <f t="shared" si="20"/>
        <v>87.6</v>
      </c>
      <c r="AQ48" s="7">
        <f>((AVERAGE(C43:C48)*('Summary Page'!$C$2+1))*('Summary Page'!$C$2+1))*('Summary Page'!$C$2+1)</f>
        <v>145.42347733333332</v>
      </c>
      <c r="AR48" s="7">
        <f>((AVERAGE(C43:C48)*('Summary Page'!$C$3+1))*('Summary Page'!$C$3+1))*('Summary Page'!$C$3+1)</f>
        <v>181.96614583333337</v>
      </c>
      <c r="AS48" s="7">
        <f>((AVERAGE(C43:C48)*('Summary Page'!$C$4+1))*('Summary Page'!$C$4+1))*('Summary Page'!$C$4+1)</f>
        <v>160.99199999999999</v>
      </c>
      <c r="AV48" s="43">
        <f t="shared" si="21"/>
        <v>112.8</v>
      </c>
      <c r="AW48" s="7">
        <f>((AVERAGE(D43:D48)*('Summary Page'!$C$2+1))*('Summary Page'!$C$2+1))*('Summary Page'!$C$2+1)</f>
        <v>162.85348266666665</v>
      </c>
      <c r="AX48" s="7">
        <f>((AVERAGE(D43:D48)*('Summary Page'!$C$3+1))*('Summary Page'!$C$3+1))*('Summary Page'!$C$3+1)</f>
        <v>203.77604166666663</v>
      </c>
      <c r="AY48" s="8">
        <f>((AVERAGE(D43:D48)*('Summary Page'!$C$4+1))*('Summary Page'!$C$4+1))*('Summary Page'!$C$4+1)</f>
        <v>180.28799999999998</v>
      </c>
      <c r="BB48" s="43">
        <f t="shared" si="22"/>
        <v>49.199999999999996</v>
      </c>
      <c r="BC48" s="30">
        <f>((AVERAGE(E43:E48)*('Summary Page'!$C$2+1))*('Summary Page'!$C$2+1))*('Summary Page'!$C$2+1)</f>
        <v>97.555999999999983</v>
      </c>
      <c r="BD48" s="30">
        <f>((AVERAGE(E43:E48)*('Summary Page'!$C$3+1))*('Summary Page'!$C$3+1))*('Summary Page'!$C$3+1)</f>
        <v>122.0703125</v>
      </c>
      <c r="BE48" s="32">
        <f>((AVERAGE(E43:E48)*('Summary Page'!$C$4+1))*('Summary Page'!$C$4+1))*('Summary Page'!$C$4+1)</f>
        <v>108</v>
      </c>
      <c r="BH48" s="43">
        <f t="shared" si="23"/>
        <v>102</v>
      </c>
      <c r="BI48" s="7">
        <f>((AVERAGE(N43:N48)*('Summary Page'!$C$2+1))*('Summary Page'!$C$2+1))*('Summary Page'!$C$2+1)</f>
        <v>177.42184533333329</v>
      </c>
      <c r="BJ48" s="7">
        <f>((AVERAGE(N43:N48)*('Summary Page'!$C$3+1))*('Summary Page'!$C$3+1))*('Summary Page'!$C$3+1)</f>
        <v>222.00520833333337</v>
      </c>
      <c r="BK48" s="7">
        <f>((AVERAGE(N43:N48)*('Summary Page'!$C$4+1))*('Summary Page'!$C$4+1))*('Summary Page'!$C$4+1)</f>
        <v>196.416</v>
      </c>
      <c r="BL48" s="16">
        <f t="shared" si="17"/>
        <v>19.475655430711612</v>
      </c>
      <c r="BM48" s="16">
        <f t="shared" si="18"/>
        <v>15.04119850187266</v>
      </c>
      <c r="BN48" s="7">
        <f t="shared" si="25"/>
        <v>18.049438202247192</v>
      </c>
      <c r="BO48" s="7">
        <f>((AVERAGE(BL43:BL48)*('Summary Page'!$C$2+1))*('Summary Page'!$C$2+1))*('Summary Page'!$C$2+1)</f>
        <v>23.633641308364538</v>
      </c>
      <c r="BP48" s="7">
        <f>((AVERAGE(BL43:BL48)*('Summary Page'!$C$3+1))*('Summary Page'!$C$3+1))*('Summary Page'!$C$3+1)</f>
        <v>29.572409488139822</v>
      </c>
      <c r="BQ48" s="7">
        <f>((AVERAGE(BL43:BL48)*('Summary Page'!$C$4+1))*('Summary Page'!$C$4+1))*('Summary Page'!$C$4+1)</f>
        <v>26.163775280898872</v>
      </c>
      <c r="BR48" s="11">
        <f t="shared" si="26"/>
        <v>22.721598002496879</v>
      </c>
      <c r="BS48" s="11">
        <f t="shared" si="12"/>
        <v>17.548064918851438</v>
      </c>
      <c r="BT48" s="11">
        <f t="shared" si="13"/>
        <v>21.057677902621723</v>
      </c>
      <c r="BU48" s="11">
        <f t="shared" si="14"/>
        <v>27.572581526425296</v>
      </c>
      <c r="BV48" s="11">
        <f t="shared" si="15"/>
        <v>34.501144402829794</v>
      </c>
      <c r="BW48" s="11">
        <f t="shared" si="16"/>
        <v>30.524404494382019</v>
      </c>
    </row>
    <row r="49" spans="1:75" ht="15.75" x14ac:dyDescent="0.25">
      <c r="A49" s="10">
        <v>44501</v>
      </c>
      <c r="B49" s="218">
        <v>101</v>
      </c>
      <c r="C49" s="43">
        <v>93</v>
      </c>
      <c r="D49" s="67">
        <v>124</v>
      </c>
      <c r="E49" s="1367">
        <v>68</v>
      </c>
      <c r="F49" s="218">
        <v>85</v>
      </c>
      <c r="G49" s="43">
        <v>62</v>
      </c>
      <c r="H49" s="43">
        <v>62</v>
      </c>
      <c r="I49" s="213">
        <v>32</v>
      </c>
      <c r="J49" s="218"/>
      <c r="K49" s="43"/>
      <c r="L49" s="43"/>
      <c r="M49" s="213"/>
      <c r="N49" s="43">
        <v>116</v>
      </c>
      <c r="O49" s="43">
        <v>64</v>
      </c>
      <c r="P49" s="43"/>
      <c r="Q49" s="218">
        <v>579</v>
      </c>
      <c r="R49" s="43">
        <v>627</v>
      </c>
      <c r="S49" s="213"/>
      <c r="T49" s="43"/>
      <c r="U49" s="43"/>
      <c r="V49" s="43"/>
      <c r="W49" s="218"/>
      <c r="X49" s="43"/>
      <c r="Y49" s="213"/>
      <c r="Z49" s="43"/>
      <c r="AA49" s="2">
        <f t="shared" si="27"/>
        <v>77.2</v>
      </c>
      <c r="AB49" s="2">
        <f>AVERAGE(F49,G49,H49,I49,)</f>
        <v>48.2</v>
      </c>
      <c r="AC49" s="2">
        <f>AB49*1.2</f>
        <v>57.84</v>
      </c>
      <c r="AD49" s="30"/>
      <c r="AE49" s="30"/>
      <c r="AF49" s="30"/>
      <c r="AG49" s="7"/>
      <c r="AJ49" s="7">
        <f t="shared" si="19"/>
        <v>102</v>
      </c>
      <c r="AK49" s="7"/>
      <c r="AL49" s="7"/>
      <c r="AM49" s="8"/>
      <c r="AP49" s="7">
        <f t="shared" si="20"/>
        <v>74.399999999999991</v>
      </c>
      <c r="AQ49" s="7"/>
      <c r="AR49" s="7"/>
      <c r="AS49" s="7"/>
      <c r="AV49" s="43">
        <f t="shared" si="21"/>
        <v>74.399999999999991</v>
      </c>
      <c r="AW49" s="7"/>
      <c r="AX49" s="7"/>
      <c r="AY49" s="8"/>
      <c r="BB49" s="43">
        <f t="shared" si="22"/>
        <v>38.4</v>
      </c>
      <c r="BC49" s="30"/>
      <c r="BD49" s="30"/>
      <c r="BE49" s="32"/>
      <c r="BH49" s="43">
        <f t="shared" si="23"/>
        <v>76.8</v>
      </c>
      <c r="BI49" s="7"/>
      <c r="BJ49" s="7"/>
      <c r="BK49" s="7"/>
      <c r="BL49" s="16">
        <f t="shared" si="17"/>
        <v>17.348314606741575</v>
      </c>
      <c r="BM49" s="16">
        <f t="shared" si="18"/>
        <v>18.786516853932582</v>
      </c>
      <c r="BN49" s="7">
        <f t="shared" si="25"/>
        <v>22.543820224719099</v>
      </c>
      <c r="BO49" s="7"/>
      <c r="BP49" s="7"/>
      <c r="BQ49" s="7"/>
      <c r="BR49" s="11">
        <f t="shared" si="26"/>
        <v>20.239700374531836</v>
      </c>
      <c r="BS49" s="11">
        <f>(BM49/6)+BM49</f>
        <v>21.917602996254679</v>
      </c>
      <c r="BT49" s="11">
        <f>(BN49/6)+BN49</f>
        <v>26.301123595505615</v>
      </c>
      <c r="BU49" s="11"/>
      <c r="BV49" s="11"/>
      <c r="BW49" s="11"/>
    </row>
    <row r="50" spans="1:75" ht="15.75" x14ac:dyDescent="0.25">
      <c r="A50" s="10">
        <v>44531</v>
      </c>
      <c r="B50" s="218">
        <v>104</v>
      </c>
      <c r="C50" s="43">
        <v>86</v>
      </c>
      <c r="D50" s="67">
        <v>114</v>
      </c>
      <c r="E50" s="1367">
        <v>58</v>
      </c>
      <c r="F50" s="218">
        <v>103</v>
      </c>
      <c r="G50" s="43">
        <v>75</v>
      </c>
      <c r="H50" s="43">
        <v>76</v>
      </c>
      <c r="I50" s="213">
        <v>49</v>
      </c>
      <c r="J50" s="218"/>
      <c r="K50" s="43"/>
      <c r="L50" s="43"/>
      <c r="M50" s="213"/>
      <c r="N50" s="43">
        <v>98</v>
      </c>
      <c r="O50" s="43">
        <v>76</v>
      </c>
      <c r="P50" s="43"/>
      <c r="Q50" s="218">
        <v>628</v>
      </c>
      <c r="R50" s="43">
        <v>704</v>
      </c>
      <c r="S50" s="213"/>
      <c r="T50" s="43"/>
      <c r="U50" s="43"/>
      <c r="V50" s="43"/>
      <c r="W50" s="218"/>
      <c r="X50" s="43"/>
      <c r="Y50" s="213"/>
      <c r="Z50" s="43"/>
      <c r="AA50" s="2">
        <f t="shared" si="27"/>
        <v>72.400000000000006</v>
      </c>
      <c r="AB50" s="2"/>
      <c r="AC50" s="2"/>
      <c r="AD50" s="30"/>
      <c r="AE50" s="30"/>
      <c r="AF50" s="30"/>
      <c r="AG50" s="7"/>
      <c r="AJ50" s="7"/>
      <c r="AK50" s="7"/>
      <c r="AL50" s="7"/>
      <c r="AM50" s="8"/>
      <c r="AP50" s="7">
        <f t="shared" si="20"/>
        <v>90</v>
      </c>
      <c r="AQ50" s="7"/>
      <c r="AR50" s="7"/>
      <c r="AS50" s="7"/>
      <c r="AV50" s="43">
        <f t="shared" si="21"/>
        <v>91.2</v>
      </c>
      <c r="AW50" s="7"/>
      <c r="AX50" s="7"/>
      <c r="AY50" s="8"/>
      <c r="BB50" s="43"/>
      <c r="BC50" s="30"/>
      <c r="BD50" s="30"/>
      <c r="BE50" s="32"/>
      <c r="BH50" s="43">
        <f t="shared" si="23"/>
        <v>91.2</v>
      </c>
      <c r="BI50" s="7"/>
      <c r="BJ50" s="7"/>
      <c r="BK50" s="7"/>
      <c r="BL50" s="16">
        <f t="shared" si="17"/>
        <v>18.816479400749063</v>
      </c>
      <c r="BM50" s="16">
        <f t="shared" si="18"/>
        <v>21.093632958801496</v>
      </c>
      <c r="BN50" s="7">
        <f t="shared" si="25"/>
        <v>25.312359550561794</v>
      </c>
      <c r="BO50" s="7"/>
      <c r="BP50" s="7"/>
      <c r="BQ50" s="7"/>
      <c r="BR50" s="11">
        <f t="shared" si="26"/>
        <v>21.952559300873908</v>
      </c>
      <c r="BS50" s="11">
        <f>(BM50/6)+BM50</f>
        <v>24.609238451935077</v>
      </c>
      <c r="BT50" s="11">
        <f>(BN50/6)+BN50</f>
        <v>29.531086142322092</v>
      </c>
      <c r="BU50" s="11"/>
      <c r="BV50" s="11"/>
      <c r="BW50" s="11"/>
    </row>
    <row r="51" spans="1:75" ht="15.75" x14ac:dyDescent="0.25">
      <c r="A51" s="10">
        <v>44581</v>
      </c>
      <c r="B51" s="218">
        <v>119</v>
      </c>
      <c r="C51" s="43">
        <v>100</v>
      </c>
      <c r="D51" s="67">
        <v>107</v>
      </c>
      <c r="E51" s="1367">
        <v>70</v>
      </c>
      <c r="F51" s="218">
        <v>62</v>
      </c>
      <c r="G51" s="43">
        <v>43</v>
      </c>
      <c r="H51" s="43">
        <v>43</v>
      </c>
      <c r="I51" s="213">
        <v>28</v>
      </c>
      <c r="J51" s="218"/>
      <c r="K51" s="43"/>
      <c r="L51" s="43"/>
      <c r="M51" s="213"/>
      <c r="N51" s="43"/>
      <c r="O51" s="43"/>
      <c r="P51" s="43"/>
      <c r="Q51" s="218"/>
      <c r="R51" s="43"/>
      <c r="S51" s="213"/>
      <c r="T51" s="43"/>
      <c r="U51" s="43"/>
      <c r="V51" s="43"/>
      <c r="W51" s="218"/>
      <c r="X51" s="43"/>
      <c r="Y51" s="213"/>
      <c r="Z51" s="43"/>
      <c r="AA51" s="2">
        <f t="shared" si="27"/>
        <v>79.2</v>
      </c>
      <c r="AB51" s="2"/>
      <c r="AC51" s="2"/>
      <c r="AD51" s="30"/>
      <c r="AE51" s="30"/>
      <c r="AF51" s="30"/>
      <c r="AG51" s="7"/>
      <c r="AJ51" s="7"/>
      <c r="AK51" s="7"/>
      <c r="AL51" s="7"/>
      <c r="AM51" s="8"/>
      <c r="AP51" s="7">
        <f t="shared" si="20"/>
        <v>51.6</v>
      </c>
      <c r="AQ51" s="7"/>
      <c r="AR51" s="7"/>
      <c r="AS51" s="7"/>
      <c r="AV51" s="43">
        <f t="shared" si="21"/>
        <v>51.6</v>
      </c>
      <c r="AW51" s="7"/>
      <c r="AX51" s="7"/>
      <c r="AY51" s="8"/>
      <c r="BB51" s="43"/>
      <c r="BC51" s="30"/>
      <c r="BD51" s="30"/>
      <c r="BE51" s="32"/>
      <c r="BH51" s="43"/>
      <c r="BI51" s="7"/>
      <c r="BJ51" s="7"/>
      <c r="BK51" s="7"/>
      <c r="BL51" s="16"/>
      <c r="BM51" s="16"/>
      <c r="BN51" s="7"/>
      <c r="BO51" s="7"/>
      <c r="BP51" s="7"/>
      <c r="BQ51" s="7"/>
      <c r="BR51" s="11"/>
      <c r="BS51" s="11"/>
      <c r="BT51" s="11"/>
      <c r="BU51" s="11"/>
      <c r="BV51" s="11"/>
      <c r="BW51" s="11"/>
    </row>
    <row r="52" spans="1:75" ht="15.75" x14ac:dyDescent="0.25">
      <c r="A52" s="10">
        <v>44593</v>
      </c>
      <c r="B52" s="218">
        <v>127</v>
      </c>
      <c r="C52" s="43">
        <v>89</v>
      </c>
      <c r="D52" s="67">
        <v>105</v>
      </c>
      <c r="E52" s="1367">
        <v>70</v>
      </c>
      <c r="F52" s="218">
        <v>72</v>
      </c>
      <c r="G52" s="43">
        <v>39</v>
      </c>
      <c r="H52" s="43">
        <v>47</v>
      </c>
      <c r="I52" s="213">
        <v>35</v>
      </c>
      <c r="J52" s="218">
        <v>104</v>
      </c>
      <c r="K52" s="43">
        <v>67</v>
      </c>
      <c r="L52" s="43">
        <v>84</v>
      </c>
      <c r="M52" s="213">
        <v>68</v>
      </c>
      <c r="N52" s="43">
        <v>111</v>
      </c>
      <c r="O52" s="43">
        <v>54</v>
      </c>
      <c r="P52" s="43">
        <v>95</v>
      </c>
      <c r="Q52" s="218">
        <v>670</v>
      </c>
      <c r="R52" s="43">
        <v>727</v>
      </c>
      <c r="S52" s="213">
        <v>670</v>
      </c>
      <c r="T52" s="7">
        <f t="shared" ref="T52:V63" si="28">((Q52/37.5)/0.83)*(N52/100)</f>
        <v>23.893975903614461</v>
      </c>
      <c r="U52" s="14">
        <f t="shared" si="28"/>
        <v>12.613012048192774</v>
      </c>
      <c r="V52" s="14">
        <f t="shared" si="28"/>
        <v>20.449799196787147</v>
      </c>
      <c r="W52" s="229">
        <f t="shared" ref="W52:W61" si="29">(ROUNDUP(B52/16.6666,0)*3)/0.83</f>
        <v>28.91566265060241</v>
      </c>
      <c r="X52" s="7">
        <f t="shared" ref="X52:X62" si="30">(ROUNDUP(F52/16.6666,0)*3)/0.83</f>
        <v>18.072289156626507</v>
      </c>
      <c r="Y52" s="230">
        <f t="shared" ref="Y52:Y62" si="31">(ROUNDUP(J52/16.6666,0)*3)/0.83</f>
        <v>25.30120481927711</v>
      </c>
      <c r="Z52" s="43"/>
      <c r="AA52" s="2">
        <f t="shared" si="27"/>
        <v>78.2</v>
      </c>
      <c r="AB52" s="2"/>
      <c r="AC52" s="2"/>
      <c r="AD52" s="30"/>
      <c r="AE52" s="30"/>
      <c r="AF52" s="30"/>
      <c r="AG52" s="7"/>
      <c r="AJ52" s="7"/>
      <c r="AK52" s="7"/>
      <c r="AL52" s="7"/>
      <c r="AM52" s="8"/>
      <c r="AP52" s="7">
        <f t="shared" si="20"/>
        <v>46.8</v>
      </c>
      <c r="AQ52" s="7"/>
      <c r="AR52" s="7"/>
      <c r="AS52" s="7"/>
      <c r="AV52" s="43">
        <f t="shared" si="21"/>
        <v>56.4</v>
      </c>
      <c r="AW52" s="7"/>
      <c r="AX52" s="7"/>
      <c r="AY52" s="8"/>
      <c r="BB52" s="43"/>
      <c r="BC52" s="30"/>
      <c r="BD52" s="30"/>
      <c r="BE52" s="32"/>
      <c r="BH52" s="43"/>
      <c r="BI52" s="7"/>
      <c r="BJ52" s="7"/>
      <c r="BK52" s="7"/>
      <c r="BL52" s="16"/>
      <c r="BM52" s="16"/>
      <c r="BN52" s="7"/>
      <c r="BO52" s="7"/>
      <c r="BP52" s="7"/>
      <c r="BQ52" s="7"/>
      <c r="BR52" s="11"/>
      <c r="BS52" s="11"/>
      <c r="BT52" s="11"/>
      <c r="BU52" s="11"/>
      <c r="BV52" s="11"/>
      <c r="BW52" s="11"/>
    </row>
    <row r="53" spans="1:75" ht="15.75" x14ac:dyDescent="0.25">
      <c r="A53" s="10">
        <v>44617</v>
      </c>
      <c r="B53" s="218">
        <v>128</v>
      </c>
      <c r="C53" s="43">
        <v>81</v>
      </c>
      <c r="D53" s="67">
        <v>98</v>
      </c>
      <c r="E53" s="1367">
        <v>66</v>
      </c>
      <c r="F53" s="218">
        <v>73</v>
      </c>
      <c r="G53" s="43">
        <v>47</v>
      </c>
      <c r="H53" s="43">
        <v>57</v>
      </c>
      <c r="I53" s="213">
        <v>47</v>
      </c>
      <c r="J53" s="218">
        <v>98</v>
      </c>
      <c r="K53" s="43">
        <v>61</v>
      </c>
      <c r="L53" s="43">
        <v>77</v>
      </c>
      <c r="M53" s="213">
        <v>58</v>
      </c>
      <c r="N53" s="43">
        <v>104</v>
      </c>
      <c r="O53" s="43">
        <v>64</v>
      </c>
      <c r="P53" s="43">
        <v>86</v>
      </c>
      <c r="Q53" s="218">
        <v>681</v>
      </c>
      <c r="R53" s="43">
        <v>727</v>
      </c>
      <c r="S53" s="213">
        <v>664</v>
      </c>
      <c r="T53" s="7">
        <f t="shared" si="28"/>
        <v>22.754698795180726</v>
      </c>
      <c r="U53" s="14">
        <f t="shared" si="28"/>
        <v>14.948755020080323</v>
      </c>
      <c r="V53" s="14">
        <f t="shared" si="28"/>
        <v>18.346666666666668</v>
      </c>
      <c r="W53" s="229">
        <f t="shared" si="29"/>
        <v>28.91566265060241</v>
      </c>
      <c r="X53" s="7">
        <f t="shared" si="30"/>
        <v>18.072289156626507</v>
      </c>
      <c r="Y53" s="230">
        <f t="shared" si="31"/>
        <v>21.686746987951807</v>
      </c>
      <c r="Z53" s="43"/>
      <c r="AA53" s="2">
        <f t="shared" si="27"/>
        <v>74.599999999999994</v>
      </c>
      <c r="AB53" s="2"/>
      <c r="AC53" s="2"/>
      <c r="AD53" s="30"/>
      <c r="AE53" s="30"/>
      <c r="AF53" s="30"/>
      <c r="AG53" s="7"/>
      <c r="AJ53" s="7"/>
      <c r="AK53" s="7"/>
      <c r="AL53" s="7"/>
      <c r="AM53" s="8"/>
      <c r="AP53" s="7">
        <f t="shared" si="20"/>
        <v>56.4</v>
      </c>
      <c r="AQ53" s="7"/>
      <c r="AR53" s="7"/>
      <c r="AS53" s="7"/>
      <c r="AV53" s="43">
        <f t="shared" si="21"/>
        <v>68.399999999999991</v>
      </c>
      <c r="AW53" s="7"/>
      <c r="AX53" s="7"/>
      <c r="AY53" s="8"/>
      <c r="BB53" s="43"/>
      <c r="BC53" s="30"/>
      <c r="BD53" s="30"/>
      <c r="BE53" s="32"/>
      <c r="BH53" s="43"/>
      <c r="BI53" s="7"/>
      <c r="BJ53" s="7"/>
      <c r="BK53" s="7"/>
      <c r="BL53" s="16"/>
      <c r="BM53" s="16"/>
      <c r="BN53" s="7"/>
      <c r="BO53" s="7"/>
      <c r="BP53" s="7"/>
      <c r="BQ53" s="7"/>
      <c r="BR53" s="11"/>
      <c r="BS53" s="11"/>
      <c r="BT53" s="11"/>
      <c r="BU53" s="11"/>
      <c r="BV53" s="11"/>
      <c r="BW53" s="11"/>
    </row>
    <row r="54" spans="1:75" ht="15.75" x14ac:dyDescent="0.25">
      <c r="A54" s="10">
        <v>44655</v>
      </c>
      <c r="B54" s="218">
        <v>133</v>
      </c>
      <c r="C54" s="43">
        <v>69</v>
      </c>
      <c r="D54" s="67">
        <v>83</v>
      </c>
      <c r="E54" s="1367">
        <v>63</v>
      </c>
      <c r="F54" s="218">
        <v>88</v>
      </c>
      <c r="G54" s="43">
        <v>55</v>
      </c>
      <c r="H54" s="43">
        <v>66</v>
      </c>
      <c r="I54" s="213">
        <v>59</v>
      </c>
      <c r="J54" s="218">
        <v>93</v>
      </c>
      <c r="K54" s="43">
        <v>62</v>
      </c>
      <c r="L54" s="43">
        <v>74</v>
      </c>
      <c r="M54" s="213">
        <v>60</v>
      </c>
      <c r="N54" s="43">
        <v>109</v>
      </c>
      <c r="O54" s="43">
        <v>89</v>
      </c>
      <c r="P54" s="43">
        <v>101</v>
      </c>
      <c r="Q54" s="218">
        <v>564</v>
      </c>
      <c r="R54" s="43">
        <v>615</v>
      </c>
      <c r="S54" s="213">
        <v>549</v>
      </c>
      <c r="T54" s="7">
        <f t="shared" si="28"/>
        <v>19.751325301204822</v>
      </c>
      <c r="U54" s="14">
        <f t="shared" si="28"/>
        <v>17.585542168674699</v>
      </c>
      <c r="V54" s="14">
        <f t="shared" si="28"/>
        <v>17.814939759036147</v>
      </c>
      <c r="W54" s="229">
        <f t="shared" si="29"/>
        <v>28.91566265060241</v>
      </c>
      <c r="X54" s="7">
        <f t="shared" si="30"/>
        <v>21.686746987951807</v>
      </c>
      <c r="Y54" s="230">
        <f t="shared" si="31"/>
        <v>21.686746987951807</v>
      </c>
      <c r="Z54" s="43"/>
      <c r="AA54" s="2">
        <f t="shared" si="27"/>
        <v>69.599999999999994</v>
      </c>
      <c r="AB54" s="2"/>
      <c r="AC54" s="2"/>
      <c r="AD54" s="30"/>
      <c r="AE54" s="30"/>
      <c r="AF54" s="30"/>
      <c r="AG54" s="7"/>
      <c r="AJ54" s="7"/>
      <c r="AK54" s="7"/>
      <c r="AL54" s="7"/>
      <c r="AM54" s="8"/>
      <c r="AP54" s="7">
        <f t="shared" si="20"/>
        <v>66</v>
      </c>
      <c r="AQ54" s="7"/>
      <c r="AR54" s="7"/>
      <c r="AS54" s="7"/>
      <c r="AV54" s="43">
        <f t="shared" si="21"/>
        <v>79.2</v>
      </c>
      <c r="AW54" s="7"/>
      <c r="AX54" s="7"/>
      <c r="AY54" s="8"/>
      <c r="BB54" s="43"/>
      <c r="BC54" s="30"/>
      <c r="BD54" s="30"/>
      <c r="BE54" s="32"/>
      <c r="BH54" s="43"/>
      <c r="BI54" s="7"/>
      <c r="BJ54" s="7"/>
      <c r="BK54" s="7"/>
      <c r="BL54" s="16"/>
      <c r="BM54" s="16"/>
      <c r="BN54" s="7"/>
      <c r="BO54" s="7"/>
      <c r="BP54" s="7"/>
      <c r="BQ54" s="7"/>
      <c r="BR54" s="11"/>
      <c r="BS54" s="11"/>
      <c r="BT54" s="11"/>
      <c r="BU54" s="11"/>
      <c r="BV54" s="11"/>
      <c r="BW54" s="11"/>
    </row>
    <row r="55" spans="1:75" ht="15.75" x14ac:dyDescent="0.25">
      <c r="A55" s="10">
        <v>44691</v>
      </c>
      <c r="B55" s="218">
        <v>108</v>
      </c>
      <c r="C55" s="43">
        <v>69</v>
      </c>
      <c r="D55" s="67">
        <v>75</v>
      </c>
      <c r="E55" s="1367">
        <v>68</v>
      </c>
      <c r="F55" s="218">
        <v>78</v>
      </c>
      <c r="G55" s="43">
        <v>55</v>
      </c>
      <c r="H55" s="43">
        <v>61</v>
      </c>
      <c r="I55" s="213">
        <v>61</v>
      </c>
      <c r="J55" s="218">
        <v>80</v>
      </c>
      <c r="K55" s="43">
        <v>54</v>
      </c>
      <c r="L55" s="43">
        <v>63</v>
      </c>
      <c r="M55" s="213">
        <v>49</v>
      </c>
      <c r="N55" s="43">
        <v>107</v>
      </c>
      <c r="O55" s="43">
        <v>82</v>
      </c>
      <c r="P55" s="43">
        <v>77</v>
      </c>
      <c r="Q55" s="218">
        <v>633</v>
      </c>
      <c r="R55" s="43">
        <v>666</v>
      </c>
      <c r="S55" s="213">
        <v>598</v>
      </c>
      <c r="T55" s="7">
        <f t="shared" si="28"/>
        <v>21.760963855421689</v>
      </c>
      <c r="U55" s="14">
        <f t="shared" si="28"/>
        <v>17.546024096385544</v>
      </c>
      <c r="V55" s="14">
        <f t="shared" si="28"/>
        <v>14.793895582329318</v>
      </c>
      <c r="W55" s="229">
        <f t="shared" si="29"/>
        <v>25.30120481927711</v>
      </c>
      <c r="X55" s="7">
        <f t="shared" si="30"/>
        <v>18.072289156626507</v>
      </c>
      <c r="Y55" s="230">
        <f t="shared" si="31"/>
        <v>18.072289156626507</v>
      </c>
      <c r="Z55" s="43"/>
      <c r="AA55" s="2">
        <f t="shared" si="27"/>
        <v>64</v>
      </c>
      <c r="AB55" s="2"/>
      <c r="AC55" s="2"/>
      <c r="AD55" s="30"/>
      <c r="AE55" s="30"/>
      <c r="AF55" s="30"/>
      <c r="AG55" s="7"/>
      <c r="AJ55" s="7"/>
      <c r="AK55" s="7"/>
      <c r="AL55" s="7"/>
      <c r="AM55" s="8"/>
      <c r="AP55" s="7">
        <f t="shared" si="20"/>
        <v>66</v>
      </c>
      <c r="AQ55" s="7"/>
      <c r="AR55" s="7"/>
      <c r="AS55" s="7"/>
      <c r="AV55" s="43">
        <f t="shared" si="21"/>
        <v>73.2</v>
      </c>
      <c r="AW55" s="7"/>
      <c r="AX55" s="7"/>
      <c r="AY55" s="8"/>
      <c r="BB55" s="43"/>
      <c r="BC55" s="30"/>
      <c r="BD55" s="30"/>
      <c r="BE55" s="32"/>
      <c r="BH55" s="43"/>
      <c r="BI55" s="7"/>
      <c r="BJ55" s="7"/>
      <c r="BK55" s="7"/>
      <c r="BL55" s="16"/>
      <c r="BM55" s="16"/>
      <c r="BN55" s="7"/>
      <c r="BO55" s="7"/>
      <c r="BP55" s="7"/>
      <c r="BQ55" s="7"/>
      <c r="BR55" s="11"/>
      <c r="BS55" s="11"/>
      <c r="BT55" s="11"/>
      <c r="BU55" s="11"/>
      <c r="BV55" s="11"/>
      <c r="BW55" s="11"/>
    </row>
    <row r="56" spans="1:75" ht="15.75" x14ac:dyDescent="0.25">
      <c r="A56" s="10">
        <v>44714</v>
      </c>
      <c r="B56" s="218">
        <v>95</v>
      </c>
      <c r="C56" s="43">
        <v>65</v>
      </c>
      <c r="D56" s="67">
        <v>70</v>
      </c>
      <c r="E56" s="1367">
        <v>62</v>
      </c>
      <c r="F56" s="218">
        <v>81</v>
      </c>
      <c r="G56" s="43">
        <v>55</v>
      </c>
      <c r="H56" s="43">
        <v>64</v>
      </c>
      <c r="I56" s="213">
        <v>57</v>
      </c>
      <c r="J56" s="218">
        <v>73</v>
      </c>
      <c r="K56" s="43">
        <v>46</v>
      </c>
      <c r="L56" s="43">
        <v>55</v>
      </c>
      <c r="M56" s="213">
        <v>41</v>
      </c>
      <c r="N56" s="43">
        <v>98</v>
      </c>
      <c r="O56" s="43">
        <v>80</v>
      </c>
      <c r="P56" s="43">
        <v>66</v>
      </c>
      <c r="Q56" s="218">
        <v>647</v>
      </c>
      <c r="R56" s="43">
        <v>666</v>
      </c>
      <c r="S56" s="213">
        <v>598</v>
      </c>
      <c r="T56" s="7">
        <f t="shared" si="28"/>
        <v>20.371405622489963</v>
      </c>
      <c r="U56" s="14">
        <f t="shared" si="28"/>
        <v>17.118072289156629</v>
      </c>
      <c r="V56" s="14">
        <f t="shared" si="28"/>
        <v>12.680481927710845</v>
      </c>
      <c r="W56" s="229">
        <f t="shared" si="29"/>
        <v>21.686746987951807</v>
      </c>
      <c r="X56" s="7">
        <f t="shared" si="30"/>
        <v>18.072289156626507</v>
      </c>
      <c r="Y56" s="230">
        <f t="shared" si="31"/>
        <v>18.072289156626507</v>
      </c>
      <c r="Z56" s="43"/>
      <c r="AA56" s="2">
        <f t="shared" si="27"/>
        <v>58.4</v>
      </c>
      <c r="AB56" s="2"/>
      <c r="AC56" s="2"/>
      <c r="AD56" s="30"/>
      <c r="AE56" s="30"/>
      <c r="AF56" s="30"/>
      <c r="AG56" s="7"/>
      <c r="AJ56" s="7"/>
      <c r="AK56" s="7"/>
      <c r="AL56" s="7"/>
      <c r="AM56" s="8"/>
      <c r="AP56" s="7">
        <f t="shared" si="20"/>
        <v>66</v>
      </c>
      <c r="AQ56" s="7"/>
      <c r="AR56" s="7"/>
      <c r="AS56" s="7"/>
      <c r="AV56" s="43">
        <f t="shared" si="21"/>
        <v>76.8</v>
      </c>
      <c r="AW56" s="7"/>
      <c r="AX56" s="7"/>
      <c r="AY56" s="8"/>
      <c r="BB56" s="43"/>
      <c r="BC56" s="30"/>
      <c r="BD56" s="30"/>
      <c r="BE56" s="32"/>
      <c r="BH56" s="43"/>
      <c r="BI56" s="7"/>
      <c r="BJ56" s="7"/>
      <c r="BK56" s="7"/>
      <c r="BL56" s="16"/>
      <c r="BM56" s="16"/>
      <c r="BN56" s="7"/>
      <c r="BO56" s="7"/>
      <c r="BP56" s="7"/>
      <c r="BQ56" s="7"/>
      <c r="BR56" s="11"/>
      <c r="BS56" s="11"/>
      <c r="BT56" s="11"/>
      <c r="BU56" s="11"/>
      <c r="BV56" s="11"/>
      <c r="BW56" s="11"/>
    </row>
    <row r="57" spans="1:75" ht="15.75" x14ac:dyDescent="0.25">
      <c r="A57" s="10">
        <v>44753</v>
      </c>
      <c r="B57" s="218">
        <v>80</v>
      </c>
      <c r="C57" s="43">
        <v>63</v>
      </c>
      <c r="D57" s="67">
        <v>68</v>
      </c>
      <c r="E57" s="1367">
        <v>52</v>
      </c>
      <c r="F57" s="218">
        <v>85</v>
      </c>
      <c r="G57" s="43">
        <v>59</v>
      </c>
      <c r="H57" s="43">
        <v>71</v>
      </c>
      <c r="I57" s="213">
        <v>50</v>
      </c>
      <c r="J57" s="218">
        <v>73</v>
      </c>
      <c r="K57" s="43">
        <v>50</v>
      </c>
      <c r="L57" s="43">
        <v>60</v>
      </c>
      <c r="M57" s="213">
        <v>41</v>
      </c>
      <c r="N57" s="43">
        <v>101</v>
      </c>
      <c r="O57" s="43">
        <v>90</v>
      </c>
      <c r="P57" s="43">
        <v>76</v>
      </c>
      <c r="Q57" s="218">
        <v>605</v>
      </c>
      <c r="R57" s="43">
        <v>511</v>
      </c>
      <c r="S57" s="213">
        <v>582</v>
      </c>
      <c r="T57" s="7">
        <f t="shared" si="28"/>
        <v>19.632128514056227</v>
      </c>
      <c r="U57" s="14">
        <f t="shared" si="28"/>
        <v>14.775903614457834</v>
      </c>
      <c r="V57" s="14">
        <f t="shared" si="28"/>
        <v>14.2110843373494</v>
      </c>
      <c r="W57" s="229">
        <f t="shared" si="29"/>
        <v>18.072289156626507</v>
      </c>
      <c r="X57" s="7">
        <f t="shared" si="30"/>
        <v>21.686746987951807</v>
      </c>
      <c r="Y57" s="230">
        <f t="shared" si="31"/>
        <v>18.072289156626507</v>
      </c>
      <c r="Z57" s="43"/>
      <c r="AA57" s="2">
        <f t="shared" si="27"/>
        <v>52.6</v>
      </c>
      <c r="AB57" s="2"/>
      <c r="AC57" s="2"/>
      <c r="AD57" s="30"/>
      <c r="AE57" s="30"/>
      <c r="AF57" s="30"/>
      <c r="AG57" s="7"/>
      <c r="AJ57" s="7"/>
      <c r="AK57" s="7"/>
      <c r="AL57" s="7"/>
      <c r="AM57" s="8"/>
      <c r="AP57" s="7">
        <f t="shared" si="20"/>
        <v>70.8</v>
      </c>
      <c r="AQ57" s="7"/>
      <c r="AR57" s="7"/>
      <c r="AS57" s="7"/>
      <c r="AV57" s="43">
        <f t="shared" si="21"/>
        <v>85.2</v>
      </c>
      <c r="AW57" s="7"/>
      <c r="AX57" s="7"/>
      <c r="AY57" s="8"/>
      <c r="BB57" s="43"/>
      <c r="BC57" s="30"/>
      <c r="BD57" s="30"/>
      <c r="BE57" s="32"/>
      <c r="BH57" s="43"/>
      <c r="BI57" s="7"/>
      <c r="BJ57" s="7"/>
      <c r="BK57" s="7"/>
      <c r="BL57" s="16"/>
      <c r="BM57" s="16"/>
      <c r="BN57" s="7"/>
      <c r="BO57" s="7"/>
      <c r="BP57" s="7"/>
      <c r="BQ57" s="7"/>
      <c r="BR57" s="11"/>
      <c r="BS57" s="11"/>
      <c r="BT57" s="11"/>
      <c r="BU57" s="11"/>
      <c r="BV57" s="11"/>
      <c r="BW57" s="11"/>
    </row>
    <row r="58" spans="1:75" ht="15.75" x14ac:dyDescent="0.25">
      <c r="A58" s="10">
        <v>44774</v>
      </c>
      <c r="B58" s="218">
        <v>81</v>
      </c>
      <c r="C58" s="43">
        <v>61</v>
      </c>
      <c r="D58" s="67">
        <v>69</v>
      </c>
      <c r="E58" s="1367">
        <v>40</v>
      </c>
      <c r="F58" s="218">
        <v>89</v>
      </c>
      <c r="G58" s="43">
        <v>57</v>
      </c>
      <c r="H58" s="43">
        <v>71</v>
      </c>
      <c r="I58" s="213">
        <v>57</v>
      </c>
      <c r="J58" s="218">
        <v>65</v>
      </c>
      <c r="K58" s="43">
        <v>45</v>
      </c>
      <c r="L58" s="43">
        <v>54</v>
      </c>
      <c r="M58" s="213">
        <v>40</v>
      </c>
      <c r="N58" s="43">
        <v>101</v>
      </c>
      <c r="O58" s="43">
        <v>95</v>
      </c>
      <c r="P58" s="43">
        <v>74</v>
      </c>
      <c r="Q58" s="218">
        <v>572</v>
      </c>
      <c r="R58" s="43">
        <v>486</v>
      </c>
      <c r="S58" s="213">
        <v>558</v>
      </c>
      <c r="T58" s="7">
        <f t="shared" si="28"/>
        <v>18.561285140562251</v>
      </c>
      <c r="U58" s="14">
        <f t="shared" si="28"/>
        <v>14.833734939759038</v>
      </c>
      <c r="V58" s="14">
        <f t="shared" si="28"/>
        <v>13.266506024096387</v>
      </c>
      <c r="W58" s="229">
        <f t="shared" si="29"/>
        <v>18.072289156626507</v>
      </c>
      <c r="X58" s="7">
        <f t="shared" si="30"/>
        <v>21.686746987951807</v>
      </c>
      <c r="Y58" s="230">
        <f t="shared" si="31"/>
        <v>14.457831325301205</v>
      </c>
      <c r="Z58" s="43"/>
      <c r="AA58" s="2">
        <f t="shared" si="27"/>
        <v>50.2</v>
      </c>
      <c r="AB58" s="2"/>
      <c r="AC58" s="2"/>
      <c r="AD58" s="30"/>
      <c r="AE58" s="30"/>
      <c r="AF58" s="30"/>
      <c r="AG58" s="7"/>
      <c r="AJ58" s="7"/>
      <c r="AK58" s="7"/>
      <c r="AL58" s="7"/>
      <c r="AM58" s="8"/>
      <c r="AP58" s="7">
        <f t="shared" si="20"/>
        <v>68.399999999999991</v>
      </c>
      <c r="AQ58" s="7"/>
      <c r="AR58" s="7"/>
      <c r="AS58" s="7"/>
      <c r="AV58" s="43">
        <f t="shared" si="21"/>
        <v>85.2</v>
      </c>
      <c r="AW58" s="7"/>
      <c r="AX58" s="7"/>
      <c r="AY58" s="8"/>
      <c r="BB58" s="43"/>
      <c r="BC58" s="30"/>
      <c r="BD58" s="30"/>
      <c r="BE58" s="32"/>
      <c r="BH58" s="43"/>
      <c r="BI58" s="7"/>
      <c r="BJ58" s="7"/>
      <c r="BK58" s="7"/>
      <c r="BL58" s="16"/>
      <c r="BM58" s="16"/>
      <c r="BN58" s="7"/>
      <c r="BO58" s="7"/>
      <c r="BP58" s="7"/>
      <c r="BQ58" s="7"/>
      <c r="BR58" s="11"/>
      <c r="BS58" s="11"/>
      <c r="BT58" s="11"/>
      <c r="BU58" s="11"/>
      <c r="BV58" s="11"/>
      <c r="BW58" s="11"/>
    </row>
    <row r="59" spans="1:75" ht="15.75" x14ac:dyDescent="0.25">
      <c r="A59" s="10">
        <v>44805</v>
      </c>
      <c r="B59" s="218">
        <v>89</v>
      </c>
      <c r="C59" s="43">
        <v>68</v>
      </c>
      <c r="D59" s="67">
        <v>79</v>
      </c>
      <c r="E59" s="1367">
        <v>50</v>
      </c>
      <c r="F59" s="218">
        <v>72</v>
      </c>
      <c r="G59" s="43">
        <v>46</v>
      </c>
      <c r="H59" s="43">
        <v>56</v>
      </c>
      <c r="I59" s="213">
        <v>53</v>
      </c>
      <c r="J59" s="218">
        <v>74</v>
      </c>
      <c r="K59" s="43">
        <v>50</v>
      </c>
      <c r="L59" s="43">
        <v>60</v>
      </c>
      <c r="M59" s="213">
        <v>38</v>
      </c>
      <c r="N59" s="43">
        <v>98</v>
      </c>
      <c r="O59" s="43">
        <v>76</v>
      </c>
      <c r="P59" s="43">
        <v>72</v>
      </c>
      <c r="Q59" s="218">
        <v>634</v>
      </c>
      <c r="R59" s="43">
        <v>525</v>
      </c>
      <c r="S59" s="213">
        <v>619</v>
      </c>
      <c r="T59" s="7">
        <f t="shared" si="28"/>
        <v>19.962088353413655</v>
      </c>
      <c r="U59" s="14">
        <f t="shared" si="28"/>
        <v>12.819277108433734</v>
      </c>
      <c r="V59" s="14">
        <f t="shared" si="28"/>
        <v>14.319036144578314</v>
      </c>
      <c r="W59" s="229">
        <f t="shared" si="29"/>
        <v>21.686746987951807</v>
      </c>
      <c r="X59" s="7">
        <f t="shared" si="30"/>
        <v>18.072289156626507</v>
      </c>
      <c r="Y59" s="230">
        <f t="shared" si="31"/>
        <v>18.072289156626507</v>
      </c>
      <c r="Z59" s="43"/>
      <c r="AA59" s="2">
        <f t="shared" si="27"/>
        <v>57.2</v>
      </c>
      <c r="AB59" s="2"/>
      <c r="AC59" s="2"/>
      <c r="AD59" s="30"/>
      <c r="AE59" s="30"/>
      <c r="AF59" s="30"/>
      <c r="AG59" s="7"/>
      <c r="AJ59" s="7"/>
      <c r="AK59" s="7"/>
      <c r="AL59" s="7"/>
      <c r="AM59" s="8"/>
      <c r="AP59" s="7">
        <f t="shared" si="20"/>
        <v>55.199999999999996</v>
      </c>
      <c r="AQ59" s="7"/>
      <c r="AR59" s="7"/>
      <c r="AS59" s="7"/>
      <c r="AV59" s="43">
        <f t="shared" si="21"/>
        <v>67.2</v>
      </c>
      <c r="AW59" s="7"/>
      <c r="AX59" s="7"/>
      <c r="AY59" s="8"/>
      <c r="BB59" s="43"/>
      <c r="BC59" s="30"/>
      <c r="BD59" s="30"/>
      <c r="BE59" s="32"/>
      <c r="BH59" s="43"/>
      <c r="BI59" s="7"/>
      <c r="BJ59" s="7"/>
      <c r="BK59" s="7"/>
      <c r="BL59" s="16"/>
      <c r="BM59" s="16"/>
      <c r="BN59" s="7"/>
      <c r="BO59" s="7"/>
      <c r="BP59" s="7"/>
      <c r="BQ59" s="7"/>
      <c r="BR59" s="11"/>
      <c r="BS59" s="11"/>
      <c r="BT59" s="11"/>
      <c r="BU59" s="11"/>
      <c r="BV59" s="11"/>
      <c r="BW59" s="11"/>
    </row>
    <row r="60" spans="1:75" ht="15.75" x14ac:dyDescent="0.25">
      <c r="A60" s="10">
        <v>44838</v>
      </c>
      <c r="B60" s="218">
        <v>98</v>
      </c>
      <c r="C60" s="43">
        <v>71</v>
      </c>
      <c r="D60" s="67">
        <v>81</v>
      </c>
      <c r="E60" s="1367">
        <v>55</v>
      </c>
      <c r="F60" s="218">
        <v>79</v>
      </c>
      <c r="G60" s="43">
        <v>46</v>
      </c>
      <c r="H60" s="43">
        <v>53</v>
      </c>
      <c r="I60" s="213">
        <v>48</v>
      </c>
      <c r="J60" s="218">
        <v>67</v>
      </c>
      <c r="K60" s="43">
        <v>42</v>
      </c>
      <c r="L60" s="43">
        <v>49</v>
      </c>
      <c r="M60" s="213">
        <v>41</v>
      </c>
      <c r="N60" s="43">
        <v>115</v>
      </c>
      <c r="O60" s="43">
        <v>78</v>
      </c>
      <c r="P60" s="43">
        <v>71</v>
      </c>
      <c r="Q60" s="218">
        <v>497</v>
      </c>
      <c r="R60" s="43">
        <v>571</v>
      </c>
      <c r="S60" s="213">
        <v>580</v>
      </c>
      <c r="T60" s="7">
        <f t="shared" si="28"/>
        <v>18.363052208835342</v>
      </c>
      <c r="U60" s="14">
        <f t="shared" si="28"/>
        <v>14.309397590361447</v>
      </c>
      <c r="V60" s="14">
        <f t="shared" si="28"/>
        <v>13.230522088353414</v>
      </c>
      <c r="W60" s="229">
        <f t="shared" si="29"/>
        <v>21.686746987951807</v>
      </c>
      <c r="X60" s="7">
        <f t="shared" si="30"/>
        <v>18.072289156626507</v>
      </c>
      <c r="Y60" s="230">
        <f t="shared" si="31"/>
        <v>18.072289156626507</v>
      </c>
      <c r="Z60" s="43"/>
      <c r="AA60" s="2">
        <f t="shared" si="27"/>
        <v>61</v>
      </c>
      <c r="AB60" s="2"/>
      <c r="AC60" s="2"/>
      <c r="AD60" s="30"/>
      <c r="AE60" s="30"/>
      <c r="AF60" s="30"/>
      <c r="AG60" s="7"/>
      <c r="AJ60" s="7"/>
      <c r="AK60" s="7"/>
      <c r="AL60" s="7"/>
      <c r="AM60" s="8"/>
      <c r="AP60" s="7">
        <f t="shared" si="20"/>
        <v>55.199999999999996</v>
      </c>
      <c r="AQ60" s="7"/>
      <c r="AR60" s="7"/>
      <c r="AS60" s="7"/>
      <c r="AV60" s="43">
        <f t="shared" si="21"/>
        <v>63.599999999999994</v>
      </c>
      <c r="AW60" s="7"/>
      <c r="AX60" s="7"/>
      <c r="AY60" s="8"/>
      <c r="BB60" s="43"/>
      <c r="BC60" s="30"/>
      <c r="BD60" s="30"/>
      <c r="BE60" s="32"/>
      <c r="BH60" s="43"/>
      <c r="BI60" s="7"/>
      <c r="BJ60" s="7"/>
      <c r="BK60" s="7"/>
      <c r="BL60" s="16"/>
      <c r="BM60" s="16"/>
      <c r="BN60" s="7"/>
      <c r="BO60" s="7"/>
      <c r="BP60" s="7"/>
      <c r="BQ60" s="7"/>
      <c r="BR60" s="11"/>
      <c r="BS60" s="11"/>
      <c r="BT60" s="11"/>
      <c r="BU60" s="11"/>
      <c r="BV60" s="11"/>
      <c r="BW60" s="11"/>
    </row>
    <row r="61" spans="1:75" ht="15.75" x14ac:dyDescent="0.25">
      <c r="A61" s="10">
        <v>44868</v>
      </c>
      <c r="B61" s="218">
        <v>62</v>
      </c>
      <c r="C61" s="43">
        <v>48</v>
      </c>
      <c r="D61" s="67">
        <v>54</v>
      </c>
      <c r="E61" s="1367">
        <v>56</v>
      </c>
      <c r="F61" s="218">
        <v>53</v>
      </c>
      <c r="G61" s="43">
        <v>45</v>
      </c>
      <c r="H61" s="43">
        <v>41</v>
      </c>
      <c r="I61" s="213">
        <v>39</v>
      </c>
      <c r="J61" s="218">
        <v>60</v>
      </c>
      <c r="K61" s="43">
        <v>44</v>
      </c>
      <c r="L61" s="43">
        <v>52</v>
      </c>
      <c r="M61" s="213">
        <v>39</v>
      </c>
      <c r="N61" s="43">
        <v>81</v>
      </c>
      <c r="O61" s="43">
        <v>53</v>
      </c>
      <c r="P61" s="43">
        <v>64</v>
      </c>
      <c r="Q61" s="218">
        <v>575</v>
      </c>
      <c r="R61" s="43">
        <v>613</v>
      </c>
      <c r="S61" s="213">
        <v>664</v>
      </c>
      <c r="T61" s="7">
        <f>((Q61/37.5)/0.83)*(N61/100)</f>
        <v>14.96385542168675</v>
      </c>
      <c r="U61" s="14">
        <f t="shared" si="28"/>
        <v>10.43823293172691</v>
      </c>
      <c r="V61" s="14">
        <f t="shared" si="28"/>
        <v>13.653333333333336</v>
      </c>
      <c r="W61" s="229">
        <f t="shared" si="29"/>
        <v>14.457831325301205</v>
      </c>
      <c r="X61" s="7">
        <f t="shared" si="30"/>
        <v>14.457831325301205</v>
      </c>
      <c r="Y61" s="230">
        <f t="shared" si="31"/>
        <v>14.457831325301205</v>
      </c>
      <c r="Z61" s="43"/>
      <c r="AA61" s="2">
        <f t="shared" si="27"/>
        <v>44</v>
      </c>
      <c r="AB61" s="2"/>
      <c r="AC61" s="2"/>
      <c r="AD61" s="30"/>
      <c r="AE61" s="30"/>
      <c r="AF61" s="30"/>
      <c r="AG61" s="7"/>
      <c r="AJ61" s="7"/>
      <c r="AK61" s="7"/>
      <c r="AL61" s="7"/>
      <c r="AM61" s="8"/>
      <c r="AP61" s="7">
        <f t="shared" si="20"/>
        <v>54</v>
      </c>
      <c r="AQ61" s="7"/>
      <c r="AR61" s="7"/>
      <c r="AS61" s="7"/>
      <c r="AV61" s="43">
        <f t="shared" si="21"/>
        <v>49.199999999999996</v>
      </c>
      <c r="AW61" s="7"/>
      <c r="AX61" s="7"/>
      <c r="AY61" s="8"/>
      <c r="BB61" s="43"/>
      <c r="BC61" s="30"/>
      <c r="BD61" s="30"/>
      <c r="BE61" s="32"/>
      <c r="BH61" s="43"/>
      <c r="BI61" s="7"/>
      <c r="BJ61" s="7"/>
      <c r="BK61" s="7"/>
      <c r="BL61" s="16"/>
      <c r="BM61" s="16"/>
      <c r="BN61" s="7"/>
      <c r="BO61" s="7"/>
      <c r="BP61" s="7"/>
      <c r="BQ61" s="7"/>
      <c r="BR61" s="11"/>
      <c r="BS61" s="11"/>
      <c r="BT61" s="11"/>
      <c r="BU61" s="11"/>
      <c r="BV61" s="11"/>
      <c r="BW61" s="11"/>
    </row>
    <row r="62" spans="1:75" ht="15.75" x14ac:dyDescent="0.25">
      <c r="A62" s="10">
        <v>44908</v>
      </c>
      <c r="B62" s="218">
        <v>45</v>
      </c>
      <c r="C62" s="43">
        <v>32</v>
      </c>
      <c r="D62" s="43">
        <v>36</v>
      </c>
      <c r="E62" s="213">
        <v>38</v>
      </c>
      <c r="F62" s="218">
        <v>45</v>
      </c>
      <c r="G62" s="43">
        <v>23</v>
      </c>
      <c r="H62" s="43">
        <v>26</v>
      </c>
      <c r="I62" s="213">
        <v>30</v>
      </c>
      <c r="J62" s="218">
        <v>48</v>
      </c>
      <c r="K62" s="43">
        <v>42</v>
      </c>
      <c r="L62" s="43">
        <v>49</v>
      </c>
      <c r="M62" s="213">
        <v>41</v>
      </c>
      <c r="N62" s="43">
        <v>84</v>
      </c>
      <c r="O62" s="43">
        <v>60</v>
      </c>
      <c r="P62" s="43">
        <v>103</v>
      </c>
      <c r="Q62" s="218">
        <v>363</v>
      </c>
      <c r="R62" s="43">
        <v>380</v>
      </c>
      <c r="S62" s="213">
        <v>398</v>
      </c>
      <c r="T62" s="7">
        <f>((Q62/37.5)/0.83)*(N62/100)</f>
        <v>9.7966265060240953</v>
      </c>
      <c r="U62" s="7">
        <f t="shared" si="28"/>
        <v>7.3253012048192776</v>
      </c>
      <c r="V62" s="7">
        <f t="shared" si="28"/>
        <v>13.170763052208837</v>
      </c>
      <c r="W62" s="229">
        <f t="shared" ref="W62:W63" si="32">(ROUNDUP(B62/16.6666,0)*3)/0.83</f>
        <v>10.843373493975903</v>
      </c>
      <c r="X62" s="7">
        <f t="shared" si="30"/>
        <v>10.843373493975903</v>
      </c>
      <c r="Y62" s="230">
        <f t="shared" si="31"/>
        <v>10.843373493975903</v>
      </c>
      <c r="Z62" s="43"/>
      <c r="AA62" s="2">
        <f t="shared" si="27"/>
        <v>30.2</v>
      </c>
      <c r="AB62" s="2"/>
      <c r="AC62" s="2"/>
      <c r="AD62" s="30"/>
      <c r="AE62" s="30"/>
      <c r="AF62" s="30"/>
      <c r="AG62" s="7"/>
      <c r="AJ62" s="7"/>
      <c r="AK62" s="7"/>
      <c r="AL62" s="7"/>
      <c r="AM62" s="8"/>
      <c r="AP62" s="7">
        <f t="shared" si="20"/>
        <v>27.599999999999998</v>
      </c>
      <c r="AQ62" s="7"/>
      <c r="AR62" s="7"/>
      <c r="AS62" s="7"/>
      <c r="AV62" s="43">
        <f t="shared" si="21"/>
        <v>31.2</v>
      </c>
      <c r="AW62" s="7"/>
      <c r="AX62" s="7"/>
      <c r="AY62" s="8"/>
      <c r="BB62" s="43"/>
      <c r="BC62" s="30"/>
      <c r="BD62" s="30"/>
      <c r="BE62" s="32"/>
      <c r="BH62" s="43"/>
      <c r="BI62" s="7"/>
      <c r="BJ62" s="7"/>
      <c r="BK62" s="7"/>
      <c r="BL62" s="16"/>
      <c r="BM62" s="16"/>
      <c r="BN62" s="7"/>
      <c r="BO62" s="7"/>
      <c r="BP62" s="7"/>
      <c r="BQ62" s="7"/>
      <c r="BR62" s="11"/>
      <c r="BS62" s="11"/>
      <c r="BT62" s="11"/>
      <c r="BU62" s="11"/>
      <c r="BV62" s="11"/>
      <c r="BW62" s="11"/>
    </row>
    <row r="63" spans="1:75" ht="15.75" x14ac:dyDescent="0.25">
      <c r="A63" s="10">
        <v>44965</v>
      </c>
      <c r="B63" s="218">
        <v>27</v>
      </c>
      <c r="C63" s="43">
        <v>27</v>
      </c>
      <c r="D63" s="43">
        <v>30</v>
      </c>
      <c r="E63" s="213">
        <v>36</v>
      </c>
      <c r="F63" s="218">
        <v>39</v>
      </c>
      <c r="G63" s="43">
        <v>22</v>
      </c>
      <c r="H63" s="43">
        <v>27</v>
      </c>
      <c r="I63" s="213">
        <v>23</v>
      </c>
      <c r="J63" s="218">
        <v>63</v>
      </c>
      <c r="K63" s="43">
        <v>49</v>
      </c>
      <c r="L63" s="43">
        <v>58</v>
      </c>
      <c r="M63" s="213">
        <v>50</v>
      </c>
      <c r="N63" s="43">
        <v>70</v>
      </c>
      <c r="O63" s="43">
        <v>74</v>
      </c>
      <c r="P63" s="43">
        <v>124</v>
      </c>
      <c r="Q63" s="218">
        <v>395</v>
      </c>
      <c r="R63" s="43">
        <v>402</v>
      </c>
      <c r="S63" s="213">
        <v>404</v>
      </c>
      <c r="T63" s="7">
        <f>((Q63/37.5)/0.83)*(N63/100)</f>
        <v>8.8835341365461833</v>
      </c>
      <c r="U63" s="7">
        <f t="shared" si="28"/>
        <v>9.5575903614457829</v>
      </c>
      <c r="V63" s="7">
        <f t="shared" si="28"/>
        <v>16.095100401606427</v>
      </c>
      <c r="W63" s="229">
        <f t="shared" si="32"/>
        <v>7.2289156626506026</v>
      </c>
      <c r="X63" s="7">
        <f>(ROUNDUP(F63/16.6666,0)*3)/0.83</f>
        <v>10.843373493975903</v>
      </c>
      <c r="Y63" s="230">
        <f>(ROUNDUP(J63/16.6666,0)*3)/0.83</f>
        <v>14.457831325301205</v>
      </c>
      <c r="Z63" s="43"/>
      <c r="AA63" s="2">
        <f t="shared" si="27"/>
        <v>24</v>
      </c>
      <c r="AB63" s="2"/>
      <c r="AC63" s="2"/>
      <c r="AD63" s="30"/>
      <c r="AE63" s="30"/>
      <c r="AF63" s="30"/>
      <c r="AG63" s="7"/>
      <c r="AJ63" s="7"/>
      <c r="AK63" s="7"/>
      <c r="AL63" s="7"/>
      <c r="AM63" s="8"/>
      <c r="AP63" s="7">
        <f t="shared" si="20"/>
        <v>26.4</v>
      </c>
      <c r="AQ63" s="7"/>
      <c r="AR63" s="7"/>
      <c r="AS63" s="7"/>
      <c r="AV63" s="43">
        <f t="shared" si="21"/>
        <v>32.4</v>
      </c>
      <c r="AW63" s="7"/>
      <c r="AX63" s="7"/>
      <c r="AY63" s="8"/>
      <c r="BB63" s="43"/>
      <c r="BC63" s="30"/>
      <c r="BD63" s="30"/>
      <c r="BE63" s="32"/>
      <c r="BH63" s="43"/>
      <c r="BI63" s="7"/>
      <c r="BJ63" s="7"/>
      <c r="BK63" s="7"/>
      <c r="BL63" s="16"/>
      <c r="BM63" s="16"/>
      <c r="BN63" s="7"/>
      <c r="BO63" s="7"/>
      <c r="BP63" s="7"/>
      <c r="BQ63" s="7"/>
      <c r="BR63" s="11"/>
      <c r="BS63" s="11"/>
      <c r="BT63" s="11"/>
      <c r="BU63" s="11"/>
      <c r="BV63" s="11"/>
      <c r="BW63" s="11"/>
    </row>
    <row r="64" spans="1:75" ht="15.75" x14ac:dyDescent="0.25">
      <c r="A64" s="10">
        <v>44992</v>
      </c>
      <c r="B64" s="218">
        <v>30</v>
      </c>
      <c r="C64" s="43">
        <v>26</v>
      </c>
      <c r="D64" s="43">
        <v>28</v>
      </c>
      <c r="E64" s="213">
        <v>36</v>
      </c>
      <c r="F64" s="218">
        <v>31</v>
      </c>
      <c r="G64" s="43">
        <v>27</v>
      </c>
      <c r="H64" s="43">
        <v>30</v>
      </c>
      <c r="I64" s="213">
        <v>33</v>
      </c>
      <c r="J64" s="218">
        <v>56</v>
      </c>
      <c r="K64" s="43">
        <v>50</v>
      </c>
      <c r="L64" s="43">
        <v>58</v>
      </c>
      <c r="M64" s="213">
        <v>59</v>
      </c>
      <c r="N64" s="43">
        <v>93</v>
      </c>
      <c r="O64" s="43">
        <v>81</v>
      </c>
      <c r="P64" s="43">
        <v>103</v>
      </c>
      <c r="Q64" s="218">
        <v>278</v>
      </c>
      <c r="R64" s="43">
        <v>289</v>
      </c>
      <c r="S64" s="213">
        <v>513</v>
      </c>
      <c r="T64" s="7">
        <f t="shared" ref="T64:V65" si="33">((Q64/37.5)/0.85)*(N64/100)</f>
        <v>8.1110588235294117</v>
      </c>
      <c r="U64" s="7">
        <f t="shared" si="33"/>
        <v>7.3440000000000003</v>
      </c>
      <c r="V64" s="7">
        <f t="shared" si="33"/>
        <v>16.576941176470587</v>
      </c>
      <c r="W64" s="229">
        <f>(ROUNDUP(B64/16.6666,0)*3)/0.85</f>
        <v>7.0588235294117645</v>
      </c>
      <c r="X64" s="7">
        <f>(ROUNDUP(F64/16.6666,0)*3)/0.85</f>
        <v>7.0588235294117645</v>
      </c>
      <c r="Y64" s="230">
        <f>(ROUNDUP(J64/16.6666,0)*3)/0.85</f>
        <v>14.117647058823529</v>
      </c>
      <c r="AA64" s="2">
        <f t="shared" si="27"/>
        <v>24</v>
      </c>
      <c r="AP64" s="7">
        <f t="shared" si="20"/>
        <v>32.4</v>
      </c>
      <c r="AV64" s="43">
        <f t="shared" si="21"/>
        <v>36</v>
      </c>
    </row>
    <row r="65" spans="1:48" ht="15.75" x14ac:dyDescent="0.25">
      <c r="A65" s="10">
        <v>45020</v>
      </c>
      <c r="B65" s="218">
        <v>37</v>
      </c>
      <c r="C65" s="43">
        <v>35</v>
      </c>
      <c r="D65" s="43">
        <v>39</v>
      </c>
      <c r="E65" s="213">
        <v>41</v>
      </c>
      <c r="F65" s="218">
        <v>41</v>
      </c>
      <c r="G65" s="43">
        <v>38</v>
      </c>
      <c r="H65" s="43">
        <v>43</v>
      </c>
      <c r="I65" s="213">
        <v>45</v>
      </c>
      <c r="J65" s="218">
        <v>50</v>
      </c>
      <c r="K65" s="43">
        <v>44</v>
      </c>
      <c r="L65" s="43">
        <v>49</v>
      </c>
      <c r="M65" s="213">
        <v>52</v>
      </c>
      <c r="N65" s="43">
        <v>94</v>
      </c>
      <c r="O65" s="43">
        <v>98</v>
      </c>
      <c r="P65" s="43">
        <v>109</v>
      </c>
      <c r="Q65" s="218">
        <v>395</v>
      </c>
      <c r="R65" s="43">
        <v>408</v>
      </c>
      <c r="S65" s="213">
        <v>397</v>
      </c>
      <c r="T65" s="7">
        <f t="shared" si="33"/>
        <v>11.648627450980392</v>
      </c>
      <c r="U65" s="7">
        <f t="shared" si="33"/>
        <v>12.544</v>
      </c>
      <c r="V65" s="7">
        <f t="shared" si="33"/>
        <v>13.575843137254903</v>
      </c>
      <c r="W65" s="229">
        <f>(ROUNDUP(B65/16.6666,0)*3)/0.85</f>
        <v>10.588235294117647</v>
      </c>
      <c r="X65" s="7">
        <f>(ROUNDUP(F65/16.6666,0)*3)/0.85</f>
        <v>10.588235294117647</v>
      </c>
      <c r="Y65" s="230">
        <f>(ROUNDUP(J65/16.6666,0)*3)/0.85</f>
        <v>14.117647058823529</v>
      </c>
      <c r="AA65" s="2"/>
      <c r="AP65" s="7">
        <f t="shared" si="20"/>
        <v>45.6</v>
      </c>
      <c r="AV65" s="43">
        <f t="shared" si="21"/>
        <v>51.6</v>
      </c>
    </row>
    <row r="66" spans="1:48" ht="15.75" x14ac:dyDescent="0.25">
      <c r="A66" s="10">
        <v>45047</v>
      </c>
      <c r="B66" s="218">
        <v>48</v>
      </c>
      <c r="C66" s="43">
        <v>38</v>
      </c>
      <c r="D66" s="43">
        <v>41</v>
      </c>
      <c r="E66" s="213">
        <v>44</v>
      </c>
      <c r="F66" s="218">
        <v>49</v>
      </c>
      <c r="G66" s="43">
        <v>42</v>
      </c>
      <c r="H66" s="43">
        <v>46</v>
      </c>
      <c r="I66" s="213">
        <v>50</v>
      </c>
      <c r="J66" s="218">
        <v>48</v>
      </c>
      <c r="K66" s="43">
        <v>44</v>
      </c>
      <c r="L66" s="43">
        <v>49</v>
      </c>
      <c r="M66" s="213">
        <v>48</v>
      </c>
      <c r="N66" s="43">
        <v>100</v>
      </c>
      <c r="O66" s="43">
        <v>105</v>
      </c>
      <c r="P66" s="43">
        <v>105</v>
      </c>
      <c r="Q66" s="218">
        <v>402</v>
      </c>
      <c r="R66" s="43">
        <v>408</v>
      </c>
      <c r="S66" s="213">
        <v>397</v>
      </c>
      <c r="T66" s="7">
        <f t="shared" ref="T66" si="34">((Q66/37.5)/0.85)*(N66/100)</f>
        <v>12.611764705882354</v>
      </c>
      <c r="U66" s="7">
        <f>((R66/37.5)/0.85)*(O66/100)</f>
        <v>13.440000000000001</v>
      </c>
      <c r="V66" s="7">
        <f>((S66/37.5)/0.85)*(P66/100)</f>
        <v>13.07764705882353</v>
      </c>
      <c r="W66" s="229">
        <f>(ROUNDUP(B66/16.6666,0)*3)/0.85</f>
        <v>10.588235294117647</v>
      </c>
      <c r="X66" s="7">
        <f>(ROUNDUP(F66/16.6666,0)*3)/0.85</f>
        <v>10.588235294117647</v>
      </c>
      <c r="Y66" s="230">
        <f>(ROUNDUP(J66/16.6666,0)*3)/0.85</f>
        <v>10.588235294117647</v>
      </c>
      <c r="AA66" s="2"/>
      <c r="AP66" s="7">
        <f t="shared" si="20"/>
        <v>50.4</v>
      </c>
      <c r="AV66" s="43">
        <f t="shared" si="21"/>
        <v>55.199999999999996</v>
      </c>
    </row>
  </sheetData>
  <mergeCells count="7">
    <mergeCell ref="W2:Y2"/>
    <mergeCell ref="BL2:BQ2"/>
    <mergeCell ref="BR2:BW2"/>
    <mergeCell ref="AA2:AF2"/>
    <mergeCell ref="N2:P2"/>
    <mergeCell ref="Q2:S2"/>
    <mergeCell ref="T2:V2"/>
  </mergeCells>
  <phoneticPr fontId="11" type="noConversion"/>
  <conditionalFormatting sqref="B26 BH5:BK10 O5:Z25 F5:M25 BH11:BH25 AJ5:AM63 AP5:AS63 AV5:AY63 BB5:BE63 BH28:BH63 F27:M66 AP64:AP66 AV64:AV66 O27:P66">
    <cfRule type="cellIs" dxfId="831" priority="137" operator="lessThan">
      <formula>40</formula>
    </cfRule>
    <cfRule type="cellIs" dxfId="830" priority="139" operator="greaterThan">
      <formula>80</formula>
    </cfRule>
  </conditionalFormatting>
  <conditionalFormatting sqref="AA5:AC63 AA64:AA66">
    <cfRule type="cellIs" dxfId="829" priority="138" operator="greaterThan">
      <formula>80</formula>
    </cfRule>
  </conditionalFormatting>
  <conditionalFormatting sqref="AD5:AG62">
    <cfRule type="cellIs" dxfId="828" priority="135" operator="lessThan">
      <formula>40</formula>
    </cfRule>
    <cfRule type="cellIs" dxfId="827" priority="136" operator="greaterThan">
      <formula>80</formula>
    </cfRule>
  </conditionalFormatting>
  <conditionalFormatting sqref="B5:B25 B27:B61">
    <cfRule type="cellIs" dxfId="826" priority="134" operator="greaterThan">
      <formula>80</formula>
    </cfRule>
  </conditionalFormatting>
  <conditionalFormatting sqref="B5:B17">
    <cfRule type="cellIs" dxfId="825" priority="133" operator="lessThan">
      <formula>35</formula>
    </cfRule>
  </conditionalFormatting>
  <conditionalFormatting sqref="D5:D25 D27:D61">
    <cfRule type="cellIs" dxfId="824" priority="132" operator="greaterThan">
      <formula>80</formula>
    </cfRule>
  </conditionalFormatting>
  <conditionalFormatting sqref="D5:D17">
    <cfRule type="cellIs" dxfId="823" priority="131" operator="lessThan">
      <formula>35</formula>
    </cfRule>
  </conditionalFormatting>
  <conditionalFormatting sqref="C5:C61">
    <cfRule type="cellIs" dxfId="822" priority="130" operator="greaterThan">
      <formula>80</formula>
    </cfRule>
  </conditionalFormatting>
  <conditionalFormatting sqref="C5:C17">
    <cfRule type="cellIs" dxfId="821" priority="129" operator="lessThan">
      <formula>35</formula>
    </cfRule>
  </conditionalFormatting>
  <conditionalFormatting sqref="E5:E25 E27:E61">
    <cfRule type="cellIs" dxfId="820" priority="128" operator="greaterThan">
      <formula>80</formula>
    </cfRule>
  </conditionalFormatting>
  <conditionalFormatting sqref="E5:E17">
    <cfRule type="cellIs" dxfId="819" priority="127" operator="lessThan">
      <formula>35</formula>
    </cfRule>
  </conditionalFormatting>
  <conditionalFormatting sqref="BH26:BH27 BI11:BK62">
    <cfRule type="cellIs" dxfId="818" priority="125" operator="lessThan">
      <formula>40</formula>
    </cfRule>
    <cfRule type="cellIs" dxfId="817" priority="126" operator="greaterThan">
      <formula>80</formula>
    </cfRule>
  </conditionalFormatting>
  <conditionalFormatting sqref="N5:N25 N27:N66">
    <cfRule type="cellIs" dxfId="816" priority="124" operator="greaterThan">
      <formula>80</formula>
    </cfRule>
  </conditionalFormatting>
  <conditionalFormatting sqref="N5:N17">
    <cfRule type="cellIs" dxfId="815" priority="123" operator="lessThan">
      <formula>35</formula>
    </cfRule>
  </conditionalFormatting>
  <conditionalFormatting sqref="BN26:BN63">
    <cfRule type="cellIs" dxfId="814" priority="121" operator="lessThan">
      <formula>40</formula>
    </cfRule>
    <cfRule type="cellIs" dxfId="813" priority="122" operator="greaterThan">
      <formula>80</formula>
    </cfRule>
  </conditionalFormatting>
  <conditionalFormatting sqref="BO26:BQ62">
    <cfRule type="cellIs" dxfId="812" priority="119" operator="lessThan">
      <formula>40</formula>
    </cfRule>
    <cfRule type="cellIs" dxfId="811" priority="120" operator="greaterThan">
      <formula>80</formula>
    </cfRule>
  </conditionalFormatting>
  <conditionalFormatting sqref="Q26:Z51 Q62:Y62 Q63:Z63 X52:Z62 Q64:Y6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E62">
    <cfRule type="cellIs" dxfId="810" priority="71" operator="lessThan">
      <formula>40</formula>
    </cfRule>
    <cfRule type="cellIs" dxfId="809" priority="72" operator="greaterThan">
      <formula>80</formula>
    </cfRule>
  </conditionalFormatting>
  <conditionalFormatting sqref="R53:S53">
    <cfRule type="cellIs" dxfId="808" priority="69" operator="lessThan">
      <formula>40</formula>
    </cfRule>
    <cfRule type="cellIs" dxfId="807" priority="70" operator="greaterThan">
      <formula>80</formula>
    </cfRule>
  </conditionalFormatting>
  <conditionalFormatting sqref="R54:S54">
    <cfRule type="cellIs" dxfId="806" priority="67" operator="lessThan">
      <formula>40</formula>
    </cfRule>
    <cfRule type="cellIs" dxfId="805" priority="68" operator="greaterThan">
      <formula>80</formula>
    </cfRule>
  </conditionalFormatting>
  <conditionalFormatting sqref="R55:S55">
    <cfRule type="cellIs" dxfId="804" priority="65" operator="lessThan">
      <formula>40</formula>
    </cfRule>
    <cfRule type="cellIs" dxfId="803" priority="66" operator="greaterThan">
      <formula>80</formula>
    </cfRule>
  </conditionalFormatting>
  <conditionalFormatting sqref="R56:S56">
    <cfRule type="cellIs" dxfId="802" priority="63" operator="lessThan">
      <formula>40</formula>
    </cfRule>
    <cfRule type="cellIs" dxfId="801" priority="64" operator="greaterThan">
      <formula>80</formula>
    </cfRule>
  </conditionalFormatting>
  <conditionalFormatting sqref="R57:S57">
    <cfRule type="cellIs" dxfId="800" priority="61" operator="lessThan">
      <formula>40</formula>
    </cfRule>
    <cfRule type="cellIs" dxfId="799" priority="62" operator="greaterThan">
      <formula>80</formula>
    </cfRule>
  </conditionalFormatting>
  <conditionalFormatting sqref="R58:S61">
    <cfRule type="cellIs" dxfId="798" priority="59" operator="lessThan">
      <formula>40</formula>
    </cfRule>
    <cfRule type="cellIs" dxfId="797" priority="60" operator="greaterThan">
      <formula>80</formula>
    </cfRule>
  </conditionalFormatting>
  <conditionalFormatting sqref="Q52:S6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1:S61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2:W61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2:W6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2:X6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2:X6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2:Y61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2:Y6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2:V6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2:V6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2:U6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2:U6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2:T6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2:T66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 AU4">
    <cfRule type="cellIs" dxfId="796" priority="17" operator="lessThan">
      <formula>40</formula>
    </cfRule>
    <cfRule type="cellIs" dxfId="795" priority="18" operator="greaterThan">
      <formula>80</formula>
    </cfRule>
  </conditionalFormatting>
  <conditionalFormatting sqref="B4:AT4">
    <cfRule type="cellIs" dxfId="794" priority="15" operator="lessThan">
      <formula>40</formula>
    </cfRule>
    <cfRule type="cellIs" dxfId="793" priority="16" operator="greaterThan">
      <formula>80</formula>
    </cfRule>
  </conditionalFormatting>
  <conditionalFormatting sqref="AD63:AG63">
    <cfRule type="cellIs" dxfId="792" priority="13" operator="lessThan">
      <formula>40</formula>
    </cfRule>
    <cfRule type="cellIs" dxfId="791" priority="14" operator="greaterThan">
      <formula>80</formula>
    </cfRule>
  </conditionalFormatting>
  <conditionalFormatting sqref="BI63:BK63">
    <cfRule type="cellIs" dxfId="790" priority="11" operator="lessThan">
      <formula>40</formula>
    </cfRule>
    <cfRule type="cellIs" dxfId="789" priority="12" operator="greaterThan">
      <formula>80</formula>
    </cfRule>
  </conditionalFormatting>
  <conditionalFormatting sqref="BO63:BQ63">
    <cfRule type="cellIs" dxfId="788" priority="9" operator="lessThan">
      <formula>40</formula>
    </cfRule>
    <cfRule type="cellIs" dxfId="787" priority="10" operator="greaterThan">
      <formula>80</formula>
    </cfRule>
  </conditionalFormatting>
  <conditionalFormatting sqref="B63:E63">
    <cfRule type="cellIs" dxfId="786" priority="7" operator="lessThan">
      <formula>40</formula>
    </cfRule>
    <cfRule type="cellIs" dxfId="785" priority="8" operator="greaterThan">
      <formula>80</formula>
    </cfRule>
  </conditionalFormatting>
  <conditionalFormatting sqref="B64:E64">
    <cfRule type="cellIs" dxfId="784" priority="5" operator="lessThan">
      <formula>40</formula>
    </cfRule>
    <cfRule type="cellIs" dxfId="783" priority="6" operator="greaterThan">
      <formula>80</formula>
    </cfRule>
  </conditionalFormatting>
  <conditionalFormatting sqref="B65:E65">
    <cfRule type="cellIs" dxfId="782" priority="3" operator="lessThan">
      <formula>40</formula>
    </cfRule>
    <cfRule type="cellIs" dxfId="781" priority="4" operator="greaterThan">
      <formula>80</formula>
    </cfRule>
  </conditionalFormatting>
  <conditionalFormatting sqref="B66:E66">
    <cfRule type="cellIs" dxfId="780" priority="1" operator="lessThan">
      <formula>40</formula>
    </cfRule>
    <cfRule type="cellIs" dxfId="779" priority="2" operator="greaterThan">
      <formula>80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09648-CD97-44CC-8CDB-FCD354CC071C}">
  <sheetPr>
    <tabColor rgb="FF00B050"/>
  </sheetPr>
  <dimension ref="A1:FF80"/>
  <sheetViews>
    <sheetView workbookViewId="0">
      <pane ySplit="4" topLeftCell="A56" activePane="bottomLeft" state="frozen"/>
      <selection pane="bottomLeft" activeCell="A66" sqref="A66"/>
    </sheetView>
  </sheetViews>
  <sheetFormatPr defaultColWidth="5.28515625" defaultRowHeight="15" outlineLevelCol="1" x14ac:dyDescent="0.25"/>
  <cols>
    <col min="1" max="1" width="10.7109375" bestFit="1" customWidth="1"/>
    <col min="2" max="2" width="8.42578125" customWidth="1"/>
    <col min="3" max="3" width="10.7109375" bestFit="1" customWidth="1"/>
    <col min="4" max="6" width="8.42578125" customWidth="1"/>
    <col min="7" max="7" width="8.42578125" style="223" customWidth="1"/>
    <col min="8" max="10" width="8.42578125" customWidth="1"/>
    <col min="11" max="11" width="8.42578125" style="4" customWidth="1"/>
    <col min="12" max="19" width="8.42578125" customWidth="1"/>
    <col min="20" max="20" width="8.7109375" customWidth="1"/>
    <col min="21" max="26" width="12.42578125" customWidth="1"/>
    <col min="27" max="32" width="8.42578125" customWidth="1"/>
    <col min="35" max="38" width="8.42578125" customWidth="1" outlineLevel="1"/>
    <col min="41" max="44" width="8.42578125" customWidth="1" outlineLevel="1"/>
    <col min="47" max="50" width="8.42578125" customWidth="1" outlineLevel="1"/>
    <col min="53" max="56" width="8.42578125" customWidth="1" outlineLevel="1"/>
    <col min="59" max="62" width="8.42578125" customWidth="1" outlineLevel="1"/>
    <col min="65" max="65" width="5.5703125" customWidth="1" outlineLevel="1"/>
    <col min="66" max="68" width="7.85546875" customWidth="1" outlineLevel="1"/>
  </cols>
  <sheetData>
    <row r="1" spans="1:162" ht="15.75" thickBot="1" x14ac:dyDescent="0.3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FF1" s="9"/>
    </row>
    <row r="2" spans="1:162" x14ac:dyDescent="0.25">
      <c r="A2" s="1576" t="s">
        <v>22</v>
      </c>
      <c r="B2" s="47" t="s">
        <v>117</v>
      </c>
      <c r="C2" s="47" t="s">
        <v>118</v>
      </c>
      <c r="D2" s="48" t="s">
        <v>119</v>
      </c>
      <c r="E2" s="47" t="s">
        <v>120</v>
      </c>
      <c r="F2" s="47" t="s">
        <v>121</v>
      </c>
      <c r="G2" s="214" t="s">
        <v>117</v>
      </c>
      <c r="H2" s="47" t="s">
        <v>118</v>
      </c>
      <c r="I2" s="48" t="s">
        <v>119</v>
      </c>
      <c r="J2" s="47" t="s">
        <v>120</v>
      </c>
      <c r="K2" s="227" t="s">
        <v>121</v>
      </c>
      <c r="L2" s="214" t="s">
        <v>117</v>
      </c>
      <c r="M2" s="47" t="s">
        <v>118</v>
      </c>
      <c r="N2" s="48" t="s">
        <v>119</v>
      </c>
      <c r="O2" s="47" t="s">
        <v>120</v>
      </c>
      <c r="P2" s="227" t="s">
        <v>121</v>
      </c>
      <c r="Q2" s="1573" t="s">
        <v>122</v>
      </c>
      <c r="R2" s="1571"/>
      <c r="S2" s="1575"/>
      <c r="T2" s="1570" t="s">
        <v>123</v>
      </c>
      <c r="U2" s="1571"/>
      <c r="V2" s="1575"/>
      <c r="W2" s="1570" t="s">
        <v>62</v>
      </c>
      <c r="X2" s="1571"/>
      <c r="Y2" s="1571"/>
      <c r="Z2" s="234"/>
      <c r="AA2" s="1565" t="s">
        <v>112</v>
      </c>
      <c r="AB2" s="1566"/>
      <c r="AC2" s="1566"/>
      <c r="AD2" s="1566"/>
      <c r="AE2" s="1566"/>
      <c r="AF2" s="1566"/>
      <c r="AI2" s="47" t="s">
        <v>124</v>
      </c>
      <c r="AJ2" s="47" t="s">
        <v>124</v>
      </c>
      <c r="AK2" s="47" t="s">
        <v>124</v>
      </c>
      <c r="AL2" s="47" t="s">
        <v>124</v>
      </c>
      <c r="AO2" s="1570" t="s">
        <v>118</v>
      </c>
      <c r="AP2" s="1571"/>
      <c r="AQ2" s="1571"/>
      <c r="AR2" s="1571"/>
      <c r="AU2" s="1571" t="s">
        <v>119</v>
      </c>
      <c r="AV2" s="1571"/>
      <c r="AW2" s="1571"/>
      <c r="AX2" s="1571"/>
      <c r="BA2" s="1570" t="s">
        <v>120</v>
      </c>
      <c r="BB2" s="1571"/>
      <c r="BC2" s="1571"/>
      <c r="BD2" s="1571"/>
      <c r="BG2" s="1570" t="s">
        <v>121</v>
      </c>
      <c r="BH2" s="1571"/>
      <c r="BI2" s="1571"/>
      <c r="BJ2" s="1571"/>
      <c r="BM2" s="1570" t="s">
        <v>125</v>
      </c>
      <c r="BN2" s="1571"/>
      <c r="BO2" s="1571"/>
      <c r="BP2" s="1571"/>
      <c r="BS2" s="1570" t="s">
        <v>126</v>
      </c>
      <c r="BT2" s="1571"/>
      <c r="BU2" s="1571"/>
      <c r="BV2" s="1571"/>
      <c r="BW2" s="1564" t="s">
        <v>127</v>
      </c>
      <c r="BX2" s="1545"/>
      <c r="BY2" s="1545"/>
      <c r="BZ2" s="1545"/>
      <c r="CA2" s="1545"/>
      <c r="CB2" s="1562"/>
      <c r="CC2" s="1564" t="s">
        <v>128</v>
      </c>
      <c r="CD2" s="1545"/>
      <c r="CE2" s="1545"/>
      <c r="CF2" s="1545"/>
      <c r="CG2" s="1545"/>
      <c r="CH2" s="1545"/>
    </row>
    <row r="3" spans="1:162" s="18" customFormat="1" ht="36.75" customHeight="1" thickBot="1" x14ac:dyDescent="0.3">
      <c r="A3" s="1577"/>
      <c r="B3" s="181" t="s">
        <v>75</v>
      </c>
      <c r="C3" s="181" t="s">
        <v>75</v>
      </c>
      <c r="D3" s="183" t="s">
        <v>75</v>
      </c>
      <c r="E3" s="181" t="s">
        <v>75</v>
      </c>
      <c r="F3" s="181" t="s">
        <v>75</v>
      </c>
      <c r="G3" s="216" t="s">
        <v>24</v>
      </c>
      <c r="H3" s="183" t="s">
        <v>24</v>
      </c>
      <c r="I3" s="183" t="s">
        <v>24</v>
      </c>
      <c r="J3" s="183" t="s">
        <v>24</v>
      </c>
      <c r="K3" s="217" t="s">
        <v>24</v>
      </c>
      <c r="L3" s="183" t="s">
        <v>25</v>
      </c>
      <c r="M3" s="183" t="s">
        <v>25</v>
      </c>
      <c r="N3" s="183" t="s">
        <v>25</v>
      </c>
      <c r="O3" s="183" t="s">
        <v>25</v>
      </c>
      <c r="P3" s="183" t="s">
        <v>25</v>
      </c>
      <c r="Q3" s="183" t="s">
        <v>75</v>
      </c>
      <c r="R3" s="183" t="s">
        <v>24</v>
      </c>
      <c r="S3" s="183" t="s">
        <v>129</v>
      </c>
      <c r="T3" s="181" t="s">
        <v>75</v>
      </c>
      <c r="U3" s="183" t="s">
        <v>24</v>
      </c>
      <c r="V3" s="183" t="s">
        <v>130</v>
      </c>
      <c r="W3" s="181" t="s">
        <v>75</v>
      </c>
      <c r="X3" s="183" t="s">
        <v>24</v>
      </c>
      <c r="Y3" s="183" t="s">
        <v>25</v>
      </c>
      <c r="Z3" s="183"/>
      <c r="AA3" s="17" t="s">
        <v>75</v>
      </c>
      <c r="AB3" s="17" t="s">
        <v>24</v>
      </c>
      <c r="AC3" s="17" t="s">
        <v>78</v>
      </c>
      <c r="AD3" s="17" t="s">
        <v>79</v>
      </c>
      <c r="AE3" s="17" t="s">
        <v>80</v>
      </c>
      <c r="AF3" s="17" t="s">
        <v>81</v>
      </c>
      <c r="AI3" s="183" t="s">
        <v>78</v>
      </c>
      <c r="AJ3" s="183" t="s">
        <v>79</v>
      </c>
      <c r="AK3" s="183" t="s">
        <v>80</v>
      </c>
      <c r="AL3" s="182" t="s">
        <v>81</v>
      </c>
      <c r="AO3" s="183" t="s">
        <v>78</v>
      </c>
      <c r="AP3" s="183" t="s">
        <v>79</v>
      </c>
      <c r="AQ3" s="183" t="s">
        <v>80</v>
      </c>
      <c r="AR3" s="182" t="s">
        <v>81</v>
      </c>
      <c r="AU3" s="183" t="s">
        <v>78</v>
      </c>
      <c r="AV3" s="183" t="s">
        <v>79</v>
      </c>
      <c r="AW3" s="183" t="s">
        <v>80</v>
      </c>
      <c r="AX3" s="183" t="s">
        <v>81</v>
      </c>
      <c r="BA3" s="183" t="s">
        <v>78</v>
      </c>
      <c r="BB3" s="183" t="s">
        <v>79</v>
      </c>
      <c r="BC3" s="183" t="s">
        <v>80</v>
      </c>
      <c r="BD3" s="182" t="s">
        <v>81</v>
      </c>
      <c r="BG3" s="183" t="s">
        <v>78</v>
      </c>
      <c r="BH3" s="183" t="s">
        <v>79</v>
      </c>
      <c r="BI3" s="183" t="s">
        <v>80</v>
      </c>
      <c r="BJ3" s="182" t="s">
        <v>81</v>
      </c>
      <c r="BM3" s="183" t="s">
        <v>78</v>
      </c>
      <c r="BN3" s="183" t="s">
        <v>79</v>
      </c>
      <c r="BO3" s="183" t="s">
        <v>80</v>
      </c>
      <c r="BP3" s="182" t="s">
        <v>81</v>
      </c>
      <c r="BS3" s="183" t="s">
        <v>78</v>
      </c>
      <c r="BT3" s="183" t="s">
        <v>79</v>
      </c>
      <c r="BU3" s="183" t="s">
        <v>80</v>
      </c>
      <c r="BV3" s="182" t="s">
        <v>81</v>
      </c>
      <c r="BW3" s="181" t="s">
        <v>75</v>
      </c>
      <c r="BX3" s="183" t="s">
        <v>24</v>
      </c>
      <c r="BY3" s="183" t="s">
        <v>78</v>
      </c>
      <c r="BZ3" s="183" t="s">
        <v>79</v>
      </c>
      <c r="CA3" s="183" t="s">
        <v>80</v>
      </c>
      <c r="CB3" s="183" t="s">
        <v>81</v>
      </c>
      <c r="CC3" s="181" t="s">
        <v>75</v>
      </c>
      <c r="CD3" s="183" t="s">
        <v>24</v>
      </c>
      <c r="CE3" s="183" t="s">
        <v>78</v>
      </c>
      <c r="CF3" s="183" t="s">
        <v>79</v>
      </c>
      <c r="CG3" s="183" t="s">
        <v>80</v>
      </c>
      <c r="CH3" s="183" t="s">
        <v>81</v>
      </c>
    </row>
    <row r="4" spans="1:162" x14ac:dyDescent="0.25">
      <c r="A4" s="10">
        <v>45047</v>
      </c>
      <c r="B4" s="7">
        <f>VLOOKUP($A$4,$A$5:$AY$100,B1,FALSE)</f>
        <v>83</v>
      </c>
      <c r="C4" s="7">
        <f t="shared" ref="C4:AT4" si="0">VLOOKUP($A$4,$A$5:$AY$100,C1,FALSE)</f>
        <v>61</v>
      </c>
      <c r="D4" s="7">
        <f t="shared" si="0"/>
        <v>35</v>
      </c>
      <c r="E4" s="7">
        <f t="shared" si="0"/>
        <v>26</v>
      </c>
      <c r="F4" s="7">
        <f t="shared" si="0"/>
        <v>72</v>
      </c>
      <c r="G4" s="7">
        <f t="shared" si="0"/>
        <v>105</v>
      </c>
      <c r="H4" s="7">
        <f t="shared" si="0"/>
        <v>59</v>
      </c>
      <c r="I4" s="7">
        <f t="shared" si="0"/>
        <v>37</v>
      </c>
      <c r="J4" s="7">
        <f t="shared" si="0"/>
        <v>26</v>
      </c>
      <c r="K4" s="7">
        <f t="shared" si="0"/>
        <v>67</v>
      </c>
      <c r="L4" s="7">
        <f t="shared" si="0"/>
        <v>98</v>
      </c>
      <c r="M4" s="7">
        <f t="shared" si="0"/>
        <v>50</v>
      </c>
      <c r="N4" s="7">
        <f t="shared" si="0"/>
        <v>35</v>
      </c>
      <c r="O4" s="7">
        <f t="shared" si="0"/>
        <v>25</v>
      </c>
      <c r="P4" s="7">
        <f t="shared" si="0"/>
        <v>58</v>
      </c>
      <c r="Q4" s="7">
        <f t="shared" si="0"/>
        <v>91</v>
      </c>
      <c r="R4" s="7">
        <f t="shared" si="0"/>
        <v>97</v>
      </c>
      <c r="S4" s="7">
        <f t="shared" si="0"/>
        <v>90</v>
      </c>
      <c r="T4" s="7">
        <f t="shared" si="0"/>
        <v>247</v>
      </c>
      <c r="U4" s="7">
        <f t="shared" si="0"/>
        <v>251</v>
      </c>
      <c r="V4" s="7">
        <f t="shared" si="0"/>
        <v>244</v>
      </c>
      <c r="W4" s="7">
        <f t="shared" si="0"/>
        <v>7.0516078431372557</v>
      </c>
      <c r="X4" s="7">
        <f t="shared" si="0"/>
        <v>7.6382745098039218</v>
      </c>
      <c r="Y4" s="7">
        <f t="shared" si="0"/>
        <v>6.8894117647058826</v>
      </c>
      <c r="Z4" s="7">
        <f t="shared" si="0"/>
        <v>0</v>
      </c>
      <c r="AA4" s="7">
        <f t="shared" si="0"/>
        <v>0</v>
      </c>
      <c r="AB4" s="7">
        <f t="shared" si="0"/>
        <v>0</v>
      </c>
      <c r="AC4" s="7">
        <f t="shared" si="0"/>
        <v>0</v>
      </c>
      <c r="AD4" s="7">
        <f t="shared" si="0"/>
        <v>0</v>
      </c>
      <c r="AE4" s="7">
        <f t="shared" si="0"/>
        <v>0</v>
      </c>
      <c r="AF4" s="7">
        <f t="shared" si="0"/>
        <v>0</v>
      </c>
      <c r="AG4" s="7">
        <f t="shared" si="0"/>
        <v>0</v>
      </c>
      <c r="AH4" s="7">
        <f t="shared" si="0"/>
        <v>0</v>
      </c>
      <c r="AI4" s="7">
        <f t="shared" si="0"/>
        <v>0</v>
      </c>
      <c r="AJ4" s="7">
        <f t="shared" si="0"/>
        <v>0</v>
      </c>
      <c r="AK4" s="7">
        <f t="shared" si="0"/>
        <v>0</v>
      </c>
      <c r="AL4" s="7">
        <f t="shared" si="0"/>
        <v>0</v>
      </c>
      <c r="AM4" s="7">
        <f t="shared" si="0"/>
        <v>0</v>
      </c>
      <c r="AN4" s="7">
        <f t="shared" si="0"/>
        <v>0</v>
      </c>
      <c r="AO4" s="7">
        <f t="shared" si="0"/>
        <v>0</v>
      </c>
      <c r="AP4" s="7">
        <f t="shared" si="0"/>
        <v>0</v>
      </c>
      <c r="AQ4" s="7">
        <f t="shared" si="0"/>
        <v>0</v>
      </c>
      <c r="AR4" s="7">
        <f t="shared" si="0"/>
        <v>0</v>
      </c>
      <c r="AS4" s="7">
        <f t="shared" si="0"/>
        <v>0</v>
      </c>
      <c r="AT4" s="7">
        <f t="shared" si="0"/>
        <v>0</v>
      </c>
      <c r="AU4" s="7"/>
      <c r="BA4" s="7"/>
    </row>
    <row r="5" spans="1:162" ht="15.75" x14ac:dyDescent="0.25">
      <c r="A5" s="1">
        <v>43367</v>
      </c>
      <c r="B5" s="14"/>
      <c r="C5" s="14"/>
      <c r="D5" s="7"/>
      <c r="E5" s="14"/>
      <c r="F5" s="14"/>
      <c r="G5" s="229"/>
      <c r="H5" s="7"/>
      <c r="I5" s="7"/>
      <c r="J5" s="7"/>
      <c r="K5" s="230"/>
      <c r="L5" s="7"/>
      <c r="M5" s="7"/>
      <c r="N5" s="7"/>
      <c r="O5" s="7"/>
      <c r="P5" s="7"/>
      <c r="Q5" s="7"/>
      <c r="R5" s="7"/>
      <c r="S5" s="7"/>
      <c r="AA5" s="2">
        <f t="shared" ref="AA5:AA10" si="1">AVERAGE(B5,D5,E5,F5,)</f>
        <v>0</v>
      </c>
      <c r="AB5" s="2"/>
      <c r="AC5" s="2"/>
      <c r="AD5" s="7">
        <f>((AVERAGE(AA5,AC5)*('Summary Page'!$C$2+1))*('Summary Page'!$C$2+1))*('Summary Page'!$C$2+1)</f>
        <v>0</v>
      </c>
      <c r="AE5" s="7">
        <f>((AVERAGE(AA5,AC5)*('Summary Page'!$C$3+1))*('Summary Page'!$C$3+1))*('Summary Page'!$C$3+1)</f>
        <v>0</v>
      </c>
      <c r="AF5" s="7">
        <f>((AVERAGE(AA5,AC5)*('Summary Page'!$C$4+1))*('Summary Page'!$C$4+1))*('Summary Page'!$C$4+1)</f>
        <v>0</v>
      </c>
      <c r="AI5" s="7"/>
      <c r="AJ5" s="7" t="e">
        <f>((AVERAGE(B5,AI5)*('Summary Page'!$C$2+1))*('Summary Page'!$C$2+1))*('Summary Page'!$C$2+1)</f>
        <v>#DIV/0!</v>
      </c>
      <c r="AK5" s="7" t="e">
        <f>((AVERAGE(B5,AI5)*('Summary Page'!$C$3+1))*('Summary Page'!$C$3+1))*('Summary Page'!$C$3+1)</f>
        <v>#DIV/0!</v>
      </c>
      <c r="AL5" s="8" t="e">
        <f>((AVERAGE(B5,AI5)*('Summary Page'!$C$4+1))*('Summary Page'!$C$4+1))*('Summary Page'!$C$4+1)</f>
        <v>#DIV/0!</v>
      </c>
      <c r="AO5" s="7"/>
      <c r="AP5" s="7" t="e">
        <f>((AVERAGE(C5,AO5)*('Summary Page'!$C$2+1))*('Summary Page'!$C$2+1))*('Summary Page'!$C$2+1)</f>
        <v>#DIV/0!</v>
      </c>
      <c r="AQ5" s="7" t="e">
        <f>((AVERAGE(C5,AO5)*('Summary Page'!$C$3+1))*('Summary Page'!$C$3+1))*('Summary Page'!$C$3+1)</f>
        <v>#DIV/0!</v>
      </c>
      <c r="AR5" s="8" t="e">
        <f>((AVERAGE(C5,AO5)*('Summary Page'!$C$4+1))*('Summary Page'!$C$4+1))*('Summary Page'!$C$4+1)</f>
        <v>#DIV/0!</v>
      </c>
      <c r="AU5" s="7"/>
      <c r="AV5" s="7" t="e">
        <f>((AVERAGE(D5,AU5)*('Summary Page'!$C$2+1))*('Summary Page'!$C$2+1))*('Summary Page'!$C$2+1)</f>
        <v>#DIV/0!</v>
      </c>
      <c r="AW5" s="7" t="e">
        <f>((AVERAGE(D5,AU5)*('Summary Page'!$C$3+1))*('Summary Page'!$C$3+1))*('Summary Page'!$C$3+1)</f>
        <v>#DIV/0!</v>
      </c>
      <c r="AX5" s="7" t="e">
        <f>((AVERAGE(D5,AU5)*('Summary Page'!$C$4+1))*('Summary Page'!$C$4+1))*('Summary Page'!$C$4+1)</f>
        <v>#DIV/0!</v>
      </c>
      <c r="BA5" s="7"/>
      <c r="BB5" s="7" t="e">
        <f>((AVERAGE(E5,BA5)*('Summary Page'!$C$2+1))*('Summary Page'!$C$2+1))*('Summary Page'!$C$2+1)</f>
        <v>#DIV/0!</v>
      </c>
      <c r="BC5" s="7" t="e">
        <f>((AVERAGE(E5,BA5)*('Summary Page'!$C$3+1))*('Summary Page'!$C$3+1))*('Summary Page'!$C$3+1)</f>
        <v>#DIV/0!</v>
      </c>
      <c r="BD5" s="8" t="e">
        <f>((AVERAGE(E5,BA5)*('Summary Page'!$C$4+1))*('Summary Page'!$C$4+1))*('Summary Page'!$C$4+1)</f>
        <v>#DIV/0!</v>
      </c>
      <c r="BG5" s="7"/>
      <c r="BH5" s="7" t="e">
        <f>((AVERAGE(F5,BG5)*('Summary Page'!$C$2+1))*('Summary Page'!$C$2+1))*('Summary Page'!$C$2+1)</f>
        <v>#DIV/0!</v>
      </c>
      <c r="BI5" s="7" t="e">
        <f>((AVERAGE(F5,BG5)*('Summary Page'!$C$3+1))*('Summary Page'!$C$3+1))*('Summary Page'!$C$3+1)</f>
        <v>#DIV/0!</v>
      </c>
      <c r="BJ5" s="8" t="e">
        <f>((AVERAGE(F5,BG5)*('Summary Page'!$C$4+1))*('Summary Page'!$C$4+1))*('Summary Page'!$C$4+1)</f>
        <v>#DIV/0!</v>
      </c>
      <c r="BM5" s="7"/>
      <c r="BN5" s="7" t="e">
        <f>((AVERAGE(Q5,BM5)*('Summary Page'!$C$2+1))*('Summary Page'!$C$2+1))*('Summary Page'!$C$2+1)</f>
        <v>#DIV/0!</v>
      </c>
      <c r="BO5" s="7" t="e">
        <f>((AVERAGE(Q5,BM5)*('Summary Page'!$C$3+1))*('Summary Page'!$C$3+1))*('Summary Page'!$C$3+1)</f>
        <v>#DIV/0!</v>
      </c>
      <c r="BP5" s="8" t="e">
        <f>((AVERAGE(Q5,BM5)*('Summary Page'!$C$4+1))*('Summary Page'!$C$4+1))*('Summary Page'!$C$4+1)</f>
        <v>#DIV/0!</v>
      </c>
      <c r="BS5" s="7"/>
      <c r="BT5" s="7" t="e">
        <f>((AVERAGE(T5,BS5)*('Summary Page'!$C$2+1))*('Summary Page'!$C$2+1))*('Summary Page'!$C$2+1)</f>
        <v>#DIV/0!</v>
      </c>
      <c r="BU5" s="7" t="e">
        <f>((AVERAGE(T5,BS5)*('Summary Page'!$C$3+1))*('Summary Page'!$C$3+1))*('Summary Page'!$C$3+1)</f>
        <v>#DIV/0!</v>
      </c>
      <c r="BV5" s="8" t="e">
        <f>((AVERAGE(T5,BS5)*('Summary Page'!$C$4+1))*('Summary Page'!$C$4+1))*('Summary Page'!$C$4+1)</f>
        <v>#DIV/0!</v>
      </c>
      <c r="BW5" s="9"/>
    </row>
    <row r="6" spans="1:162" ht="15.75" x14ac:dyDescent="0.25">
      <c r="A6" s="1">
        <v>43381</v>
      </c>
      <c r="B6" s="14"/>
      <c r="C6" s="14"/>
      <c r="D6" s="7"/>
      <c r="E6" s="14"/>
      <c r="F6" s="14"/>
      <c r="G6" s="229"/>
      <c r="H6" s="7"/>
      <c r="I6" s="7"/>
      <c r="J6" s="7"/>
      <c r="K6" s="230"/>
      <c r="L6" s="7"/>
      <c r="M6" s="7"/>
      <c r="N6" s="7"/>
      <c r="O6" s="7"/>
      <c r="P6" s="7"/>
      <c r="Q6" s="7"/>
      <c r="R6" s="7"/>
      <c r="S6" s="7"/>
      <c r="AA6" s="2">
        <f t="shared" si="1"/>
        <v>0</v>
      </c>
      <c r="AB6" s="2"/>
      <c r="AC6" s="2"/>
      <c r="AD6" s="7">
        <f>((AVERAGE(AA6,AC6)*('Summary Page'!$C$2+1))*('Summary Page'!$C$2+1))*('Summary Page'!$C$2+1)</f>
        <v>0</v>
      </c>
      <c r="AE6" s="7">
        <f>((AVERAGE(AA6,AC6)*('Summary Page'!$C$3+1))*('Summary Page'!$C$3+1))*('Summary Page'!$C$3+1)</f>
        <v>0</v>
      </c>
      <c r="AF6" s="7">
        <f>((AVERAGE(AA6,AC6)*('Summary Page'!$C$4+1))*('Summary Page'!$C$4+1))*('Summary Page'!$C$4+1)</f>
        <v>0</v>
      </c>
      <c r="AI6" s="7"/>
      <c r="AJ6" s="7" t="e">
        <f>((AVERAGE(B6,AI6)*('Summary Page'!$C$2+1))*('Summary Page'!$C$2+1))*('Summary Page'!$C$2+1)</f>
        <v>#DIV/0!</v>
      </c>
      <c r="AK6" s="7" t="e">
        <f>((AVERAGE(B6,AI6)*('Summary Page'!$C$3+1))*('Summary Page'!$C$3+1))*('Summary Page'!$C$3+1)</f>
        <v>#DIV/0!</v>
      </c>
      <c r="AL6" s="8" t="e">
        <f>((AVERAGE(B6,AI6)*('Summary Page'!$C$4+1))*('Summary Page'!$C$4+1))*('Summary Page'!$C$4+1)</f>
        <v>#DIV/0!</v>
      </c>
      <c r="AO6" s="7"/>
      <c r="AP6" s="7" t="e">
        <f>((AVERAGE(C6,AO6)*('Summary Page'!$C$2+1))*('Summary Page'!$C$2+1))*('Summary Page'!$C$2+1)</f>
        <v>#DIV/0!</v>
      </c>
      <c r="AQ6" s="7" t="e">
        <f>((AVERAGE(C6,AO6)*('Summary Page'!$C$3+1))*('Summary Page'!$C$3+1))*('Summary Page'!$C$3+1)</f>
        <v>#DIV/0!</v>
      </c>
      <c r="AR6" s="8" t="e">
        <f>((AVERAGE(C6,AO6)*('Summary Page'!$C$4+1))*('Summary Page'!$C$4+1))*('Summary Page'!$C$4+1)</f>
        <v>#DIV/0!</v>
      </c>
      <c r="AU6" s="7"/>
      <c r="AV6" s="7" t="e">
        <f>((AVERAGE(D6,AU6)*('Summary Page'!$C$2+1))*('Summary Page'!$C$2+1))*('Summary Page'!$C$2+1)</f>
        <v>#DIV/0!</v>
      </c>
      <c r="AW6" s="7" t="e">
        <f>((AVERAGE(D6,AU6)*('Summary Page'!$C$3+1))*('Summary Page'!$C$3+1))*('Summary Page'!$C$3+1)</f>
        <v>#DIV/0!</v>
      </c>
      <c r="AX6" s="7" t="e">
        <f>((AVERAGE(D6,AU6)*('Summary Page'!$C$4+1))*('Summary Page'!$C$4+1))*('Summary Page'!$C$4+1)</f>
        <v>#DIV/0!</v>
      </c>
      <c r="BA6" s="7"/>
      <c r="BB6" s="7" t="e">
        <f>((AVERAGE(E6,BA6)*('Summary Page'!$C$2+1))*('Summary Page'!$C$2+1))*('Summary Page'!$C$2+1)</f>
        <v>#DIV/0!</v>
      </c>
      <c r="BC6" s="7" t="e">
        <f>((AVERAGE(E6,BA6)*('Summary Page'!$C$3+1))*('Summary Page'!$C$3+1))*('Summary Page'!$C$3+1)</f>
        <v>#DIV/0!</v>
      </c>
      <c r="BD6" s="8" t="e">
        <f>((AVERAGE(E6,BA6)*('Summary Page'!$C$4+1))*('Summary Page'!$C$4+1))*('Summary Page'!$C$4+1)</f>
        <v>#DIV/0!</v>
      </c>
      <c r="BG6" s="7"/>
      <c r="BH6" s="7" t="e">
        <f>((AVERAGE(F6,BG6)*('Summary Page'!$C$2+1))*('Summary Page'!$C$2+1))*('Summary Page'!$C$2+1)</f>
        <v>#DIV/0!</v>
      </c>
      <c r="BI6" s="7" t="e">
        <f>((AVERAGE(F6,BG6)*('Summary Page'!$C$3+1))*('Summary Page'!$C$3+1))*('Summary Page'!$C$3+1)</f>
        <v>#DIV/0!</v>
      </c>
      <c r="BJ6" s="8" t="e">
        <f>((AVERAGE(F6,BG6)*('Summary Page'!$C$4+1))*('Summary Page'!$C$4+1))*('Summary Page'!$C$4+1)</f>
        <v>#DIV/0!</v>
      </c>
      <c r="BM6" s="7"/>
      <c r="BN6" s="7" t="e">
        <f>((AVERAGE(Q6,BM6)*('Summary Page'!$C$2+1))*('Summary Page'!$C$2+1))*('Summary Page'!$C$2+1)</f>
        <v>#DIV/0!</v>
      </c>
      <c r="BO6" s="7" t="e">
        <f>((AVERAGE(Q6,BM6)*('Summary Page'!$C$3+1))*('Summary Page'!$C$3+1))*('Summary Page'!$C$3+1)</f>
        <v>#DIV/0!</v>
      </c>
      <c r="BP6" s="8" t="e">
        <f>((AVERAGE(Q6,BM6)*('Summary Page'!$C$4+1))*('Summary Page'!$C$4+1))*('Summary Page'!$C$4+1)</f>
        <v>#DIV/0!</v>
      </c>
      <c r="BS6" s="7"/>
      <c r="BT6" s="7" t="e">
        <f>((AVERAGE(T6,BS6)*('Summary Page'!$C$2+1))*('Summary Page'!$C$2+1))*('Summary Page'!$C$2+1)</f>
        <v>#DIV/0!</v>
      </c>
      <c r="BU6" s="7" t="e">
        <f>((AVERAGE(T6,BS6)*('Summary Page'!$C$3+1))*('Summary Page'!$C$3+1))*('Summary Page'!$C$3+1)</f>
        <v>#DIV/0!</v>
      </c>
      <c r="BV6" s="8" t="e">
        <f>((AVERAGE(T6,BS6)*('Summary Page'!$C$4+1))*('Summary Page'!$C$4+1))*('Summary Page'!$C$4+1)</f>
        <v>#DIV/0!</v>
      </c>
      <c r="BW6" s="9"/>
    </row>
    <row r="7" spans="1:162" ht="15.75" x14ac:dyDescent="0.25">
      <c r="A7" s="1">
        <v>43402</v>
      </c>
      <c r="B7" s="14"/>
      <c r="C7" s="14"/>
      <c r="D7" s="7"/>
      <c r="E7" s="14"/>
      <c r="F7" s="14"/>
      <c r="G7" s="231"/>
      <c r="H7" s="15"/>
      <c r="I7" s="15"/>
      <c r="J7" s="15"/>
      <c r="K7" s="232"/>
      <c r="L7" s="15"/>
      <c r="M7" s="15"/>
      <c r="N7" s="15"/>
      <c r="O7" s="15"/>
      <c r="P7" s="15"/>
      <c r="Q7" s="7"/>
      <c r="R7" s="15"/>
      <c r="S7" s="15"/>
      <c r="AA7" s="2">
        <f t="shared" si="1"/>
        <v>0</v>
      </c>
      <c r="AB7" s="2"/>
      <c r="AC7" s="2"/>
      <c r="AD7" s="7">
        <f>((AVERAGE(AA7,AC7)*('Summary Page'!$C$2+1))*('Summary Page'!$C$2+1))*('Summary Page'!$C$2+1)</f>
        <v>0</v>
      </c>
      <c r="AE7" s="7">
        <f>((AVERAGE(AA7,AC7)*('Summary Page'!$C$3+1))*('Summary Page'!$C$3+1))*('Summary Page'!$C$3+1)</f>
        <v>0</v>
      </c>
      <c r="AF7" s="7">
        <f>((AVERAGE(AA7,AC7)*('Summary Page'!$C$4+1))*('Summary Page'!$C$4+1))*('Summary Page'!$C$4+1)</f>
        <v>0</v>
      </c>
      <c r="AI7" s="15"/>
      <c r="AJ7" s="7" t="e">
        <f>((AVERAGE(B7,AI7)*('Summary Page'!$C$2+1))*('Summary Page'!$C$2+1))*('Summary Page'!$C$2+1)</f>
        <v>#DIV/0!</v>
      </c>
      <c r="AK7" s="7" t="e">
        <f>((AVERAGE(B7,AI7)*('Summary Page'!$C$3+1))*('Summary Page'!$C$3+1))*('Summary Page'!$C$3+1)</f>
        <v>#DIV/0!</v>
      </c>
      <c r="AL7" s="8" t="e">
        <f>((AVERAGE(B7,AI7)*('Summary Page'!$C$4+1))*('Summary Page'!$C$4+1))*('Summary Page'!$C$4+1)</f>
        <v>#DIV/0!</v>
      </c>
      <c r="AO7" s="15"/>
      <c r="AP7" s="7" t="e">
        <f>((AVERAGE(C7,AO7)*('Summary Page'!$C$2+1))*('Summary Page'!$C$2+1))*('Summary Page'!$C$2+1)</f>
        <v>#DIV/0!</v>
      </c>
      <c r="AQ7" s="7" t="e">
        <f>((AVERAGE(C7,AO7)*('Summary Page'!$C$3+1))*('Summary Page'!$C$3+1))*('Summary Page'!$C$3+1)</f>
        <v>#DIV/0!</v>
      </c>
      <c r="AR7" s="8" t="e">
        <f>((AVERAGE(C7,AO7)*('Summary Page'!$C$4+1))*('Summary Page'!$C$4+1))*('Summary Page'!$C$4+1)</f>
        <v>#DIV/0!</v>
      </c>
      <c r="AU7" s="15"/>
      <c r="AV7" s="7" t="e">
        <f>((AVERAGE(D7,AU7)*('Summary Page'!$C$2+1))*('Summary Page'!$C$2+1))*('Summary Page'!$C$2+1)</f>
        <v>#DIV/0!</v>
      </c>
      <c r="AW7" s="7" t="e">
        <f>((AVERAGE(D7,AU7)*('Summary Page'!$C$3+1))*('Summary Page'!$C$3+1))*('Summary Page'!$C$3+1)</f>
        <v>#DIV/0!</v>
      </c>
      <c r="AX7" s="7" t="e">
        <f>((AVERAGE(D7,AU7)*('Summary Page'!$C$4+1))*('Summary Page'!$C$4+1))*('Summary Page'!$C$4+1)</f>
        <v>#DIV/0!</v>
      </c>
      <c r="BA7" s="15"/>
      <c r="BB7" s="7" t="e">
        <f>((AVERAGE(E7,BA7)*('Summary Page'!$C$2+1))*('Summary Page'!$C$2+1))*('Summary Page'!$C$2+1)</f>
        <v>#DIV/0!</v>
      </c>
      <c r="BC7" s="7" t="e">
        <f>((AVERAGE(E7,BA7)*('Summary Page'!$C$3+1))*('Summary Page'!$C$3+1))*('Summary Page'!$C$3+1)</f>
        <v>#DIV/0!</v>
      </c>
      <c r="BD7" s="8" t="e">
        <f>((AVERAGE(E7,BA7)*('Summary Page'!$C$4+1))*('Summary Page'!$C$4+1))*('Summary Page'!$C$4+1)</f>
        <v>#DIV/0!</v>
      </c>
      <c r="BG7" s="15"/>
      <c r="BH7" s="7" t="e">
        <f>((AVERAGE(F7,BG7)*('Summary Page'!$C$2+1))*('Summary Page'!$C$2+1))*('Summary Page'!$C$2+1)</f>
        <v>#DIV/0!</v>
      </c>
      <c r="BI7" s="7" t="e">
        <f>((AVERAGE(F7,BG7)*('Summary Page'!$C$3+1))*('Summary Page'!$C$3+1))*('Summary Page'!$C$3+1)</f>
        <v>#DIV/0!</v>
      </c>
      <c r="BJ7" s="8" t="e">
        <f>((AVERAGE(F7,BG7)*('Summary Page'!$C$4+1))*('Summary Page'!$C$4+1))*('Summary Page'!$C$4+1)</f>
        <v>#DIV/0!</v>
      </c>
      <c r="BM7" s="15"/>
      <c r="BN7" s="7" t="e">
        <f>((AVERAGE(Q7,BM7)*('Summary Page'!$C$2+1))*('Summary Page'!$C$2+1))*('Summary Page'!$C$2+1)</f>
        <v>#DIV/0!</v>
      </c>
      <c r="BO7" s="7" t="e">
        <f>((AVERAGE(Q7,BM7)*('Summary Page'!$C$3+1))*('Summary Page'!$C$3+1))*('Summary Page'!$C$3+1)</f>
        <v>#DIV/0!</v>
      </c>
      <c r="BP7" s="8" t="e">
        <f>((AVERAGE(Q7,BM7)*('Summary Page'!$C$4+1))*('Summary Page'!$C$4+1))*('Summary Page'!$C$4+1)</f>
        <v>#DIV/0!</v>
      </c>
      <c r="BS7" s="15"/>
      <c r="BT7" s="7" t="e">
        <f>((AVERAGE(T7,BS7)*('Summary Page'!$C$2+1))*('Summary Page'!$C$2+1))*('Summary Page'!$C$2+1)</f>
        <v>#DIV/0!</v>
      </c>
      <c r="BU7" s="7" t="e">
        <f>((AVERAGE(T7,BS7)*('Summary Page'!$C$3+1))*('Summary Page'!$C$3+1))*('Summary Page'!$C$3+1)</f>
        <v>#DIV/0!</v>
      </c>
      <c r="BV7" s="8" t="e">
        <f>((AVERAGE(T7,BS7)*('Summary Page'!$C$4+1))*('Summary Page'!$C$4+1))*('Summary Page'!$C$4+1)</f>
        <v>#DIV/0!</v>
      </c>
      <c r="BW7" s="9"/>
    </row>
    <row r="8" spans="1:162" ht="15.75" x14ac:dyDescent="0.25">
      <c r="A8" s="1">
        <v>43409</v>
      </c>
      <c r="B8" s="14"/>
      <c r="C8" s="14"/>
      <c r="D8" s="7"/>
      <c r="E8" s="14"/>
      <c r="F8" s="14"/>
      <c r="G8" s="229"/>
      <c r="H8" s="7"/>
      <c r="I8" s="7"/>
      <c r="J8" s="7"/>
      <c r="K8" s="230"/>
      <c r="L8" s="7"/>
      <c r="M8" s="7"/>
      <c r="N8" s="7"/>
      <c r="O8" s="7"/>
      <c r="P8" s="7"/>
      <c r="Q8" s="7"/>
      <c r="R8" s="7"/>
      <c r="S8" s="7"/>
      <c r="AA8" s="2">
        <f t="shared" si="1"/>
        <v>0</v>
      </c>
      <c r="AB8" s="2"/>
      <c r="AC8" s="2"/>
      <c r="AD8" s="7">
        <f>((AVERAGE(AA8,AC8)*('Summary Page'!$C$2+1))*('Summary Page'!$C$2+1))*('Summary Page'!$C$2+1)</f>
        <v>0</v>
      </c>
      <c r="AE8" s="7">
        <f>((AVERAGE(AA8,AC8)*('Summary Page'!$C$3+1))*('Summary Page'!$C$3+1))*('Summary Page'!$C$3+1)</f>
        <v>0</v>
      </c>
      <c r="AF8" s="7">
        <f>((AVERAGE(AA8,AC8)*('Summary Page'!$C$4+1))*('Summary Page'!$C$4+1))*('Summary Page'!$C$4+1)</f>
        <v>0</v>
      </c>
      <c r="AI8" s="7"/>
      <c r="AJ8" s="7" t="e">
        <f>((AVERAGE(B8,AI8)*('Summary Page'!$C$2+1))*('Summary Page'!$C$2+1))*('Summary Page'!$C$2+1)</f>
        <v>#DIV/0!</v>
      </c>
      <c r="AK8" s="7" t="e">
        <f>((AVERAGE(B8,AI8)*('Summary Page'!$C$3+1))*('Summary Page'!$C$3+1))*('Summary Page'!$C$3+1)</f>
        <v>#DIV/0!</v>
      </c>
      <c r="AL8" s="8" t="e">
        <f>((AVERAGE(B8,AI8)*('Summary Page'!$C$4+1))*('Summary Page'!$C$4+1))*('Summary Page'!$C$4+1)</f>
        <v>#DIV/0!</v>
      </c>
      <c r="AO8" s="7"/>
      <c r="AP8" s="7" t="e">
        <f>((AVERAGE(C8,AO8)*('Summary Page'!$C$2+1))*('Summary Page'!$C$2+1))*('Summary Page'!$C$2+1)</f>
        <v>#DIV/0!</v>
      </c>
      <c r="AQ8" s="7" t="e">
        <f>((AVERAGE(C8,AO8)*('Summary Page'!$C$3+1))*('Summary Page'!$C$3+1))*('Summary Page'!$C$3+1)</f>
        <v>#DIV/0!</v>
      </c>
      <c r="AR8" s="8" t="e">
        <f>((AVERAGE(C8,AO8)*('Summary Page'!$C$4+1))*('Summary Page'!$C$4+1))*('Summary Page'!$C$4+1)</f>
        <v>#DIV/0!</v>
      </c>
      <c r="AU8" s="7"/>
      <c r="AV8" s="7" t="e">
        <f>((AVERAGE(D8,AU8)*('Summary Page'!$C$2+1))*('Summary Page'!$C$2+1))*('Summary Page'!$C$2+1)</f>
        <v>#DIV/0!</v>
      </c>
      <c r="AW8" s="7" t="e">
        <f>((AVERAGE(D8,AU8)*('Summary Page'!$C$3+1))*('Summary Page'!$C$3+1))*('Summary Page'!$C$3+1)</f>
        <v>#DIV/0!</v>
      </c>
      <c r="AX8" s="7" t="e">
        <f>((AVERAGE(D8,AU8)*('Summary Page'!$C$4+1))*('Summary Page'!$C$4+1))*('Summary Page'!$C$4+1)</f>
        <v>#DIV/0!</v>
      </c>
      <c r="BA8" s="7"/>
      <c r="BB8" s="7" t="e">
        <f>((AVERAGE(E8,BA8)*('Summary Page'!$C$2+1))*('Summary Page'!$C$2+1))*('Summary Page'!$C$2+1)</f>
        <v>#DIV/0!</v>
      </c>
      <c r="BC8" s="7" t="e">
        <f>((AVERAGE(E8,BA8)*('Summary Page'!$C$3+1))*('Summary Page'!$C$3+1))*('Summary Page'!$C$3+1)</f>
        <v>#DIV/0!</v>
      </c>
      <c r="BD8" s="8" t="e">
        <f>((AVERAGE(E8,BA8)*('Summary Page'!$C$4+1))*('Summary Page'!$C$4+1))*('Summary Page'!$C$4+1)</f>
        <v>#DIV/0!</v>
      </c>
      <c r="BG8" s="7"/>
      <c r="BH8" s="7" t="e">
        <f>((AVERAGE(F8,BG8)*('Summary Page'!$C$2+1))*('Summary Page'!$C$2+1))*('Summary Page'!$C$2+1)</f>
        <v>#DIV/0!</v>
      </c>
      <c r="BI8" s="7" t="e">
        <f>((AVERAGE(F8,BG8)*('Summary Page'!$C$3+1))*('Summary Page'!$C$3+1))*('Summary Page'!$C$3+1)</f>
        <v>#DIV/0!</v>
      </c>
      <c r="BJ8" s="8" t="e">
        <f>((AVERAGE(F8,BG8)*('Summary Page'!$C$4+1))*('Summary Page'!$C$4+1))*('Summary Page'!$C$4+1)</f>
        <v>#DIV/0!</v>
      </c>
      <c r="BM8" s="7"/>
      <c r="BN8" s="7" t="e">
        <f>((AVERAGE(Q8,BM8)*('Summary Page'!$C$2+1))*('Summary Page'!$C$2+1))*('Summary Page'!$C$2+1)</f>
        <v>#DIV/0!</v>
      </c>
      <c r="BO8" s="7" t="e">
        <f>((AVERAGE(Q8,BM8)*('Summary Page'!$C$3+1))*('Summary Page'!$C$3+1))*('Summary Page'!$C$3+1)</f>
        <v>#DIV/0!</v>
      </c>
      <c r="BP8" s="8" t="e">
        <f>((AVERAGE(Q8,BM8)*('Summary Page'!$C$4+1))*('Summary Page'!$C$4+1))*('Summary Page'!$C$4+1)</f>
        <v>#DIV/0!</v>
      </c>
      <c r="BS8" s="7"/>
      <c r="BT8" s="7" t="e">
        <f>((AVERAGE(T8,BS8)*('Summary Page'!$C$2+1))*('Summary Page'!$C$2+1))*('Summary Page'!$C$2+1)</f>
        <v>#DIV/0!</v>
      </c>
      <c r="BU8" s="7" t="e">
        <f>((AVERAGE(T8,BS8)*('Summary Page'!$C$3+1))*('Summary Page'!$C$3+1))*('Summary Page'!$C$3+1)</f>
        <v>#DIV/0!</v>
      </c>
      <c r="BV8" s="8" t="e">
        <f>((AVERAGE(T8,BS8)*('Summary Page'!$C$4+1))*('Summary Page'!$C$4+1))*('Summary Page'!$C$4+1)</f>
        <v>#DIV/0!</v>
      </c>
      <c r="BW8" s="9"/>
    </row>
    <row r="9" spans="1:162" ht="15.75" x14ac:dyDescent="0.25">
      <c r="A9" s="1">
        <v>43423</v>
      </c>
      <c r="B9" s="14"/>
      <c r="C9" s="14"/>
      <c r="D9" s="7"/>
      <c r="E9" s="14"/>
      <c r="F9" s="14"/>
      <c r="G9" s="229"/>
      <c r="H9" s="7"/>
      <c r="I9" s="7"/>
      <c r="J9" s="7"/>
      <c r="K9" s="230"/>
      <c r="L9" s="7"/>
      <c r="M9" s="7"/>
      <c r="N9" s="7"/>
      <c r="O9" s="7"/>
      <c r="P9" s="7"/>
      <c r="Q9" s="7"/>
      <c r="R9" s="7"/>
      <c r="S9" s="7"/>
      <c r="AA9" s="2">
        <f t="shared" si="1"/>
        <v>0</v>
      </c>
      <c r="AB9" s="2"/>
      <c r="AC9" s="2"/>
      <c r="AD9" s="7">
        <f>((AVERAGE(AA9,AC9)*('Summary Page'!$C$2+1))*('Summary Page'!$C$2+1))*('Summary Page'!$C$2+1)</f>
        <v>0</v>
      </c>
      <c r="AE9" s="7">
        <f>((AVERAGE(AA9,AC9)*('Summary Page'!$C$3+1))*('Summary Page'!$C$3+1))*('Summary Page'!$C$3+1)</f>
        <v>0</v>
      </c>
      <c r="AF9" s="7">
        <f>((AVERAGE(AA9,AC9)*('Summary Page'!$C$4+1))*('Summary Page'!$C$4+1))*('Summary Page'!$C$4+1)</f>
        <v>0</v>
      </c>
      <c r="AI9" s="7"/>
      <c r="AJ9" s="7" t="e">
        <f>((AVERAGE(B9,AI9)*('Summary Page'!$C$2+1))*('Summary Page'!$C$2+1))*('Summary Page'!$C$2+1)</f>
        <v>#DIV/0!</v>
      </c>
      <c r="AK9" s="7" t="e">
        <f>((AVERAGE(B9,AI9)*('Summary Page'!$C$3+1))*('Summary Page'!$C$3+1))*('Summary Page'!$C$3+1)</f>
        <v>#DIV/0!</v>
      </c>
      <c r="AL9" s="8" t="e">
        <f>((AVERAGE(B9,AI9)*('Summary Page'!$C$4+1))*('Summary Page'!$C$4+1))*('Summary Page'!$C$4+1)</f>
        <v>#DIV/0!</v>
      </c>
      <c r="AO9" s="7"/>
      <c r="AP9" s="7" t="e">
        <f>((AVERAGE(C9,AO9)*('Summary Page'!$C$2+1))*('Summary Page'!$C$2+1))*('Summary Page'!$C$2+1)</f>
        <v>#DIV/0!</v>
      </c>
      <c r="AQ9" s="7" t="e">
        <f>((AVERAGE(C9,AO9)*('Summary Page'!$C$3+1))*('Summary Page'!$C$3+1))*('Summary Page'!$C$3+1)</f>
        <v>#DIV/0!</v>
      </c>
      <c r="AR9" s="8" t="e">
        <f>((AVERAGE(C9,AO9)*('Summary Page'!$C$4+1))*('Summary Page'!$C$4+1))*('Summary Page'!$C$4+1)</f>
        <v>#DIV/0!</v>
      </c>
      <c r="AU9" s="7"/>
      <c r="AV9" s="7" t="e">
        <f>((AVERAGE(D9,AU9)*('Summary Page'!$C$2+1))*('Summary Page'!$C$2+1))*('Summary Page'!$C$2+1)</f>
        <v>#DIV/0!</v>
      </c>
      <c r="AW9" s="7" t="e">
        <f>((AVERAGE(D9,AU9)*('Summary Page'!$C$3+1))*('Summary Page'!$C$3+1))*('Summary Page'!$C$3+1)</f>
        <v>#DIV/0!</v>
      </c>
      <c r="AX9" s="7" t="e">
        <f>((AVERAGE(D9,AU9)*('Summary Page'!$C$4+1))*('Summary Page'!$C$4+1))*('Summary Page'!$C$4+1)</f>
        <v>#DIV/0!</v>
      </c>
      <c r="BA9" s="7"/>
      <c r="BB9" s="7" t="e">
        <f>((AVERAGE(E9,BA9)*('Summary Page'!$C$2+1))*('Summary Page'!$C$2+1))*('Summary Page'!$C$2+1)</f>
        <v>#DIV/0!</v>
      </c>
      <c r="BC9" s="7" t="e">
        <f>((AVERAGE(E9,BA9)*('Summary Page'!$C$3+1))*('Summary Page'!$C$3+1))*('Summary Page'!$C$3+1)</f>
        <v>#DIV/0!</v>
      </c>
      <c r="BD9" s="8" t="e">
        <f>((AVERAGE(E9,BA9)*('Summary Page'!$C$4+1))*('Summary Page'!$C$4+1))*('Summary Page'!$C$4+1)</f>
        <v>#DIV/0!</v>
      </c>
      <c r="BG9" s="7"/>
      <c r="BH9" s="7" t="e">
        <f>((AVERAGE(F9,BG9)*('Summary Page'!$C$2+1))*('Summary Page'!$C$2+1))*('Summary Page'!$C$2+1)</f>
        <v>#DIV/0!</v>
      </c>
      <c r="BI9" s="7" t="e">
        <f>((AVERAGE(F9,BG9)*('Summary Page'!$C$3+1))*('Summary Page'!$C$3+1))*('Summary Page'!$C$3+1)</f>
        <v>#DIV/0!</v>
      </c>
      <c r="BJ9" s="8" t="e">
        <f>((AVERAGE(F9,BG9)*('Summary Page'!$C$4+1))*('Summary Page'!$C$4+1))*('Summary Page'!$C$4+1)</f>
        <v>#DIV/0!</v>
      </c>
      <c r="BM9" s="7"/>
      <c r="BN9" s="7" t="e">
        <f>((AVERAGE(Q9,BM9)*('Summary Page'!$C$2+1))*('Summary Page'!$C$2+1))*('Summary Page'!$C$2+1)</f>
        <v>#DIV/0!</v>
      </c>
      <c r="BO9" s="7" t="e">
        <f>((AVERAGE(Q9,BM9)*('Summary Page'!$C$3+1))*('Summary Page'!$C$3+1))*('Summary Page'!$C$3+1)</f>
        <v>#DIV/0!</v>
      </c>
      <c r="BP9" s="8" t="e">
        <f>((AVERAGE(Q9,BM9)*('Summary Page'!$C$4+1))*('Summary Page'!$C$4+1))*('Summary Page'!$C$4+1)</f>
        <v>#DIV/0!</v>
      </c>
      <c r="BS9" s="7"/>
      <c r="BT9" s="7" t="e">
        <f>((AVERAGE(T9,BS9)*('Summary Page'!$C$2+1))*('Summary Page'!$C$2+1))*('Summary Page'!$C$2+1)</f>
        <v>#DIV/0!</v>
      </c>
      <c r="BU9" s="7" t="e">
        <f>((AVERAGE(T9,BS9)*('Summary Page'!$C$3+1))*('Summary Page'!$C$3+1))*('Summary Page'!$C$3+1)</f>
        <v>#DIV/0!</v>
      </c>
      <c r="BV9" s="8" t="e">
        <f>((AVERAGE(T9,BS9)*('Summary Page'!$C$4+1))*('Summary Page'!$C$4+1))*('Summary Page'!$C$4+1)</f>
        <v>#DIV/0!</v>
      </c>
      <c r="BW9" s="9"/>
    </row>
    <row r="10" spans="1:162" ht="15.75" x14ac:dyDescent="0.25">
      <c r="A10" s="1">
        <v>43437</v>
      </c>
      <c r="B10" s="14"/>
      <c r="C10" s="14"/>
      <c r="D10" s="7"/>
      <c r="E10" s="14"/>
      <c r="F10" s="14"/>
      <c r="G10" s="229"/>
      <c r="H10" s="7"/>
      <c r="I10" s="7"/>
      <c r="J10" s="7"/>
      <c r="K10" s="230"/>
      <c r="L10" s="7"/>
      <c r="M10" s="7"/>
      <c r="N10" s="7"/>
      <c r="O10" s="7"/>
      <c r="P10" s="7"/>
      <c r="Q10" s="7"/>
      <c r="R10" s="7"/>
      <c r="S10" s="7"/>
      <c r="AA10" s="2">
        <f t="shared" si="1"/>
        <v>0</v>
      </c>
      <c r="AB10" s="2"/>
      <c r="AC10" s="2"/>
      <c r="AD10" s="7">
        <f>((AVERAGE(AA10,AC10)*('Summary Page'!$C$2+1))*('Summary Page'!$C$2+1))*('Summary Page'!$C$2+1)</f>
        <v>0</v>
      </c>
      <c r="AE10" s="7">
        <f>((AVERAGE(AA10,AC10)*('Summary Page'!$C$3+1))*('Summary Page'!$C$3+1))*('Summary Page'!$C$3+1)</f>
        <v>0</v>
      </c>
      <c r="AF10" s="7">
        <f>((AVERAGE(AA10,AC10)*('Summary Page'!$C$4+1))*('Summary Page'!$C$4+1))*('Summary Page'!$C$4+1)</f>
        <v>0</v>
      </c>
      <c r="AI10" s="7"/>
      <c r="AJ10" s="7" t="e">
        <f>((AVERAGE(B10,AI10)*('Summary Page'!$C$2+1))*('Summary Page'!$C$2+1))*('Summary Page'!$C$2+1)</f>
        <v>#DIV/0!</v>
      </c>
      <c r="AK10" s="7" t="e">
        <f>((AVERAGE(B10,AI10)*('Summary Page'!$C$3+1))*('Summary Page'!$C$3+1))*('Summary Page'!$C$3+1)</f>
        <v>#DIV/0!</v>
      </c>
      <c r="AL10" s="8" t="e">
        <f>((AVERAGE(B10,AI10)*('Summary Page'!$C$4+1))*('Summary Page'!$C$4+1))*('Summary Page'!$C$4+1)</f>
        <v>#DIV/0!</v>
      </c>
      <c r="AO10" s="7"/>
      <c r="AP10" s="7" t="e">
        <f>((AVERAGE(C10,AO10)*('Summary Page'!$C$2+1))*('Summary Page'!$C$2+1))*('Summary Page'!$C$2+1)</f>
        <v>#DIV/0!</v>
      </c>
      <c r="AQ10" s="7" t="e">
        <f>((AVERAGE(C10,AO10)*('Summary Page'!$C$3+1))*('Summary Page'!$C$3+1))*('Summary Page'!$C$3+1)</f>
        <v>#DIV/0!</v>
      </c>
      <c r="AR10" s="8" t="e">
        <f>((AVERAGE(C10,AO10)*('Summary Page'!$C$4+1))*('Summary Page'!$C$4+1))*('Summary Page'!$C$4+1)</f>
        <v>#DIV/0!</v>
      </c>
      <c r="AU10" s="7"/>
      <c r="AV10" s="7" t="e">
        <f>((AVERAGE(D10,AU10)*('Summary Page'!$C$2+1))*('Summary Page'!$C$2+1))*('Summary Page'!$C$2+1)</f>
        <v>#DIV/0!</v>
      </c>
      <c r="AW10" s="7" t="e">
        <f>((AVERAGE(D10,AU10)*('Summary Page'!$C$3+1))*('Summary Page'!$C$3+1))*('Summary Page'!$C$3+1)</f>
        <v>#DIV/0!</v>
      </c>
      <c r="AX10" s="7" t="e">
        <f>((AVERAGE(D10,AU10)*('Summary Page'!$C$4+1))*('Summary Page'!$C$4+1))*('Summary Page'!$C$4+1)</f>
        <v>#DIV/0!</v>
      </c>
      <c r="BA10" s="7"/>
      <c r="BB10" s="7" t="e">
        <f>((AVERAGE(E10,BA10)*('Summary Page'!$C$2+1))*('Summary Page'!$C$2+1))*('Summary Page'!$C$2+1)</f>
        <v>#DIV/0!</v>
      </c>
      <c r="BC10" s="7" t="e">
        <f>((AVERAGE(E10,BA10)*('Summary Page'!$C$3+1))*('Summary Page'!$C$3+1))*('Summary Page'!$C$3+1)</f>
        <v>#DIV/0!</v>
      </c>
      <c r="BD10" s="8" t="e">
        <f>((AVERAGE(E10,BA10)*('Summary Page'!$C$4+1))*('Summary Page'!$C$4+1))*('Summary Page'!$C$4+1)</f>
        <v>#DIV/0!</v>
      </c>
      <c r="BG10" s="7"/>
      <c r="BH10" s="7" t="e">
        <f>((AVERAGE(F10,BG10)*('Summary Page'!$C$2+1))*('Summary Page'!$C$2+1))*('Summary Page'!$C$2+1)</f>
        <v>#DIV/0!</v>
      </c>
      <c r="BI10" s="7" t="e">
        <f>((AVERAGE(F10,BG10)*('Summary Page'!$C$3+1))*('Summary Page'!$C$3+1))*('Summary Page'!$C$3+1)</f>
        <v>#DIV/0!</v>
      </c>
      <c r="BJ10" s="8" t="e">
        <f>((AVERAGE(F10,BG10)*('Summary Page'!$C$4+1))*('Summary Page'!$C$4+1))*('Summary Page'!$C$4+1)</f>
        <v>#DIV/0!</v>
      </c>
      <c r="BM10" s="7"/>
      <c r="BN10" s="7" t="e">
        <f>((AVERAGE(Q10,BM10)*('Summary Page'!$C$2+1))*('Summary Page'!$C$2+1))*('Summary Page'!$C$2+1)</f>
        <v>#DIV/0!</v>
      </c>
      <c r="BO10" s="7" t="e">
        <f>((AVERAGE(Q10,BM10)*('Summary Page'!$C$3+1))*('Summary Page'!$C$3+1))*('Summary Page'!$C$3+1)</f>
        <v>#DIV/0!</v>
      </c>
      <c r="BP10" s="8" t="e">
        <f>((AVERAGE(Q10,BM10)*('Summary Page'!$C$4+1))*('Summary Page'!$C$4+1))*('Summary Page'!$C$4+1)</f>
        <v>#DIV/0!</v>
      </c>
      <c r="BS10" s="7"/>
      <c r="BT10" s="7" t="e">
        <f>((AVERAGE(T10,BS10)*('Summary Page'!$C$2+1))*('Summary Page'!$C$2+1))*('Summary Page'!$C$2+1)</f>
        <v>#DIV/0!</v>
      </c>
      <c r="BU10" s="7" t="e">
        <f>((AVERAGE(T10,BS10)*('Summary Page'!$C$3+1))*('Summary Page'!$C$3+1))*('Summary Page'!$C$3+1)</f>
        <v>#DIV/0!</v>
      </c>
      <c r="BV10" s="8" t="e">
        <f>((AVERAGE(T10,BS10)*('Summary Page'!$C$4+1))*('Summary Page'!$C$4+1))*('Summary Page'!$C$4+1)</f>
        <v>#DIV/0!</v>
      </c>
      <c r="BW10" s="9"/>
    </row>
    <row r="11" spans="1:162" ht="15.75" x14ac:dyDescent="0.25">
      <c r="A11" s="1">
        <v>43451</v>
      </c>
      <c r="B11" s="14"/>
      <c r="C11" s="14"/>
      <c r="D11" s="7"/>
      <c r="E11" s="14"/>
      <c r="F11" s="14"/>
      <c r="G11" s="229"/>
      <c r="H11" s="7"/>
      <c r="I11" s="7"/>
      <c r="J11" s="7"/>
      <c r="K11" s="230"/>
      <c r="L11" s="7"/>
      <c r="M11" s="7"/>
      <c r="N11" s="7"/>
      <c r="O11" s="7"/>
      <c r="P11" s="7"/>
      <c r="Q11" s="7"/>
      <c r="R11" s="7"/>
      <c r="S11" s="7"/>
      <c r="AA11" s="2"/>
      <c r="AB11" s="2"/>
      <c r="AC11" s="2"/>
      <c r="AD11" s="7" t="e">
        <f>((AVERAGE(AA11,AC11)*('Summary Page'!$C$2+1))*('Summary Page'!$C$2+1))*('Summary Page'!$C$2+1)</f>
        <v>#DIV/0!</v>
      </c>
      <c r="AE11" s="7" t="e">
        <f>((AVERAGE(AA11,AC11)*('Summary Page'!$C$3+1))*('Summary Page'!$C$3+1))*('Summary Page'!$C$3+1)</f>
        <v>#DIV/0!</v>
      </c>
      <c r="AF11" s="7" t="e">
        <f>((AVERAGE(AA11,AC11)*('Summary Page'!$C$4+1))*('Summary Page'!$C$4+1))*('Summary Page'!$C$4+1)</f>
        <v>#DIV/0!</v>
      </c>
      <c r="AI11" s="7"/>
      <c r="AJ11" s="7" t="e">
        <f>((AVERAGE(B11,AI11)*('Summary Page'!$C$2+1))*('Summary Page'!$C$2+1))*('Summary Page'!$C$2+1)</f>
        <v>#DIV/0!</v>
      </c>
      <c r="AK11" s="7" t="e">
        <f>((AVERAGE(B11,AI11)*('Summary Page'!$C$3+1))*('Summary Page'!$C$3+1))*('Summary Page'!$C$3+1)</f>
        <v>#DIV/0!</v>
      </c>
      <c r="AL11" s="8" t="e">
        <f>((AVERAGE(B11,AI11)*('Summary Page'!$C$4+1))*('Summary Page'!$C$4+1))*('Summary Page'!$C$4+1)</f>
        <v>#DIV/0!</v>
      </c>
      <c r="AO11" s="7"/>
      <c r="AP11" s="7" t="e">
        <f>((AVERAGE(C11,AO11)*('Summary Page'!$C$2+1))*('Summary Page'!$C$2+1))*('Summary Page'!$C$2+1)</f>
        <v>#DIV/0!</v>
      </c>
      <c r="AQ11" s="7" t="e">
        <f>((AVERAGE(C11,AO11)*('Summary Page'!$C$3+1))*('Summary Page'!$C$3+1))*('Summary Page'!$C$3+1)</f>
        <v>#DIV/0!</v>
      </c>
      <c r="AR11" s="8" t="e">
        <f>((AVERAGE(C11,AO11)*('Summary Page'!$C$4+1))*('Summary Page'!$C$4+1))*('Summary Page'!$C$4+1)</f>
        <v>#DIV/0!</v>
      </c>
      <c r="AU11" s="7"/>
      <c r="AV11" s="7" t="e">
        <f>((AVERAGE(D11,AU11)*('Summary Page'!$C$2+1))*('Summary Page'!$C$2+1))*('Summary Page'!$C$2+1)</f>
        <v>#DIV/0!</v>
      </c>
      <c r="AW11" s="7" t="e">
        <f>((AVERAGE(D11,AU11)*('Summary Page'!$C$3+1))*('Summary Page'!$C$3+1))*('Summary Page'!$C$3+1)</f>
        <v>#DIV/0!</v>
      </c>
      <c r="AX11" s="7" t="e">
        <f>((AVERAGE(D11,AU11)*('Summary Page'!$C$4+1))*('Summary Page'!$C$4+1))*('Summary Page'!$C$4+1)</f>
        <v>#DIV/0!</v>
      </c>
      <c r="BA11" s="7"/>
      <c r="BB11" s="7" t="e">
        <f>((AVERAGE(E11,BA11)*('Summary Page'!$C$2+1))*('Summary Page'!$C$2+1))*('Summary Page'!$C$2+1)</f>
        <v>#DIV/0!</v>
      </c>
      <c r="BC11" s="7" t="e">
        <f>((AVERAGE(E11,BA11)*('Summary Page'!$C$3+1))*('Summary Page'!$C$3+1))*('Summary Page'!$C$3+1)</f>
        <v>#DIV/0!</v>
      </c>
      <c r="BD11" s="8" t="e">
        <f>((AVERAGE(E11,BA11)*('Summary Page'!$C$4+1))*('Summary Page'!$C$4+1))*('Summary Page'!$C$4+1)</f>
        <v>#DIV/0!</v>
      </c>
      <c r="BG11" s="7"/>
      <c r="BH11" s="7" t="e">
        <f>((AVERAGE(F11,BG11)*('Summary Page'!$C$2+1))*('Summary Page'!$C$2+1))*('Summary Page'!$C$2+1)</f>
        <v>#DIV/0!</v>
      </c>
      <c r="BI11" s="7" t="e">
        <f>((AVERAGE(F11,BG11)*('Summary Page'!$C$3+1))*('Summary Page'!$C$3+1))*('Summary Page'!$C$3+1)</f>
        <v>#DIV/0!</v>
      </c>
      <c r="BJ11" s="8" t="e">
        <f>((AVERAGE(F11,BG11)*('Summary Page'!$C$4+1))*('Summary Page'!$C$4+1))*('Summary Page'!$C$4+1)</f>
        <v>#DIV/0!</v>
      </c>
      <c r="BM11" s="7"/>
      <c r="BN11" s="7" t="e">
        <f>((AVERAGE(Q11,BM11)*('Summary Page'!$C$2+1))*('Summary Page'!$C$2+1))*('Summary Page'!$C$2+1)</f>
        <v>#DIV/0!</v>
      </c>
      <c r="BO11" s="7" t="e">
        <f>((AVERAGE(Q11,BM11)*('Summary Page'!$C$3+1))*('Summary Page'!$C$3+1))*('Summary Page'!$C$3+1)</f>
        <v>#DIV/0!</v>
      </c>
      <c r="BP11" s="8" t="e">
        <f>((AVERAGE(Q11,BM11)*('Summary Page'!$C$4+1))*('Summary Page'!$C$4+1))*('Summary Page'!$C$4+1)</f>
        <v>#DIV/0!</v>
      </c>
      <c r="BS11" s="7"/>
      <c r="BT11" s="7" t="e">
        <f>((AVERAGE(T11,BS11)*('Summary Page'!$C$2+1))*('Summary Page'!$C$2+1))*('Summary Page'!$C$2+1)</f>
        <v>#DIV/0!</v>
      </c>
      <c r="BU11" s="7" t="e">
        <f>((AVERAGE(T11,BS11)*('Summary Page'!$C$3+1))*('Summary Page'!$C$3+1))*('Summary Page'!$C$3+1)</f>
        <v>#DIV/0!</v>
      </c>
      <c r="BV11" s="8" t="e">
        <f>((AVERAGE(T11,BS11)*('Summary Page'!$C$4+1))*('Summary Page'!$C$4+1))*('Summary Page'!$C$4+1)</f>
        <v>#DIV/0!</v>
      </c>
      <c r="BW11" s="9"/>
    </row>
    <row r="12" spans="1:162" ht="15.75" x14ac:dyDescent="0.25">
      <c r="A12" s="1">
        <v>43465</v>
      </c>
      <c r="B12" s="14"/>
      <c r="C12" s="14"/>
      <c r="D12" s="7"/>
      <c r="E12" s="14"/>
      <c r="F12" s="14"/>
      <c r="G12" s="229"/>
      <c r="H12" s="7"/>
      <c r="I12" s="7"/>
      <c r="J12" s="7"/>
      <c r="K12" s="230"/>
      <c r="L12" s="7"/>
      <c r="M12" s="7"/>
      <c r="N12" s="7"/>
      <c r="O12" s="7"/>
      <c r="P12" s="7"/>
      <c r="Q12" s="7"/>
      <c r="R12" s="7"/>
      <c r="S12" s="7"/>
      <c r="AA12" s="2"/>
      <c r="AB12" s="2"/>
      <c r="AC12" s="2"/>
      <c r="AD12" s="7" t="e">
        <f>((AVERAGE(AA12,AC12)*('Summary Page'!$C$2+1))*('Summary Page'!$C$2+1))*('Summary Page'!$C$2+1)</f>
        <v>#DIV/0!</v>
      </c>
      <c r="AE12" s="7" t="e">
        <f>((AVERAGE(AA12,AC12)*('Summary Page'!$C$3+1))*('Summary Page'!$C$3+1))*('Summary Page'!$C$3+1)</f>
        <v>#DIV/0!</v>
      </c>
      <c r="AF12" s="7" t="e">
        <f>((AVERAGE(AA12,AC12)*('Summary Page'!$C$4+1))*('Summary Page'!$C$4+1))*('Summary Page'!$C$4+1)</f>
        <v>#DIV/0!</v>
      </c>
      <c r="AI12" s="7"/>
      <c r="AJ12" s="7" t="e">
        <f>((AVERAGE(B12,AI12)*('Summary Page'!$C$2+1))*('Summary Page'!$C$2+1))*('Summary Page'!$C$2+1)</f>
        <v>#DIV/0!</v>
      </c>
      <c r="AK12" s="7" t="e">
        <f>((AVERAGE(B12,AI12)*('Summary Page'!$C$3+1))*('Summary Page'!$C$3+1))*('Summary Page'!$C$3+1)</f>
        <v>#DIV/0!</v>
      </c>
      <c r="AL12" s="8" t="e">
        <f>((AVERAGE(B12,AI12)*('Summary Page'!$C$4+1))*('Summary Page'!$C$4+1))*('Summary Page'!$C$4+1)</f>
        <v>#DIV/0!</v>
      </c>
      <c r="AO12" s="7"/>
      <c r="AP12" s="7" t="e">
        <f>((AVERAGE(C12,AO12)*('Summary Page'!$C$2+1))*('Summary Page'!$C$2+1))*('Summary Page'!$C$2+1)</f>
        <v>#DIV/0!</v>
      </c>
      <c r="AQ12" s="7" t="e">
        <f>((AVERAGE(C12,AO12)*('Summary Page'!$C$3+1))*('Summary Page'!$C$3+1))*('Summary Page'!$C$3+1)</f>
        <v>#DIV/0!</v>
      </c>
      <c r="AR12" s="8" t="e">
        <f>((AVERAGE(C12,AO12)*('Summary Page'!$C$4+1))*('Summary Page'!$C$4+1))*('Summary Page'!$C$4+1)</f>
        <v>#DIV/0!</v>
      </c>
      <c r="AU12" s="7"/>
      <c r="AV12" s="7" t="e">
        <f>((AVERAGE(D12,AU12)*('Summary Page'!$C$2+1))*('Summary Page'!$C$2+1))*('Summary Page'!$C$2+1)</f>
        <v>#DIV/0!</v>
      </c>
      <c r="AW12" s="7" t="e">
        <f>((AVERAGE(D12,AU12)*('Summary Page'!$C$3+1))*('Summary Page'!$C$3+1))*('Summary Page'!$C$3+1)</f>
        <v>#DIV/0!</v>
      </c>
      <c r="AX12" s="7" t="e">
        <f>((AVERAGE(D12,AU12)*('Summary Page'!$C$4+1))*('Summary Page'!$C$4+1))*('Summary Page'!$C$4+1)</f>
        <v>#DIV/0!</v>
      </c>
      <c r="BA12" s="7"/>
      <c r="BB12" s="7" t="e">
        <f>((AVERAGE(E12,BA12)*('Summary Page'!$C$2+1))*('Summary Page'!$C$2+1))*('Summary Page'!$C$2+1)</f>
        <v>#DIV/0!</v>
      </c>
      <c r="BC12" s="7" t="e">
        <f>((AVERAGE(E12,BA12)*('Summary Page'!$C$3+1))*('Summary Page'!$C$3+1))*('Summary Page'!$C$3+1)</f>
        <v>#DIV/0!</v>
      </c>
      <c r="BD12" s="8" t="e">
        <f>((AVERAGE(E12,BA12)*('Summary Page'!$C$4+1))*('Summary Page'!$C$4+1))*('Summary Page'!$C$4+1)</f>
        <v>#DIV/0!</v>
      </c>
      <c r="BG12" s="7"/>
      <c r="BH12" s="7" t="e">
        <f>((AVERAGE(F12,BG12)*('Summary Page'!$C$2+1))*('Summary Page'!$C$2+1))*('Summary Page'!$C$2+1)</f>
        <v>#DIV/0!</v>
      </c>
      <c r="BI12" s="7" t="e">
        <f>((AVERAGE(F12,BG12)*('Summary Page'!$C$3+1))*('Summary Page'!$C$3+1))*('Summary Page'!$C$3+1)</f>
        <v>#DIV/0!</v>
      </c>
      <c r="BJ12" s="8" t="e">
        <f>((AVERAGE(F12,BG12)*('Summary Page'!$C$4+1))*('Summary Page'!$C$4+1))*('Summary Page'!$C$4+1)</f>
        <v>#DIV/0!</v>
      </c>
      <c r="BM12" s="7"/>
      <c r="BN12" s="7" t="e">
        <f>((AVERAGE(Q12,BM12)*('Summary Page'!$C$2+1))*('Summary Page'!$C$2+1))*('Summary Page'!$C$2+1)</f>
        <v>#DIV/0!</v>
      </c>
      <c r="BO12" s="7" t="e">
        <f>((AVERAGE(Q12,BM12)*('Summary Page'!$C$3+1))*('Summary Page'!$C$3+1))*('Summary Page'!$C$3+1)</f>
        <v>#DIV/0!</v>
      </c>
      <c r="BP12" s="8" t="e">
        <f>((AVERAGE(Q12,BM12)*('Summary Page'!$C$4+1))*('Summary Page'!$C$4+1))*('Summary Page'!$C$4+1)</f>
        <v>#DIV/0!</v>
      </c>
      <c r="BS12" s="7"/>
      <c r="BT12" s="7" t="e">
        <f>((AVERAGE(T12,BS12)*('Summary Page'!$C$2+1))*('Summary Page'!$C$2+1))*('Summary Page'!$C$2+1)</f>
        <v>#DIV/0!</v>
      </c>
      <c r="BU12" s="7" t="e">
        <f>((AVERAGE(T12,BS12)*('Summary Page'!$C$3+1))*('Summary Page'!$C$3+1))*('Summary Page'!$C$3+1)</f>
        <v>#DIV/0!</v>
      </c>
      <c r="BV12" s="8" t="e">
        <f>((AVERAGE(T12,BS12)*('Summary Page'!$C$4+1))*('Summary Page'!$C$4+1))*('Summary Page'!$C$4+1)</f>
        <v>#DIV/0!</v>
      </c>
      <c r="BW12" s="9"/>
    </row>
    <row r="13" spans="1:162" ht="15.75" x14ac:dyDescent="0.25">
      <c r="A13" s="1">
        <v>43479</v>
      </c>
      <c r="B13" s="14"/>
      <c r="C13" s="14"/>
      <c r="D13" s="7"/>
      <c r="E13" s="14"/>
      <c r="F13" s="14"/>
      <c r="G13" s="229"/>
      <c r="H13" s="7"/>
      <c r="I13" s="7"/>
      <c r="J13" s="7"/>
      <c r="K13" s="230"/>
      <c r="L13" s="7"/>
      <c r="M13" s="7"/>
      <c r="N13" s="7"/>
      <c r="O13" s="7"/>
      <c r="P13" s="7"/>
      <c r="Q13" s="7"/>
      <c r="R13" s="7"/>
      <c r="S13" s="7"/>
      <c r="AA13" s="2"/>
      <c r="AB13" s="2"/>
      <c r="AC13" s="2"/>
      <c r="AD13" s="7" t="e">
        <f>((AVERAGE(AA13,AC13)*('Summary Page'!$C$2+1))*('Summary Page'!$C$2+1))*('Summary Page'!$C$2+1)</f>
        <v>#DIV/0!</v>
      </c>
      <c r="AE13" s="7" t="e">
        <f>((AVERAGE(AA13,AC13)*('Summary Page'!$C$3+1))*('Summary Page'!$C$3+1))*('Summary Page'!$C$3+1)</f>
        <v>#DIV/0!</v>
      </c>
      <c r="AF13" s="7" t="e">
        <f>((AVERAGE(AA13,AC13)*('Summary Page'!$C$4+1))*('Summary Page'!$C$4+1))*('Summary Page'!$C$4+1)</f>
        <v>#DIV/0!</v>
      </c>
      <c r="AI13" s="7"/>
      <c r="AJ13" s="7" t="e">
        <f>((AVERAGE(B13,AI13)*('Summary Page'!$C$2+1))*('Summary Page'!$C$2+1))*('Summary Page'!$C$2+1)</f>
        <v>#DIV/0!</v>
      </c>
      <c r="AK13" s="7" t="e">
        <f>((AVERAGE(B13,AI13)*('Summary Page'!$C$3+1))*('Summary Page'!$C$3+1))*('Summary Page'!$C$3+1)</f>
        <v>#DIV/0!</v>
      </c>
      <c r="AL13" s="8" t="e">
        <f>((AVERAGE(B13,AI13)*('Summary Page'!$C$4+1))*('Summary Page'!$C$4+1))*('Summary Page'!$C$4+1)</f>
        <v>#DIV/0!</v>
      </c>
      <c r="AO13" s="7"/>
      <c r="AP13" s="7" t="e">
        <f>((AVERAGE(C13,AO13)*('Summary Page'!$C$2+1))*('Summary Page'!$C$2+1))*('Summary Page'!$C$2+1)</f>
        <v>#DIV/0!</v>
      </c>
      <c r="AQ13" s="7" t="e">
        <f>((AVERAGE(C13,AO13)*('Summary Page'!$C$3+1))*('Summary Page'!$C$3+1))*('Summary Page'!$C$3+1)</f>
        <v>#DIV/0!</v>
      </c>
      <c r="AR13" s="8" t="e">
        <f>((AVERAGE(C13,AO13)*('Summary Page'!$C$4+1))*('Summary Page'!$C$4+1))*('Summary Page'!$C$4+1)</f>
        <v>#DIV/0!</v>
      </c>
      <c r="AU13" s="7"/>
      <c r="AV13" s="7" t="e">
        <f>((AVERAGE(D13,AU13)*('Summary Page'!$C$2+1))*('Summary Page'!$C$2+1))*('Summary Page'!$C$2+1)</f>
        <v>#DIV/0!</v>
      </c>
      <c r="AW13" s="7" t="e">
        <f>((AVERAGE(D13,AU13)*('Summary Page'!$C$3+1))*('Summary Page'!$C$3+1))*('Summary Page'!$C$3+1)</f>
        <v>#DIV/0!</v>
      </c>
      <c r="AX13" s="7" t="e">
        <f>((AVERAGE(D13,AU13)*('Summary Page'!$C$4+1))*('Summary Page'!$C$4+1))*('Summary Page'!$C$4+1)</f>
        <v>#DIV/0!</v>
      </c>
      <c r="BA13" s="7"/>
      <c r="BB13" s="7" t="e">
        <f>((AVERAGE(E13,BA13)*('Summary Page'!$C$2+1))*('Summary Page'!$C$2+1))*('Summary Page'!$C$2+1)</f>
        <v>#DIV/0!</v>
      </c>
      <c r="BC13" s="7" t="e">
        <f>((AVERAGE(E13,BA13)*('Summary Page'!$C$3+1))*('Summary Page'!$C$3+1))*('Summary Page'!$C$3+1)</f>
        <v>#DIV/0!</v>
      </c>
      <c r="BD13" s="8" t="e">
        <f>((AVERAGE(E13,BA13)*('Summary Page'!$C$4+1))*('Summary Page'!$C$4+1))*('Summary Page'!$C$4+1)</f>
        <v>#DIV/0!</v>
      </c>
      <c r="BG13" s="7"/>
      <c r="BH13" s="7" t="e">
        <f>((AVERAGE(F13,BG13)*('Summary Page'!$C$2+1))*('Summary Page'!$C$2+1))*('Summary Page'!$C$2+1)</f>
        <v>#DIV/0!</v>
      </c>
      <c r="BI13" s="7" t="e">
        <f>((AVERAGE(F13,BG13)*('Summary Page'!$C$3+1))*('Summary Page'!$C$3+1))*('Summary Page'!$C$3+1)</f>
        <v>#DIV/0!</v>
      </c>
      <c r="BJ13" s="8" t="e">
        <f>((AVERAGE(F13,BG13)*('Summary Page'!$C$4+1))*('Summary Page'!$C$4+1))*('Summary Page'!$C$4+1)</f>
        <v>#DIV/0!</v>
      </c>
      <c r="BM13" s="7"/>
      <c r="BN13" s="7" t="e">
        <f>((AVERAGE(Q13,BM13)*('Summary Page'!$C$2+1))*('Summary Page'!$C$2+1))*('Summary Page'!$C$2+1)</f>
        <v>#DIV/0!</v>
      </c>
      <c r="BO13" s="7" t="e">
        <f>((AVERAGE(Q13,BM13)*('Summary Page'!$C$3+1))*('Summary Page'!$C$3+1))*('Summary Page'!$C$3+1)</f>
        <v>#DIV/0!</v>
      </c>
      <c r="BP13" s="8" t="e">
        <f>((AVERAGE(Q13,BM13)*('Summary Page'!$C$4+1))*('Summary Page'!$C$4+1))*('Summary Page'!$C$4+1)</f>
        <v>#DIV/0!</v>
      </c>
      <c r="BS13" s="7"/>
      <c r="BT13" s="7" t="e">
        <f>((AVERAGE(T13,BS13)*('Summary Page'!$C$2+1))*('Summary Page'!$C$2+1))*('Summary Page'!$C$2+1)</f>
        <v>#DIV/0!</v>
      </c>
      <c r="BU13" s="7" t="e">
        <f>((AVERAGE(T13,BS13)*('Summary Page'!$C$3+1))*('Summary Page'!$C$3+1))*('Summary Page'!$C$3+1)</f>
        <v>#DIV/0!</v>
      </c>
      <c r="BV13" s="8" t="e">
        <f>((AVERAGE(T13,BS13)*('Summary Page'!$C$4+1))*('Summary Page'!$C$4+1))*('Summary Page'!$C$4+1)</f>
        <v>#DIV/0!</v>
      </c>
      <c r="BW13" s="9"/>
    </row>
    <row r="14" spans="1:162" ht="15.75" x14ac:dyDescent="0.25">
      <c r="A14" s="1">
        <v>43493</v>
      </c>
      <c r="B14" s="14"/>
      <c r="C14" s="14"/>
      <c r="D14" s="7"/>
      <c r="E14" s="14"/>
      <c r="F14" s="14"/>
      <c r="G14" s="229"/>
      <c r="H14" s="7"/>
      <c r="I14" s="7"/>
      <c r="J14" s="7"/>
      <c r="K14" s="230"/>
      <c r="L14" s="7"/>
      <c r="M14" s="7"/>
      <c r="N14" s="7"/>
      <c r="O14" s="7"/>
      <c r="P14" s="7"/>
      <c r="Q14" s="7"/>
      <c r="R14" s="7"/>
      <c r="S14" s="7"/>
      <c r="AA14" s="2"/>
      <c r="AB14" s="2"/>
      <c r="AC14" s="2"/>
      <c r="AD14" s="7" t="e">
        <f>((AVERAGE(AA14,AC14)*('Summary Page'!$C$2+1))*('Summary Page'!$C$2+1))*('Summary Page'!$C$2+1)</f>
        <v>#DIV/0!</v>
      </c>
      <c r="AE14" s="7" t="e">
        <f>((AVERAGE(AA14,AC14)*('Summary Page'!$C$3+1))*('Summary Page'!$C$3+1))*('Summary Page'!$C$3+1)</f>
        <v>#DIV/0!</v>
      </c>
      <c r="AF14" s="7" t="e">
        <f>((AVERAGE(AA14,AC14)*('Summary Page'!$C$4+1))*('Summary Page'!$C$4+1))*('Summary Page'!$C$4+1)</f>
        <v>#DIV/0!</v>
      </c>
      <c r="AI14" s="7"/>
      <c r="AJ14" s="7" t="e">
        <f>((AVERAGE(B14,AI14)*('Summary Page'!$C$2+1))*('Summary Page'!$C$2+1))*('Summary Page'!$C$2+1)</f>
        <v>#DIV/0!</v>
      </c>
      <c r="AK14" s="7" t="e">
        <f>((AVERAGE(B14,AI14)*('Summary Page'!$C$3+1))*('Summary Page'!$C$3+1))*('Summary Page'!$C$3+1)</f>
        <v>#DIV/0!</v>
      </c>
      <c r="AL14" s="8" t="e">
        <f>((AVERAGE(B14,AI14)*('Summary Page'!$C$4+1))*('Summary Page'!$C$4+1))*('Summary Page'!$C$4+1)</f>
        <v>#DIV/0!</v>
      </c>
      <c r="AO14" s="7"/>
      <c r="AP14" s="7" t="e">
        <f>((AVERAGE(C14,AO14)*('Summary Page'!$C$2+1))*('Summary Page'!$C$2+1))*('Summary Page'!$C$2+1)</f>
        <v>#DIV/0!</v>
      </c>
      <c r="AQ14" s="7" t="e">
        <f>((AVERAGE(C14,AO14)*('Summary Page'!$C$3+1))*('Summary Page'!$C$3+1))*('Summary Page'!$C$3+1)</f>
        <v>#DIV/0!</v>
      </c>
      <c r="AR14" s="8" t="e">
        <f>((AVERAGE(C14,AO14)*('Summary Page'!$C$4+1))*('Summary Page'!$C$4+1))*('Summary Page'!$C$4+1)</f>
        <v>#DIV/0!</v>
      </c>
      <c r="AU14" s="7"/>
      <c r="AV14" s="7" t="e">
        <f>((AVERAGE(D14,AU14)*('Summary Page'!$C$2+1))*('Summary Page'!$C$2+1))*('Summary Page'!$C$2+1)</f>
        <v>#DIV/0!</v>
      </c>
      <c r="AW14" s="7" t="e">
        <f>((AVERAGE(D14,AU14)*('Summary Page'!$C$3+1))*('Summary Page'!$C$3+1))*('Summary Page'!$C$3+1)</f>
        <v>#DIV/0!</v>
      </c>
      <c r="AX14" s="7" t="e">
        <f>((AVERAGE(D14,AU14)*('Summary Page'!$C$4+1))*('Summary Page'!$C$4+1))*('Summary Page'!$C$4+1)</f>
        <v>#DIV/0!</v>
      </c>
      <c r="BA14" s="7"/>
      <c r="BB14" s="7" t="e">
        <f>((AVERAGE(E14,BA14)*('Summary Page'!$C$2+1))*('Summary Page'!$C$2+1))*('Summary Page'!$C$2+1)</f>
        <v>#DIV/0!</v>
      </c>
      <c r="BC14" s="7" t="e">
        <f>((AVERAGE(E14,BA14)*('Summary Page'!$C$3+1))*('Summary Page'!$C$3+1))*('Summary Page'!$C$3+1)</f>
        <v>#DIV/0!</v>
      </c>
      <c r="BD14" s="8" t="e">
        <f>((AVERAGE(E14,BA14)*('Summary Page'!$C$4+1))*('Summary Page'!$C$4+1))*('Summary Page'!$C$4+1)</f>
        <v>#DIV/0!</v>
      </c>
      <c r="BG14" s="7"/>
      <c r="BH14" s="7" t="e">
        <f>((AVERAGE(F14,BG14)*('Summary Page'!$C$2+1))*('Summary Page'!$C$2+1))*('Summary Page'!$C$2+1)</f>
        <v>#DIV/0!</v>
      </c>
      <c r="BI14" s="7" t="e">
        <f>((AVERAGE(F14,BG14)*('Summary Page'!$C$3+1))*('Summary Page'!$C$3+1))*('Summary Page'!$C$3+1)</f>
        <v>#DIV/0!</v>
      </c>
      <c r="BJ14" s="8" t="e">
        <f>((AVERAGE(F14,BG14)*('Summary Page'!$C$4+1))*('Summary Page'!$C$4+1))*('Summary Page'!$C$4+1)</f>
        <v>#DIV/0!</v>
      </c>
      <c r="BM14" s="7"/>
      <c r="BN14" s="7" t="e">
        <f>((AVERAGE(Q14,BM14)*('Summary Page'!$C$2+1))*('Summary Page'!$C$2+1))*('Summary Page'!$C$2+1)</f>
        <v>#DIV/0!</v>
      </c>
      <c r="BO14" s="7" t="e">
        <f>((AVERAGE(Q14,BM14)*('Summary Page'!$C$3+1))*('Summary Page'!$C$3+1))*('Summary Page'!$C$3+1)</f>
        <v>#DIV/0!</v>
      </c>
      <c r="BP14" s="8" t="e">
        <f>((AVERAGE(Q14,BM14)*('Summary Page'!$C$4+1))*('Summary Page'!$C$4+1))*('Summary Page'!$C$4+1)</f>
        <v>#DIV/0!</v>
      </c>
      <c r="BS14" s="7"/>
      <c r="BT14" s="7" t="e">
        <f>((AVERAGE(T14,BS14)*('Summary Page'!$C$2+1))*('Summary Page'!$C$2+1))*('Summary Page'!$C$2+1)</f>
        <v>#DIV/0!</v>
      </c>
      <c r="BU14" s="7" t="e">
        <f>((AVERAGE(T14,BS14)*('Summary Page'!$C$3+1))*('Summary Page'!$C$3+1))*('Summary Page'!$C$3+1)</f>
        <v>#DIV/0!</v>
      </c>
      <c r="BV14" s="8" t="e">
        <f>((AVERAGE(T14,BS14)*('Summary Page'!$C$4+1))*('Summary Page'!$C$4+1))*('Summary Page'!$C$4+1)</f>
        <v>#DIV/0!</v>
      </c>
      <c r="BW14" s="9"/>
    </row>
    <row r="15" spans="1:162" ht="15.75" x14ac:dyDescent="0.25">
      <c r="A15" s="1">
        <v>43510</v>
      </c>
      <c r="B15" s="14"/>
      <c r="C15" s="14"/>
      <c r="D15" s="7"/>
      <c r="E15" s="14"/>
      <c r="F15" s="14"/>
      <c r="G15" s="229"/>
      <c r="H15" s="7"/>
      <c r="I15" s="7"/>
      <c r="J15" s="7"/>
      <c r="K15" s="230"/>
      <c r="L15" s="7"/>
      <c r="M15" s="7"/>
      <c r="N15" s="7"/>
      <c r="O15" s="7"/>
      <c r="P15" s="7"/>
      <c r="Q15" s="7"/>
      <c r="R15" s="7"/>
      <c r="S15" s="7"/>
      <c r="AA15" s="2"/>
      <c r="AB15" s="2"/>
      <c r="AC15" s="2"/>
      <c r="AD15" s="7" t="e">
        <f>((AVERAGE(AA15,AC15)*('Summary Page'!$C$2+1))*('Summary Page'!$C$2+1))*('Summary Page'!$C$2+1)</f>
        <v>#DIV/0!</v>
      </c>
      <c r="AE15" s="7" t="e">
        <f>((AVERAGE(AA15,AC15)*('Summary Page'!$C$3+1))*('Summary Page'!$C$3+1))*('Summary Page'!$C$3+1)</f>
        <v>#DIV/0!</v>
      </c>
      <c r="AF15" s="7" t="e">
        <f>((AVERAGE(AA15,AC15)*('Summary Page'!$C$4+1))*('Summary Page'!$C$4+1))*('Summary Page'!$C$4+1)</f>
        <v>#DIV/0!</v>
      </c>
      <c r="AI15" s="7"/>
      <c r="AJ15" s="7" t="e">
        <f>((AVERAGE(B15,AI15)*('Summary Page'!$C$2+1))*('Summary Page'!$C$2+1))*('Summary Page'!$C$2+1)</f>
        <v>#DIV/0!</v>
      </c>
      <c r="AK15" s="7" t="e">
        <f>((AVERAGE(B15,AI15)*('Summary Page'!$C$3+1))*('Summary Page'!$C$3+1))*('Summary Page'!$C$3+1)</f>
        <v>#DIV/0!</v>
      </c>
      <c r="AL15" s="8" t="e">
        <f>((AVERAGE(B15,AI15)*('Summary Page'!$C$4+1))*('Summary Page'!$C$4+1))*('Summary Page'!$C$4+1)</f>
        <v>#DIV/0!</v>
      </c>
      <c r="AO15" s="7"/>
      <c r="AP15" s="7" t="e">
        <f>((AVERAGE(C15,AO15)*('Summary Page'!$C$2+1))*('Summary Page'!$C$2+1))*('Summary Page'!$C$2+1)</f>
        <v>#DIV/0!</v>
      </c>
      <c r="AQ15" s="7" t="e">
        <f>((AVERAGE(C15,AO15)*('Summary Page'!$C$3+1))*('Summary Page'!$C$3+1))*('Summary Page'!$C$3+1)</f>
        <v>#DIV/0!</v>
      </c>
      <c r="AR15" s="8" t="e">
        <f>((AVERAGE(C15,AO15)*('Summary Page'!$C$4+1))*('Summary Page'!$C$4+1))*('Summary Page'!$C$4+1)</f>
        <v>#DIV/0!</v>
      </c>
      <c r="AU15" s="7"/>
      <c r="AV15" s="7" t="e">
        <f>((AVERAGE(D15,AU15)*('Summary Page'!$C$2+1))*('Summary Page'!$C$2+1))*('Summary Page'!$C$2+1)</f>
        <v>#DIV/0!</v>
      </c>
      <c r="AW15" s="7" t="e">
        <f>((AVERAGE(D15,AU15)*('Summary Page'!$C$3+1))*('Summary Page'!$C$3+1))*('Summary Page'!$C$3+1)</f>
        <v>#DIV/0!</v>
      </c>
      <c r="AX15" s="7" t="e">
        <f>((AVERAGE(D15,AU15)*('Summary Page'!$C$4+1))*('Summary Page'!$C$4+1))*('Summary Page'!$C$4+1)</f>
        <v>#DIV/0!</v>
      </c>
      <c r="BA15" s="7"/>
      <c r="BB15" s="7" t="e">
        <f>((AVERAGE(E15,BA15)*('Summary Page'!$C$2+1))*('Summary Page'!$C$2+1))*('Summary Page'!$C$2+1)</f>
        <v>#DIV/0!</v>
      </c>
      <c r="BC15" s="7" t="e">
        <f>((AVERAGE(E15,BA15)*('Summary Page'!$C$3+1))*('Summary Page'!$C$3+1))*('Summary Page'!$C$3+1)</f>
        <v>#DIV/0!</v>
      </c>
      <c r="BD15" s="8" t="e">
        <f>((AVERAGE(E15,BA15)*('Summary Page'!$C$4+1))*('Summary Page'!$C$4+1))*('Summary Page'!$C$4+1)</f>
        <v>#DIV/0!</v>
      </c>
      <c r="BG15" s="7"/>
      <c r="BH15" s="7" t="e">
        <f>((AVERAGE(F15,BG15)*('Summary Page'!$C$2+1))*('Summary Page'!$C$2+1))*('Summary Page'!$C$2+1)</f>
        <v>#DIV/0!</v>
      </c>
      <c r="BI15" s="7" t="e">
        <f>((AVERAGE(F15,BG15)*('Summary Page'!$C$3+1))*('Summary Page'!$C$3+1))*('Summary Page'!$C$3+1)</f>
        <v>#DIV/0!</v>
      </c>
      <c r="BJ15" s="8" t="e">
        <f>((AVERAGE(F15,BG15)*('Summary Page'!$C$4+1))*('Summary Page'!$C$4+1))*('Summary Page'!$C$4+1)</f>
        <v>#DIV/0!</v>
      </c>
      <c r="BM15" s="7"/>
      <c r="BN15" s="7" t="e">
        <f>((AVERAGE(Q15,BM15)*('Summary Page'!$C$2+1))*('Summary Page'!$C$2+1))*('Summary Page'!$C$2+1)</f>
        <v>#DIV/0!</v>
      </c>
      <c r="BO15" s="7" t="e">
        <f>((AVERAGE(Q15,BM15)*('Summary Page'!$C$3+1))*('Summary Page'!$C$3+1))*('Summary Page'!$C$3+1)</f>
        <v>#DIV/0!</v>
      </c>
      <c r="BP15" s="8" t="e">
        <f>((AVERAGE(Q15,BM15)*('Summary Page'!$C$4+1))*('Summary Page'!$C$4+1))*('Summary Page'!$C$4+1)</f>
        <v>#DIV/0!</v>
      </c>
      <c r="BS15" s="7"/>
      <c r="BT15" s="7" t="e">
        <f>((AVERAGE(T15,BS15)*('Summary Page'!$C$2+1))*('Summary Page'!$C$2+1))*('Summary Page'!$C$2+1)</f>
        <v>#DIV/0!</v>
      </c>
      <c r="BU15" s="7" t="e">
        <f>((AVERAGE(T15,BS15)*('Summary Page'!$C$3+1))*('Summary Page'!$C$3+1))*('Summary Page'!$C$3+1)</f>
        <v>#DIV/0!</v>
      </c>
      <c r="BV15" s="8" t="e">
        <f>((AVERAGE(T15,BS15)*('Summary Page'!$C$4+1))*('Summary Page'!$C$4+1))*('Summary Page'!$C$4+1)</f>
        <v>#DIV/0!</v>
      </c>
      <c r="BW15" s="9"/>
    </row>
    <row r="16" spans="1:162" ht="15.75" x14ac:dyDescent="0.25">
      <c r="A16" s="1">
        <v>43525</v>
      </c>
      <c r="B16" s="14"/>
      <c r="C16" s="14"/>
      <c r="D16" s="7"/>
      <c r="E16" s="14"/>
      <c r="F16" s="14"/>
      <c r="G16" s="229"/>
      <c r="H16" s="7"/>
      <c r="I16" s="7"/>
      <c r="J16" s="7"/>
      <c r="K16" s="230"/>
      <c r="L16" s="7"/>
      <c r="M16" s="7"/>
      <c r="N16" s="7"/>
      <c r="O16" s="7"/>
      <c r="P16" s="7"/>
      <c r="Q16" s="7"/>
      <c r="R16" s="7"/>
      <c r="S16" s="7"/>
      <c r="AA16" s="2"/>
      <c r="AB16" s="2"/>
      <c r="AC16" s="2"/>
      <c r="AD16" s="7" t="e">
        <f>((AVERAGE(AA16,AC16)*('Summary Page'!$C$2+1))*('Summary Page'!$C$2+1))*('Summary Page'!$C$2+1)</f>
        <v>#DIV/0!</v>
      </c>
      <c r="AE16" s="7" t="e">
        <f>((AVERAGE(AA16,AC16)*('Summary Page'!$C$3+1))*('Summary Page'!$C$3+1))*('Summary Page'!$C$3+1)</f>
        <v>#DIV/0!</v>
      </c>
      <c r="AF16" s="7" t="e">
        <f>((AVERAGE(AA16,AC16)*('Summary Page'!$C$4+1))*('Summary Page'!$C$4+1))*('Summary Page'!$C$4+1)</f>
        <v>#DIV/0!</v>
      </c>
      <c r="AI16" s="7"/>
      <c r="AJ16" s="7" t="e">
        <f>((AVERAGE(B16,AI16)*('Summary Page'!$C$2+1))*('Summary Page'!$C$2+1))*('Summary Page'!$C$2+1)</f>
        <v>#DIV/0!</v>
      </c>
      <c r="AK16" s="7" t="e">
        <f>((AVERAGE(B16,AI16)*('Summary Page'!$C$3+1))*('Summary Page'!$C$3+1))*('Summary Page'!$C$3+1)</f>
        <v>#DIV/0!</v>
      </c>
      <c r="AL16" s="8" t="e">
        <f>((AVERAGE(B16,AI16)*('Summary Page'!$C$4+1))*('Summary Page'!$C$4+1))*('Summary Page'!$C$4+1)</f>
        <v>#DIV/0!</v>
      </c>
      <c r="AO16" s="7"/>
      <c r="AP16" s="7" t="e">
        <f>((AVERAGE(C16,AO16)*('Summary Page'!$C$2+1))*('Summary Page'!$C$2+1))*('Summary Page'!$C$2+1)</f>
        <v>#DIV/0!</v>
      </c>
      <c r="AQ16" s="7" t="e">
        <f>((AVERAGE(C16,AO16)*('Summary Page'!$C$3+1))*('Summary Page'!$C$3+1))*('Summary Page'!$C$3+1)</f>
        <v>#DIV/0!</v>
      </c>
      <c r="AR16" s="8" t="e">
        <f>((AVERAGE(C16,AO16)*('Summary Page'!$C$4+1))*('Summary Page'!$C$4+1))*('Summary Page'!$C$4+1)</f>
        <v>#DIV/0!</v>
      </c>
      <c r="AU16" s="7"/>
      <c r="AV16" s="7" t="e">
        <f>((AVERAGE(D16,AU16)*('Summary Page'!$C$2+1))*('Summary Page'!$C$2+1))*('Summary Page'!$C$2+1)</f>
        <v>#DIV/0!</v>
      </c>
      <c r="AW16" s="7" t="e">
        <f>((AVERAGE(D16,AU16)*('Summary Page'!$C$3+1))*('Summary Page'!$C$3+1))*('Summary Page'!$C$3+1)</f>
        <v>#DIV/0!</v>
      </c>
      <c r="AX16" s="7" t="e">
        <f>((AVERAGE(D16,AU16)*('Summary Page'!$C$4+1))*('Summary Page'!$C$4+1))*('Summary Page'!$C$4+1)</f>
        <v>#DIV/0!</v>
      </c>
      <c r="BA16" s="7"/>
      <c r="BB16" s="7" t="e">
        <f>((AVERAGE(E16,BA16)*('Summary Page'!$C$2+1))*('Summary Page'!$C$2+1))*('Summary Page'!$C$2+1)</f>
        <v>#DIV/0!</v>
      </c>
      <c r="BC16" s="7" t="e">
        <f>((AVERAGE(E16,BA16)*('Summary Page'!$C$3+1))*('Summary Page'!$C$3+1))*('Summary Page'!$C$3+1)</f>
        <v>#DIV/0!</v>
      </c>
      <c r="BD16" s="8" t="e">
        <f>((AVERAGE(E16,BA16)*('Summary Page'!$C$4+1))*('Summary Page'!$C$4+1))*('Summary Page'!$C$4+1)</f>
        <v>#DIV/0!</v>
      </c>
      <c r="BG16" s="7"/>
      <c r="BH16" s="7" t="e">
        <f>((AVERAGE(F16,BG16)*('Summary Page'!$C$2+1))*('Summary Page'!$C$2+1))*('Summary Page'!$C$2+1)</f>
        <v>#DIV/0!</v>
      </c>
      <c r="BI16" s="7" t="e">
        <f>((AVERAGE(F16,BG16)*('Summary Page'!$C$3+1))*('Summary Page'!$C$3+1))*('Summary Page'!$C$3+1)</f>
        <v>#DIV/0!</v>
      </c>
      <c r="BJ16" s="8" t="e">
        <f>((AVERAGE(F16,BG16)*('Summary Page'!$C$4+1))*('Summary Page'!$C$4+1))*('Summary Page'!$C$4+1)</f>
        <v>#DIV/0!</v>
      </c>
      <c r="BM16" s="7"/>
      <c r="BN16" s="7" t="e">
        <f>((AVERAGE(Q16,BM16)*('Summary Page'!$C$2+1))*('Summary Page'!$C$2+1))*('Summary Page'!$C$2+1)</f>
        <v>#DIV/0!</v>
      </c>
      <c r="BO16" s="7" t="e">
        <f>((AVERAGE(Q16,BM16)*('Summary Page'!$C$3+1))*('Summary Page'!$C$3+1))*('Summary Page'!$C$3+1)</f>
        <v>#DIV/0!</v>
      </c>
      <c r="BP16" s="8" t="e">
        <f>((AVERAGE(Q16,BM16)*('Summary Page'!$C$4+1))*('Summary Page'!$C$4+1))*('Summary Page'!$C$4+1)</f>
        <v>#DIV/0!</v>
      </c>
      <c r="BS16" s="7"/>
      <c r="BT16" s="7" t="e">
        <f>((AVERAGE(T16,BS16)*('Summary Page'!$C$2+1))*('Summary Page'!$C$2+1))*('Summary Page'!$C$2+1)</f>
        <v>#DIV/0!</v>
      </c>
      <c r="BU16" s="7" t="e">
        <f>((AVERAGE(T16,BS16)*('Summary Page'!$C$3+1))*('Summary Page'!$C$3+1))*('Summary Page'!$C$3+1)</f>
        <v>#DIV/0!</v>
      </c>
      <c r="BV16" s="8" t="e">
        <f>((AVERAGE(T16,BS16)*('Summary Page'!$C$4+1))*('Summary Page'!$C$4+1))*('Summary Page'!$C$4+1)</f>
        <v>#DIV/0!</v>
      </c>
    </row>
    <row r="17" spans="1:86" ht="15.75" x14ac:dyDescent="0.25">
      <c r="A17" s="1">
        <v>43538</v>
      </c>
      <c r="B17" s="14"/>
      <c r="C17" s="14"/>
      <c r="D17" s="7"/>
      <c r="E17" s="14"/>
      <c r="F17" s="14"/>
      <c r="G17" s="229"/>
      <c r="H17" s="7"/>
      <c r="I17" s="7"/>
      <c r="J17" s="7"/>
      <c r="K17" s="230"/>
      <c r="L17" s="7"/>
      <c r="M17" s="7"/>
      <c r="N17" s="7"/>
      <c r="O17" s="7"/>
      <c r="P17" s="7"/>
      <c r="Q17" s="7"/>
      <c r="R17" s="7"/>
      <c r="S17" s="7"/>
      <c r="AA17" s="2"/>
      <c r="AB17" s="2"/>
      <c r="AC17" s="2"/>
      <c r="AD17" s="7" t="e">
        <f>((AVERAGE(AA17,AC17)*('Summary Page'!$C$2+1))*('Summary Page'!$C$2+1))*('Summary Page'!$C$2+1)</f>
        <v>#DIV/0!</v>
      </c>
      <c r="AE17" s="7" t="e">
        <f>((AVERAGE(AA17,AC17)*('Summary Page'!$C$3+1))*('Summary Page'!$C$3+1))*('Summary Page'!$C$3+1)</f>
        <v>#DIV/0!</v>
      </c>
      <c r="AF17" s="7" t="e">
        <f>((AVERAGE(AA17,AC17)*('Summary Page'!$C$4+1))*('Summary Page'!$C$4+1))*('Summary Page'!$C$4+1)</f>
        <v>#DIV/0!</v>
      </c>
      <c r="AI17" s="7"/>
      <c r="AJ17" s="7" t="e">
        <f>((AVERAGE(B17,AI17)*('Summary Page'!$C$2+1))*('Summary Page'!$C$2+1))*('Summary Page'!$C$2+1)</f>
        <v>#DIV/0!</v>
      </c>
      <c r="AK17" s="7" t="e">
        <f>((AVERAGE(B17,AI17)*('Summary Page'!$C$3+1))*('Summary Page'!$C$3+1))*('Summary Page'!$C$3+1)</f>
        <v>#DIV/0!</v>
      </c>
      <c r="AL17" s="8" t="e">
        <f>((AVERAGE(B17,AI17)*('Summary Page'!$C$4+1))*('Summary Page'!$C$4+1))*('Summary Page'!$C$4+1)</f>
        <v>#DIV/0!</v>
      </c>
      <c r="AO17" s="7"/>
      <c r="AP17" s="7" t="e">
        <f>((AVERAGE(C17,AO17)*('Summary Page'!$C$2+1))*('Summary Page'!$C$2+1))*('Summary Page'!$C$2+1)</f>
        <v>#DIV/0!</v>
      </c>
      <c r="AQ17" s="7" t="e">
        <f>((AVERAGE(C17,AO17)*('Summary Page'!$C$3+1))*('Summary Page'!$C$3+1))*('Summary Page'!$C$3+1)</f>
        <v>#DIV/0!</v>
      </c>
      <c r="AR17" s="8" t="e">
        <f>((AVERAGE(C17,AO17)*('Summary Page'!$C$4+1))*('Summary Page'!$C$4+1))*('Summary Page'!$C$4+1)</f>
        <v>#DIV/0!</v>
      </c>
      <c r="AU17" s="7"/>
      <c r="AV17" s="7" t="e">
        <f>((AVERAGE(D17,AU17)*('Summary Page'!$C$2+1))*('Summary Page'!$C$2+1))*('Summary Page'!$C$2+1)</f>
        <v>#DIV/0!</v>
      </c>
      <c r="AW17" s="7" t="e">
        <f>((AVERAGE(D17,AU17)*('Summary Page'!$C$3+1))*('Summary Page'!$C$3+1))*('Summary Page'!$C$3+1)</f>
        <v>#DIV/0!</v>
      </c>
      <c r="AX17" s="7" t="e">
        <f>((AVERAGE(D17,AU17)*('Summary Page'!$C$4+1))*('Summary Page'!$C$4+1))*('Summary Page'!$C$4+1)</f>
        <v>#DIV/0!</v>
      </c>
      <c r="BA17" s="7"/>
      <c r="BB17" s="7" t="e">
        <f>((AVERAGE(E17,BA17)*('Summary Page'!$C$2+1))*('Summary Page'!$C$2+1))*('Summary Page'!$C$2+1)</f>
        <v>#DIV/0!</v>
      </c>
      <c r="BC17" s="7" t="e">
        <f>((AVERAGE(E17,BA17)*('Summary Page'!$C$3+1))*('Summary Page'!$C$3+1))*('Summary Page'!$C$3+1)</f>
        <v>#DIV/0!</v>
      </c>
      <c r="BD17" s="8" t="e">
        <f>((AVERAGE(E17,BA17)*('Summary Page'!$C$4+1))*('Summary Page'!$C$4+1))*('Summary Page'!$C$4+1)</f>
        <v>#DIV/0!</v>
      </c>
      <c r="BG17" s="7"/>
      <c r="BH17" s="7" t="e">
        <f>((AVERAGE(F17,BG17)*('Summary Page'!$C$2+1))*('Summary Page'!$C$2+1))*('Summary Page'!$C$2+1)</f>
        <v>#DIV/0!</v>
      </c>
      <c r="BI17" s="7" t="e">
        <f>((AVERAGE(F17,BG17)*('Summary Page'!$C$3+1))*('Summary Page'!$C$3+1))*('Summary Page'!$C$3+1)</f>
        <v>#DIV/0!</v>
      </c>
      <c r="BJ17" s="8" t="e">
        <f>((AVERAGE(F17,BG17)*('Summary Page'!$C$4+1))*('Summary Page'!$C$4+1))*('Summary Page'!$C$4+1)</f>
        <v>#DIV/0!</v>
      </c>
      <c r="BM17" s="7"/>
      <c r="BN17" s="7" t="e">
        <f>((AVERAGE(Q17,BM17)*('Summary Page'!$C$2+1))*('Summary Page'!$C$2+1))*('Summary Page'!$C$2+1)</f>
        <v>#DIV/0!</v>
      </c>
      <c r="BO17" s="7" t="e">
        <f>((AVERAGE(Q17,BM17)*('Summary Page'!$C$3+1))*('Summary Page'!$C$3+1))*('Summary Page'!$C$3+1)</f>
        <v>#DIV/0!</v>
      </c>
      <c r="BP17" s="8" t="e">
        <f>((AVERAGE(Q17,BM17)*('Summary Page'!$C$4+1))*('Summary Page'!$C$4+1))*('Summary Page'!$C$4+1)</f>
        <v>#DIV/0!</v>
      </c>
      <c r="BS17" s="7"/>
      <c r="BT17" s="7" t="e">
        <f>((AVERAGE(T17,BS17)*('Summary Page'!$C$2+1))*('Summary Page'!$C$2+1))*('Summary Page'!$C$2+1)</f>
        <v>#DIV/0!</v>
      </c>
      <c r="BU17" s="7" t="e">
        <f>((AVERAGE(T17,BS17)*('Summary Page'!$C$3+1))*('Summary Page'!$C$3+1))*('Summary Page'!$C$3+1)</f>
        <v>#DIV/0!</v>
      </c>
      <c r="BV17" s="8" t="e">
        <f>((AVERAGE(T17,BS17)*('Summary Page'!$C$4+1))*('Summary Page'!$C$4+1))*('Summary Page'!$C$4+1)</f>
        <v>#DIV/0!</v>
      </c>
    </row>
    <row r="18" spans="1:86" ht="15.75" x14ac:dyDescent="0.25">
      <c r="A18" s="1">
        <v>43556</v>
      </c>
      <c r="B18" s="14"/>
      <c r="C18" s="14"/>
      <c r="D18" s="7"/>
      <c r="E18" s="14"/>
      <c r="F18" s="14"/>
      <c r="G18" s="229"/>
      <c r="H18" s="7"/>
      <c r="I18" s="7"/>
      <c r="J18" s="7"/>
      <c r="K18" s="230"/>
      <c r="L18" s="7"/>
      <c r="M18" s="7"/>
      <c r="N18" s="7"/>
      <c r="O18" s="7"/>
      <c r="P18" s="7"/>
      <c r="Q18" s="7"/>
      <c r="R18" s="7"/>
      <c r="S18" s="7"/>
      <c r="AA18" s="2"/>
      <c r="AB18" s="2"/>
      <c r="AC18" s="2"/>
      <c r="AD18" s="7" t="e">
        <f>((AVERAGE(AA18,AC18)*('Summary Page'!$C$2+1))*('Summary Page'!$C$2+1))*('Summary Page'!$C$2+1)</f>
        <v>#DIV/0!</v>
      </c>
      <c r="AE18" s="7" t="e">
        <f>((AVERAGE(AA18,AC18)*('Summary Page'!$C$3+1))*('Summary Page'!$C$3+1))*('Summary Page'!$C$3+1)</f>
        <v>#DIV/0!</v>
      </c>
      <c r="AF18" s="7" t="e">
        <f>((AVERAGE(AA18,AC18)*('Summary Page'!$C$4+1))*('Summary Page'!$C$4+1))*('Summary Page'!$C$4+1)</f>
        <v>#DIV/0!</v>
      </c>
      <c r="AI18" s="7"/>
      <c r="AJ18" s="7" t="e">
        <f>((AVERAGE(B18,AI18)*('Summary Page'!$C$2+1))*('Summary Page'!$C$2+1))*('Summary Page'!$C$2+1)</f>
        <v>#DIV/0!</v>
      </c>
      <c r="AK18" s="7" t="e">
        <f>((AVERAGE(B18,AI18)*('Summary Page'!$C$3+1))*('Summary Page'!$C$3+1))*('Summary Page'!$C$3+1)</f>
        <v>#DIV/0!</v>
      </c>
      <c r="AL18" s="8" t="e">
        <f>((AVERAGE(B18,AI18)*('Summary Page'!$C$4+1))*('Summary Page'!$C$4+1))*('Summary Page'!$C$4+1)</f>
        <v>#DIV/0!</v>
      </c>
      <c r="AO18" s="7"/>
      <c r="AP18" s="7" t="e">
        <f>((AVERAGE(C18,AO18)*('Summary Page'!$C$2+1))*('Summary Page'!$C$2+1))*('Summary Page'!$C$2+1)</f>
        <v>#DIV/0!</v>
      </c>
      <c r="AQ18" s="7" t="e">
        <f>((AVERAGE(C18,AO18)*('Summary Page'!$C$3+1))*('Summary Page'!$C$3+1))*('Summary Page'!$C$3+1)</f>
        <v>#DIV/0!</v>
      </c>
      <c r="AR18" s="8" t="e">
        <f>((AVERAGE(C18,AO18)*('Summary Page'!$C$4+1))*('Summary Page'!$C$4+1))*('Summary Page'!$C$4+1)</f>
        <v>#DIV/0!</v>
      </c>
      <c r="AU18" s="7"/>
      <c r="AV18" s="7" t="e">
        <f>((AVERAGE(D18,AU18)*('Summary Page'!$C$2+1))*('Summary Page'!$C$2+1))*('Summary Page'!$C$2+1)</f>
        <v>#DIV/0!</v>
      </c>
      <c r="AW18" s="7" t="e">
        <f>((AVERAGE(D18,AU18)*('Summary Page'!$C$3+1))*('Summary Page'!$C$3+1))*('Summary Page'!$C$3+1)</f>
        <v>#DIV/0!</v>
      </c>
      <c r="AX18" s="7" t="e">
        <f>((AVERAGE(D18,AU18)*('Summary Page'!$C$4+1))*('Summary Page'!$C$4+1))*('Summary Page'!$C$4+1)</f>
        <v>#DIV/0!</v>
      </c>
      <c r="BA18" s="7"/>
      <c r="BB18" s="7" t="e">
        <f>((AVERAGE(E18,BA18)*('Summary Page'!$C$2+1))*('Summary Page'!$C$2+1))*('Summary Page'!$C$2+1)</f>
        <v>#DIV/0!</v>
      </c>
      <c r="BC18" s="7" t="e">
        <f>((AVERAGE(E18,BA18)*('Summary Page'!$C$3+1))*('Summary Page'!$C$3+1))*('Summary Page'!$C$3+1)</f>
        <v>#DIV/0!</v>
      </c>
      <c r="BD18" s="8" t="e">
        <f>((AVERAGE(E18,BA18)*('Summary Page'!$C$4+1))*('Summary Page'!$C$4+1))*('Summary Page'!$C$4+1)</f>
        <v>#DIV/0!</v>
      </c>
      <c r="BG18" s="7"/>
      <c r="BH18" s="7" t="e">
        <f>((AVERAGE(F18,BG18)*('Summary Page'!$C$2+1))*('Summary Page'!$C$2+1))*('Summary Page'!$C$2+1)</f>
        <v>#DIV/0!</v>
      </c>
      <c r="BI18" s="7" t="e">
        <f>((AVERAGE(F18,BG18)*('Summary Page'!$C$3+1))*('Summary Page'!$C$3+1))*('Summary Page'!$C$3+1)</f>
        <v>#DIV/0!</v>
      </c>
      <c r="BJ18" s="8" t="e">
        <f>((AVERAGE(F18,BG18)*('Summary Page'!$C$4+1))*('Summary Page'!$C$4+1))*('Summary Page'!$C$4+1)</f>
        <v>#DIV/0!</v>
      </c>
      <c r="BM18" s="7"/>
      <c r="BN18" s="7" t="e">
        <f>((AVERAGE(Q18,BM18)*('Summary Page'!$C$2+1))*('Summary Page'!$C$2+1))*('Summary Page'!$C$2+1)</f>
        <v>#DIV/0!</v>
      </c>
      <c r="BO18" s="7" t="e">
        <f>((AVERAGE(Q18,BM18)*('Summary Page'!$C$3+1))*('Summary Page'!$C$3+1))*('Summary Page'!$C$3+1)</f>
        <v>#DIV/0!</v>
      </c>
      <c r="BP18" s="8" t="e">
        <f>((AVERAGE(Q18,BM18)*('Summary Page'!$C$4+1))*('Summary Page'!$C$4+1))*('Summary Page'!$C$4+1)</f>
        <v>#DIV/0!</v>
      </c>
      <c r="BS18" s="7"/>
      <c r="BT18" s="7" t="e">
        <f>((AVERAGE(T18,BS18)*('Summary Page'!$C$2+1))*('Summary Page'!$C$2+1))*('Summary Page'!$C$2+1)</f>
        <v>#DIV/0!</v>
      </c>
      <c r="BU18" s="7" t="e">
        <f>((AVERAGE(T18,BS18)*('Summary Page'!$C$3+1))*('Summary Page'!$C$3+1))*('Summary Page'!$C$3+1)</f>
        <v>#DIV/0!</v>
      </c>
      <c r="BV18" s="8" t="e">
        <f>((AVERAGE(T18,BS18)*('Summary Page'!$C$4+1))*('Summary Page'!$C$4+1))*('Summary Page'!$C$4+1)</f>
        <v>#DIV/0!</v>
      </c>
    </row>
    <row r="19" spans="1:86" ht="15.75" x14ac:dyDescent="0.25">
      <c r="A19" s="1">
        <v>43570</v>
      </c>
      <c r="B19" s="14"/>
      <c r="C19" s="14"/>
      <c r="D19" s="7"/>
      <c r="E19" s="14"/>
      <c r="F19" s="14"/>
      <c r="G19" s="229"/>
      <c r="H19" s="7"/>
      <c r="I19" s="7"/>
      <c r="J19" s="7"/>
      <c r="K19" s="230"/>
      <c r="L19" s="7"/>
      <c r="M19" s="7"/>
      <c r="N19" s="7"/>
      <c r="O19" s="7"/>
      <c r="P19" s="7"/>
      <c r="Q19" s="7"/>
      <c r="R19" s="7"/>
      <c r="S19" s="7"/>
      <c r="AA19" s="2"/>
      <c r="AB19" s="2"/>
      <c r="AC19" s="2"/>
      <c r="AD19" s="7" t="e">
        <f>((AVERAGE(AA19,AC19)*('Summary Page'!$C$2+1))*('Summary Page'!$C$2+1))*('Summary Page'!$C$2+1)</f>
        <v>#DIV/0!</v>
      </c>
      <c r="AE19" s="7" t="e">
        <f>((AVERAGE(AA19,AC19)*('Summary Page'!$C$3+1))*('Summary Page'!$C$3+1))*('Summary Page'!$C$3+1)</f>
        <v>#DIV/0!</v>
      </c>
      <c r="AF19" s="7" t="e">
        <f>((AVERAGE(AA19,AC19)*('Summary Page'!$C$4+1))*('Summary Page'!$C$4+1))*('Summary Page'!$C$4+1)</f>
        <v>#DIV/0!</v>
      </c>
      <c r="AI19" s="7"/>
      <c r="AJ19" s="7" t="e">
        <f>((AVERAGE(B19,AI19)*('Summary Page'!$C$2+1))*('Summary Page'!$C$2+1))*('Summary Page'!$C$2+1)</f>
        <v>#DIV/0!</v>
      </c>
      <c r="AK19" s="7" t="e">
        <f>((AVERAGE(B19,AI19)*('Summary Page'!$C$3+1))*('Summary Page'!$C$3+1))*('Summary Page'!$C$3+1)</f>
        <v>#DIV/0!</v>
      </c>
      <c r="AL19" s="8" t="e">
        <f>((AVERAGE(B19,AI19)*('Summary Page'!$C$4+1))*('Summary Page'!$C$4+1))*('Summary Page'!$C$4+1)</f>
        <v>#DIV/0!</v>
      </c>
      <c r="AO19" s="7"/>
      <c r="AP19" s="7" t="e">
        <f>((AVERAGE(C19,AO19)*('Summary Page'!$C$2+1))*('Summary Page'!$C$2+1))*('Summary Page'!$C$2+1)</f>
        <v>#DIV/0!</v>
      </c>
      <c r="AQ19" s="7" t="e">
        <f>((AVERAGE(C19,AO19)*('Summary Page'!$C$3+1))*('Summary Page'!$C$3+1))*('Summary Page'!$C$3+1)</f>
        <v>#DIV/0!</v>
      </c>
      <c r="AR19" s="8" t="e">
        <f>((AVERAGE(C19,AO19)*('Summary Page'!$C$4+1))*('Summary Page'!$C$4+1))*('Summary Page'!$C$4+1)</f>
        <v>#DIV/0!</v>
      </c>
      <c r="AU19" s="7"/>
      <c r="AV19" s="7" t="e">
        <f>((AVERAGE(D19,AU19)*('Summary Page'!$C$2+1))*('Summary Page'!$C$2+1))*('Summary Page'!$C$2+1)</f>
        <v>#DIV/0!</v>
      </c>
      <c r="AW19" s="7" t="e">
        <f>((AVERAGE(D19,AU19)*('Summary Page'!$C$3+1))*('Summary Page'!$C$3+1))*('Summary Page'!$C$3+1)</f>
        <v>#DIV/0!</v>
      </c>
      <c r="AX19" s="7" t="e">
        <f>((AVERAGE(D19,AU19)*('Summary Page'!$C$4+1))*('Summary Page'!$C$4+1))*('Summary Page'!$C$4+1)</f>
        <v>#DIV/0!</v>
      </c>
      <c r="BA19" s="7"/>
      <c r="BB19" s="7" t="e">
        <f>((AVERAGE(E19,BA19)*('Summary Page'!$C$2+1))*('Summary Page'!$C$2+1))*('Summary Page'!$C$2+1)</f>
        <v>#DIV/0!</v>
      </c>
      <c r="BC19" s="7" t="e">
        <f>((AVERAGE(E19,BA19)*('Summary Page'!$C$3+1))*('Summary Page'!$C$3+1))*('Summary Page'!$C$3+1)</f>
        <v>#DIV/0!</v>
      </c>
      <c r="BD19" s="8" t="e">
        <f>((AVERAGE(E19,BA19)*('Summary Page'!$C$4+1))*('Summary Page'!$C$4+1))*('Summary Page'!$C$4+1)</f>
        <v>#DIV/0!</v>
      </c>
      <c r="BG19" s="7"/>
      <c r="BH19" s="7" t="e">
        <f>((AVERAGE(F19,BG19)*('Summary Page'!$C$2+1))*('Summary Page'!$C$2+1))*('Summary Page'!$C$2+1)</f>
        <v>#DIV/0!</v>
      </c>
      <c r="BI19" s="7" t="e">
        <f>((AVERAGE(F19,BG19)*('Summary Page'!$C$3+1))*('Summary Page'!$C$3+1))*('Summary Page'!$C$3+1)</f>
        <v>#DIV/0!</v>
      </c>
      <c r="BJ19" s="8" t="e">
        <f>((AVERAGE(F19,BG19)*('Summary Page'!$C$4+1))*('Summary Page'!$C$4+1))*('Summary Page'!$C$4+1)</f>
        <v>#DIV/0!</v>
      </c>
      <c r="BM19" s="7"/>
      <c r="BN19" s="7" t="e">
        <f>((AVERAGE(Q19,BM19)*('Summary Page'!$C$2+1))*('Summary Page'!$C$2+1))*('Summary Page'!$C$2+1)</f>
        <v>#DIV/0!</v>
      </c>
      <c r="BO19" s="7" t="e">
        <f>((AVERAGE(Q19,BM19)*('Summary Page'!$C$3+1))*('Summary Page'!$C$3+1))*('Summary Page'!$C$3+1)</f>
        <v>#DIV/0!</v>
      </c>
      <c r="BP19" s="8" t="e">
        <f>((AVERAGE(Q19,BM19)*('Summary Page'!$C$4+1))*('Summary Page'!$C$4+1))*('Summary Page'!$C$4+1)</f>
        <v>#DIV/0!</v>
      </c>
      <c r="BS19" s="7"/>
      <c r="BT19" s="7" t="e">
        <f>((AVERAGE(T19,BS19)*('Summary Page'!$C$2+1))*('Summary Page'!$C$2+1))*('Summary Page'!$C$2+1)</f>
        <v>#DIV/0!</v>
      </c>
      <c r="BU19" s="7" t="e">
        <f>((AVERAGE(T19,BS19)*('Summary Page'!$C$3+1))*('Summary Page'!$C$3+1))*('Summary Page'!$C$3+1)</f>
        <v>#DIV/0!</v>
      </c>
      <c r="BV19" s="8" t="e">
        <f>((AVERAGE(T19,BS19)*('Summary Page'!$C$4+1))*('Summary Page'!$C$4+1))*('Summary Page'!$C$4+1)</f>
        <v>#DIV/0!</v>
      </c>
    </row>
    <row r="20" spans="1:86" ht="15.75" x14ac:dyDescent="0.25">
      <c r="A20" s="1">
        <v>43586</v>
      </c>
      <c r="B20" s="14"/>
      <c r="C20" s="14"/>
      <c r="D20" s="7"/>
      <c r="E20" s="14"/>
      <c r="F20" s="14"/>
      <c r="G20" s="229"/>
      <c r="H20" s="7"/>
      <c r="I20" s="7"/>
      <c r="J20" s="7"/>
      <c r="K20" s="230"/>
      <c r="L20" s="7"/>
      <c r="M20" s="7"/>
      <c r="N20" s="7"/>
      <c r="O20" s="7"/>
      <c r="P20" s="7"/>
      <c r="Q20" s="7"/>
      <c r="R20" s="7"/>
      <c r="S20" s="7"/>
      <c r="AA20" s="2"/>
      <c r="AB20" s="2"/>
      <c r="AC20" s="2"/>
      <c r="AD20" s="7" t="e">
        <f>((AVERAGE(AA20,AC20)*('Summary Page'!$C$2+1))*('Summary Page'!$C$2+1))*('Summary Page'!$C$2+1)</f>
        <v>#DIV/0!</v>
      </c>
      <c r="AE20" s="7" t="e">
        <f>((AVERAGE(AA20,AC20)*('Summary Page'!$C$3+1))*('Summary Page'!$C$3+1))*('Summary Page'!$C$3+1)</f>
        <v>#DIV/0!</v>
      </c>
      <c r="AF20" s="7" t="e">
        <f>((AVERAGE(AA20,AC20)*('Summary Page'!$C$4+1))*('Summary Page'!$C$4+1))*('Summary Page'!$C$4+1)</f>
        <v>#DIV/0!</v>
      </c>
      <c r="AI20" s="7"/>
      <c r="AJ20" s="7" t="e">
        <f>((AVERAGE(B20,AI20)*('Summary Page'!$C$2+1))*('Summary Page'!$C$2+1))*('Summary Page'!$C$2+1)</f>
        <v>#DIV/0!</v>
      </c>
      <c r="AK20" s="7" t="e">
        <f>((AVERAGE(B20,AI20)*('Summary Page'!$C$3+1))*('Summary Page'!$C$3+1))*('Summary Page'!$C$3+1)</f>
        <v>#DIV/0!</v>
      </c>
      <c r="AL20" s="8" t="e">
        <f>((AVERAGE(B20,AI20)*('Summary Page'!$C$4+1))*('Summary Page'!$C$4+1))*('Summary Page'!$C$4+1)</f>
        <v>#DIV/0!</v>
      </c>
      <c r="AO20" s="7"/>
      <c r="AP20" s="7" t="e">
        <f>((AVERAGE(C20,AO20)*('Summary Page'!$C$2+1))*('Summary Page'!$C$2+1))*('Summary Page'!$C$2+1)</f>
        <v>#DIV/0!</v>
      </c>
      <c r="AQ20" s="7" t="e">
        <f>((AVERAGE(C20,AO20)*('Summary Page'!$C$3+1))*('Summary Page'!$C$3+1))*('Summary Page'!$C$3+1)</f>
        <v>#DIV/0!</v>
      </c>
      <c r="AR20" s="8" t="e">
        <f>((AVERAGE(C20,AO20)*('Summary Page'!$C$4+1))*('Summary Page'!$C$4+1))*('Summary Page'!$C$4+1)</f>
        <v>#DIV/0!</v>
      </c>
      <c r="AU20" s="7"/>
      <c r="AV20" s="7" t="e">
        <f>((AVERAGE(D20,AU20)*('Summary Page'!$C$2+1))*('Summary Page'!$C$2+1))*('Summary Page'!$C$2+1)</f>
        <v>#DIV/0!</v>
      </c>
      <c r="AW20" s="7" t="e">
        <f>((AVERAGE(D20,AU20)*('Summary Page'!$C$3+1))*('Summary Page'!$C$3+1))*('Summary Page'!$C$3+1)</f>
        <v>#DIV/0!</v>
      </c>
      <c r="AX20" s="7" t="e">
        <f>((AVERAGE(D20,AU20)*('Summary Page'!$C$4+1))*('Summary Page'!$C$4+1))*('Summary Page'!$C$4+1)</f>
        <v>#DIV/0!</v>
      </c>
      <c r="BA20" s="7"/>
      <c r="BB20" s="7" t="e">
        <f>((AVERAGE(E20,BA20)*('Summary Page'!$C$2+1))*('Summary Page'!$C$2+1))*('Summary Page'!$C$2+1)</f>
        <v>#DIV/0!</v>
      </c>
      <c r="BC20" s="7" t="e">
        <f>((AVERAGE(E20,BA20)*('Summary Page'!$C$3+1))*('Summary Page'!$C$3+1))*('Summary Page'!$C$3+1)</f>
        <v>#DIV/0!</v>
      </c>
      <c r="BD20" s="8" t="e">
        <f>((AVERAGE(E20,BA20)*('Summary Page'!$C$4+1))*('Summary Page'!$C$4+1))*('Summary Page'!$C$4+1)</f>
        <v>#DIV/0!</v>
      </c>
      <c r="BG20" s="7"/>
      <c r="BH20" s="7" t="e">
        <f>((AVERAGE(F20,BG20)*('Summary Page'!$C$2+1))*('Summary Page'!$C$2+1))*('Summary Page'!$C$2+1)</f>
        <v>#DIV/0!</v>
      </c>
      <c r="BI20" s="7" t="e">
        <f>((AVERAGE(F20,BG20)*('Summary Page'!$C$3+1))*('Summary Page'!$C$3+1))*('Summary Page'!$C$3+1)</f>
        <v>#DIV/0!</v>
      </c>
      <c r="BJ20" s="8" t="e">
        <f>((AVERAGE(F20,BG20)*('Summary Page'!$C$4+1))*('Summary Page'!$C$4+1))*('Summary Page'!$C$4+1)</f>
        <v>#DIV/0!</v>
      </c>
      <c r="BM20" s="7"/>
      <c r="BN20" s="7" t="e">
        <f>((AVERAGE(Q20,BM20)*('Summary Page'!$C$2+1))*('Summary Page'!$C$2+1))*('Summary Page'!$C$2+1)</f>
        <v>#DIV/0!</v>
      </c>
      <c r="BO20" s="7" t="e">
        <f>((AVERAGE(Q20,BM20)*('Summary Page'!$C$3+1))*('Summary Page'!$C$3+1))*('Summary Page'!$C$3+1)</f>
        <v>#DIV/0!</v>
      </c>
      <c r="BP20" s="8" t="e">
        <f>((AVERAGE(Q20,BM20)*('Summary Page'!$C$4+1))*('Summary Page'!$C$4+1))*('Summary Page'!$C$4+1)</f>
        <v>#DIV/0!</v>
      </c>
      <c r="BS20" s="7"/>
      <c r="BT20" s="7" t="e">
        <f>((AVERAGE(T20,BS20)*('Summary Page'!$C$2+1))*('Summary Page'!$C$2+1))*('Summary Page'!$C$2+1)</f>
        <v>#DIV/0!</v>
      </c>
      <c r="BU20" s="7" t="e">
        <f>((AVERAGE(T20,BS20)*('Summary Page'!$C$3+1))*('Summary Page'!$C$3+1))*('Summary Page'!$C$3+1)</f>
        <v>#DIV/0!</v>
      </c>
      <c r="BV20" s="8" t="e">
        <f>((AVERAGE(T20,BS20)*('Summary Page'!$C$4+1))*('Summary Page'!$C$4+1))*('Summary Page'!$C$4+1)</f>
        <v>#DIV/0!</v>
      </c>
    </row>
    <row r="21" spans="1:86" ht="15.75" x14ac:dyDescent="0.25">
      <c r="A21" s="1">
        <v>43599</v>
      </c>
      <c r="B21" s="14"/>
      <c r="C21" s="14"/>
      <c r="D21" s="7"/>
      <c r="E21" s="14"/>
      <c r="F21" s="14"/>
      <c r="G21" s="229"/>
      <c r="H21" s="7"/>
      <c r="I21" s="7"/>
      <c r="J21" s="7"/>
      <c r="K21" s="230"/>
      <c r="L21" s="7"/>
      <c r="M21" s="7"/>
      <c r="N21" s="7"/>
      <c r="O21" s="7"/>
      <c r="P21" s="7"/>
      <c r="Q21" s="7"/>
      <c r="R21" s="7"/>
      <c r="S21" s="7"/>
      <c r="AA21" s="2"/>
      <c r="AB21" s="2"/>
      <c r="AC21" s="2"/>
      <c r="AD21" s="7" t="e">
        <f>((AVERAGE(AA21,AC21)*('Summary Page'!$C$2+1))*('Summary Page'!$C$2+1))*('Summary Page'!$C$2+1)</f>
        <v>#DIV/0!</v>
      </c>
      <c r="AE21" s="7" t="e">
        <f>((AVERAGE(AA21,AC21)*('Summary Page'!$C$3+1))*('Summary Page'!$C$3+1))*('Summary Page'!$C$3+1)</f>
        <v>#DIV/0!</v>
      </c>
      <c r="AF21" s="7" t="e">
        <f>((AVERAGE(AA21,AC21)*('Summary Page'!$C$4+1))*('Summary Page'!$C$4+1))*('Summary Page'!$C$4+1)</f>
        <v>#DIV/0!</v>
      </c>
      <c r="AI21" s="7"/>
      <c r="AJ21" s="7" t="e">
        <f>((AVERAGE(B21,AI21)*('Summary Page'!$C$2+1))*('Summary Page'!$C$2+1))*('Summary Page'!$C$2+1)</f>
        <v>#DIV/0!</v>
      </c>
      <c r="AK21" s="7" t="e">
        <f>((AVERAGE(B21,AI21)*('Summary Page'!$C$3+1))*('Summary Page'!$C$3+1))*('Summary Page'!$C$3+1)</f>
        <v>#DIV/0!</v>
      </c>
      <c r="AL21" s="8" t="e">
        <f>((AVERAGE(B21,AI21)*('Summary Page'!$C$4+1))*('Summary Page'!$C$4+1))*('Summary Page'!$C$4+1)</f>
        <v>#DIV/0!</v>
      </c>
      <c r="AO21" s="7"/>
      <c r="AP21" s="7" t="e">
        <f>((AVERAGE(C21,AO21)*('Summary Page'!$C$2+1))*('Summary Page'!$C$2+1))*('Summary Page'!$C$2+1)</f>
        <v>#DIV/0!</v>
      </c>
      <c r="AQ21" s="7" t="e">
        <f>((AVERAGE(C21,AO21)*('Summary Page'!$C$3+1))*('Summary Page'!$C$3+1))*('Summary Page'!$C$3+1)</f>
        <v>#DIV/0!</v>
      </c>
      <c r="AR21" s="8" t="e">
        <f>((AVERAGE(C21,AO21)*('Summary Page'!$C$4+1))*('Summary Page'!$C$4+1))*('Summary Page'!$C$4+1)</f>
        <v>#DIV/0!</v>
      </c>
      <c r="AU21" s="7"/>
      <c r="AV21" s="7" t="e">
        <f>((AVERAGE(D21,AU21)*('Summary Page'!$C$2+1))*('Summary Page'!$C$2+1))*('Summary Page'!$C$2+1)</f>
        <v>#DIV/0!</v>
      </c>
      <c r="AW21" s="7" t="e">
        <f>((AVERAGE(D21,AU21)*('Summary Page'!$C$3+1))*('Summary Page'!$C$3+1))*('Summary Page'!$C$3+1)</f>
        <v>#DIV/0!</v>
      </c>
      <c r="AX21" s="7" t="e">
        <f>((AVERAGE(D21,AU21)*('Summary Page'!$C$4+1))*('Summary Page'!$C$4+1))*('Summary Page'!$C$4+1)</f>
        <v>#DIV/0!</v>
      </c>
      <c r="BA21" s="7"/>
      <c r="BB21" s="7" t="e">
        <f>((AVERAGE(E21,BA21)*('Summary Page'!$C$2+1))*('Summary Page'!$C$2+1))*('Summary Page'!$C$2+1)</f>
        <v>#DIV/0!</v>
      </c>
      <c r="BC21" s="7" t="e">
        <f>((AVERAGE(E21,BA21)*('Summary Page'!$C$3+1))*('Summary Page'!$C$3+1))*('Summary Page'!$C$3+1)</f>
        <v>#DIV/0!</v>
      </c>
      <c r="BD21" s="8" t="e">
        <f>((AVERAGE(E21,BA21)*('Summary Page'!$C$4+1))*('Summary Page'!$C$4+1))*('Summary Page'!$C$4+1)</f>
        <v>#DIV/0!</v>
      </c>
      <c r="BG21" s="7"/>
      <c r="BH21" s="7" t="e">
        <f>((AVERAGE(F21,BG21)*('Summary Page'!$C$2+1))*('Summary Page'!$C$2+1))*('Summary Page'!$C$2+1)</f>
        <v>#DIV/0!</v>
      </c>
      <c r="BI21" s="7" t="e">
        <f>((AVERAGE(F21,BG21)*('Summary Page'!$C$3+1))*('Summary Page'!$C$3+1))*('Summary Page'!$C$3+1)</f>
        <v>#DIV/0!</v>
      </c>
      <c r="BJ21" s="8" t="e">
        <f>((AVERAGE(F21,BG21)*('Summary Page'!$C$4+1))*('Summary Page'!$C$4+1))*('Summary Page'!$C$4+1)</f>
        <v>#DIV/0!</v>
      </c>
      <c r="BM21" s="7"/>
      <c r="BN21" s="7" t="e">
        <f>((AVERAGE(Q21,BM21)*('Summary Page'!$C$2+1))*('Summary Page'!$C$2+1))*('Summary Page'!$C$2+1)</f>
        <v>#DIV/0!</v>
      </c>
      <c r="BO21" s="7" t="e">
        <f>((AVERAGE(Q21,BM21)*('Summary Page'!$C$3+1))*('Summary Page'!$C$3+1))*('Summary Page'!$C$3+1)</f>
        <v>#DIV/0!</v>
      </c>
      <c r="BP21" s="8" t="e">
        <f>((AVERAGE(Q21,BM21)*('Summary Page'!$C$4+1))*('Summary Page'!$C$4+1))*('Summary Page'!$C$4+1)</f>
        <v>#DIV/0!</v>
      </c>
      <c r="BS21" s="7"/>
      <c r="BT21" s="7" t="e">
        <f>((AVERAGE(T21,BS21)*('Summary Page'!$C$2+1))*('Summary Page'!$C$2+1))*('Summary Page'!$C$2+1)</f>
        <v>#DIV/0!</v>
      </c>
      <c r="BU21" s="7" t="e">
        <f>((AVERAGE(T21,BS21)*('Summary Page'!$C$3+1))*('Summary Page'!$C$3+1))*('Summary Page'!$C$3+1)</f>
        <v>#DIV/0!</v>
      </c>
      <c r="BV21" s="8" t="e">
        <f>((AVERAGE(T21,BS21)*('Summary Page'!$C$4+1))*('Summary Page'!$C$4+1))*('Summary Page'!$C$4+1)</f>
        <v>#DIV/0!</v>
      </c>
    </row>
    <row r="22" spans="1:86" ht="15.75" x14ac:dyDescent="0.25">
      <c r="A22" s="1">
        <v>43617</v>
      </c>
      <c r="B22" s="14"/>
      <c r="C22" s="14"/>
      <c r="D22" s="7"/>
      <c r="E22" s="14"/>
      <c r="F22" s="14"/>
      <c r="G22" s="229"/>
      <c r="H22" s="7"/>
      <c r="I22" s="7"/>
      <c r="J22" s="7"/>
      <c r="K22" s="230"/>
      <c r="L22" s="7"/>
      <c r="M22" s="7"/>
      <c r="N22" s="7"/>
      <c r="O22" s="7"/>
      <c r="P22" s="7"/>
      <c r="Q22" s="7"/>
      <c r="R22" s="7"/>
      <c r="S22" s="7"/>
      <c r="AA22" s="2"/>
      <c r="AB22" s="2"/>
      <c r="AC22" s="2"/>
      <c r="AD22" s="7" t="e">
        <f>((AVERAGE(AA22,AC22)*('Summary Page'!$C$2+1))*('Summary Page'!$C$2+1))*('Summary Page'!$C$2+1)</f>
        <v>#DIV/0!</v>
      </c>
      <c r="AE22" s="7" t="e">
        <f>((AVERAGE(AA22,AC22)*('Summary Page'!$C$3+1))*('Summary Page'!$C$3+1))*('Summary Page'!$C$3+1)</f>
        <v>#DIV/0!</v>
      </c>
      <c r="AF22" s="7" t="e">
        <f>((AVERAGE(AA22,AC22)*('Summary Page'!$C$4+1))*('Summary Page'!$C$4+1))*('Summary Page'!$C$4+1)</f>
        <v>#DIV/0!</v>
      </c>
      <c r="AI22" s="7"/>
      <c r="AJ22" s="7" t="e">
        <f>((AVERAGE(B22,AI22)*('Summary Page'!$C$2+1))*('Summary Page'!$C$2+1))*('Summary Page'!$C$2+1)</f>
        <v>#DIV/0!</v>
      </c>
      <c r="AK22" s="7" t="e">
        <f>((AVERAGE(B22,AI22)*('Summary Page'!$C$3+1))*('Summary Page'!$C$3+1))*('Summary Page'!$C$3+1)</f>
        <v>#DIV/0!</v>
      </c>
      <c r="AL22" s="8" t="e">
        <f>((AVERAGE(B22,AI22)*('Summary Page'!$C$4+1))*('Summary Page'!$C$4+1))*('Summary Page'!$C$4+1)</f>
        <v>#DIV/0!</v>
      </c>
      <c r="AO22" s="7"/>
      <c r="AP22" s="7" t="e">
        <f>((AVERAGE(C22,AO22)*('Summary Page'!$C$2+1))*('Summary Page'!$C$2+1))*('Summary Page'!$C$2+1)</f>
        <v>#DIV/0!</v>
      </c>
      <c r="AQ22" s="7" t="e">
        <f>((AVERAGE(C22,AO22)*('Summary Page'!$C$3+1))*('Summary Page'!$C$3+1))*('Summary Page'!$C$3+1)</f>
        <v>#DIV/0!</v>
      </c>
      <c r="AR22" s="8" t="e">
        <f>((AVERAGE(C22,AO22)*('Summary Page'!$C$4+1))*('Summary Page'!$C$4+1))*('Summary Page'!$C$4+1)</f>
        <v>#DIV/0!</v>
      </c>
      <c r="AU22" s="7"/>
      <c r="AV22" s="7" t="e">
        <f>((AVERAGE(D22,AU22)*('Summary Page'!$C$2+1))*('Summary Page'!$C$2+1))*('Summary Page'!$C$2+1)</f>
        <v>#DIV/0!</v>
      </c>
      <c r="AW22" s="7" t="e">
        <f>((AVERAGE(D22,AU22)*('Summary Page'!$C$3+1))*('Summary Page'!$C$3+1))*('Summary Page'!$C$3+1)</f>
        <v>#DIV/0!</v>
      </c>
      <c r="AX22" s="7" t="e">
        <f>((AVERAGE(D22,AU22)*('Summary Page'!$C$4+1))*('Summary Page'!$C$4+1))*('Summary Page'!$C$4+1)</f>
        <v>#DIV/0!</v>
      </c>
      <c r="BA22" s="7"/>
      <c r="BB22" s="7" t="e">
        <f>((AVERAGE(E22,BA22)*('Summary Page'!$C$2+1))*('Summary Page'!$C$2+1))*('Summary Page'!$C$2+1)</f>
        <v>#DIV/0!</v>
      </c>
      <c r="BC22" s="7" t="e">
        <f>((AVERAGE(E22,BA22)*('Summary Page'!$C$3+1))*('Summary Page'!$C$3+1))*('Summary Page'!$C$3+1)</f>
        <v>#DIV/0!</v>
      </c>
      <c r="BD22" s="8" t="e">
        <f>((AVERAGE(E22,BA22)*('Summary Page'!$C$4+1))*('Summary Page'!$C$4+1))*('Summary Page'!$C$4+1)</f>
        <v>#DIV/0!</v>
      </c>
      <c r="BG22" s="7"/>
      <c r="BH22" s="7" t="e">
        <f>((AVERAGE(F22,BG22)*('Summary Page'!$C$2+1))*('Summary Page'!$C$2+1))*('Summary Page'!$C$2+1)</f>
        <v>#DIV/0!</v>
      </c>
      <c r="BI22" s="7" t="e">
        <f>((AVERAGE(F22,BG22)*('Summary Page'!$C$3+1))*('Summary Page'!$C$3+1))*('Summary Page'!$C$3+1)</f>
        <v>#DIV/0!</v>
      </c>
      <c r="BJ22" s="8" t="e">
        <f>((AVERAGE(F22,BG22)*('Summary Page'!$C$4+1))*('Summary Page'!$C$4+1))*('Summary Page'!$C$4+1)</f>
        <v>#DIV/0!</v>
      </c>
      <c r="BM22" s="7"/>
      <c r="BN22" s="7" t="e">
        <f>((AVERAGE(Q22,BM22)*('Summary Page'!$C$2+1))*('Summary Page'!$C$2+1))*('Summary Page'!$C$2+1)</f>
        <v>#DIV/0!</v>
      </c>
      <c r="BO22" s="7" t="e">
        <f>((AVERAGE(Q22,BM22)*('Summary Page'!$C$3+1))*('Summary Page'!$C$3+1))*('Summary Page'!$C$3+1)</f>
        <v>#DIV/0!</v>
      </c>
      <c r="BP22" s="8" t="e">
        <f>((AVERAGE(Q22,BM22)*('Summary Page'!$C$4+1))*('Summary Page'!$C$4+1))*('Summary Page'!$C$4+1)</f>
        <v>#DIV/0!</v>
      </c>
      <c r="BS22" s="7"/>
      <c r="BT22" s="7" t="e">
        <f>((AVERAGE(T22,BS22)*('Summary Page'!$C$2+1))*('Summary Page'!$C$2+1))*('Summary Page'!$C$2+1)</f>
        <v>#DIV/0!</v>
      </c>
      <c r="BU22" s="7" t="e">
        <f>((AVERAGE(T22,BS22)*('Summary Page'!$C$3+1))*('Summary Page'!$C$3+1))*('Summary Page'!$C$3+1)</f>
        <v>#DIV/0!</v>
      </c>
      <c r="BV22" s="8" t="e">
        <f>((AVERAGE(T22,BS22)*('Summary Page'!$C$4+1))*('Summary Page'!$C$4+1))*('Summary Page'!$C$4+1)</f>
        <v>#DIV/0!</v>
      </c>
    </row>
    <row r="23" spans="1:86" ht="15.75" x14ac:dyDescent="0.25">
      <c r="A23" s="1">
        <v>43630</v>
      </c>
      <c r="B23" s="14"/>
      <c r="C23" s="14"/>
      <c r="D23" s="7"/>
      <c r="E23" s="14"/>
      <c r="F23" s="14"/>
      <c r="G23" s="229"/>
      <c r="H23" s="7"/>
      <c r="I23" s="7"/>
      <c r="J23" s="7"/>
      <c r="K23" s="230"/>
      <c r="L23" s="7"/>
      <c r="M23" s="7"/>
      <c r="N23" s="7"/>
      <c r="O23" s="7"/>
      <c r="P23" s="7"/>
      <c r="Q23" s="7"/>
      <c r="R23" s="7"/>
      <c r="S23" s="7"/>
      <c r="AA23" s="2"/>
      <c r="AB23" s="2"/>
      <c r="AC23" s="2"/>
      <c r="AD23" s="7" t="e">
        <f>((AVERAGE(AA23,AC23)*('Summary Page'!$C$2+1))*('Summary Page'!$C$2+1))*('Summary Page'!$C$2+1)</f>
        <v>#DIV/0!</v>
      </c>
      <c r="AE23" s="7" t="e">
        <f>((AVERAGE(AA23,AC23)*('Summary Page'!$C$3+1))*('Summary Page'!$C$3+1))*('Summary Page'!$C$3+1)</f>
        <v>#DIV/0!</v>
      </c>
      <c r="AF23" s="7" t="e">
        <f>((AVERAGE(AA23,AC23)*('Summary Page'!$C$4+1))*('Summary Page'!$C$4+1))*('Summary Page'!$C$4+1)</f>
        <v>#DIV/0!</v>
      </c>
      <c r="AI23" s="7"/>
      <c r="AJ23" s="7" t="e">
        <f>((AVERAGE(B23,AI23)*('Summary Page'!$C$2+1))*('Summary Page'!$C$2+1))*('Summary Page'!$C$2+1)</f>
        <v>#DIV/0!</v>
      </c>
      <c r="AK23" s="7" t="e">
        <f>((AVERAGE(B23,AI23)*('Summary Page'!$C$3+1))*('Summary Page'!$C$3+1))*('Summary Page'!$C$3+1)</f>
        <v>#DIV/0!</v>
      </c>
      <c r="AL23" s="8" t="e">
        <f>((AVERAGE(B23,AI23)*('Summary Page'!$C$4+1))*('Summary Page'!$C$4+1))*('Summary Page'!$C$4+1)</f>
        <v>#DIV/0!</v>
      </c>
      <c r="AO23" s="7"/>
      <c r="AP23" s="7" t="e">
        <f>((AVERAGE(C23,AO23)*('Summary Page'!$C$2+1))*('Summary Page'!$C$2+1))*('Summary Page'!$C$2+1)</f>
        <v>#DIV/0!</v>
      </c>
      <c r="AQ23" s="7" t="e">
        <f>((AVERAGE(C23,AO23)*('Summary Page'!$C$3+1))*('Summary Page'!$C$3+1))*('Summary Page'!$C$3+1)</f>
        <v>#DIV/0!</v>
      </c>
      <c r="AR23" s="8" t="e">
        <f>((AVERAGE(C23,AO23)*('Summary Page'!$C$4+1))*('Summary Page'!$C$4+1))*('Summary Page'!$C$4+1)</f>
        <v>#DIV/0!</v>
      </c>
      <c r="AU23" s="7"/>
      <c r="AV23" s="7" t="e">
        <f>((AVERAGE(D23,AU23)*('Summary Page'!$C$2+1))*('Summary Page'!$C$2+1))*('Summary Page'!$C$2+1)</f>
        <v>#DIV/0!</v>
      </c>
      <c r="AW23" s="7" t="e">
        <f>((AVERAGE(D23,AU23)*('Summary Page'!$C$3+1))*('Summary Page'!$C$3+1))*('Summary Page'!$C$3+1)</f>
        <v>#DIV/0!</v>
      </c>
      <c r="AX23" s="7" t="e">
        <f>((AVERAGE(D23,AU23)*('Summary Page'!$C$4+1))*('Summary Page'!$C$4+1))*('Summary Page'!$C$4+1)</f>
        <v>#DIV/0!</v>
      </c>
      <c r="BA23" s="7"/>
      <c r="BB23" s="7" t="e">
        <f>((AVERAGE(E23,BA23)*('Summary Page'!$C$2+1))*('Summary Page'!$C$2+1))*('Summary Page'!$C$2+1)</f>
        <v>#DIV/0!</v>
      </c>
      <c r="BC23" s="7" t="e">
        <f>((AVERAGE(E23,BA23)*('Summary Page'!$C$3+1))*('Summary Page'!$C$3+1))*('Summary Page'!$C$3+1)</f>
        <v>#DIV/0!</v>
      </c>
      <c r="BD23" s="8" t="e">
        <f>((AVERAGE(E23,BA23)*('Summary Page'!$C$4+1))*('Summary Page'!$C$4+1))*('Summary Page'!$C$4+1)</f>
        <v>#DIV/0!</v>
      </c>
      <c r="BG23" s="7"/>
      <c r="BH23" s="7" t="e">
        <f>((AVERAGE(F23,BG23)*('Summary Page'!$C$2+1))*('Summary Page'!$C$2+1))*('Summary Page'!$C$2+1)</f>
        <v>#DIV/0!</v>
      </c>
      <c r="BI23" s="7" t="e">
        <f>((AVERAGE(F23,BG23)*('Summary Page'!$C$3+1))*('Summary Page'!$C$3+1))*('Summary Page'!$C$3+1)</f>
        <v>#DIV/0!</v>
      </c>
      <c r="BJ23" s="8" t="e">
        <f>((AVERAGE(F23,BG23)*('Summary Page'!$C$4+1))*('Summary Page'!$C$4+1))*('Summary Page'!$C$4+1)</f>
        <v>#DIV/0!</v>
      </c>
      <c r="BM23" s="7"/>
      <c r="BN23" s="7" t="e">
        <f>((AVERAGE(Q23,BM23)*('Summary Page'!$C$2+1))*('Summary Page'!$C$2+1))*('Summary Page'!$C$2+1)</f>
        <v>#DIV/0!</v>
      </c>
      <c r="BO23" s="7" t="e">
        <f>((AVERAGE(Q23,BM23)*('Summary Page'!$C$3+1))*('Summary Page'!$C$3+1))*('Summary Page'!$C$3+1)</f>
        <v>#DIV/0!</v>
      </c>
      <c r="BP23" s="8" t="e">
        <f>((AVERAGE(Q23,BM23)*('Summary Page'!$C$4+1))*('Summary Page'!$C$4+1))*('Summary Page'!$C$4+1)</f>
        <v>#DIV/0!</v>
      </c>
      <c r="BS23" s="7"/>
      <c r="BT23" s="7" t="e">
        <f>((AVERAGE(T23,BS23)*('Summary Page'!$C$2+1))*('Summary Page'!$C$2+1))*('Summary Page'!$C$2+1)</f>
        <v>#DIV/0!</v>
      </c>
      <c r="BU23" s="7" t="e">
        <f>((AVERAGE(T23,BS23)*('Summary Page'!$C$3+1))*('Summary Page'!$C$3+1))*('Summary Page'!$C$3+1)</f>
        <v>#DIV/0!</v>
      </c>
      <c r="BV23" s="8" t="e">
        <f>((AVERAGE(T23,BS23)*('Summary Page'!$C$4+1))*('Summary Page'!$C$4+1))*('Summary Page'!$C$4+1)</f>
        <v>#DIV/0!</v>
      </c>
    </row>
    <row r="24" spans="1:86" ht="15.75" x14ac:dyDescent="0.25">
      <c r="A24" s="1">
        <v>43647</v>
      </c>
      <c r="B24" s="14"/>
      <c r="C24" s="14"/>
      <c r="D24" s="7"/>
      <c r="E24" s="14"/>
      <c r="F24" s="14"/>
      <c r="G24" s="229"/>
      <c r="H24" s="7"/>
      <c r="I24" s="7"/>
      <c r="J24" s="7"/>
      <c r="K24" s="230"/>
      <c r="L24" s="7"/>
      <c r="M24" s="7"/>
      <c r="N24" s="7"/>
      <c r="O24" s="7"/>
      <c r="P24" s="7"/>
      <c r="Q24" s="7"/>
      <c r="R24" s="7"/>
      <c r="S24" s="7"/>
      <c r="AA24" s="2"/>
      <c r="AB24" s="2"/>
      <c r="AC24" s="2"/>
      <c r="AD24" s="7" t="e">
        <f>((AVERAGE(AA24,AC24)*('Summary Page'!$C$2+1))*('Summary Page'!$C$2+1))*('Summary Page'!$C$2+1)</f>
        <v>#DIV/0!</v>
      </c>
      <c r="AE24" s="7" t="e">
        <f>((AVERAGE(AA24,AC24)*('Summary Page'!$C$3+1))*('Summary Page'!$C$3+1))*('Summary Page'!$C$3+1)</f>
        <v>#DIV/0!</v>
      </c>
      <c r="AF24" s="7" t="e">
        <f>((AVERAGE(AA24,AC24)*('Summary Page'!$C$4+1))*('Summary Page'!$C$4+1))*('Summary Page'!$C$4+1)</f>
        <v>#DIV/0!</v>
      </c>
      <c r="AI24" s="7"/>
      <c r="AJ24" s="7" t="e">
        <f>((AVERAGE(B24,AI24)*('Summary Page'!$C$2+1))*('Summary Page'!$C$2+1))*('Summary Page'!$C$2+1)</f>
        <v>#DIV/0!</v>
      </c>
      <c r="AK24" s="7" t="e">
        <f>((AVERAGE(B24,AI24)*('Summary Page'!$C$3+1))*('Summary Page'!$C$3+1))*('Summary Page'!$C$3+1)</f>
        <v>#DIV/0!</v>
      </c>
      <c r="AL24" s="8" t="e">
        <f>((AVERAGE(B24,AI24)*('Summary Page'!$C$4+1))*('Summary Page'!$C$4+1))*('Summary Page'!$C$4+1)</f>
        <v>#DIV/0!</v>
      </c>
      <c r="AO24" s="7"/>
      <c r="AP24" s="7" t="e">
        <f>((AVERAGE(C24,AO24)*('Summary Page'!$C$2+1))*('Summary Page'!$C$2+1))*('Summary Page'!$C$2+1)</f>
        <v>#DIV/0!</v>
      </c>
      <c r="AQ24" s="7" t="e">
        <f>((AVERAGE(C24,AO24)*('Summary Page'!$C$3+1))*('Summary Page'!$C$3+1))*('Summary Page'!$C$3+1)</f>
        <v>#DIV/0!</v>
      </c>
      <c r="AR24" s="8" t="e">
        <f>((AVERAGE(C24,AO24)*('Summary Page'!$C$4+1))*('Summary Page'!$C$4+1))*('Summary Page'!$C$4+1)</f>
        <v>#DIV/0!</v>
      </c>
      <c r="AU24" s="7"/>
      <c r="AV24" s="7" t="e">
        <f>((AVERAGE(D24,AU24)*('Summary Page'!$C$2+1))*('Summary Page'!$C$2+1))*('Summary Page'!$C$2+1)</f>
        <v>#DIV/0!</v>
      </c>
      <c r="AW24" s="7" t="e">
        <f>((AVERAGE(D24,AU24)*('Summary Page'!$C$3+1))*('Summary Page'!$C$3+1))*('Summary Page'!$C$3+1)</f>
        <v>#DIV/0!</v>
      </c>
      <c r="AX24" s="7" t="e">
        <f>((AVERAGE(D24,AU24)*('Summary Page'!$C$4+1))*('Summary Page'!$C$4+1))*('Summary Page'!$C$4+1)</f>
        <v>#DIV/0!</v>
      </c>
      <c r="BA24" s="7"/>
      <c r="BB24" s="7" t="e">
        <f>((AVERAGE(E24,BA24)*('Summary Page'!$C$2+1))*('Summary Page'!$C$2+1))*('Summary Page'!$C$2+1)</f>
        <v>#DIV/0!</v>
      </c>
      <c r="BC24" s="7" t="e">
        <f>((AVERAGE(E24,BA24)*('Summary Page'!$C$3+1))*('Summary Page'!$C$3+1))*('Summary Page'!$C$3+1)</f>
        <v>#DIV/0!</v>
      </c>
      <c r="BD24" s="8" t="e">
        <f>((AVERAGE(E24,BA24)*('Summary Page'!$C$4+1))*('Summary Page'!$C$4+1))*('Summary Page'!$C$4+1)</f>
        <v>#DIV/0!</v>
      </c>
      <c r="BG24" s="7"/>
      <c r="BH24" s="7" t="e">
        <f>((AVERAGE(F24,BG24)*('Summary Page'!$C$2+1))*('Summary Page'!$C$2+1))*('Summary Page'!$C$2+1)</f>
        <v>#DIV/0!</v>
      </c>
      <c r="BI24" s="7" t="e">
        <f>((AVERAGE(F24,BG24)*('Summary Page'!$C$3+1))*('Summary Page'!$C$3+1))*('Summary Page'!$C$3+1)</f>
        <v>#DIV/0!</v>
      </c>
      <c r="BJ24" s="8" t="e">
        <f>((AVERAGE(F24,BG24)*('Summary Page'!$C$4+1))*('Summary Page'!$C$4+1))*('Summary Page'!$C$4+1)</f>
        <v>#DIV/0!</v>
      </c>
      <c r="BM24" s="7"/>
      <c r="BN24" s="7" t="e">
        <f>((AVERAGE(Q24,BM24)*('Summary Page'!$C$2+1))*('Summary Page'!$C$2+1))*('Summary Page'!$C$2+1)</f>
        <v>#DIV/0!</v>
      </c>
      <c r="BO24" s="7" t="e">
        <f>((AVERAGE(Q24,BM24)*('Summary Page'!$C$3+1))*('Summary Page'!$C$3+1))*('Summary Page'!$C$3+1)</f>
        <v>#DIV/0!</v>
      </c>
      <c r="BP24" s="8" t="e">
        <f>((AVERAGE(Q24,BM24)*('Summary Page'!$C$4+1))*('Summary Page'!$C$4+1))*('Summary Page'!$C$4+1)</f>
        <v>#DIV/0!</v>
      </c>
      <c r="BS24" s="7"/>
      <c r="BT24" s="7" t="e">
        <f>((AVERAGE(T24,BS24)*('Summary Page'!$C$2+1))*('Summary Page'!$C$2+1))*('Summary Page'!$C$2+1)</f>
        <v>#DIV/0!</v>
      </c>
      <c r="BU24" s="7" t="e">
        <f>((AVERAGE(T24,BS24)*('Summary Page'!$C$3+1))*('Summary Page'!$C$3+1))*('Summary Page'!$C$3+1)</f>
        <v>#DIV/0!</v>
      </c>
      <c r="BV24" s="8" t="e">
        <f>((AVERAGE(T24,BS24)*('Summary Page'!$C$4+1))*('Summary Page'!$C$4+1))*('Summary Page'!$C$4+1)</f>
        <v>#DIV/0!</v>
      </c>
    </row>
    <row r="25" spans="1:86" ht="15.75" x14ac:dyDescent="0.25">
      <c r="A25" s="1">
        <v>43661</v>
      </c>
      <c r="B25" s="7">
        <v>80</v>
      </c>
      <c r="C25" s="7">
        <v>53</v>
      </c>
      <c r="D25" s="7">
        <v>73</v>
      </c>
      <c r="E25" s="7">
        <v>42</v>
      </c>
      <c r="F25" s="7">
        <v>59</v>
      </c>
      <c r="G25" s="229">
        <v>81</v>
      </c>
      <c r="H25" s="7">
        <v>47</v>
      </c>
      <c r="I25" s="7">
        <v>55</v>
      </c>
      <c r="J25" s="7">
        <v>34</v>
      </c>
      <c r="K25" s="230">
        <v>52</v>
      </c>
      <c r="L25" s="7"/>
      <c r="M25" s="7"/>
      <c r="N25" s="7"/>
      <c r="O25" s="7"/>
      <c r="P25" s="7"/>
      <c r="Q25" s="7">
        <v>74</v>
      </c>
      <c r="R25" s="7">
        <v>75</v>
      </c>
      <c r="S25" s="7"/>
      <c r="T25">
        <v>231</v>
      </c>
      <c r="U25">
        <v>231</v>
      </c>
      <c r="AA25" s="2">
        <f t="shared" ref="AA25:AA56" si="2">AVERAGE(B25,C25,D25,E25,F25)</f>
        <v>61.4</v>
      </c>
      <c r="AB25" s="2">
        <f t="shared" ref="AB25:AB40" si="3">AVERAGE(G25,H25,I25,J25,K25)</f>
        <v>53.8</v>
      </c>
      <c r="AC25" s="2">
        <f t="shared" ref="AC25:AC40" si="4">AB25*1.2</f>
        <v>64.559999999999988</v>
      </c>
      <c r="AD25" s="7">
        <f>((AVERAGE(AA20:AA25)*('Summary Page'!$C$2+1))*('Summary Page'!$C$2+1))*('Summary Page'!$C$2+1)</f>
        <v>95.839014399999968</v>
      </c>
      <c r="AE25" s="7">
        <f>((AVERAGE(AA20:AA25)*('Summary Page'!$C$3+1))*('Summary Page'!$C$3+1))*('Summary Page'!$C$3+1)</f>
        <v>119.921875</v>
      </c>
      <c r="AF25" s="7">
        <f>((AVERAGE(AA20:AA25)*('Summary Page'!$C$4+1))*('Summary Page'!$C$4+1))*('Summary Page'!$C$4+1)</f>
        <v>106.09919999999998</v>
      </c>
      <c r="AI25" s="7">
        <f t="shared" ref="AI25:AI30" si="5">G25*1.2</f>
        <v>97.2</v>
      </c>
      <c r="AJ25" s="7">
        <f>((AVERAGE(B20:B25)*('Summary Page'!$C$2+1))*('Summary Page'!$C$2+1))*('Summary Page'!$C$2+1)</f>
        <v>124.87167999999998</v>
      </c>
      <c r="AK25" s="7">
        <f>((AVERAGE(B20:B25)*('Summary Page'!$C$3+1))*('Summary Page'!$C$3+1))*('Summary Page'!$C$3+1)</f>
        <v>156.25</v>
      </c>
      <c r="AL25" s="8">
        <f>((AVERAGE(B20:B25)*('Summary Page'!$C$4+1))*('Summary Page'!$C$4+1))*('Summary Page'!$C$4+1)</f>
        <v>138.23999999999998</v>
      </c>
      <c r="AO25" s="7">
        <f t="shared" ref="AO25:AO30" si="6">H25*1.2</f>
        <v>56.4</v>
      </c>
      <c r="AP25" s="7">
        <f>((AVERAGE(C20:C25)*('Summary Page'!$C$2+1))*('Summary Page'!$C$2+1))*('Summary Page'!$C$2+1)</f>
        <v>82.72748799999998</v>
      </c>
      <c r="AQ25" s="7">
        <f>((AVERAGE(C20:C25)*('Summary Page'!$C$3+1))*('Summary Page'!$C$3+1))*('Summary Page'!$C$3+1)</f>
        <v>103.515625</v>
      </c>
      <c r="AR25" s="8">
        <f>((AVERAGE(C20:C25)*('Summary Page'!$C$4+1))*('Summary Page'!$C$4+1))*('Summary Page'!$C$4+1)</f>
        <v>91.583999999999989</v>
      </c>
      <c r="AU25" s="7">
        <f t="shared" ref="AU25:AU30" si="7">I25*1.2</f>
        <v>66</v>
      </c>
      <c r="AV25" s="7">
        <f>((AVERAGE(D20:D25)*('Summary Page'!$C$2+1))*('Summary Page'!$C$2+1))*('Summary Page'!$C$2+1)</f>
        <v>113.94540799999997</v>
      </c>
      <c r="AW25" s="7">
        <f>((AVERAGE(D20:D25)*('Summary Page'!$C$3+1))*('Summary Page'!$C$3+1))*('Summary Page'!$C$3+1)</f>
        <v>142.578125</v>
      </c>
      <c r="AX25" s="7">
        <f>((AVERAGE(D20:D25)*('Summary Page'!$C$4+1))*('Summary Page'!$C$4+1))*('Summary Page'!$C$4+1)</f>
        <v>126.14399999999998</v>
      </c>
      <c r="BA25" s="7">
        <f t="shared" ref="BA25:BA30" si="8">J25*1.2</f>
        <v>40.799999999999997</v>
      </c>
      <c r="BB25" s="7">
        <f>((AVERAGE(E20:E25)*('Summary Page'!$C$2+1))*('Summary Page'!$C$2+1))*('Summary Page'!$C$2+1)</f>
        <v>65.557631999999984</v>
      </c>
      <c r="BC25" s="7">
        <f>((AVERAGE(E20:E25)*('Summary Page'!$C$3+1))*('Summary Page'!$C$3+1))*('Summary Page'!$C$3+1)</f>
        <v>82.03125</v>
      </c>
      <c r="BD25" s="8">
        <f>((AVERAGE(E20:E25)*('Summary Page'!$C$4+1))*('Summary Page'!$C$4+1))*('Summary Page'!$C$4+1)</f>
        <v>72.575999999999993</v>
      </c>
      <c r="BG25" s="7">
        <f t="shared" ref="BG25:BG30" si="9">K25*1.2</f>
        <v>62.4</v>
      </c>
      <c r="BH25" s="7">
        <f>((AVERAGE(F20:F25)*('Summary Page'!$C$2+1))*('Summary Page'!$C$2+1))*('Summary Page'!$C$2+1)</f>
        <v>92.092863999999977</v>
      </c>
      <c r="BI25" s="7">
        <f>((AVERAGE(F20:F25)*('Summary Page'!$C$3+1))*('Summary Page'!$C$3+1))*('Summary Page'!$C$3+1)</f>
        <v>115.234375</v>
      </c>
      <c r="BJ25" s="8">
        <f>((AVERAGE(F20:F25)*('Summary Page'!$C$4+1))*('Summary Page'!$C$4+1))*('Summary Page'!$C$4+1)</f>
        <v>101.95199999999998</v>
      </c>
      <c r="BM25" s="7">
        <f t="shared" ref="BM25:BM30" si="10">R25*1.2</f>
        <v>90</v>
      </c>
      <c r="BN25" s="7">
        <f>((AVERAGE(Q20:Q25)*('Summary Page'!$C$2+1))*('Summary Page'!$C$2+1))*('Summary Page'!$C$2+1)</f>
        <v>115.50630399999997</v>
      </c>
      <c r="BO25" s="7">
        <f>((AVERAGE(Q20:Q25)*('Summary Page'!$C$3+1))*('Summary Page'!$C$3+1))*('Summary Page'!$C$3+1)</f>
        <v>144.53125</v>
      </c>
      <c r="BP25" s="8">
        <f>((AVERAGE(Q20:Q25)*('Summary Page'!$C$4+1))*('Summary Page'!$C$4+1))*('Summary Page'!$C$4+1)</f>
        <v>127.87199999999999</v>
      </c>
      <c r="BS25" s="7">
        <f t="shared" ref="BS25:BS30" si="11">U25*1.2</f>
        <v>277.2</v>
      </c>
      <c r="BT25" s="7">
        <f>((AVERAGE(T20:T25)*('Summary Page'!$C$2+1))*('Summary Page'!$C$2+1))*('Summary Page'!$C$2+1)</f>
        <v>360.5669759999999</v>
      </c>
      <c r="BU25" s="7">
        <f>((AVERAGE(T20:T25)*('Summary Page'!$C$3+1))*('Summary Page'!$C$3+1))*('Summary Page'!$C$3+1)</f>
        <v>451.171875</v>
      </c>
      <c r="BV25" s="8">
        <f>((AVERAGE(T20:T25)*('Summary Page'!$C$4+1))*('Summary Page'!$C$4+1))*('Summary Page'!$C$4+1)</f>
        <v>399.16799999999995</v>
      </c>
      <c r="BW25" s="16">
        <f t="shared" ref="BW25:BX27" si="12">T25/7.5/0.89/5</f>
        <v>6.9213483146067416</v>
      </c>
      <c r="BX25" s="16">
        <f t="shared" si="12"/>
        <v>6.9213483146067416</v>
      </c>
      <c r="BY25" s="7">
        <f t="shared" ref="BY25:BY30" si="13">BX25*1.2</f>
        <v>8.3056179775280903</v>
      </c>
      <c r="BZ25" s="7">
        <f>((AVERAGE(BW20:BW25)*('Summary Page'!$C$2+1))*('Summary Page'!$C$2+1))*('Summary Page'!$C$2+1)</f>
        <v>10.803504898876403</v>
      </c>
      <c r="CA25" s="7">
        <f>((AVERAGE(BW20:BW25)*('Summary Page'!$C$3+1))*('Summary Page'!$C$3+1))*('Summary Page'!$C$3+1)</f>
        <v>13.518258426966291</v>
      </c>
      <c r="CB25" s="7">
        <f>((AVERAGE(BW20:BW25)*('Summary Page'!$C$4+1))*('Summary Page'!$C$4+1))*('Summary Page'!$C$4+1)</f>
        <v>11.96008988764045</v>
      </c>
      <c r="CC25" s="11">
        <f t="shared" ref="CC25:CC30" si="14">(BW25/6)+BW25</f>
        <v>8.0749063670411978</v>
      </c>
      <c r="CD25" s="11">
        <f t="shared" ref="CD25:CD48" si="15">(BX25/6)+BX25</f>
        <v>8.0749063670411978</v>
      </c>
      <c r="CE25" s="11">
        <f t="shared" ref="CE25:CE48" si="16">(BY25/6)+BY25</f>
        <v>9.6898876404494381</v>
      </c>
      <c r="CF25" s="11">
        <f t="shared" ref="CF25:CF48" si="17">(BZ25/6)+BZ25</f>
        <v>12.604089048689136</v>
      </c>
      <c r="CG25" s="11">
        <f t="shared" ref="CG25:CG48" si="18">(CA25/6)+CA25</f>
        <v>15.77130149812734</v>
      </c>
      <c r="CH25" s="11">
        <f t="shared" ref="CH25:CH48" si="19">(CB25/6)+CB25</f>
        <v>13.953438202247192</v>
      </c>
    </row>
    <row r="26" spans="1:86" ht="15.75" x14ac:dyDescent="0.25">
      <c r="A26" s="10">
        <v>43678</v>
      </c>
      <c r="B26" s="7">
        <v>72</v>
      </c>
      <c r="C26" s="7">
        <v>46</v>
      </c>
      <c r="D26" s="7">
        <v>60</v>
      </c>
      <c r="E26" s="7">
        <v>36</v>
      </c>
      <c r="F26" s="7">
        <v>51</v>
      </c>
      <c r="G26" s="229">
        <v>81</v>
      </c>
      <c r="H26" s="7">
        <v>43</v>
      </c>
      <c r="I26" s="7">
        <v>57</v>
      </c>
      <c r="J26" s="7">
        <v>34</v>
      </c>
      <c r="K26" s="230">
        <v>48</v>
      </c>
      <c r="L26" s="7"/>
      <c r="M26" s="7"/>
      <c r="N26" s="7"/>
      <c r="O26" s="7"/>
      <c r="P26" s="7"/>
      <c r="Q26" s="7">
        <v>74</v>
      </c>
      <c r="R26" s="7">
        <v>75</v>
      </c>
      <c r="S26" s="7"/>
      <c r="T26">
        <v>231</v>
      </c>
      <c r="U26">
        <v>231</v>
      </c>
      <c r="AA26" s="2">
        <f t="shared" si="2"/>
        <v>53</v>
      </c>
      <c r="AB26" s="2">
        <f t="shared" si="3"/>
        <v>52.6</v>
      </c>
      <c r="AC26" s="2">
        <f t="shared" si="4"/>
        <v>63.12</v>
      </c>
      <c r="AD26" s="7">
        <f>((AVERAGE(AA21:AA26)*('Summary Page'!$C$2+1))*('Summary Page'!$C$2+1))*('Summary Page'!$C$2+1)</f>
        <v>89.283251199999995</v>
      </c>
      <c r="AE26" s="7">
        <f>((AVERAGE(AA21:AA26)*('Summary Page'!$C$3+1))*('Summary Page'!$C$3+1))*('Summary Page'!$C$3+1)</f>
        <v>111.71875</v>
      </c>
      <c r="AF26" s="7">
        <f>((AVERAGE(AA21:AA26)*('Summary Page'!$C$4+1))*('Summary Page'!$C$4+1))*('Summary Page'!$C$4+1)</f>
        <v>98.841599999999985</v>
      </c>
      <c r="AI26" s="7">
        <f t="shared" si="5"/>
        <v>97.2</v>
      </c>
      <c r="AJ26" s="7">
        <f>((AVERAGE(B21:B26)*('Summary Page'!$C$2+1))*('Summary Page'!$C$2+1))*('Summary Page'!$C$2+1)</f>
        <v>118.62809599999999</v>
      </c>
      <c r="AK26" s="7">
        <f>((AVERAGE(B21:B26)*('Summary Page'!$C$3+1))*('Summary Page'!$C$3+1))*('Summary Page'!$C$3+1)</f>
        <v>148.4375</v>
      </c>
      <c r="AL26" s="8">
        <f>((AVERAGE(B21:B26)*('Summary Page'!$C$4+1))*('Summary Page'!$C$4+1))*('Summary Page'!$C$4+1)</f>
        <v>131.328</v>
      </c>
      <c r="AO26" s="7">
        <f t="shared" si="6"/>
        <v>51.6</v>
      </c>
      <c r="AP26" s="7">
        <f>((AVERAGE(C21:C26)*('Summary Page'!$C$2+1))*('Summary Page'!$C$2+1))*('Summary Page'!$C$2+1)</f>
        <v>77.264351999999988</v>
      </c>
      <c r="AQ26" s="7">
        <f>((AVERAGE(C21:C26)*('Summary Page'!$C$3+1))*('Summary Page'!$C$3+1))*('Summary Page'!$C$3+1)</f>
        <v>96.6796875</v>
      </c>
      <c r="AR26" s="8">
        <f>((AVERAGE(C21:C26)*('Summary Page'!$C$4+1))*('Summary Page'!$C$4+1))*('Summary Page'!$C$4+1)</f>
        <v>85.536000000000001</v>
      </c>
      <c r="AU26" s="7">
        <f t="shared" si="7"/>
        <v>68.399999999999991</v>
      </c>
      <c r="AV26" s="7">
        <f>((AVERAGE(D21:D26)*('Summary Page'!$C$2+1))*('Summary Page'!$C$2+1))*('Summary Page'!$C$2+1)</f>
        <v>103.799584</v>
      </c>
      <c r="AW26" s="7">
        <f>((AVERAGE(D21:D26)*('Summary Page'!$C$3+1))*('Summary Page'!$C$3+1))*('Summary Page'!$C$3+1)</f>
        <v>129.8828125</v>
      </c>
      <c r="AX26" s="7">
        <f>((AVERAGE(D21:D26)*('Summary Page'!$C$4+1))*('Summary Page'!$C$4+1))*('Summary Page'!$C$4+1)</f>
        <v>114.91199999999999</v>
      </c>
      <c r="BA26" s="7">
        <f t="shared" si="8"/>
        <v>40.799999999999997</v>
      </c>
      <c r="BB26" s="7">
        <f>((AVERAGE(E21:E26)*('Summary Page'!$C$2+1))*('Summary Page'!$C$2+1))*('Summary Page'!$C$2+1)</f>
        <v>60.874943999999985</v>
      </c>
      <c r="BC26" s="7">
        <f>((AVERAGE(E21:E26)*('Summary Page'!$C$3+1))*('Summary Page'!$C$3+1))*('Summary Page'!$C$3+1)</f>
        <v>76.171875</v>
      </c>
      <c r="BD26" s="8">
        <f>((AVERAGE(E21:E26)*('Summary Page'!$C$4+1))*('Summary Page'!$C$4+1))*('Summary Page'!$C$4+1)</f>
        <v>67.391999999999996</v>
      </c>
      <c r="BG26" s="7">
        <f t="shared" si="9"/>
        <v>57.599999999999994</v>
      </c>
      <c r="BH26" s="7">
        <f>((AVERAGE(F21:F26)*('Summary Page'!$C$2+1))*('Summary Page'!$C$2+1))*('Summary Page'!$C$2+1)</f>
        <v>85.849279999999993</v>
      </c>
      <c r="BI26" s="7">
        <f>((AVERAGE(F21:F26)*('Summary Page'!$C$3+1))*('Summary Page'!$C$3+1))*('Summary Page'!$C$3+1)</f>
        <v>107.421875</v>
      </c>
      <c r="BJ26" s="8">
        <f>((AVERAGE(F21:F26)*('Summary Page'!$C$4+1))*('Summary Page'!$C$4+1))*('Summary Page'!$C$4+1)</f>
        <v>95.04</v>
      </c>
      <c r="BM26" s="7">
        <f t="shared" si="10"/>
        <v>90</v>
      </c>
      <c r="BN26" s="7">
        <f>((AVERAGE(Q21:Q26)*('Summary Page'!$C$2+1))*('Summary Page'!$C$2+1))*('Summary Page'!$C$2+1)</f>
        <v>115.50630399999997</v>
      </c>
      <c r="BO26" s="7">
        <f>((AVERAGE(Q21:Q26)*('Summary Page'!$C$3+1))*('Summary Page'!$C$3+1))*('Summary Page'!$C$3+1)</f>
        <v>144.53125</v>
      </c>
      <c r="BP26" s="8">
        <f>((AVERAGE(Q21:Q26)*('Summary Page'!$C$4+1))*('Summary Page'!$C$4+1))*('Summary Page'!$C$4+1)</f>
        <v>127.87199999999999</v>
      </c>
      <c r="BS26" s="7">
        <f t="shared" si="11"/>
        <v>277.2</v>
      </c>
      <c r="BT26" s="7">
        <f>((AVERAGE(T21:T26)*('Summary Page'!$C$2+1))*('Summary Page'!$C$2+1))*('Summary Page'!$C$2+1)</f>
        <v>360.5669759999999</v>
      </c>
      <c r="BU26" s="7">
        <f>((AVERAGE(T21:T26)*('Summary Page'!$C$3+1))*('Summary Page'!$C$3+1))*('Summary Page'!$C$3+1)</f>
        <v>451.171875</v>
      </c>
      <c r="BV26" s="8">
        <f>((AVERAGE(T21:T26)*('Summary Page'!$C$4+1))*('Summary Page'!$C$4+1))*('Summary Page'!$C$4+1)</f>
        <v>399.16799999999995</v>
      </c>
      <c r="BW26" s="16">
        <f t="shared" si="12"/>
        <v>6.9213483146067416</v>
      </c>
      <c r="BX26" s="16">
        <f t="shared" si="12"/>
        <v>6.9213483146067416</v>
      </c>
      <c r="BY26" s="7">
        <f t="shared" si="13"/>
        <v>8.3056179775280903</v>
      </c>
      <c r="BZ26" s="7">
        <f>((AVERAGE(BW21:BW26)*('Summary Page'!$C$2+1))*('Summary Page'!$C$2+1))*('Summary Page'!$C$2+1)</f>
        <v>10.803504898876403</v>
      </c>
      <c r="CA26" s="7">
        <f>((AVERAGE(BW21:BW26)*('Summary Page'!$C$3+1))*('Summary Page'!$C$3+1))*('Summary Page'!$C$3+1)</f>
        <v>13.518258426966291</v>
      </c>
      <c r="CB26" s="7">
        <f>((AVERAGE(BW21:BW26)*('Summary Page'!$C$4+1))*('Summary Page'!$C$4+1))*('Summary Page'!$C$4+1)</f>
        <v>11.96008988764045</v>
      </c>
      <c r="CC26" s="11">
        <f t="shared" si="14"/>
        <v>8.0749063670411978</v>
      </c>
      <c r="CD26" s="11">
        <f t="shared" si="15"/>
        <v>8.0749063670411978</v>
      </c>
      <c r="CE26" s="11">
        <f t="shared" si="16"/>
        <v>9.6898876404494381</v>
      </c>
      <c r="CF26" s="11">
        <f t="shared" si="17"/>
        <v>12.604089048689136</v>
      </c>
      <c r="CG26" s="11">
        <f t="shared" si="18"/>
        <v>15.77130149812734</v>
      </c>
      <c r="CH26" s="11">
        <f t="shared" si="19"/>
        <v>13.953438202247192</v>
      </c>
    </row>
    <row r="27" spans="1:86" ht="15.75" x14ac:dyDescent="0.25">
      <c r="A27" s="10">
        <v>43710</v>
      </c>
      <c r="B27" s="7">
        <v>80</v>
      </c>
      <c r="C27" s="7">
        <v>48</v>
      </c>
      <c r="D27" s="7">
        <v>66</v>
      </c>
      <c r="E27" s="7">
        <v>38</v>
      </c>
      <c r="F27" s="7">
        <v>55</v>
      </c>
      <c r="G27" s="229">
        <v>39</v>
      </c>
      <c r="H27" s="7">
        <v>33</v>
      </c>
      <c r="I27" s="7">
        <v>36</v>
      </c>
      <c r="J27" s="7">
        <v>21</v>
      </c>
      <c r="K27" s="230">
        <v>37</v>
      </c>
      <c r="L27" s="7"/>
      <c r="M27" s="7"/>
      <c r="N27" s="7"/>
      <c r="O27" s="7"/>
      <c r="P27" s="7"/>
      <c r="Q27" s="7">
        <v>82</v>
      </c>
      <c r="R27" s="7">
        <v>45</v>
      </c>
      <c r="S27" s="7"/>
      <c r="T27" s="7">
        <v>231</v>
      </c>
      <c r="U27" s="7">
        <v>200</v>
      </c>
      <c r="V27" s="7"/>
      <c r="W27" s="7"/>
      <c r="X27" s="7"/>
      <c r="Y27" s="7"/>
      <c r="Z27" s="7"/>
      <c r="AA27" s="2">
        <f t="shared" si="2"/>
        <v>57.4</v>
      </c>
      <c r="AB27" s="2">
        <f t="shared" si="3"/>
        <v>33.200000000000003</v>
      </c>
      <c r="AC27" s="2">
        <f t="shared" si="4"/>
        <v>39.840000000000003</v>
      </c>
      <c r="AD27" s="7">
        <f>((AVERAGE(AA22:AA27)*('Summary Page'!$C$2+1))*('Summary Page'!$C$2+1))*('Summary Page'!$C$2+1)</f>
        <v>89.387310933333325</v>
      </c>
      <c r="AE27" s="7">
        <f>((AVERAGE(AA22:AA27)*('Summary Page'!$C$3+1))*('Summary Page'!$C$3+1))*('Summary Page'!$C$3+1)</f>
        <v>111.84895833333336</v>
      </c>
      <c r="AF27" s="7">
        <f>((AVERAGE(AA22:AA27)*('Summary Page'!$C$4+1))*('Summary Page'!$C$4+1))*('Summary Page'!$C$4+1)</f>
        <v>98.956800000000001</v>
      </c>
      <c r="AI27" s="7">
        <f t="shared" si="5"/>
        <v>46.8</v>
      </c>
      <c r="AJ27" s="7">
        <f>((AVERAGE(B22:B27)*('Summary Page'!$C$2+1))*('Summary Page'!$C$2+1))*('Summary Page'!$C$2+1)</f>
        <v>120.70929066666663</v>
      </c>
      <c r="AK27" s="7">
        <f>((AVERAGE(B22:B27)*('Summary Page'!$C$3+1))*('Summary Page'!$C$3+1))*('Summary Page'!$C$3+1)</f>
        <v>151.04166666666663</v>
      </c>
      <c r="AL27" s="8">
        <f>((AVERAGE(B22:B27)*('Summary Page'!$C$4+1))*('Summary Page'!$C$4+1))*('Summary Page'!$C$4+1)</f>
        <v>133.63200000000001</v>
      </c>
      <c r="AO27" s="7">
        <f t="shared" si="6"/>
        <v>39.6</v>
      </c>
      <c r="AP27" s="7">
        <f>((AVERAGE(C22:C27)*('Summary Page'!$C$2+1))*('Summary Page'!$C$2+1))*('Summary Page'!$C$2+1)</f>
        <v>76.483903999999995</v>
      </c>
      <c r="AQ27" s="7">
        <f>((AVERAGE(C22:C27)*('Summary Page'!$C$3+1))*('Summary Page'!$C$3+1))*('Summary Page'!$C$3+1)</f>
        <v>95.703125</v>
      </c>
      <c r="AR27" s="8">
        <f>((AVERAGE(C22:C27)*('Summary Page'!$C$4+1))*('Summary Page'!$C$4+1))*('Summary Page'!$C$4+1)</f>
        <v>84.671999999999983</v>
      </c>
      <c r="AU27" s="7">
        <f t="shared" si="7"/>
        <v>43.199999999999996</v>
      </c>
      <c r="AV27" s="7">
        <f>((AVERAGE(D22:D27)*('Summary Page'!$C$2+1))*('Summary Page'!$C$2+1))*('Summary Page'!$C$2+1)</f>
        <v>103.53943466666664</v>
      </c>
      <c r="AW27" s="7">
        <f>((AVERAGE(D22:D27)*('Summary Page'!$C$3+1))*('Summary Page'!$C$3+1))*('Summary Page'!$C$3+1)</f>
        <v>129.55729166666663</v>
      </c>
      <c r="AX27" s="7">
        <f>((AVERAGE(D22:D27)*('Summary Page'!$C$4+1))*('Summary Page'!$C$4+1))*('Summary Page'!$C$4+1)</f>
        <v>114.624</v>
      </c>
      <c r="BA27" s="7">
        <f t="shared" si="8"/>
        <v>25.2</v>
      </c>
      <c r="BB27" s="7">
        <f>((AVERAGE(E22:E27)*('Summary Page'!$C$2+1))*('Summary Page'!$C$2+1))*('Summary Page'!$C$2+1)</f>
        <v>60.354645333333316</v>
      </c>
      <c r="BC27" s="7">
        <f>((AVERAGE(E22:E27)*('Summary Page'!$C$3+1))*('Summary Page'!$C$3+1))*('Summary Page'!$C$3+1)</f>
        <v>75.520833333333314</v>
      </c>
      <c r="BD27" s="8">
        <f>((AVERAGE(E22:E27)*('Summary Page'!$C$4+1))*('Summary Page'!$C$4+1))*('Summary Page'!$C$4+1)</f>
        <v>66.816000000000003</v>
      </c>
      <c r="BG27" s="7">
        <f t="shared" si="9"/>
        <v>44.4</v>
      </c>
      <c r="BH27" s="7">
        <f>((AVERAGE(F22:F27)*('Summary Page'!$C$2+1))*('Summary Page'!$C$2+1))*('Summary Page'!$C$2+1)</f>
        <v>85.849279999999993</v>
      </c>
      <c r="BI27" s="7">
        <f>((AVERAGE(F22:F27)*('Summary Page'!$C$3+1))*('Summary Page'!$C$3+1))*('Summary Page'!$C$3+1)</f>
        <v>107.421875</v>
      </c>
      <c r="BJ27" s="8">
        <f>((AVERAGE(F22:F27)*('Summary Page'!$C$4+1))*('Summary Page'!$C$4+1))*('Summary Page'!$C$4+1)</f>
        <v>95.04</v>
      </c>
      <c r="BM27" s="7">
        <f t="shared" si="10"/>
        <v>54</v>
      </c>
      <c r="BN27" s="7">
        <f>((AVERAGE(Q22:Q27)*('Summary Page'!$C$2+1))*('Summary Page'!$C$2+1))*('Summary Page'!$C$2+1)</f>
        <v>119.66869333333332</v>
      </c>
      <c r="BO27" s="7">
        <f>((AVERAGE(Q22:Q27)*('Summary Page'!$C$3+1))*('Summary Page'!$C$3+1))*('Summary Page'!$C$3+1)</f>
        <v>149.73958333333337</v>
      </c>
      <c r="BP27" s="8">
        <f>((AVERAGE(Q22:Q27)*('Summary Page'!$C$4+1))*('Summary Page'!$C$4+1))*('Summary Page'!$C$4+1)</f>
        <v>132.47999999999999</v>
      </c>
      <c r="BS27" s="7">
        <f t="shared" si="11"/>
        <v>240</v>
      </c>
      <c r="BT27" s="7">
        <f>((AVERAGE(T22:T27)*('Summary Page'!$C$2+1))*('Summary Page'!$C$2+1))*('Summary Page'!$C$2+1)</f>
        <v>360.5669759999999</v>
      </c>
      <c r="BU27" s="7">
        <f>((AVERAGE(T22:T27)*('Summary Page'!$C$3+1))*('Summary Page'!$C$3+1))*('Summary Page'!$C$3+1)</f>
        <v>451.171875</v>
      </c>
      <c r="BV27" s="8">
        <f>((AVERAGE(T22:T27)*('Summary Page'!$C$4+1))*('Summary Page'!$C$4+1))*('Summary Page'!$C$4+1)</f>
        <v>399.16799999999995</v>
      </c>
      <c r="BW27" s="16">
        <f t="shared" si="12"/>
        <v>6.9213483146067416</v>
      </c>
      <c r="BX27" s="16">
        <f t="shared" si="12"/>
        <v>5.9925093632958806</v>
      </c>
      <c r="BY27" s="7">
        <f t="shared" si="13"/>
        <v>7.1910112359550569</v>
      </c>
      <c r="BZ27" s="7">
        <f>((AVERAGE(BW22:BW27)*('Summary Page'!$C$2+1))*('Summary Page'!$C$2+1))*('Summary Page'!$C$2+1)</f>
        <v>10.803504898876403</v>
      </c>
      <c r="CA27" s="7">
        <f>((AVERAGE(BW22:BW27)*('Summary Page'!$C$3+1))*('Summary Page'!$C$3+1))*('Summary Page'!$C$3+1)</f>
        <v>13.518258426966291</v>
      </c>
      <c r="CB27" s="7">
        <f>((AVERAGE(BW22:BW27)*('Summary Page'!$C$4+1))*('Summary Page'!$C$4+1))*('Summary Page'!$C$4+1)</f>
        <v>11.96008988764045</v>
      </c>
      <c r="CC27" s="11">
        <f t="shared" si="14"/>
        <v>8.0749063670411978</v>
      </c>
      <c r="CD27" s="11">
        <f t="shared" si="15"/>
        <v>6.9912609238451937</v>
      </c>
      <c r="CE27" s="11">
        <f t="shared" si="16"/>
        <v>8.3895131086142332</v>
      </c>
      <c r="CF27" s="11">
        <f t="shared" si="17"/>
        <v>12.604089048689136</v>
      </c>
      <c r="CG27" s="11">
        <f t="shared" si="18"/>
        <v>15.77130149812734</v>
      </c>
      <c r="CH27" s="11">
        <f t="shared" si="19"/>
        <v>13.953438202247192</v>
      </c>
    </row>
    <row r="28" spans="1:86" ht="15.75" x14ac:dyDescent="0.25">
      <c r="A28" s="10">
        <v>43740</v>
      </c>
      <c r="B28" s="7">
        <v>77</v>
      </c>
      <c r="C28" s="7">
        <v>46</v>
      </c>
      <c r="D28" s="7">
        <v>63</v>
      </c>
      <c r="E28" s="7">
        <v>37</v>
      </c>
      <c r="F28" s="7">
        <v>49</v>
      </c>
      <c r="G28" s="229">
        <v>80</v>
      </c>
      <c r="H28" s="7">
        <v>49</v>
      </c>
      <c r="I28" s="7">
        <v>66</v>
      </c>
      <c r="J28" s="7">
        <v>38</v>
      </c>
      <c r="K28" s="230">
        <v>54</v>
      </c>
      <c r="L28" s="7"/>
      <c r="M28" s="7"/>
      <c r="N28" s="7"/>
      <c r="O28" s="7"/>
      <c r="P28" s="7"/>
      <c r="Q28" s="7">
        <v>80</v>
      </c>
      <c r="R28" s="7">
        <v>80</v>
      </c>
      <c r="S28" s="7"/>
      <c r="T28" s="7">
        <v>223</v>
      </c>
      <c r="U28" s="7">
        <v>224</v>
      </c>
      <c r="V28" s="7"/>
      <c r="W28" s="7"/>
      <c r="X28" s="7"/>
      <c r="Y28" s="7"/>
      <c r="Z28" s="7"/>
      <c r="AA28" s="2">
        <f t="shared" si="2"/>
        <v>54.4</v>
      </c>
      <c r="AB28" s="2">
        <f t="shared" si="3"/>
        <v>57.4</v>
      </c>
      <c r="AC28" s="2">
        <f t="shared" si="4"/>
        <v>68.88</v>
      </c>
      <c r="AD28" s="7">
        <f>((AVERAGE(AA23:AA28)*('Summary Page'!$C$2+1))*('Summary Page'!$C$2+1))*('Summary Page'!$C$2+1)</f>
        <v>88.268668799999986</v>
      </c>
      <c r="AE28" s="7">
        <f>((AVERAGE(AA23:AA28)*('Summary Page'!$C$3+1))*('Summary Page'!$C$3+1))*('Summary Page'!$C$3+1)</f>
        <v>110.44921875</v>
      </c>
      <c r="AF28" s="7">
        <f>((AVERAGE(AA23:AA28)*('Summary Page'!$C$4+1))*('Summary Page'!$C$4+1))*('Summary Page'!$C$4+1)</f>
        <v>97.718400000000003</v>
      </c>
      <c r="AI28" s="7">
        <f t="shared" si="5"/>
        <v>96</v>
      </c>
      <c r="AJ28" s="7">
        <f>((AVERAGE(B23:B28)*('Summary Page'!$C$2+1))*('Summary Page'!$C$2+1))*('Summary Page'!$C$2+1)</f>
        <v>120.57921599999999</v>
      </c>
      <c r="AK28" s="7">
        <f>((AVERAGE(B23:B28)*('Summary Page'!$C$3+1))*('Summary Page'!$C$3+1))*('Summary Page'!$C$3+1)</f>
        <v>150.87890625</v>
      </c>
      <c r="AL28" s="8">
        <f>((AVERAGE(B23:B28)*('Summary Page'!$C$4+1))*('Summary Page'!$C$4+1))*('Summary Page'!$C$4+1)</f>
        <v>133.488</v>
      </c>
      <c r="AO28" s="7">
        <f t="shared" si="6"/>
        <v>58.8</v>
      </c>
      <c r="AP28" s="7">
        <f>((AVERAGE(C23:C28)*('Summary Page'!$C$2+1))*('Summary Page'!$C$2+1))*('Summary Page'!$C$2+1)</f>
        <v>75.313231999999985</v>
      </c>
      <c r="AQ28" s="7">
        <f>((AVERAGE(C23:C28)*('Summary Page'!$C$3+1))*('Summary Page'!$C$3+1))*('Summary Page'!$C$3+1)</f>
        <v>94.23828125</v>
      </c>
      <c r="AR28" s="8">
        <f>((AVERAGE(C23:C28)*('Summary Page'!$C$4+1))*('Summary Page'!$C$4+1))*('Summary Page'!$C$4+1)</f>
        <v>83.375999999999991</v>
      </c>
      <c r="AU28" s="7">
        <f t="shared" si="7"/>
        <v>79.2</v>
      </c>
      <c r="AV28" s="7">
        <f>((AVERAGE(D23:D28)*('Summary Page'!$C$2+1))*('Summary Page'!$C$2+1))*('Summary Page'!$C$2+1)</f>
        <v>102.23868799999997</v>
      </c>
      <c r="AW28" s="7">
        <f>((AVERAGE(D23:D28)*('Summary Page'!$C$3+1))*('Summary Page'!$C$3+1))*('Summary Page'!$C$3+1)</f>
        <v>127.9296875</v>
      </c>
      <c r="AX28" s="7">
        <f>((AVERAGE(D23:D28)*('Summary Page'!$C$4+1))*('Summary Page'!$C$4+1))*('Summary Page'!$C$4+1)</f>
        <v>113.18399999999998</v>
      </c>
      <c r="BA28" s="7">
        <f t="shared" si="8"/>
        <v>45.6</v>
      </c>
      <c r="BB28" s="7">
        <f>((AVERAGE(E23:E28)*('Summary Page'!$C$2+1))*('Summary Page'!$C$2+1))*('Summary Page'!$C$2+1)</f>
        <v>59.704271999999989</v>
      </c>
      <c r="BC28" s="7">
        <f>((AVERAGE(E23:E28)*('Summary Page'!$C$3+1))*('Summary Page'!$C$3+1))*('Summary Page'!$C$3+1)</f>
        <v>74.70703125</v>
      </c>
      <c r="BD28" s="8">
        <f>((AVERAGE(E23:E28)*('Summary Page'!$C$4+1))*('Summary Page'!$C$4+1))*('Summary Page'!$C$4+1)</f>
        <v>66.095999999999989</v>
      </c>
      <c r="BG28" s="7">
        <f t="shared" si="9"/>
        <v>64.8</v>
      </c>
      <c r="BH28" s="7">
        <f>((AVERAGE(F23:F28)*('Summary Page'!$C$2+1))*('Summary Page'!$C$2+1))*('Summary Page'!$C$2+1)</f>
        <v>83.507935999999987</v>
      </c>
      <c r="BI28" s="7">
        <f>((AVERAGE(F23:F28)*('Summary Page'!$C$3+1))*('Summary Page'!$C$3+1))*('Summary Page'!$C$3+1)</f>
        <v>104.4921875</v>
      </c>
      <c r="BJ28" s="8">
        <f>((AVERAGE(F23:F28)*('Summary Page'!$C$4+1))*('Summary Page'!$C$4+1))*('Summary Page'!$C$4+1)</f>
        <v>92.448000000000008</v>
      </c>
      <c r="BM28" s="7">
        <f t="shared" si="10"/>
        <v>96</v>
      </c>
      <c r="BN28" s="7">
        <f>((AVERAGE(Q23:Q28)*('Summary Page'!$C$2+1))*('Summary Page'!$C$2+1))*('Summary Page'!$C$2+1)</f>
        <v>120.96943999999996</v>
      </c>
      <c r="BO28" s="7">
        <f>((AVERAGE(Q23:Q28)*('Summary Page'!$C$3+1))*('Summary Page'!$C$3+1))*('Summary Page'!$C$3+1)</f>
        <v>151.3671875</v>
      </c>
      <c r="BP28" s="8">
        <f>((AVERAGE(Q23:Q28)*('Summary Page'!$C$4+1))*('Summary Page'!$C$4+1))*('Summary Page'!$C$4+1)</f>
        <v>133.91999999999999</v>
      </c>
      <c r="BS28" s="7">
        <f t="shared" si="11"/>
        <v>268.8</v>
      </c>
      <c r="BT28" s="7">
        <f>((AVERAGE(T23:T28)*('Summary Page'!$C$2+1))*('Summary Page'!$C$2+1))*('Summary Page'!$C$2+1)</f>
        <v>357.44518399999993</v>
      </c>
      <c r="BU28" s="7">
        <f>((AVERAGE(T23:T28)*('Summary Page'!$C$3+1))*('Summary Page'!$C$3+1))*('Summary Page'!$C$3+1)</f>
        <v>447.265625</v>
      </c>
      <c r="BV28" s="8">
        <f>((AVERAGE(T23:T28)*('Summary Page'!$C$4+1))*('Summary Page'!$C$4+1))*('Summary Page'!$C$4+1)</f>
        <v>395.71199999999999</v>
      </c>
      <c r="BW28" s="16">
        <f t="shared" ref="BW28:BW50" si="20">T28/7.5/0.89/5</f>
        <v>6.6816479400749058</v>
      </c>
      <c r="BX28" s="16">
        <f t="shared" ref="BX28:BX50" si="21">U28/7.5/0.89/5</f>
        <v>6.7116104868913853</v>
      </c>
      <c r="BY28" s="7">
        <f t="shared" si="13"/>
        <v>8.0539325842696616</v>
      </c>
      <c r="BZ28" s="7">
        <f>((AVERAGE(BW23:BW28)*('Summary Page'!$C$2+1))*('Summary Page'!$C$2+1))*('Summary Page'!$C$2+1)</f>
        <v>10.709968059925092</v>
      </c>
      <c r="CA28" s="7">
        <f>((AVERAGE(BW23:BW28)*('Summary Page'!$C$3+1))*('Summary Page'!$C$3+1))*('Summary Page'!$C$3+1)</f>
        <v>13.401217228464418</v>
      </c>
      <c r="CB28" s="7">
        <f>((AVERAGE(BW23:BW28)*('Summary Page'!$C$4+1))*('Summary Page'!$C$4+1))*('Summary Page'!$C$4+1)</f>
        <v>11.856539325842695</v>
      </c>
      <c r="CC28" s="11">
        <f t="shared" si="14"/>
        <v>7.7952559300873903</v>
      </c>
      <c r="CD28" s="11">
        <f t="shared" si="15"/>
        <v>7.8302122347066163</v>
      </c>
      <c r="CE28" s="11">
        <f t="shared" si="16"/>
        <v>9.3962546816479389</v>
      </c>
      <c r="CF28" s="11">
        <f t="shared" si="17"/>
        <v>12.494962736579275</v>
      </c>
      <c r="CG28" s="11">
        <f t="shared" si="18"/>
        <v>15.634753433208488</v>
      </c>
      <c r="CH28" s="11">
        <f t="shared" si="19"/>
        <v>13.832629213483145</v>
      </c>
    </row>
    <row r="29" spans="1:86" ht="15.75" x14ac:dyDescent="0.25">
      <c r="A29" s="10">
        <v>43773</v>
      </c>
      <c r="B29" s="7">
        <v>84</v>
      </c>
      <c r="C29" s="7">
        <v>55</v>
      </c>
      <c r="D29" s="7">
        <v>72</v>
      </c>
      <c r="E29" s="7">
        <v>43</v>
      </c>
      <c r="F29" s="7">
        <v>63</v>
      </c>
      <c r="G29" s="229">
        <v>61</v>
      </c>
      <c r="H29" s="7">
        <v>30</v>
      </c>
      <c r="I29" s="7">
        <v>43</v>
      </c>
      <c r="J29" s="7">
        <v>27</v>
      </c>
      <c r="K29" s="230">
        <v>35</v>
      </c>
      <c r="L29" s="7"/>
      <c r="M29" s="7"/>
      <c r="N29" s="7"/>
      <c r="O29" s="7"/>
      <c r="P29" s="7"/>
      <c r="Q29" s="7">
        <v>92</v>
      </c>
      <c r="R29" s="7">
        <v>56</v>
      </c>
      <c r="S29" s="7"/>
      <c r="T29">
        <v>216</v>
      </c>
      <c r="U29">
        <v>220</v>
      </c>
      <c r="AA29" s="2">
        <f t="shared" si="2"/>
        <v>63.4</v>
      </c>
      <c r="AB29" s="2">
        <f t="shared" si="3"/>
        <v>39.200000000000003</v>
      </c>
      <c r="AC29" s="2">
        <f t="shared" si="4"/>
        <v>47.04</v>
      </c>
      <c r="AD29" s="7">
        <f>((AVERAGE(AA24:AA29)*('Summary Page'!$C$2+1))*('Summary Page'!$C$2+1))*('Summary Page'!$C$2+1)</f>
        <v>90.407096319999994</v>
      </c>
      <c r="AE29" s="7">
        <f>((AVERAGE(AA24:AA29)*('Summary Page'!$C$3+1))*('Summary Page'!$C$3+1))*('Summary Page'!$C$3+1)</f>
        <v>113.125</v>
      </c>
      <c r="AF29" s="7">
        <f>((AVERAGE(AA24:AA29)*('Summary Page'!$C$4+1))*('Summary Page'!$C$4+1))*('Summary Page'!$C$4+1)</f>
        <v>100.08576000000001</v>
      </c>
      <c r="AI29" s="7">
        <f t="shared" si="5"/>
        <v>73.2</v>
      </c>
      <c r="AJ29" s="7">
        <f>((AVERAGE(B24:B29)*('Summary Page'!$C$2+1))*('Summary Page'!$C$2+1))*('Summary Page'!$C$2+1)</f>
        <v>122.68642559999996</v>
      </c>
      <c r="AK29" s="7">
        <f>((AVERAGE(B24:B29)*('Summary Page'!$C$3+1))*('Summary Page'!$C$3+1))*('Summary Page'!$C$3+1)</f>
        <v>153.515625</v>
      </c>
      <c r="AL29" s="8">
        <f>((AVERAGE(B24:B29)*('Summary Page'!$C$4+1))*('Summary Page'!$C$4+1))*('Summary Page'!$C$4+1)</f>
        <v>135.82079999999996</v>
      </c>
      <c r="AO29" s="7">
        <f t="shared" si="6"/>
        <v>36</v>
      </c>
      <c r="AP29" s="7">
        <f>((AVERAGE(C24:C29)*('Summary Page'!$C$2+1))*('Summary Page'!$C$2+1))*('Summary Page'!$C$2+1)</f>
        <v>77.420441599999975</v>
      </c>
      <c r="AQ29" s="7">
        <f>((AVERAGE(C24:C29)*('Summary Page'!$C$3+1))*('Summary Page'!$C$3+1))*('Summary Page'!$C$3+1)</f>
        <v>96.875</v>
      </c>
      <c r="AR29" s="8">
        <f>((AVERAGE(C24:C29)*('Summary Page'!$C$4+1))*('Summary Page'!$C$4+1))*('Summary Page'!$C$4+1)</f>
        <v>85.708799999999982</v>
      </c>
      <c r="AU29" s="7">
        <f t="shared" si="7"/>
        <v>51.6</v>
      </c>
      <c r="AV29" s="7">
        <f>((AVERAGE(D24:D29)*('Summary Page'!$C$2+1))*('Summary Page'!$C$2+1))*('Summary Page'!$C$2+1)</f>
        <v>104.26785279999997</v>
      </c>
      <c r="AW29" s="7">
        <f>((AVERAGE(D24:D29)*('Summary Page'!$C$3+1))*('Summary Page'!$C$3+1))*('Summary Page'!$C$3+1)</f>
        <v>130.46875</v>
      </c>
      <c r="AX29" s="7">
        <f>((AVERAGE(D24:D29)*('Summary Page'!$C$4+1))*('Summary Page'!$C$4+1))*('Summary Page'!$C$4+1)</f>
        <v>115.43039999999999</v>
      </c>
      <c r="BA29" s="7">
        <f t="shared" si="8"/>
        <v>32.4</v>
      </c>
      <c r="BB29" s="7">
        <f>((AVERAGE(E24:E29)*('Summary Page'!$C$2+1))*('Summary Page'!$C$2+1))*('Summary Page'!$C$2+1)</f>
        <v>61.187123199999988</v>
      </c>
      <c r="BC29" s="7">
        <f>((AVERAGE(E24:E29)*('Summary Page'!$C$3+1))*('Summary Page'!$C$3+1))*('Summary Page'!$C$3+1)</f>
        <v>76.5625</v>
      </c>
      <c r="BD29" s="8">
        <f>((AVERAGE(E24:E29)*('Summary Page'!$C$4+1))*('Summary Page'!$C$4+1))*('Summary Page'!$C$4+1)</f>
        <v>67.7376</v>
      </c>
      <c r="BG29" s="7">
        <f t="shared" si="9"/>
        <v>42</v>
      </c>
      <c r="BH29" s="7">
        <f>((AVERAGE(F24:F29)*('Summary Page'!$C$2+1))*('Summary Page'!$C$2+1))*('Summary Page'!$C$2+1)</f>
        <v>86.47363839999997</v>
      </c>
      <c r="BI29" s="7">
        <f>((AVERAGE(F24:F29)*('Summary Page'!$C$3+1))*('Summary Page'!$C$3+1))*('Summary Page'!$C$3+1)</f>
        <v>108.203125</v>
      </c>
      <c r="BJ29" s="8">
        <f>((AVERAGE(F24:F29)*('Summary Page'!$C$4+1))*('Summary Page'!$C$4+1))*('Summary Page'!$C$4+1)</f>
        <v>95.731199999999973</v>
      </c>
      <c r="BM29" s="7">
        <f t="shared" si="10"/>
        <v>67.2</v>
      </c>
      <c r="BN29" s="7">
        <f>((AVERAGE(Q24:Q29)*('Summary Page'!$C$2+1))*('Summary Page'!$C$2+1))*('Summary Page'!$C$2+1)</f>
        <v>125.49603839999997</v>
      </c>
      <c r="BO29" s="7">
        <f>((AVERAGE(Q24:Q29)*('Summary Page'!$C$3+1))*('Summary Page'!$C$3+1))*('Summary Page'!$C$3+1)</f>
        <v>157.03125</v>
      </c>
      <c r="BP29" s="8">
        <f>((AVERAGE(Q24:Q29)*('Summary Page'!$C$4+1))*('Summary Page'!$C$4+1))*('Summary Page'!$C$4+1)</f>
        <v>138.93119999999999</v>
      </c>
      <c r="BS29" s="7">
        <f t="shared" si="11"/>
        <v>264</v>
      </c>
      <c r="BT29" s="7">
        <f>((AVERAGE(T24:T29)*('Summary Page'!$C$2+1))*('Summary Page'!$C$2+1))*('Summary Page'!$C$2+1)</f>
        <v>353.38685439999995</v>
      </c>
      <c r="BU29" s="7">
        <f>((AVERAGE(T24:T29)*('Summary Page'!$C$3+1))*('Summary Page'!$C$3+1))*('Summary Page'!$C$3+1)</f>
        <v>442.1875</v>
      </c>
      <c r="BV29" s="8">
        <f>((AVERAGE(T24:T29)*('Summary Page'!$C$4+1))*('Summary Page'!$C$4+1))*('Summary Page'!$C$4+1)</f>
        <v>391.2192</v>
      </c>
      <c r="BW29" s="16">
        <f t="shared" si="20"/>
        <v>6.4719101123595504</v>
      </c>
      <c r="BX29" s="16">
        <f t="shared" si="21"/>
        <v>6.5917602996254674</v>
      </c>
      <c r="BY29" s="7">
        <f t="shared" si="13"/>
        <v>7.9101123595505607</v>
      </c>
      <c r="BZ29" s="7">
        <f>((AVERAGE(BW24:BW29)*('Summary Page'!$C$2+1))*('Summary Page'!$C$2+1))*('Summary Page'!$C$2+1)</f>
        <v>10.588370169288387</v>
      </c>
      <c r="CA29" s="7">
        <f>((AVERAGE(BW24:BW29)*('Summary Page'!$C$3+1))*('Summary Page'!$C$3+1))*('Summary Page'!$C$3+1)</f>
        <v>13.249063670411985</v>
      </c>
      <c r="CB29" s="7">
        <f>((AVERAGE(BW24:BW29)*('Summary Page'!$C$4+1))*('Summary Page'!$C$4+1))*('Summary Page'!$C$4+1)</f>
        <v>11.721923595505617</v>
      </c>
      <c r="CC29" s="11">
        <f t="shared" si="14"/>
        <v>7.5505617977528088</v>
      </c>
      <c r="CD29" s="11">
        <f t="shared" si="15"/>
        <v>7.6903870162297121</v>
      </c>
      <c r="CE29" s="11">
        <f t="shared" si="16"/>
        <v>9.2284644194756549</v>
      </c>
      <c r="CF29" s="11">
        <f t="shared" si="17"/>
        <v>12.353098530836451</v>
      </c>
      <c r="CG29" s="11">
        <f t="shared" si="18"/>
        <v>15.457240948813983</v>
      </c>
      <c r="CH29" s="11">
        <f t="shared" si="19"/>
        <v>13.675577528089885</v>
      </c>
    </row>
    <row r="30" spans="1:86" ht="15.75" x14ac:dyDescent="0.25">
      <c r="A30" s="10">
        <v>43801</v>
      </c>
      <c r="B30" s="7">
        <v>84</v>
      </c>
      <c r="C30" s="7">
        <v>45</v>
      </c>
      <c r="D30" s="7">
        <v>63</v>
      </c>
      <c r="E30" s="7">
        <v>39</v>
      </c>
      <c r="F30" s="7">
        <v>52</v>
      </c>
      <c r="G30" s="229">
        <v>63</v>
      </c>
      <c r="H30" s="7">
        <v>36</v>
      </c>
      <c r="I30" s="7">
        <v>50</v>
      </c>
      <c r="J30" s="7">
        <v>31</v>
      </c>
      <c r="K30" s="230">
        <v>42</v>
      </c>
      <c r="L30" s="7"/>
      <c r="M30" s="7"/>
      <c r="N30" s="7"/>
      <c r="O30" s="7"/>
      <c r="P30" s="7"/>
      <c r="Q30" s="7">
        <v>83</v>
      </c>
      <c r="R30" s="7">
        <v>63</v>
      </c>
      <c r="S30" s="7"/>
      <c r="T30" s="7">
        <v>180</v>
      </c>
      <c r="U30" s="7">
        <v>136</v>
      </c>
      <c r="V30" s="7"/>
      <c r="W30" s="7"/>
      <c r="X30" s="7"/>
      <c r="Y30" s="7"/>
      <c r="Z30" s="7"/>
      <c r="AA30" s="2">
        <f t="shared" si="2"/>
        <v>56.6</v>
      </c>
      <c r="AB30" s="2">
        <f t="shared" si="3"/>
        <v>44.4</v>
      </c>
      <c r="AC30" s="2">
        <f t="shared" si="4"/>
        <v>53.279999999999994</v>
      </c>
      <c r="AD30" s="7">
        <f>((AVERAGE(AA25:AA30)*('Summary Page'!$C$2+1))*('Summary Page'!$C$2+1))*('Summary Page'!$C$2+1)</f>
        <v>90.063699199999988</v>
      </c>
      <c r="AE30" s="7">
        <f>((AVERAGE(AA25:AA30)*('Summary Page'!$C$3+1))*('Summary Page'!$C$3+1))*('Summary Page'!$C$3+1)</f>
        <v>112.69531250000001</v>
      </c>
      <c r="AF30" s="7">
        <f>((AVERAGE(AA25:AA30)*('Summary Page'!$C$4+1))*('Summary Page'!$C$4+1))*('Summary Page'!$C$4+1)</f>
        <v>99.705600000000004</v>
      </c>
      <c r="AI30" s="7">
        <f t="shared" si="5"/>
        <v>75.599999999999994</v>
      </c>
      <c r="AJ30" s="7">
        <f>((AVERAGE(B25:B30)*('Summary Page'!$C$2+1))*('Summary Page'!$C$2+1))*('Summary Page'!$C$2+1)</f>
        <v>124.09123199999998</v>
      </c>
      <c r="AK30" s="7">
        <f>((AVERAGE(B25:B30)*('Summary Page'!$C$3+1))*('Summary Page'!$C$3+1))*('Summary Page'!$C$3+1)</f>
        <v>155.2734375</v>
      </c>
      <c r="AL30" s="8">
        <f>((AVERAGE(B25:B30)*('Summary Page'!$C$4+1))*('Summary Page'!$C$4+1))*('Summary Page'!$C$4+1)</f>
        <v>137.37599999999998</v>
      </c>
      <c r="AO30" s="7">
        <f t="shared" si="6"/>
        <v>43.199999999999996</v>
      </c>
      <c r="AP30" s="7">
        <f>((AVERAGE(C25:C30)*('Summary Page'!$C$2+1))*('Summary Page'!$C$2+1))*('Summary Page'!$C$2+1)</f>
        <v>76.223754666666665</v>
      </c>
      <c r="AQ30" s="7">
        <f>((AVERAGE(C25:C30)*('Summary Page'!$C$3+1))*('Summary Page'!$C$3+1))*('Summary Page'!$C$3+1)</f>
        <v>95.377604166666686</v>
      </c>
      <c r="AR30" s="8">
        <f>((AVERAGE(C25:C30)*('Summary Page'!$C$4+1))*('Summary Page'!$C$4+1))*('Summary Page'!$C$4+1)</f>
        <v>84.383999999999986</v>
      </c>
      <c r="AU30" s="7">
        <f t="shared" si="7"/>
        <v>60</v>
      </c>
      <c r="AV30" s="7">
        <f>((AVERAGE(D25:D30)*('Summary Page'!$C$2+1))*('Summary Page'!$C$2+1))*('Summary Page'!$C$2+1)</f>
        <v>103.27928533333331</v>
      </c>
      <c r="AW30" s="7">
        <f>((AVERAGE(D25:D30)*('Summary Page'!$C$3+1))*('Summary Page'!$C$3+1))*('Summary Page'!$C$3+1)</f>
        <v>129.23177083333337</v>
      </c>
      <c r="AX30" s="7">
        <f>((AVERAGE(D25:D30)*('Summary Page'!$C$4+1))*('Summary Page'!$C$4+1))*('Summary Page'!$C$4+1)</f>
        <v>114.336</v>
      </c>
      <c r="BA30" s="7">
        <f t="shared" si="8"/>
        <v>37.199999999999996</v>
      </c>
      <c r="BB30" s="7">
        <f>((AVERAGE(E25:E30)*('Summary Page'!$C$2+1))*('Summary Page'!$C$2+1))*('Summary Page'!$C$2+1)</f>
        <v>61.135093333333323</v>
      </c>
      <c r="BC30" s="7">
        <f>((AVERAGE(E25:E30)*('Summary Page'!$C$3+1))*('Summary Page'!$C$3+1))*('Summary Page'!$C$3+1)</f>
        <v>76.497395833333314</v>
      </c>
      <c r="BD30" s="8">
        <f>((AVERAGE(E25:E30)*('Summary Page'!$C$4+1))*('Summary Page'!$C$4+1))*('Summary Page'!$C$4+1)</f>
        <v>67.679999999999993</v>
      </c>
      <c r="BG30" s="7">
        <f t="shared" si="9"/>
        <v>50.4</v>
      </c>
      <c r="BH30" s="7">
        <f>((AVERAGE(F25:F30)*('Summary Page'!$C$2+1))*('Summary Page'!$C$2+1))*('Summary Page'!$C$2+1)</f>
        <v>85.589130666666648</v>
      </c>
      <c r="BI30" s="7">
        <f>((AVERAGE(F25:F30)*('Summary Page'!$C$3+1))*('Summary Page'!$C$3+1))*('Summary Page'!$C$3+1)</f>
        <v>107.09635416666669</v>
      </c>
      <c r="BJ30" s="8">
        <f>((AVERAGE(F25:F30)*('Summary Page'!$C$4+1))*('Summary Page'!$C$4+1))*('Summary Page'!$C$4+1)</f>
        <v>94.751999999999995</v>
      </c>
      <c r="BM30" s="7">
        <f t="shared" si="10"/>
        <v>75.599999999999994</v>
      </c>
      <c r="BN30" s="7">
        <f>((AVERAGE(Q25:Q30)*('Summary Page'!$C$2+1))*('Summary Page'!$C$2+1))*('Summary Page'!$C$2+1)</f>
        <v>126.17242666666662</v>
      </c>
      <c r="BO30" s="7">
        <f>((AVERAGE(Q25:Q30)*('Summary Page'!$C$3+1))*('Summary Page'!$C$3+1))*('Summary Page'!$C$3+1)</f>
        <v>157.87760416666663</v>
      </c>
      <c r="BP30" s="8">
        <f>((AVERAGE(Q25:Q30)*('Summary Page'!$C$4+1))*('Summary Page'!$C$4+1))*('Summary Page'!$C$4+1)</f>
        <v>139.67999999999998</v>
      </c>
      <c r="BS30" s="7">
        <f t="shared" si="11"/>
        <v>163.19999999999999</v>
      </c>
      <c r="BT30" s="7">
        <f>((AVERAGE(T25:T30)*('Summary Page'!$C$2+1))*('Summary Page'!$C$2+1))*('Summary Page'!$C$2+1)</f>
        <v>341.31592533333321</v>
      </c>
      <c r="BU30" s="7">
        <f>((AVERAGE(T25:T30)*('Summary Page'!$C$3+1))*('Summary Page'!$C$3+1))*('Summary Page'!$C$3+1)</f>
        <v>427.08333333333326</v>
      </c>
      <c r="BV30" s="8">
        <f>((AVERAGE(T25:T30)*('Summary Page'!$C$4+1))*('Summary Page'!$C$4+1))*('Summary Page'!$C$4+1)</f>
        <v>377.85599999999994</v>
      </c>
      <c r="BW30" s="16">
        <f t="shared" si="20"/>
        <v>5.393258426966292</v>
      </c>
      <c r="BX30" s="16">
        <f t="shared" si="21"/>
        <v>4.0749063670411987</v>
      </c>
      <c r="BY30" s="7">
        <f t="shared" si="13"/>
        <v>4.8898876404494382</v>
      </c>
      <c r="BZ30" s="7">
        <f>((AVERAGE(BW25:BW30)*('Summary Page'!$C$2+1))*('Summary Page'!$C$2+1))*('Summary Page'!$C$2+1)</f>
        <v>10.226694392009984</v>
      </c>
      <c r="CA30" s="7">
        <f>((AVERAGE(BW25:BW30)*('Summary Page'!$C$3+1))*('Summary Page'!$C$3+1))*('Summary Page'!$C$3+1)</f>
        <v>12.796504369538075</v>
      </c>
      <c r="CB30" s="7">
        <f>((AVERAGE(BW25:BW30)*('Summary Page'!$C$4+1))*('Summary Page'!$C$4+1))*('Summary Page'!$C$4+1)</f>
        <v>11.321528089887639</v>
      </c>
      <c r="CC30" s="11">
        <f t="shared" si="14"/>
        <v>6.2921348314606735</v>
      </c>
      <c r="CD30" s="11">
        <f t="shared" si="15"/>
        <v>4.7540574282147317</v>
      </c>
      <c r="CE30" s="11">
        <f t="shared" si="16"/>
        <v>5.7048689138576778</v>
      </c>
      <c r="CF30" s="11">
        <f t="shared" si="17"/>
        <v>11.93114345734498</v>
      </c>
      <c r="CG30" s="11">
        <f t="shared" si="18"/>
        <v>14.929255097794421</v>
      </c>
      <c r="CH30" s="11">
        <f t="shared" si="19"/>
        <v>13.208449438202246</v>
      </c>
    </row>
    <row r="31" spans="1:86" ht="15.75" x14ac:dyDescent="0.25">
      <c r="A31" s="10">
        <v>43838</v>
      </c>
      <c r="B31" s="7">
        <v>82</v>
      </c>
      <c r="C31" s="7">
        <v>49</v>
      </c>
      <c r="D31" s="7">
        <v>69</v>
      </c>
      <c r="E31" s="7">
        <v>39</v>
      </c>
      <c r="F31" s="7">
        <v>53</v>
      </c>
      <c r="G31" s="229">
        <v>66</v>
      </c>
      <c r="H31" s="7">
        <v>30</v>
      </c>
      <c r="I31" s="7">
        <v>47</v>
      </c>
      <c r="J31" s="7">
        <v>29</v>
      </c>
      <c r="K31" s="230">
        <v>36</v>
      </c>
      <c r="L31" s="7"/>
      <c r="M31" s="7"/>
      <c r="N31" s="7"/>
      <c r="O31" s="7"/>
      <c r="P31" s="7"/>
      <c r="Q31" s="7">
        <v>84</v>
      </c>
      <c r="R31" s="7">
        <v>59</v>
      </c>
      <c r="S31" s="7"/>
      <c r="T31" s="7">
        <v>211</v>
      </c>
      <c r="U31" s="7">
        <v>220</v>
      </c>
      <c r="V31" s="7"/>
      <c r="W31" s="7"/>
      <c r="X31" s="7"/>
      <c r="Y31" s="7"/>
      <c r="Z31" s="7"/>
      <c r="AA31" s="2">
        <f t="shared" si="2"/>
        <v>58.4</v>
      </c>
      <c r="AB31" s="2">
        <f t="shared" si="3"/>
        <v>41.6</v>
      </c>
      <c r="AC31" s="2">
        <f t="shared" si="4"/>
        <v>49.92</v>
      </c>
      <c r="AD31" s="7">
        <f>((AVERAGE(AA26:AA31)*('Summary Page'!$C$2+1))*('Summary Page'!$C$2+1))*('Summary Page'!$C$2+1)</f>
        <v>89.283251199999967</v>
      </c>
      <c r="AE31" s="7">
        <f>((AVERAGE(AA26:AA31)*('Summary Page'!$C$3+1))*('Summary Page'!$C$3+1))*('Summary Page'!$C$3+1)</f>
        <v>111.71875</v>
      </c>
      <c r="AF31" s="7">
        <f>((AVERAGE(AA26:AA31)*('Summary Page'!$C$4+1))*('Summary Page'!$C$4+1))*('Summary Page'!$C$4+1)</f>
        <v>98.841599999999971</v>
      </c>
      <c r="AI31" s="7">
        <f t="shared" ref="AI31:AI48" si="22">G31*1.2</f>
        <v>79.2</v>
      </c>
      <c r="AJ31" s="7">
        <f>((AVERAGE(B26:B31)*('Summary Page'!$C$2+1))*('Summary Page'!$C$2+1))*('Summary Page'!$C$2+1)</f>
        <v>124.61153066666664</v>
      </c>
      <c r="AK31" s="7">
        <f>((AVERAGE(B26:B31)*('Summary Page'!$C$3+1))*('Summary Page'!$C$3+1))*('Summary Page'!$C$3+1)</f>
        <v>155.92447916666663</v>
      </c>
      <c r="AL31" s="8">
        <f>((AVERAGE(B26:B31)*('Summary Page'!$C$4+1))*('Summary Page'!$C$4+1))*('Summary Page'!$C$4+1)</f>
        <v>137.952</v>
      </c>
      <c r="AO31" s="7">
        <f t="shared" ref="AO31:AO56" si="23">H31*1.2</f>
        <v>36</v>
      </c>
      <c r="AP31" s="7">
        <f>((AVERAGE(C26:C31)*('Summary Page'!$C$2+1))*('Summary Page'!$C$2+1))*('Summary Page'!$C$2+1)</f>
        <v>75.183157333333313</v>
      </c>
      <c r="AQ31" s="7">
        <f>((AVERAGE(C26:C31)*('Summary Page'!$C$3+1))*('Summary Page'!$C$3+1))*('Summary Page'!$C$3+1)</f>
        <v>94.075520833333314</v>
      </c>
      <c r="AR31" s="8">
        <f>((AVERAGE(C26:C31)*('Summary Page'!$C$4+1))*('Summary Page'!$C$4+1))*('Summary Page'!$C$4+1)</f>
        <v>83.231999999999999</v>
      </c>
      <c r="AU31" s="7">
        <f t="shared" ref="AU31:AU56" si="24">I31*1.2</f>
        <v>56.4</v>
      </c>
      <c r="AV31" s="7">
        <f>((AVERAGE(D26:D31)*('Summary Page'!$C$2+1))*('Summary Page'!$C$2+1))*('Summary Page'!$C$2+1)</f>
        <v>102.23868799999997</v>
      </c>
      <c r="AW31" s="7">
        <f>((AVERAGE(D26:D31)*('Summary Page'!$C$3+1))*('Summary Page'!$C$3+1))*('Summary Page'!$C$3+1)</f>
        <v>127.9296875</v>
      </c>
      <c r="AX31" s="7">
        <f>((AVERAGE(D26:D31)*('Summary Page'!$C$4+1))*('Summary Page'!$C$4+1))*('Summary Page'!$C$4+1)</f>
        <v>113.18399999999998</v>
      </c>
      <c r="BA31" s="7">
        <f t="shared" ref="BA31:BA56" si="25">J31*1.2</f>
        <v>34.799999999999997</v>
      </c>
      <c r="BB31" s="7">
        <f>((AVERAGE(E26:E31)*('Summary Page'!$C$2+1))*('Summary Page'!$C$2+1))*('Summary Page'!$C$2+1)</f>
        <v>60.354645333333316</v>
      </c>
      <c r="BC31" s="7">
        <f>((AVERAGE(E26:E31)*('Summary Page'!$C$3+1))*('Summary Page'!$C$3+1))*('Summary Page'!$C$3+1)</f>
        <v>75.520833333333314</v>
      </c>
      <c r="BD31" s="8">
        <f>((AVERAGE(E26:E31)*('Summary Page'!$C$4+1))*('Summary Page'!$C$4+1))*('Summary Page'!$C$4+1)</f>
        <v>66.816000000000003</v>
      </c>
      <c r="BG31" s="7">
        <f t="shared" ref="BG31:BG49" si="26">K31*1.2</f>
        <v>43.199999999999996</v>
      </c>
      <c r="BH31" s="7">
        <f>((AVERAGE(F26:F31)*('Summary Page'!$C$2+1))*('Summary Page'!$C$2+1))*('Summary Page'!$C$2+1)</f>
        <v>84.028234666666648</v>
      </c>
      <c r="BI31" s="7">
        <f>((AVERAGE(F26:F31)*('Summary Page'!$C$3+1))*('Summary Page'!$C$3+1))*('Summary Page'!$C$3+1)</f>
        <v>105.14322916666669</v>
      </c>
      <c r="BJ31" s="8">
        <f>((AVERAGE(F26:F31)*('Summary Page'!$C$4+1))*('Summary Page'!$C$4+1))*('Summary Page'!$C$4+1)</f>
        <v>93.023999999999987</v>
      </c>
      <c r="BM31" s="7">
        <f t="shared" ref="BM31:BM50" si="27">R31*1.2</f>
        <v>70.8</v>
      </c>
      <c r="BN31" s="7">
        <f>((AVERAGE(Q26:Q31)*('Summary Page'!$C$2+1))*('Summary Page'!$C$2+1))*('Summary Page'!$C$2+1)</f>
        <v>128.77391999999998</v>
      </c>
      <c r="BO31" s="7">
        <f>((AVERAGE(Q26:Q31)*('Summary Page'!$C$3+1))*('Summary Page'!$C$3+1))*('Summary Page'!$C$3+1)</f>
        <v>161.1328125</v>
      </c>
      <c r="BP31" s="8">
        <f>((AVERAGE(Q26:Q31)*('Summary Page'!$C$4+1))*('Summary Page'!$C$4+1))*('Summary Page'!$C$4+1)</f>
        <v>142.56</v>
      </c>
      <c r="BS31" s="7">
        <f t="shared" ref="BS31:BS50" si="28">U31*1.2</f>
        <v>264</v>
      </c>
      <c r="BT31" s="7">
        <f>((AVERAGE(T26:T31)*('Summary Page'!$C$2+1))*('Summary Page'!$C$2+1))*('Summary Page'!$C$2+1)</f>
        <v>336.11293866666659</v>
      </c>
      <c r="BU31" s="7">
        <f>((AVERAGE(T26:T31)*('Summary Page'!$C$3+1))*('Summary Page'!$C$3+1))*('Summary Page'!$C$3+1)</f>
        <v>420.57291666666674</v>
      </c>
      <c r="BV31" s="8">
        <f>((AVERAGE(T26:T31)*('Summary Page'!$C$4+1))*('Summary Page'!$C$4+1))*('Summary Page'!$C$4+1)</f>
        <v>372.09599999999995</v>
      </c>
      <c r="BW31" s="16">
        <f t="shared" si="20"/>
        <v>6.322097378277153</v>
      </c>
      <c r="BX31" s="16">
        <f t="shared" si="21"/>
        <v>6.5917602996254674</v>
      </c>
      <c r="BY31" s="7">
        <f t="shared" ref="BY31:BY50" si="29">BX31*1.2</f>
        <v>7.9101123595505607</v>
      </c>
      <c r="BZ31" s="7">
        <f>((AVERAGE(BW26:BW31)*('Summary Page'!$C$2+1))*('Summary Page'!$C$2+1))*('Summary Page'!$C$2+1)</f>
        <v>10.070799660424468</v>
      </c>
      <c r="CA31" s="7">
        <f>((AVERAGE(BW26:BW31)*('Summary Page'!$C$3+1))*('Summary Page'!$C$3+1))*('Summary Page'!$C$3+1)</f>
        <v>12.601435705368292</v>
      </c>
      <c r="CB31" s="7">
        <f>((AVERAGE(BW26:BW31)*('Summary Page'!$C$4+1))*('Summary Page'!$C$4+1))*('Summary Page'!$C$4+1)</f>
        <v>11.148943820224719</v>
      </c>
      <c r="CC31" s="11">
        <f t="shared" ref="CC31:CC50" si="30">(BW31/6)+BW31</f>
        <v>7.3757802746566785</v>
      </c>
      <c r="CD31" s="11">
        <f t="shared" si="15"/>
        <v>7.6903870162297121</v>
      </c>
      <c r="CE31" s="11">
        <f t="shared" si="16"/>
        <v>9.2284644194756549</v>
      </c>
      <c r="CF31" s="11">
        <f t="shared" si="17"/>
        <v>11.749266270495212</v>
      </c>
      <c r="CG31" s="11">
        <f t="shared" si="18"/>
        <v>14.701674989596341</v>
      </c>
      <c r="CH31" s="11">
        <f t="shared" si="19"/>
        <v>13.007101123595506</v>
      </c>
    </row>
    <row r="32" spans="1:86" ht="15.75" x14ac:dyDescent="0.25">
      <c r="A32" s="10">
        <v>43864</v>
      </c>
      <c r="B32" s="7">
        <v>79</v>
      </c>
      <c r="C32" s="7">
        <v>45</v>
      </c>
      <c r="D32" s="7">
        <v>66</v>
      </c>
      <c r="E32" s="7">
        <v>38</v>
      </c>
      <c r="F32" s="7">
        <v>53</v>
      </c>
      <c r="G32" s="229">
        <v>44</v>
      </c>
      <c r="H32" s="7">
        <v>25</v>
      </c>
      <c r="I32" s="7">
        <v>37</v>
      </c>
      <c r="J32" s="7">
        <v>22</v>
      </c>
      <c r="K32" s="230">
        <v>30</v>
      </c>
      <c r="L32" s="7"/>
      <c r="M32" s="7"/>
      <c r="N32" s="7"/>
      <c r="O32" s="7"/>
      <c r="P32" s="7"/>
      <c r="Q32" s="7">
        <v>80</v>
      </c>
      <c r="R32" s="7">
        <v>44</v>
      </c>
      <c r="S32" s="7"/>
      <c r="T32" s="7">
        <v>214.5</v>
      </c>
      <c r="U32" s="7">
        <v>227</v>
      </c>
      <c r="V32" s="7"/>
      <c r="W32" s="7"/>
      <c r="X32" s="7"/>
      <c r="Y32" s="7"/>
      <c r="Z32" s="7"/>
      <c r="AA32" s="2">
        <f t="shared" si="2"/>
        <v>56.2</v>
      </c>
      <c r="AB32" s="2">
        <f t="shared" si="3"/>
        <v>31.6</v>
      </c>
      <c r="AC32" s="2">
        <f t="shared" si="4"/>
        <v>37.92</v>
      </c>
      <c r="AD32" s="7">
        <f>((AVERAGE(AA27:AA32)*('Summary Page'!$C$2+1))*('Summary Page'!$C$2+1))*('Summary Page'!$C$2+1)</f>
        <v>90.115729066666646</v>
      </c>
      <c r="AE32" s="7">
        <f>((AVERAGE(AA27:AA32)*('Summary Page'!$C$3+1))*('Summary Page'!$C$3+1))*('Summary Page'!$C$3+1)</f>
        <v>112.76041666666664</v>
      </c>
      <c r="AF32" s="7">
        <f>((AVERAGE(AA27:AA32)*('Summary Page'!$C$4+1))*('Summary Page'!$C$4+1))*('Summary Page'!$C$4+1)</f>
        <v>99.763199999999969</v>
      </c>
      <c r="AI32" s="7">
        <f t="shared" si="22"/>
        <v>52.8</v>
      </c>
      <c r="AJ32" s="7">
        <f>((AVERAGE(B27:B32)*('Summary Page'!$C$2+1))*('Summary Page'!$C$2+1))*('Summary Page'!$C$2+1)</f>
        <v>126.43257599999997</v>
      </c>
      <c r="AK32" s="7">
        <f>((AVERAGE(B27:B32)*('Summary Page'!$C$3+1))*('Summary Page'!$C$3+1))*('Summary Page'!$C$3+1)</f>
        <v>158.203125</v>
      </c>
      <c r="AL32" s="8">
        <f>((AVERAGE(B27:B32)*('Summary Page'!$C$4+1))*('Summary Page'!$C$4+1))*('Summary Page'!$C$4+1)</f>
        <v>139.96799999999999</v>
      </c>
      <c r="AO32" s="7">
        <f t="shared" si="23"/>
        <v>30</v>
      </c>
      <c r="AP32" s="7">
        <f>((AVERAGE(C27:C32)*('Summary Page'!$C$2+1))*('Summary Page'!$C$2+1))*('Summary Page'!$C$2+1)</f>
        <v>74.923007999999982</v>
      </c>
      <c r="AQ32" s="7">
        <f>((AVERAGE(C27:C32)*('Summary Page'!$C$3+1))*('Summary Page'!$C$3+1))*('Summary Page'!$C$3+1)</f>
        <v>93.75</v>
      </c>
      <c r="AR32" s="8">
        <f>((AVERAGE(C27:C32)*('Summary Page'!$C$4+1))*('Summary Page'!$C$4+1))*('Summary Page'!$C$4+1)</f>
        <v>82.943999999999988</v>
      </c>
      <c r="AU32" s="7">
        <f t="shared" si="24"/>
        <v>44.4</v>
      </c>
      <c r="AV32" s="7">
        <f>((AVERAGE(D27:D32)*('Summary Page'!$C$2+1))*('Summary Page'!$C$2+1))*('Summary Page'!$C$2+1)</f>
        <v>103.799584</v>
      </c>
      <c r="AW32" s="7">
        <f>((AVERAGE(D27:D32)*('Summary Page'!$C$3+1))*('Summary Page'!$C$3+1))*('Summary Page'!$C$3+1)</f>
        <v>129.8828125</v>
      </c>
      <c r="AX32" s="7">
        <f>((AVERAGE(D27:D32)*('Summary Page'!$C$4+1))*('Summary Page'!$C$4+1))*('Summary Page'!$C$4+1)</f>
        <v>114.91199999999999</v>
      </c>
      <c r="BA32" s="7">
        <f t="shared" si="25"/>
        <v>26.4</v>
      </c>
      <c r="BB32" s="7">
        <f>((AVERAGE(E27:E32)*('Summary Page'!$C$2+1))*('Summary Page'!$C$2+1))*('Summary Page'!$C$2+1)</f>
        <v>60.874943999999985</v>
      </c>
      <c r="BC32" s="7">
        <f>((AVERAGE(E27:E32)*('Summary Page'!$C$3+1))*('Summary Page'!$C$3+1))*('Summary Page'!$C$3+1)</f>
        <v>76.171875</v>
      </c>
      <c r="BD32" s="8">
        <f>((AVERAGE(E27:E32)*('Summary Page'!$C$4+1))*('Summary Page'!$C$4+1))*('Summary Page'!$C$4+1)</f>
        <v>67.391999999999996</v>
      </c>
      <c r="BG32" s="7">
        <f t="shared" si="26"/>
        <v>36</v>
      </c>
      <c r="BH32" s="7">
        <f>((AVERAGE(F27:F32)*('Summary Page'!$C$2+1))*('Summary Page'!$C$2+1))*('Summary Page'!$C$2+1)</f>
        <v>84.54853333333331</v>
      </c>
      <c r="BI32" s="7">
        <f>((AVERAGE(F27:F32)*('Summary Page'!$C$3+1))*('Summary Page'!$C$3+1))*('Summary Page'!$C$3+1)</f>
        <v>105.79427083333331</v>
      </c>
      <c r="BJ32" s="8">
        <f>((AVERAGE(F27:F32)*('Summary Page'!$C$4+1))*('Summary Page'!$C$4+1))*('Summary Page'!$C$4+1)</f>
        <v>93.6</v>
      </c>
      <c r="BM32" s="7">
        <f t="shared" si="27"/>
        <v>52.8</v>
      </c>
      <c r="BN32" s="7">
        <f>((AVERAGE(Q27:Q32)*('Summary Page'!$C$2+1))*('Summary Page'!$C$2+1))*('Summary Page'!$C$2+1)</f>
        <v>130.33481599999999</v>
      </c>
      <c r="BO32" s="7">
        <f>((AVERAGE(Q27:Q32)*('Summary Page'!$C$3+1))*('Summary Page'!$C$3+1))*('Summary Page'!$C$3+1)</f>
        <v>163.0859375</v>
      </c>
      <c r="BP32" s="8">
        <f>((AVERAGE(Q27:Q32)*('Summary Page'!$C$4+1))*('Summary Page'!$C$4+1))*('Summary Page'!$C$4+1)</f>
        <v>144.28799999999998</v>
      </c>
      <c r="BS32" s="7">
        <f t="shared" si="28"/>
        <v>272.39999999999998</v>
      </c>
      <c r="BT32" s="7">
        <f>((AVERAGE(T27:T32)*('Summary Page'!$C$2+1))*('Summary Page'!$C$2+1))*('Summary Page'!$C$2+1)</f>
        <v>331.8204746666666</v>
      </c>
      <c r="BU32" s="7">
        <f>((AVERAGE(T27:T32)*('Summary Page'!$C$3+1))*('Summary Page'!$C$3+1))*('Summary Page'!$C$3+1)</f>
        <v>415.20182291666674</v>
      </c>
      <c r="BV32" s="8">
        <f>((AVERAGE(T27:T32)*('Summary Page'!$C$4+1))*('Summary Page'!$C$4+1))*('Summary Page'!$C$4+1)</f>
        <v>367.34399999999999</v>
      </c>
      <c r="BW32" s="16">
        <f t="shared" si="20"/>
        <v>6.4269662921348312</v>
      </c>
      <c r="BX32" s="16">
        <f t="shared" si="21"/>
        <v>6.8014981273408237</v>
      </c>
      <c r="BY32" s="7">
        <f t="shared" si="29"/>
        <v>8.1617977528089884</v>
      </c>
      <c r="BZ32" s="7">
        <f>((AVERAGE(BW27:BW32)*('Summary Page'!$C$2+1))*('Summary Page'!$C$2+1))*('Summary Page'!$C$2+1)</f>
        <v>9.9421865068664133</v>
      </c>
      <c r="CA32" s="7">
        <f>((AVERAGE(BW27:BW32)*('Summary Page'!$C$3+1))*('Summary Page'!$C$3+1))*('Summary Page'!$C$3+1)</f>
        <v>12.440504057428212</v>
      </c>
      <c r="CB32" s="7">
        <f>((AVERAGE(BW27:BW32)*('Summary Page'!$C$4+1))*('Summary Page'!$C$4+1))*('Summary Page'!$C$4+1)</f>
        <v>11.006561797752807</v>
      </c>
      <c r="CC32" s="11">
        <f t="shared" si="30"/>
        <v>7.4981273408239701</v>
      </c>
      <c r="CD32" s="11">
        <f t="shared" si="15"/>
        <v>7.9350811485642945</v>
      </c>
      <c r="CE32" s="11">
        <f t="shared" si="16"/>
        <v>9.5220973782771523</v>
      </c>
      <c r="CF32" s="11">
        <f t="shared" si="17"/>
        <v>11.599217591344148</v>
      </c>
      <c r="CG32" s="11">
        <f t="shared" si="18"/>
        <v>14.513921400332915</v>
      </c>
      <c r="CH32" s="11">
        <f t="shared" si="19"/>
        <v>12.840988764044942</v>
      </c>
    </row>
    <row r="33" spans="1:86" ht="15.75" x14ac:dyDescent="0.25">
      <c r="A33" s="10">
        <v>43894</v>
      </c>
      <c r="B33" s="7">
        <v>68</v>
      </c>
      <c r="C33" s="7">
        <v>48</v>
      </c>
      <c r="D33" s="7">
        <v>60</v>
      </c>
      <c r="E33" s="7">
        <v>34</v>
      </c>
      <c r="F33" s="7">
        <v>52</v>
      </c>
      <c r="G33" s="229">
        <v>72</v>
      </c>
      <c r="H33" s="7">
        <v>35</v>
      </c>
      <c r="I33" s="7">
        <v>54</v>
      </c>
      <c r="J33" s="7">
        <v>31</v>
      </c>
      <c r="K33" s="230">
        <v>40</v>
      </c>
      <c r="L33" s="7"/>
      <c r="M33" s="7"/>
      <c r="N33" s="7"/>
      <c r="O33" s="7"/>
      <c r="P33" s="7"/>
      <c r="Q33" s="7">
        <v>71</v>
      </c>
      <c r="R33" s="7">
        <v>65</v>
      </c>
      <c r="S33" s="7"/>
      <c r="T33" s="7">
        <v>155</v>
      </c>
      <c r="U33" s="7">
        <v>150</v>
      </c>
      <c r="V33" s="7"/>
      <c r="W33" s="7"/>
      <c r="X33" s="7"/>
      <c r="Y33" s="7"/>
      <c r="Z33" s="7"/>
      <c r="AA33" s="2">
        <f t="shared" si="2"/>
        <v>52.4</v>
      </c>
      <c r="AB33" s="2">
        <f t="shared" si="3"/>
        <v>46.4</v>
      </c>
      <c r="AC33" s="2">
        <f t="shared" si="4"/>
        <v>55.68</v>
      </c>
      <c r="AD33" s="7">
        <f>((AVERAGE(AA28:AA33)*('Summary Page'!$C$2+1))*('Summary Page'!$C$2+1))*('Summary Page'!$C$2+1)</f>
        <v>88.814982399999977</v>
      </c>
      <c r="AE33" s="7">
        <f>((AVERAGE(AA28:AA33)*('Summary Page'!$C$3+1))*('Summary Page'!$C$3+1))*('Summary Page'!$C$3+1)</f>
        <v>111.1328125</v>
      </c>
      <c r="AF33" s="7">
        <f>((AVERAGE(AA28:AA33)*('Summary Page'!$C$4+1))*('Summary Page'!$C$4+1))*('Summary Page'!$C$4+1)</f>
        <v>98.323199999999986</v>
      </c>
      <c r="AI33" s="7">
        <f t="shared" si="22"/>
        <v>86.399999999999991</v>
      </c>
      <c r="AJ33" s="7">
        <f>((AVERAGE(B28:B33)*('Summary Page'!$C$2+1))*('Summary Page'!$C$2+1))*('Summary Page'!$C$2+1)</f>
        <v>123.31078399999998</v>
      </c>
      <c r="AK33" s="7">
        <f>((AVERAGE(B28:B33)*('Summary Page'!$C$3+1))*('Summary Page'!$C$3+1))*('Summary Page'!$C$3+1)</f>
        <v>154.296875</v>
      </c>
      <c r="AL33" s="8">
        <f>((AVERAGE(B28:B33)*('Summary Page'!$C$4+1))*('Summary Page'!$C$4+1))*('Summary Page'!$C$4+1)</f>
        <v>136.51199999999997</v>
      </c>
      <c r="AO33" s="7">
        <f t="shared" si="23"/>
        <v>42</v>
      </c>
      <c r="AP33" s="7">
        <f>((AVERAGE(C28:C33)*('Summary Page'!$C$2+1))*('Summary Page'!$C$2+1))*('Summary Page'!$C$2+1)</f>
        <v>74.923007999999982</v>
      </c>
      <c r="AQ33" s="7">
        <f>((AVERAGE(C28:C33)*('Summary Page'!$C$3+1))*('Summary Page'!$C$3+1))*('Summary Page'!$C$3+1)</f>
        <v>93.75</v>
      </c>
      <c r="AR33" s="8">
        <f>((AVERAGE(C28:C33)*('Summary Page'!$C$4+1))*('Summary Page'!$C$4+1))*('Summary Page'!$C$4+1)</f>
        <v>82.943999999999988</v>
      </c>
      <c r="AU33" s="7">
        <f t="shared" si="24"/>
        <v>64.8</v>
      </c>
      <c r="AV33" s="7">
        <f>((AVERAGE(D28:D33)*('Summary Page'!$C$2+1))*('Summary Page'!$C$2+1))*('Summary Page'!$C$2+1)</f>
        <v>102.23868799999997</v>
      </c>
      <c r="AW33" s="7">
        <f>((AVERAGE(D28:D33)*('Summary Page'!$C$3+1))*('Summary Page'!$C$3+1))*('Summary Page'!$C$3+1)</f>
        <v>127.9296875</v>
      </c>
      <c r="AX33" s="7">
        <f>((AVERAGE(D28:D33)*('Summary Page'!$C$4+1))*('Summary Page'!$C$4+1))*('Summary Page'!$C$4+1)</f>
        <v>113.18399999999998</v>
      </c>
      <c r="BA33" s="7">
        <f t="shared" si="25"/>
        <v>37.199999999999996</v>
      </c>
      <c r="BB33" s="7">
        <f>((AVERAGE(E28:E33)*('Summary Page'!$C$2+1))*('Summary Page'!$C$2+1))*('Summary Page'!$C$2+1)</f>
        <v>59.834346666666661</v>
      </c>
      <c r="BC33" s="7">
        <f>((AVERAGE(E28:E33)*('Summary Page'!$C$3+1))*('Summary Page'!$C$3+1))*('Summary Page'!$C$3+1)</f>
        <v>74.869791666666686</v>
      </c>
      <c r="BD33" s="8">
        <f>((AVERAGE(E28:E33)*('Summary Page'!$C$4+1))*('Summary Page'!$C$4+1))*('Summary Page'!$C$4+1)</f>
        <v>66.239999999999995</v>
      </c>
      <c r="BG33" s="7">
        <f t="shared" si="26"/>
        <v>48</v>
      </c>
      <c r="BH33" s="7">
        <f>((AVERAGE(F28:F33)*('Summary Page'!$C$2+1))*('Summary Page'!$C$2+1))*('Summary Page'!$C$2+1)</f>
        <v>83.768085333333303</v>
      </c>
      <c r="BI33" s="7">
        <f>((AVERAGE(F28:F33)*('Summary Page'!$C$3+1))*('Summary Page'!$C$3+1))*('Summary Page'!$C$3+1)</f>
        <v>104.81770833333331</v>
      </c>
      <c r="BJ33" s="8">
        <f>((AVERAGE(F28:F33)*('Summary Page'!$C$4+1))*('Summary Page'!$C$4+1))*('Summary Page'!$C$4+1)</f>
        <v>92.735999999999976</v>
      </c>
      <c r="BM33" s="7">
        <f t="shared" si="27"/>
        <v>78</v>
      </c>
      <c r="BN33" s="7">
        <f>((AVERAGE(Q28:Q33)*('Summary Page'!$C$2+1))*('Summary Page'!$C$2+1))*('Summary Page'!$C$2+1)</f>
        <v>127.47317333333332</v>
      </c>
      <c r="BO33" s="7">
        <f>((AVERAGE(Q28:Q33)*('Summary Page'!$C$3+1))*('Summary Page'!$C$3+1))*('Summary Page'!$C$3+1)</f>
        <v>159.50520833333337</v>
      </c>
      <c r="BP33" s="8">
        <f>((AVERAGE(Q28:Q33)*('Summary Page'!$C$4+1))*('Summary Page'!$C$4+1))*('Summary Page'!$C$4+1)</f>
        <v>141.11999999999998</v>
      </c>
      <c r="BS33" s="7">
        <f t="shared" si="28"/>
        <v>180</v>
      </c>
      <c r="BT33" s="7">
        <f>((AVERAGE(T28:T33)*('Summary Page'!$C$2+1))*('Summary Page'!$C$2+1))*('Summary Page'!$C$2+1)</f>
        <v>312.04912533333328</v>
      </c>
      <c r="BU33" s="7">
        <f>((AVERAGE(T28:T33)*('Summary Page'!$C$3+1))*('Summary Page'!$C$3+1))*('Summary Page'!$C$3+1)</f>
        <v>390.46223958333326</v>
      </c>
      <c r="BV33" s="8">
        <f>((AVERAGE(T28:T33)*('Summary Page'!$C$4+1))*('Summary Page'!$C$4+1))*('Summary Page'!$C$4+1)</f>
        <v>345.4559999999999</v>
      </c>
      <c r="BW33" s="16">
        <f t="shared" si="20"/>
        <v>4.6441947565543078</v>
      </c>
      <c r="BX33" s="16">
        <f t="shared" si="21"/>
        <v>4.4943820224719095</v>
      </c>
      <c r="BY33" s="7">
        <f t="shared" si="29"/>
        <v>5.3932584269662911</v>
      </c>
      <c r="BZ33" s="7">
        <f>((AVERAGE(BW28:BW33)*('Summary Page'!$C$2+1))*('Summary Page'!$C$2+1))*('Summary Page'!$C$2+1)</f>
        <v>9.3497865268414433</v>
      </c>
      <c r="CA33" s="7">
        <f>((AVERAGE(BW28:BW33)*('Summary Page'!$C$3+1))*('Summary Page'!$C$3+1))*('Summary Page'!$C$3+1)</f>
        <v>11.699243133583019</v>
      </c>
      <c r="CB33" s="7">
        <f>((AVERAGE(BW28:BW33)*('Summary Page'!$C$4+1))*('Summary Page'!$C$4+1))*('Summary Page'!$C$4+1)</f>
        <v>10.350741573033707</v>
      </c>
      <c r="CC33" s="11">
        <f t="shared" si="30"/>
        <v>5.4182272159800258</v>
      </c>
      <c r="CD33" s="11">
        <f t="shared" si="15"/>
        <v>5.2434456928838946</v>
      </c>
      <c r="CE33" s="11">
        <f t="shared" si="16"/>
        <v>6.2921348314606727</v>
      </c>
      <c r="CF33" s="11">
        <f t="shared" si="17"/>
        <v>10.908084281315016</v>
      </c>
      <c r="CG33" s="11">
        <f t="shared" si="18"/>
        <v>13.64911698918019</v>
      </c>
      <c r="CH33" s="11">
        <f t="shared" si="19"/>
        <v>12.075865168539325</v>
      </c>
    </row>
    <row r="34" spans="1:86" ht="15.75" x14ac:dyDescent="0.25">
      <c r="A34" s="10">
        <v>43927</v>
      </c>
      <c r="B34" s="7">
        <v>75</v>
      </c>
      <c r="C34" s="7">
        <v>43</v>
      </c>
      <c r="D34" s="7">
        <v>61</v>
      </c>
      <c r="E34" s="7">
        <v>36</v>
      </c>
      <c r="F34" s="7">
        <v>50</v>
      </c>
      <c r="G34" s="229">
        <v>70</v>
      </c>
      <c r="H34" s="7">
        <v>40</v>
      </c>
      <c r="I34" s="7">
        <v>55</v>
      </c>
      <c r="J34" s="7">
        <v>32</v>
      </c>
      <c r="K34" s="230">
        <v>46</v>
      </c>
      <c r="L34" s="7"/>
      <c r="M34" s="7"/>
      <c r="N34" s="7"/>
      <c r="O34" s="7"/>
      <c r="P34" s="7"/>
      <c r="Q34" s="7">
        <v>86</v>
      </c>
      <c r="R34" s="7">
        <v>78</v>
      </c>
      <c r="S34" s="7"/>
      <c r="T34" s="7">
        <v>187</v>
      </c>
      <c r="U34" s="7">
        <v>198</v>
      </c>
      <c r="V34" s="7"/>
      <c r="W34" s="7"/>
      <c r="X34" s="7"/>
      <c r="Y34" s="7"/>
      <c r="Z34" s="7"/>
      <c r="AA34" s="2">
        <f t="shared" si="2"/>
        <v>53</v>
      </c>
      <c r="AB34" s="2">
        <f t="shared" si="3"/>
        <v>48.6</v>
      </c>
      <c r="AC34" s="2">
        <f t="shared" si="4"/>
        <v>58.32</v>
      </c>
      <c r="AD34" s="7">
        <f>((AVERAGE(AA29:AA34)*('Summary Page'!$C$2+1))*('Summary Page'!$C$2+1))*('Summary Page'!$C$2+1)</f>
        <v>88.450773333333302</v>
      </c>
      <c r="AE34" s="7">
        <f>((AVERAGE(AA29:AA34)*('Summary Page'!$C$3+1))*('Summary Page'!$C$3+1))*('Summary Page'!$C$3+1)</f>
        <v>110.67708333333331</v>
      </c>
      <c r="AF34" s="7">
        <f>((AVERAGE(AA29:AA34)*('Summary Page'!$C$4+1))*('Summary Page'!$C$4+1))*('Summary Page'!$C$4+1)</f>
        <v>97.919999999999987</v>
      </c>
      <c r="AI34" s="7">
        <f t="shared" si="22"/>
        <v>84</v>
      </c>
      <c r="AJ34" s="7">
        <f>((AVERAGE(B29:B34)*('Summary Page'!$C$2+1))*('Summary Page'!$C$2+1))*('Summary Page'!$C$2+1)</f>
        <v>122.79048533333332</v>
      </c>
      <c r="AK34" s="7">
        <f>((AVERAGE(B29:B34)*('Summary Page'!$C$3+1))*('Summary Page'!$C$3+1))*('Summary Page'!$C$3+1)</f>
        <v>153.64583333333337</v>
      </c>
      <c r="AL34" s="8">
        <f>((AVERAGE(B29:B34)*('Summary Page'!$C$4+1))*('Summary Page'!$C$4+1))*('Summary Page'!$C$4+1)</f>
        <v>135.93600000000001</v>
      </c>
      <c r="AO34" s="7">
        <f t="shared" si="23"/>
        <v>48</v>
      </c>
      <c r="AP34" s="7">
        <f>((AVERAGE(C29:C34)*('Summary Page'!$C$2+1))*('Summary Page'!$C$2+1))*('Summary Page'!$C$2+1)</f>
        <v>74.142559999999989</v>
      </c>
      <c r="AQ34" s="7">
        <f>((AVERAGE(C29:C34)*('Summary Page'!$C$3+1))*('Summary Page'!$C$3+1))*('Summary Page'!$C$3+1)</f>
        <v>92.7734375</v>
      </c>
      <c r="AR34" s="8">
        <f>((AVERAGE(C29:C34)*('Summary Page'!$C$4+1))*('Summary Page'!$C$4+1))*('Summary Page'!$C$4+1)</f>
        <v>82.079999999999984</v>
      </c>
      <c r="AU34" s="7">
        <f t="shared" si="24"/>
        <v>66</v>
      </c>
      <c r="AV34" s="7">
        <f>((AVERAGE(D29:D34)*('Summary Page'!$C$2+1))*('Summary Page'!$C$2+1))*('Summary Page'!$C$2+1)</f>
        <v>101.71838933333332</v>
      </c>
      <c r="AW34" s="7">
        <f>((AVERAGE(D29:D34)*('Summary Page'!$C$3+1))*('Summary Page'!$C$3+1))*('Summary Page'!$C$3+1)</f>
        <v>127.27864583333336</v>
      </c>
      <c r="AX34" s="7">
        <f>((AVERAGE(D29:D34)*('Summary Page'!$C$4+1))*('Summary Page'!$C$4+1))*('Summary Page'!$C$4+1)</f>
        <v>112.608</v>
      </c>
      <c r="BA34" s="7">
        <f t="shared" si="25"/>
        <v>38.4</v>
      </c>
      <c r="BB34" s="7">
        <f>((AVERAGE(E29:E34)*('Summary Page'!$C$2+1))*('Summary Page'!$C$2+1))*('Summary Page'!$C$2+1)</f>
        <v>59.574197333333316</v>
      </c>
      <c r="BC34" s="7">
        <f>((AVERAGE(E29:E34)*('Summary Page'!$C$3+1))*('Summary Page'!$C$3+1))*('Summary Page'!$C$3+1)</f>
        <v>74.544270833333314</v>
      </c>
      <c r="BD34" s="8">
        <f>((AVERAGE(E29:E34)*('Summary Page'!$C$4+1))*('Summary Page'!$C$4+1))*('Summary Page'!$C$4+1)</f>
        <v>65.951999999999984</v>
      </c>
      <c r="BG34" s="7">
        <f t="shared" si="26"/>
        <v>55.199999999999996</v>
      </c>
      <c r="BH34" s="7">
        <f>((AVERAGE(F29:F34)*('Summary Page'!$C$2+1))*('Summary Page'!$C$2+1))*('Summary Page'!$C$2+1)</f>
        <v>84.028234666666648</v>
      </c>
      <c r="BI34" s="7">
        <f>((AVERAGE(F29:F34)*('Summary Page'!$C$3+1))*('Summary Page'!$C$3+1))*('Summary Page'!$C$3+1)</f>
        <v>105.14322916666669</v>
      </c>
      <c r="BJ34" s="8">
        <f>((AVERAGE(F29:F34)*('Summary Page'!$C$4+1))*('Summary Page'!$C$4+1))*('Summary Page'!$C$4+1)</f>
        <v>93.023999999999987</v>
      </c>
      <c r="BM34" s="7">
        <f t="shared" si="27"/>
        <v>93.6</v>
      </c>
      <c r="BN34" s="7">
        <f>((AVERAGE(Q29:Q34)*('Summary Page'!$C$2+1))*('Summary Page'!$C$2+1))*('Summary Page'!$C$2+1)</f>
        <v>129.03406933333332</v>
      </c>
      <c r="BO34" s="7">
        <f>((AVERAGE(Q29:Q34)*('Summary Page'!$C$3+1))*('Summary Page'!$C$3+1))*('Summary Page'!$C$3+1)</f>
        <v>161.45833333333337</v>
      </c>
      <c r="BP34" s="8">
        <f>((AVERAGE(Q29:Q34)*('Summary Page'!$C$4+1))*('Summary Page'!$C$4+1))*('Summary Page'!$C$4+1)</f>
        <v>142.84799999999998</v>
      </c>
      <c r="BS34" s="7">
        <f t="shared" si="28"/>
        <v>237.6</v>
      </c>
      <c r="BT34" s="7">
        <f>((AVERAGE(T29:T34)*('Summary Page'!$C$2+1))*('Summary Page'!$C$2+1))*('Summary Page'!$C$2+1)</f>
        <v>302.6837493333332</v>
      </c>
      <c r="BU34" s="7">
        <f>((AVERAGE(T29:T34)*('Summary Page'!$C$3+1))*('Summary Page'!$C$3+1))*('Summary Page'!$C$3+1)</f>
        <v>378.74348958333326</v>
      </c>
      <c r="BV34" s="8">
        <f>((AVERAGE(T29:T34)*('Summary Page'!$C$4+1))*('Summary Page'!$C$4+1))*('Summary Page'!$C$4+1)</f>
        <v>335.08799999999991</v>
      </c>
      <c r="BW34" s="16">
        <f t="shared" si="20"/>
        <v>5.6029962546816474</v>
      </c>
      <c r="BX34" s="16">
        <f t="shared" si="21"/>
        <v>5.9325842696629207</v>
      </c>
      <c r="BY34" s="7">
        <f t="shared" si="29"/>
        <v>7.1191011235955051</v>
      </c>
      <c r="BZ34" s="7">
        <f>((AVERAGE(BW29:BW34)*('Summary Page'!$C$2+1))*('Summary Page'!$C$2+1))*('Summary Page'!$C$2+1)</f>
        <v>9.0691760099875136</v>
      </c>
      <c r="CA34" s="7">
        <f>((AVERAGE(BW29:BW34)*('Summary Page'!$C$3+1))*('Summary Page'!$C$3+1))*('Summary Page'!$C$3+1)</f>
        <v>11.348119538077404</v>
      </c>
      <c r="CB34" s="7">
        <f>((AVERAGE(BW29:BW34)*('Summary Page'!$C$4+1))*('Summary Page'!$C$4+1))*('Summary Page'!$C$4+1)</f>
        <v>10.04008988764045</v>
      </c>
      <c r="CC34" s="11">
        <f t="shared" si="30"/>
        <v>6.536828963795255</v>
      </c>
      <c r="CD34" s="11">
        <f t="shared" si="15"/>
        <v>6.9213483146067407</v>
      </c>
      <c r="CE34" s="11">
        <f t="shared" si="16"/>
        <v>8.3056179775280885</v>
      </c>
      <c r="CF34" s="11">
        <f t="shared" si="17"/>
        <v>10.580705344985432</v>
      </c>
      <c r="CG34" s="11">
        <f t="shared" si="18"/>
        <v>13.239472794423637</v>
      </c>
      <c r="CH34" s="11">
        <f t="shared" si="19"/>
        <v>11.713438202247191</v>
      </c>
    </row>
    <row r="35" spans="1:86" ht="15.75" x14ac:dyDescent="0.25">
      <c r="A35" s="10">
        <v>43955</v>
      </c>
      <c r="B35" s="7">
        <v>82</v>
      </c>
      <c r="C35" s="7">
        <v>42</v>
      </c>
      <c r="D35" s="7">
        <v>65</v>
      </c>
      <c r="E35" s="7">
        <v>41</v>
      </c>
      <c r="F35" s="7">
        <v>51</v>
      </c>
      <c r="G35" s="229">
        <v>83</v>
      </c>
      <c r="H35" s="7">
        <v>50</v>
      </c>
      <c r="I35" s="7">
        <v>64</v>
      </c>
      <c r="J35" s="7">
        <v>38</v>
      </c>
      <c r="K35" s="230">
        <v>54</v>
      </c>
      <c r="L35" s="7"/>
      <c r="M35" s="7"/>
      <c r="N35" s="7"/>
      <c r="O35" s="7"/>
      <c r="P35" s="7"/>
      <c r="Q35" s="7">
        <v>92</v>
      </c>
      <c r="R35" s="7">
        <v>93</v>
      </c>
      <c r="S35" s="7"/>
      <c r="T35" s="7">
        <v>195</v>
      </c>
      <c r="U35" s="7">
        <v>195</v>
      </c>
      <c r="V35" s="7"/>
      <c r="W35" s="7"/>
      <c r="X35" s="7"/>
      <c r="Y35" s="7"/>
      <c r="Z35" s="7"/>
      <c r="AA35" s="2">
        <f t="shared" si="2"/>
        <v>56.2</v>
      </c>
      <c r="AB35" s="2">
        <f t="shared" si="3"/>
        <v>57.8</v>
      </c>
      <c r="AC35" s="2">
        <f t="shared" si="4"/>
        <v>69.36</v>
      </c>
      <c r="AD35" s="7">
        <f>((AVERAGE(AA30:AA35)*('Summary Page'!$C$2+1))*('Summary Page'!$C$2+1))*('Summary Page'!$C$2+1)</f>
        <v>86.577698133333314</v>
      </c>
      <c r="AE35" s="7">
        <f>((AVERAGE(AA30:AA35)*('Summary Page'!$C$3+1))*('Summary Page'!$C$3+1))*('Summary Page'!$C$3+1)</f>
        <v>108.33333333333336</v>
      </c>
      <c r="AF35" s="7">
        <f>((AVERAGE(AA30:AA35)*('Summary Page'!$C$4+1))*('Summary Page'!$C$4+1))*('Summary Page'!$C$4+1)</f>
        <v>95.846400000000003</v>
      </c>
      <c r="AI35" s="7">
        <f t="shared" si="22"/>
        <v>99.6</v>
      </c>
      <c r="AJ35" s="7">
        <f>((AVERAGE(B30:B35)*('Summary Page'!$C$2+1))*('Summary Page'!$C$2+1))*('Summary Page'!$C$2+1)</f>
        <v>122.27018666666665</v>
      </c>
      <c r="AK35" s="7">
        <f>((AVERAGE(B30:B35)*('Summary Page'!$C$3+1))*('Summary Page'!$C$3+1))*('Summary Page'!$C$3+1)</f>
        <v>152.99479166666663</v>
      </c>
      <c r="AL35" s="8">
        <f>((AVERAGE(B30:B35)*('Summary Page'!$C$4+1))*('Summary Page'!$C$4+1))*('Summary Page'!$C$4+1)</f>
        <v>135.35999999999999</v>
      </c>
      <c r="AO35" s="7">
        <f t="shared" si="23"/>
        <v>60</v>
      </c>
      <c r="AP35" s="7">
        <f>((AVERAGE(C30:C35)*('Summary Page'!$C$2+1))*('Summary Page'!$C$2+1))*('Summary Page'!$C$2+1)</f>
        <v>70.760618666666659</v>
      </c>
      <c r="AQ35" s="7">
        <f>((AVERAGE(C30:C35)*('Summary Page'!$C$3+1))*('Summary Page'!$C$3+1))*('Summary Page'!$C$3+1)</f>
        <v>88.541666666666686</v>
      </c>
      <c r="AR35" s="8">
        <f>((AVERAGE(C30:C35)*('Summary Page'!$C$4+1))*('Summary Page'!$C$4+1))*('Summary Page'!$C$4+1)</f>
        <v>78.335999999999999</v>
      </c>
      <c r="AU35" s="7">
        <f t="shared" si="24"/>
        <v>76.8</v>
      </c>
      <c r="AV35" s="7">
        <f>((AVERAGE(D30:D35)*('Summary Page'!$C$2+1))*('Summary Page'!$C$2+1))*('Summary Page'!$C$2+1)</f>
        <v>99.89734399999999</v>
      </c>
      <c r="AW35" s="7">
        <f>((AVERAGE(D30:D35)*('Summary Page'!$C$3+1))*('Summary Page'!$C$3+1))*('Summary Page'!$C$3+1)</f>
        <v>125</v>
      </c>
      <c r="AX35" s="7">
        <f>((AVERAGE(D30:D35)*('Summary Page'!$C$4+1))*('Summary Page'!$C$4+1))*('Summary Page'!$C$4+1)</f>
        <v>110.592</v>
      </c>
      <c r="BA35" s="7">
        <f t="shared" si="25"/>
        <v>45.6</v>
      </c>
      <c r="BB35" s="7">
        <f>((AVERAGE(E30:E35)*('Summary Page'!$C$2+1))*('Summary Page'!$C$2+1))*('Summary Page'!$C$2+1)</f>
        <v>59.053898666666655</v>
      </c>
      <c r="BC35" s="7">
        <f>((AVERAGE(E30:E35)*('Summary Page'!$C$3+1))*('Summary Page'!$C$3+1))*('Summary Page'!$C$3+1)</f>
        <v>73.893229166666686</v>
      </c>
      <c r="BD35" s="8">
        <f>((AVERAGE(E30:E35)*('Summary Page'!$C$4+1))*('Summary Page'!$C$4+1))*('Summary Page'!$C$4+1)</f>
        <v>65.375999999999991</v>
      </c>
      <c r="BG35" s="7">
        <f t="shared" si="26"/>
        <v>64.8</v>
      </c>
      <c r="BH35" s="7">
        <f>((AVERAGE(F30:F35)*('Summary Page'!$C$2+1))*('Summary Page'!$C$2+1))*('Summary Page'!$C$2+1)</f>
        <v>80.906442666666663</v>
      </c>
      <c r="BI35" s="7">
        <f>((AVERAGE(F30:F35)*('Summary Page'!$C$3+1))*('Summary Page'!$C$3+1))*('Summary Page'!$C$3+1)</f>
        <v>101.23697916666669</v>
      </c>
      <c r="BJ35" s="8">
        <f>((AVERAGE(F30:F35)*('Summary Page'!$C$4+1))*('Summary Page'!$C$4+1))*('Summary Page'!$C$4+1)</f>
        <v>89.567999999999998</v>
      </c>
      <c r="BM35" s="7">
        <f t="shared" si="27"/>
        <v>111.6</v>
      </c>
      <c r="BN35" s="7">
        <f>((AVERAGE(Q30:Q35)*('Summary Page'!$C$2+1))*('Summary Page'!$C$2+1))*('Summary Page'!$C$2+1)</f>
        <v>129.03406933333332</v>
      </c>
      <c r="BO35" s="7">
        <f>((AVERAGE(Q30:Q35)*('Summary Page'!$C$3+1))*('Summary Page'!$C$3+1))*('Summary Page'!$C$3+1)</f>
        <v>161.45833333333337</v>
      </c>
      <c r="BP35" s="8">
        <f>((AVERAGE(Q30:Q35)*('Summary Page'!$C$4+1))*('Summary Page'!$C$4+1))*('Summary Page'!$C$4+1)</f>
        <v>142.84799999999998</v>
      </c>
      <c r="BS35" s="7">
        <f t="shared" si="28"/>
        <v>234</v>
      </c>
      <c r="BT35" s="7">
        <f>((AVERAGE(T30:T35)*('Summary Page'!$C$2+1))*('Summary Page'!$C$2+1))*('Summary Page'!$C$2+1)</f>
        <v>297.22061333333323</v>
      </c>
      <c r="BU35" s="7">
        <f>((AVERAGE(T30:T35)*('Summary Page'!$C$3+1))*('Summary Page'!$C$3+1))*('Summary Page'!$C$3+1)</f>
        <v>371.90755208333326</v>
      </c>
      <c r="BV35" s="8">
        <f>((AVERAGE(T30:T35)*('Summary Page'!$C$4+1))*('Summary Page'!$C$4+1))*('Summary Page'!$C$4+1)</f>
        <v>329.03999999999991</v>
      </c>
      <c r="BW35" s="16">
        <f t="shared" si="20"/>
        <v>5.8426966292134832</v>
      </c>
      <c r="BX35" s="16">
        <f t="shared" si="21"/>
        <v>5.8426966292134832</v>
      </c>
      <c r="BY35" s="7">
        <f t="shared" si="29"/>
        <v>7.01123595505618</v>
      </c>
      <c r="BZ35" s="7">
        <f>((AVERAGE(BW30:BW35)*('Summary Page'!$C$2+1))*('Summary Page'!$C$2+1))*('Summary Page'!$C$2+1)</f>
        <v>8.9054865418227198</v>
      </c>
      <c r="CA35" s="7">
        <f>((AVERAGE(BW30:BW35)*('Summary Page'!$C$3+1))*('Summary Page'!$C$3+1))*('Summary Page'!$C$3+1)</f>
        <v>11.143297440699127</v>
      </c>
      <c r="CB35" s="7">
        <f>((AVERAGE(BW30:BW35)*('Summary Page'!$C$4+1))*('Summary Page'!$C$4+1))*('Summary Page'!$C$4+1)</f>
        <v>9.8588764044943815</v>
      </c>
      <c r="CC35" s="11">
        <f t="shared" si="30"/>
        <v>6.8164794007490634</v>
      </c>
      <c r="CD35" s="11">
        <f t="shared" si="15"/>
        <v>6.8164794007490634</v>
      </c>
      <c r="CE35" s="11">
        <f t="shared" si="16"/>
        <v>8.1797752808988768</v>
      </c>
      <c r="CF35" s="11">
        <f t="shared" si="17"/>
        <v>10.389734298793172</v>
      </c>
      <c r="CG35" s="11">
        <f t="shared" si="18"/>
        <v>13.000513680815649</v>
      </c>
      <c r="CH35" s="11">
        <f t="shared" si="19"/>
        <v>11.502022471910111</v>
      </c>
    </row>
    <row r="36" spans="1:86" ht="15.75" x14ac:dyDescent="0.25">
      <c r="A36" s="10">
        <v>43984</v>
      </c>
      <c r="B36" s="7">
        <v>80</v>
      </c>
      <c r="C36" s="7">
        <v>51</v>
      </c>
      <c r="D36" s="7">
        <v>69</v>
      </c>
      <c r="E36" s="7">
        <v>41</v>
      </c>
      <c r="F36" s="7">
        <v>60</v>
      </c>
      <c r="G36" s="229">
        <v>96</v>
      </c>
      <c r="H36" s="7">
        <v>72</v>
      </c>
      <c r="I36" s="7">
        <v>82</v>
      </c>
      <c r="J36" s="7">
        <v>47</v>
      </c>
      <c r="K36" s="230">
        <v>72</v>
      </c>
      <c r="L36" s="7"/>
      <c r="M36" s="7"/>
      <c r="N36" s="7"/>
      <c r="O36" s="7"/>
      <c r="P36" s="7"/>
      <c r="Q36" s="7">
        <v>96</v>
      </c>
      <c r="R36" s="7">
        <v>116</v>
      </c>
      <c r="S36" s="7"/>
      <c r="T36" s="7">
        <v>197</v>
      </c>
      <c r="U36" s="7">
        <v>197</v>
      </c>
      <c r="V36" s="7"/>
      <c r="W36" s="7"/>
      <c r="X36" s="7"/>
      <c r="Y36" s="7"/>
      <c r="Z36" s="7"/>
      <c r="AA36" s="2">
        <f t="shared" si="2"/>
        <v>60.2</v>
      </c>
      <c r="AB36" s="2">
        <f t="shared" si="3"/>
        <v>73.8</v>
      </c>
      <c r="AC36" s="2">
        <f t="shared" si="4"/>
        <v>88.559999999999988</v>
      </c>
      <c r="AD36" s="7">
        <f>((AVERAGE(AA31:AA36)*('Summary Page'!$C$2+1))*('Summary Page'!$C$2+1))*('Summary Page'!$C$2+1)</f>
        <v>87.514235733333294</v>
      </c>
      <c r="AE36" s="7">
        <f>((AVERAGE(AA31:AA36)*('Summary Page'!$C$3+1))*('Summary Page'!$C$3+1))*('Summary Page'!$C$3+1)</f>
        <v>109.50520833333331</v>
      </c>
      <c r="AF36" s="7">
        <f>((AVERAGE(AA31:AA36)*('Summary Page'!$C$4+1))*('Summary Page'!$C$4+1))*('Summary Page'!$C$4+1)</f>
        <v>96.883199999999974</v>
      </c>
      <c r="AI36" s="7">
        <f t="shared" si="22"/>
        <v>115.19999999999999</v>
      </c>
      <c r="AJ36" s="7">
        <f>((AVERAGE(B31:B36)*('Summary Page'!$C$2+1))*('Summary Page'!$C$2+1))*('Summary Page'!$C$2+1)</f>
        <v>121.22958933333331</v>
      </c>
      <c r="AK36" s="7">
        <f>((AVERAGE(B31:B36)*('Summary Page'!$C$3+1))*('Summary Page'!$C$3+1))*('Summary Page'!$C$3+1)</f>
        <v>151.69270833333337</v>
      </c>
      <c r="AL36" s="8">
        <f>((AVERAGE(B31:B36)*('Summary Page'!$C$4+1))*('Summary Page'!$C$4+1))*('Summary Page'!$C$4+1)</f>
        <v>134.208</v>
      </c>
      <c r="AO36" s="7">
        <f t="shared" si="23"/>
        <v>86.399999999999991</v>
      </c>
      <c r="AP36" s="7">
        <f>((AVERAGE(C31:C36)*('Summary Page'!$C$2+1))*('Summary Page'!$C$2+1))*('Summary Page'!$C$2+1)</f>
        <v>72.321514666666658</v>
      </c>
      <c r="AQ36" s="7">
        <f>((AVERAGE(C31:C36)*('Summary Page'!$C$3+1))*('Summary Page'!$C$3+1))*('Summary Page'!$C$3+1)</f>
        <v>90.494791666666686</v>
      </c>
      <c r="AR36" s="8">
        <f>((AVERAGE(C31:C36)*('Summary Page'!$C$4+1))*('Summary Page'!$C$4+1))*('Summary Page'!$C$4+1)</f>
        <v>80.063999999999993</v>
      </c>
      <c r="AU36" s="7">
        <f t="shared" si="24"/>
        <v>98.399999999999991</v>
      </c>
      <c r="AV36" s="7">
        <f>((AVERAGE(D31:D36)*('Summary Page'!$C$2+1))*('Summary Page'!$C$2+1))*('Summary Page'!$C$2+1)</f>
        <v>101.45823999999998</v>
      </c>
      <c r="AW36" s="7">
        <f>((AVERAGE(D31:D36)*('Summary Page'!$C$3+1))*('Summary Page'!$C$3+1))*('Summary Page'!$C$3+1)</f>
        <v>126.953125</v>
      </c>
      <c r="AX36" s="7">
        <f>((AVERAGE(D31:D36)*('Summary Page'!$C$4+1))*('Summary Page'!$C$4+1))*('Summary Page'!$C$4+1)</f>
        <v>112.32</v>
      </c>
      <c r="BA36" s="7">
        <f t="shared" si="25"/>
        <v>56.4</v>
      </c>
      <c r="BB36" s="7">
        <f>((AVERAGE(E31:E36)*('Summary Page'!$C$2+1))*('Summary Page'!$C$2+1))*('Summary Page'!$C$2+1)</f>
        <v>59.574197333333316</v>
      </c>
      <c r="BC36" s="7">
        <f>((AVERAGE(E31:E36)*('Summary Page'!$C$3+1))*('Summary Page'!$C$3+1))*('Summary Page'!$C$3+1)</f>
        <v>74.544270833333314</v>
      </c>
      <c r="BD36" s="8">
        <f>((AVERAGE(E31:E36)*('Summary Page'!$C$4+1))*('Summary Page'!$C$4+1))*('Summary Page'!$C$4+1)</f>
        <v>65.951999999999984</v>
      </c>
      <c r="BG36" s="7">
        <f t="shared" si="26"/>
        <v>86.399999999999991</v>
      </c>
      <c r="BH36" s="7">
        <f>((AVERAGE(F31:F36)*('Summary Page'!$C$2+1))*('Summary Page'!$C$2+1))*('Summary Page'!$C$2+1)</f>
        <v>82.987637333333311</v>
      </c>
      <c r="BI36" s="7">
        <f>((AVERAGE(F31:F36)*('Summary Page'!$C$3+1))*('Summary Page'!$C$3+1))*('Summary Page'!$C$3+1)</f>
        <v>103.84114583333331</v>
      </c>
      <c r="BJ36" s="8">
        <f>((AVERAGE(F31:F36)*('Summary Page'!$C$4+1))*('Summary Page'!$C$4+1))*('Summary Page'!$C$4+1)</f>
        <v>91.871999999999986</v>
      </c>
      <c r="BM36" s="7">
        <f t="shared" si="27"/>
        <v>139.19999999999999</v>
      </c>
      <c r="BN36" s="7">
        <f>((AVERAGE(Q31:Q36)*('Summary Page'!$C$2+1))*('Summary Page'!$C$2+1))*('Summary Page'!$C$2+1)</f>
        <v>132.41601066666664</v>
      </c>
      <c r="BO36" s="7">
        <f>((AVERAGE(Q31:Q36)*('Summary Page'!$C$3+1))*('Summary Page'!$C$3+1))*('Summary Page'!$C$3+1)</f>
        <v>165.69010416666663</v>
      </c>
      <c r="BP36" s="8">
        <f>((AVERAGE(Q31:Q36)*('Summary Page'!$C$4+1))*('Summary Page'!$C$4+1))*('Summary Page'!$C$4+1)</f>
        <v>146.59199999999998</v>
      </c>
      <c r="BS36" s="7">
        <f t="shared" si="28"/>
        <v>236.39999999999998</v>
      </c>
      <c r="BT36" s="7">
        <f>((AVERAGE(T31:T36)*('Summary Page'!$C$2+1))*('Summary Page'!$C$2+1))*('Summary Page'!$C$2+1)</f>
        <v>301.64315199999999</v>
      </c>
      <c r="BU36" s="7">
        <f>((AVERAGE(T31:T36)*('Summary Page'!$C$3+1))*('Summary Page'!$C$3+1))*('Summary Page'!$C$3+1)</f>
        <v>377.44140625</v>
      </c>
      <c r="BV36" s="8">
        <f>((AVERAGE(T31:T36)*('Summary Page'!$C$4+1))*('Summary Page'!$C$4+1))*('Summary Page'!$C$4+1)</f>
        <v>333.93599999999998</v>
      </c>
      <c r="BW36" s="16">
        <f t="shared" si="20"/>
        <v>5.9026217228464422</v>
      </c>
      <c r="BX36" s="16">
        <f t="shared" si="21"/>
        <v>5.9026217228464422</v>
      </c>
      <c r="BY36" s="7">
        <f t="shared" si="29"/>
        <v>7.0831460674157301</v>
      </c>
      <c r="BZ36" s="7">
        <f>((AVERAGE(BW31:BW36)*('Summary Page'!$C$2+1))*('Summary Page'!$C$2+1))*('Summary Page'!$C$2+1)</f>
        <v>9.0379970636704119</v>
      </c>
      <c r="CA36" s="7">
        <f>((AVERAGE(BW31:BW36)*('Summary Page'!$C$3+1))*('Summary Page'!$C$3+1))*('Summary Page'!$C$3+1)</f>
        <v>11.309105805243448</v>
      </c>
      <c r="CB36" s="7">
        <f>((AVERAGE(BW31:BW36)*('Summary Page'!$C$4+1))*('Summary Page'!$C$4+1))*('Summary Page'!$C$4+1)</f>
        <v>10.005573033707863</v>
      </c>
      <c r="CC36" s="11">
        <f t="shared" si="30"/>
        <v>6.8863920099875156</v>
      </c>
      <c r="CD36" s="11">
        <f t="shared" si="15"/>
        <v>6.8863920099875156</v>
      </c>
      <c r="CE36" s="11">
        <f t="shared" si="16"/>
        <v>8.2636704119850179</v>
      </c>
      <c r="CF36" s="11">
        <f t="shared" si="17"/>
        <v>10.544329907615481</v>
      </c>
      <c r="CG36" s="11">
        <f t="shared" si="18"/>
        <v>13.193956772784022</v>
      </c>
      <c r="CH36" s="11">
        <f t="shared" si="19"/>
        <v>11.67316853932584</v>
      </c>
    </row>
    <row r="37" spans="1:86" ht="15.75" x14ac:dyDescent="0.25">
      <c r="A37" s="10">
        <v>44014</v>
      </c>
      <c r="B37" s="7">
        <v>88</v>
      </c>
      <c r="C37" s="7">
        <v>64</v>
      </c>
      <c r="D37" s="7">
        <v>77</v>
      </c>
      <c r="E37" s="7">
        <v>46</v>
      </c>
      <c r="F37" s="7">
        <v>72</v>
      </c>
      <c r="G37" s="229">
        <v>93</v>
      </c>
      <c r="H37" s="7">
        <v>61</v>
      </c>
      <c r="I37" s="7">
        <v>80</v>
      </c>
      <c r="J37" s="7">
        <v>47</v>
      </c>
      <c r="K37" s="230">
        <v>68</v>
      </c>
      <c r="L37" s="7"/>
      <c r="M37" s="7"/>
      <c r="N37" s="7"/>
      <c r="O37" s="7"/>
      <c r="P37" s="7"/>
      <c r="Q37" s="7">
        <v>109</v>
      </c>
      <c r="R37" s="7">
        <v>111</v>
      </c>
      <c r="S37" s="7"/>
      <c r="T37" s="7">
        <v>200.25</v>
      </c>
      <c r="U37" s="7">
        <v>173</v>
      </c>
      <c r="V37" s="7"/>
      <c r="W37" s="7"/>
      <c r="X37" s="7"/>
      <c r="Y37" s="7"/>
      <c r="Z37" s="7"/>
      <c r="AA37" s="2">
        <f t="shared" si="2"/>
        <v>69.400000000000006</v>
      </c>
      <c r="AB37" s="2">
        <f t="shared" si="3"/>
        <v>69.8</v>
      </c>
      <c r="AC37" s="2">
        <f t="shared" si="4"/>
        <v>83.759999999999991</v>
      </c>
      <c r="AD37" s="7">
        <f>((AVERAGE(AA32:AA37)*('Summary Page'!$C$2+1))*('Summary Page'!$C$2+1))*('Summary Page'!$C$2+1)</f>
        <v>90.375878399999962</v>
      </c>
      <c r="AE37" s="7">
        <f>((AVERAGE(AA32:AA37)*('Summary Page'!$C$3+1))*('Summary Page'!$C$3+1))*('Summary Page'!$C$3+1)</f>
        <v>113.0859375</v>
      </c>
      <c r="AF37" s="7">
        <f>((AVERAGE(AA32:AA37)*('Summary Page'!$C$4+1))*('Summary Page'!$C$4+1))*('Summary Page'!$C$4+1)</f>
        <v>100.05119999999998</v>
      </c>
      <c r="AI37" s="7">
        <f t="shared" si="22"/>
        <v>111.6</v>
      </c>
      <c r="AJ37" s="7">
        <f>((AVERAGE(B32:B37)*('Summary Page'!$C$2+1))*('Summary Page'!$C$2+1))*('Summary Page'!$C$2+1)</f>
        <v>122.79048533333332</v>
      </c>
      <c r="AK37" s="7">
        <f>((AVERAGE(B32:B37)*('Summary Page'!$C$3+1))*('Summary Page'!$C$3+1))*('Summary Page'!$C$3+1)</f>
        <v>153.64583333333337</v>
      </c>
      <c r="AL37" s="8">
        <f>((AVERAGE(B32:B37)*('Summary Page'!$C$4+1))*('Summary Page'!$C$4+1))*('Summary Page'!$C$4+1)</f>
        <v>135.93600000000001</v>
      </c>
      <c r="AO37" s="7">
        <f t="shared" si="23"/>
        <v>73.2</v>
      </c>
      <c r="AP37" s="7">
        <f>((AVERAGE(C32:C37)*('Summary Page'!$C$2+1))*('Summary Page'!$C$2+1))*('Summary Page'!$C$2+1)</f>
        <v>76.223754666666665</v>
      </c>
      <c r="AQ37" s="7">
        <f>((AVERAGE(C32:C37)*('Summary Page'!$C$3+1))*('Summary Page'!$C$3+1))*('Summary Page'!$C$3+1)</f>
        <v>95.377604166666686</v>
      </c>
      <c r="AR37" s="8">
        <f>((AVERAGE(C32:C37)*('Summary Page'!$C$4+1))*('Summary Page'!$C$4+1))*('Summary Page'!$C$4+1)</f>
        <v>84.383999999999986</v>
      </c>
      <c r="AU37" s="7">
        <f t="shared" si="24"/>
        <v>96</v>
      </c>
      <c r="AV37" s="7">
        <f>((AVERAGE(D32:D37)*('Summary Page'!$C$2+1))*('Summary Page'!$C$2+1))*('Summary Page'!$C$2+1)</f>
        <v>103.53943466666664</v>
      </c>
      <c r="AW37" s="7">
        <f>((AVERAGE(D32:D37)*('Summary Page'!$C$3+1))*('Summary Page'!$C$3+1))*('Summary Page'!$C$3+1)</f>
        <v>129.55729166666663</v>
      </c>
      <c r="AX37" s="7">
        <f>((AVERAGE(D32:D37)*('Summary Page'!$C$4+1))*('Summary Page'!$C$4+1))*('Summary Page'!$C$4+1)</f>
        <v>114.624</v>
      </c>
      <c r="BA37" s="7">
        <f t="shared" si="25"/>
        <v>56.4</v>
      </c>
      <c r="BB37" s="7">
        <f>((AVERAGE(E32:E37)*('Summary Page'!$C$2+1))*('Summary Page'!$C$2+1))*('Summary Page'!$C$2+1)</f>
        <v>61.395242666666661</v>
      </c>
      <c r="BC37" s="7">
        <f>((AVERAGE(E32:E37)*('Summary Page'!$C$3+1))*('Summary Page'!$C$3+1))*('Summary Page'!$C$3+1)</f>
        <v>76.822916666666686</v>
      </c>
      <c r="BD37" s="8">
        <f>((AVERAGE(E32:E37)*('Summary Page'!$C$4+1))*('Summary Page'!$C$4+1))*('Summary Page'!$C$4+1)</f>
        <v>67.968000000000004</v>
      </c>
      <c r="BG37" s="7">
        <f t="shared" si="26"/>
        <v>81.599999999999994</v>
      </c>
      <c r="BH37" s="7">
        <f>((AVERAGE(F32:F37)*('Summary Page'!$C$2+1))*('Summary Page'!$C$2+1))*('Summary Page'!$C$2+1)</f>
        <v>87.930474666666655</v>
      </c>
      <c r="BI37" s="7">
        <f>((AVERAGE(F32:F37)*('Summary Page'!$C$3+1))*('Summary Page'!$C$3+1))*('Summary Page'!$C$3+1)</f>
        <v>110.02604166666669</v>
      </c>
      <c r="BJ37" s="8">
        <f>((AVERAGE(F32:F37)*('Summary Page'!$C$4+1))*('Summary Page'!$C$4+1))*('Summary Page'!$C$4+1)</f>
        <v>97.34399999999998</v>
      </c>
      <c r="BM37" s="7">
        <f t="shared" si="27"/>
        <v>133.19999999999999</v>
      </c>
      <c r="BN37" s="7">
        <f>((AVERAGE(Q32:Q37)*('Summary Page'!$C$2+1))*('Summary Page'!$C$2+1))*('Summary Page'!$C$2+1)</f>
        <v>138.91974399999998</v>
      </c>
      <c r="BO37" s="7">
        <f>((AVERAGE(Q32:Q37)*('Summary Page'!$C$3+1))*('Summary Page'!$C$3+1))*('Summary Page'!$C$3+1)</f>
        <v>173.828125</v>
      </c>
      <c r="BP37" s="8">
        <f>((AVERAGE(Q32:Q37)*('Summary Page'!$C$4+1))*('Summary Page'!$C$4+1))*('Summary Page'!$C$4+1)</f>
        <v>153.792</v>
      </c>
      <c r="BS37" s="7">
        <f t="shared" si="28"/>
        <v>207.6</v>
      </c>
      <c r="BT37" s="7">
        <f>((AVERAGE(T32:T37)*('Summary Page'!$C$2+1))*('Summary Page'!$C$2+1))*('Summary Page'!$C$2+1)</f>
        <v>298.84654666666665</v>
      </c>
      <c r="BU37" s="7">
        <f>((AVERAGE(T32:T37)*('Summary Page'!$C$3+1))*('Summary Page'!$C$3+1))*('Summary Page'!$C$3+1)</f>
        <v>373.94205729166674</v>
      </c>
      <c r="BV37" s="8">
        <f>((AVERAGE(T32:T37)*('Summary Page'!$C$4+1))*('Summary Page'!$C$4+1))*('Summary Page'!$C$4+1)</f>
        <v>330.84</v>
      </c>
      <c r="BW37" s="16">
        <f t="shared" si="20"/>
        <v>6</v>
      </c>
      <c r="BX37" s="16">
        <f t="shared" si="21"/>
        <v>5.1835205992509357</v>
      </c>
      <c r="BY37" s="7">
        <f t="shared" si="29"/>
        <v>6.2202247191011226</v>
      </c>
      <c r="BZ37" s="7">
        <f>((AVERAGE(BW32:BW37)*('Summary Page'!$C$2+1))*('Summary Page'!$C$2+1))*('Summary Page'!$C$2+1)</f>
        <v>8.9542036454431937</v>
      </c>
      <c r="CA37" s="7">
        <f>((AVERAGE(BW32:BW37)*('Summary Page'!$C$3+1))*('Summary Page'!$C$3+1))*('Summary Page'!$C$3+1)</f>
        <v>11.204256398252184</v>
      </c>
      <c r="CB37" s="7">
        <f>((AVERAGE(BW32:BW37)*('Summary Page'!$C$4+1))*('Summary Page'!$C$4+1))*('Summary Page'!$C$4+1)</f>
        <v>9.9128089887640431</v>
      </c>
      <c r="CC37" s="11">
        <f t="shared" si="30"/>
        <v>7</v>
      </c>
      <c r="CD37" s="11">
        <f t="shared" si="15"/>
        <v>6.0474406991260921</v>
      </c>
      <c r="CE37" s="11">
        <f t="shared" si="16"/>
        <v>7.2569288389513096</v>
      </c>
      <c r="CF37" s="11">
        <f t="shared" si="17"/>
        <v>10.446570919683726</v>
      </c>
      <c r="CG37" s="11">
        <f t="shared" si="18"/>
        <v>13.071632464627548</v>
      </c>
      <c r="CH37" s="11">
        <f t="shared" si="19"/>
        <v>11.564943820224716</v>
      </c>
    </row>
    <row r="38" spans="1:86" ht="15.75" x14ac:dyDescent="0.25">
      <c r="A38" s="10">
        <v>44054</v>
      </c>
      <c r="B38" s="7">
        <v>117</v>
      </c>
      <c r="C38" s="7">
        <v>75</v>
      </c>
      <c r="D38" s="7">
        <v>96</v>
      </c>
      <c r="E38" s="7">
        <v>57</v>
      </c>
      <c r="F38" s="7">
        <v>79</v>
      </c>
      <c r="G38" s="229">
        <v>78</v>
      </c>
      <c r="H38" s="7">
        <v>66</v>
      </c>
      <c r="I38" s="7">
        <v>83</v>
      </c>
      <c r="J38" s="7">
        <v>48</v>
      </c>
      <c r="K38" s="230">
        <v>73</v>
      </c>
      <c r="L38" s="7"/>
      <c r="M38" s="7"/>
      <c r="N38" s="7"/>
      <c r="O38" s="7"/>
      <c r="P38" s="7"/>
      <c r="Q38" s="7">
        <v>102</v>
      </c>
      <c r="R38" s="7">
        <v>85</v>
      </c>
      <c r="S38" s="7"/>
      <c r="T38" s="7">
        <v>263</v>
      </c>
      <c r="U38" s="7">
        <v>248</v>
      </c>
      <c r="V38" s="7"/>
      <c r="W38" s="7"/>
      <c r="X38" s="7"/>
      <c r="Y38" s="7"/>
      <c r="Z38" s="7"/>
      <c r="AA38" s="2">
        <f t="shared" si="2"/>
        <v>84.8</v>
      </c>
      <c r="AB38" s="2">
        <f t="shared" si="3"/>
        <v>69.599999999999994</v>
      </c>
      <c r="AC38" s="2">
        <f t="shared" si="4"/>
        <v>83.52</v>
      </c>
      <c r="AD38" s="7">
        <f>((AVERAGE(AA33:AA38)*('Summary Page'!$C$2+1))*('Summary Page'!$C$2+1))*('Summary Page'!$C$2+1)</f>
        <v>97.816149333333328</v>
      </c>
      <c r="AE38" s="7">
        <f>((AVERAGE(AA33:AA38)*('Summary Page'!$C$3+1))*('Summary Page'!$C$3+1))*('Summary Page'!$C$3+1)</f>
        <v>122.39583333333336</v>
      </c>
      <c r="AF38" s="7">
        <f>((AVERAGE(AA33:AA38)*('Summary Page'!$C$4+1))*('Summary Page'!$C$4+1))*('Summary Page'!$C$4+1)</f>
        <v>108.28800000000003</v>
      </c>
      <c r="AI38" s="7">
        <f t="shared" si="22"/>
        <v>93.6</v>
      </c>
      <c r="AJ38" s="7">
        <f>((AVERAGE(B33:B38)*('Summary Page'!$C$2+1))*('Summary Page'!$C$2+1))*('Summary Page'!$C$2+1)</f>
        <v>132.67615999999998</v>
      </c>
      <c r="AK38" s="7">
        <f>((AVERAGE(B33:B38)*('Summary Page'!$C$3+1))*('Summary Page'!$C$3+1))*('Summary Page'!$C$3+1)</f>
        <v>166.015625</v>
      </c>
      <c r="AL38" s="8">
        <f>((AVERAGE(B33:B38)*('Summary Page'!$C$4+1))*('Summary Page'!$C$4+1))*('Summary Page'!$C$4+1)</f>
        <v>146.88</v>
      </c>
      <c r="AO38" s="7">
        <f t="shared" si="23"/>
        <v>79.2</v>
      </c>
      <c r="AP38" s="7">
        <f>((AVERAGE(C33:C38)*('Summary Page'!$C$2+1))*('Summary Page'!$C$2+1))*('Summary Page'!$C$2+1)</f>
        <v>84.028234666666648</v>
      </c>
      <c r="AQ38" s="7">
        <f>((AVERAGE(C33:C38)*('Summary Page'!$C$3+1))*('Summary Page'!$C$3+1))*('Summary Page'!$C$3+1)</f>
        <v>105.14322916666669</v>
      </c>
      <c r="AR38" s="8">
        <f>((AVERAGE(C33:C38)*('Summary Page'!$C$4+1))*('Summary Page'!$C$4+1))*('Summary Page'!$C$4+1)</f>
        <v>93.023999999999987</v>
      </c>
      <c r="AU38" s="7">
        <f t="shared" si="24"/>
        <v>99.6</v>
      </c>
      <c r="AV38" s="7">
        <f>((AVERAGE(D33:D38)*('Summary Page'!$C$2+1))*('Summary Page'!$C$2+1))*('Summary Page'!$C$2+1)</f>
        <v>111.34391466666663</v>
      </c>
      <c r="AW38" s="7">
        <f>((AVERAGE(D33:D38)*('Summary Page'!$C$3+1))*('Summary Page'!$C$3+1))*('Summary Page'!$C$3+1)</f>
        <v>139.32291666666663</v>
      </c>
      <c r="AX38" s="7">
        <f>((AVERAGE(D33:D38)*('Summary Page'!$C$4+1))*('Summary Page'!$C$4+1))*('Summary Page'!$C$4+1)</f>
        <v>123.26399999999998</v>
      </c>
      <c r="BA38" s="7">
        <f t="shared" si="25"/>
        <v>57.599999999999994</v>
      </c>
      <c r="BB38" s="7">
        <f>((AVERAGE(E33:E38)*('Summary Page'!$C$2+1))*('Summary Page'!$C$2+1))*('Summary Page'!$C$2+1)</f>
        <v>66.338079999999991</v>
      </c>
      <c r="BC38" s="7">
        <f>((AVERAGE(E33:E38)*('Summary Page'!$C$3+1))*('Summary Page'!$C$3+1))*('Summary Page'!$C$3+1)</f>
        <v>83.0078125</v>
      </c>
      <c r="BD38" s="8">
        <f>((AVERAGE(E33:E38)*('Summary Page'!$C$4+1))*('Summary Page'!$C$4+1))*('Summary Page'!$C$4+1)</f>
        <v>73.44</v>
      </c>
      <c r="BG38" s="7">
        <f t="shared" si="26"/>
        <v>87.6</v>
      </c>
      <c r="BH38" s="7">
        <f>((AVERAGE(F33:F38)*('Summary Page'!$C$2+1))*('Summary Page'!$C$2+1))*('Summary Page'!$C$2+1)</f>
        <v>94.694357333333315</v>
      </c>
      <c r="BI38" s="7">
        <f>((AVERAGE(F33:F38)*('Summary Page'!$C$3+1))*('Summary Page'!$C$3+1))*('Summary Page'!$C$3+1)</f>
        <v>118.48958333333331</v>
      </c>
      <c r="BJ38" s="8">
        <f>((AVERAGE(F33:F38)*('Summary Page'!$C$4+1))*('Summary Page'!$C$4+1))*('Summary Page'!$C$4+1)</f>
        <v>104.83199999999999</v>
      </c>
      <c r="BM38" s="7">
        <f t="shared" si="27"/>
        <v>102</v>
      </c>
      <c r="BN38" s="7">
        <f>((AVERAGE(Q33:Q38)*('Summary Page'!$C$2+1))*('Summary Page'!$C$2+1))*('Summary Page'!$C$2+1)</f>
        <v>144.64302933333332</v>
      </c>
      <c r="BO38" s="7">
        <f>((AVERAGE(Q33:Q38)*('Summary Page'!$C$3+1))*('Summary Page'!$C$3+1))*('Summary Page'!$C$3+1)</f>
        <v>180.98958333333337</v>
      </c>
      <c r="BP38" s="8">
        <f>((AVERAGE(Q33:Q38)*('Summary Page'!$C$4+1))*('Summary Page'!$C$4+1))*('Summary Page'!$C$4+1)</f>
        <v>160.12799999999999</v>
      </c>
      <c r="BS38" s="7">
        <f t="shared" si="28"/>
        <v>297.59999999999997</v>
      </c>
      <c r="BT38" s="7">
        <f>((AVERAGE(T33:T38)*('Summary Page'!$C$2+1))*('Summary Page'!$C$2+1))*('Summary Page'!$C$2+1)</f>
        <v>311.46378933333324</v>
      </c>
      <c r="BU38" s="7">
        <f>((AVERAGE(T33:T38)*('Summary Page'!$C$3+1))*('Summary Page'!$C$3+1))*('Summary Page'!$C$3+1)</f>
        <v>389.72981770833326</v>
      </c>
      <c r="BV38" s="8">
        <f>((AVERAGE(T33:T38)*('Summary Page'!$C$4+1))*('Summary Page'!$C$4+1))*('Summary Page'!$C$4+1)</f>
        <v>344.80799999999994</v>
      </c>
      <c r="BW38" s="16">
        <f t="shared" si="20"/>
        <v>7.8801498127340839</v>
      </c>
      <c r="BX38" s="16">
        <f t="shared" si="21"/>
        <v>7.4307116104868927</v>
      </c>
      <c r="BY38" s="7">
        <f t="shared" si="29"/>
        <v>8.9168539325842708</v>
      </c>
      <c r="BZ38" s="7">
        <f>((AVERAGE(BW33:BW38)*('Summary Page'!$C$2+1))*('Summary Page'!$C$2+1))*('Summary Page'!$C$2+1)</f>
        <v>9.3322483695380765</v>
      </c>
      <c r="CA38" s="7">
        <f>((AVERAGE(BW33:BW38)*('Summary Page'!$C$3+1))*('Summary Page'!$C$3+1))*('Summary Page'!$C$3+1)</f>
        <v>11.67729790886392</v>
      </c>
      <c r="CB38" s="7">
        <f>((AVERAGE(BW33:BW38)*('Summary Page'!$C$4+1))*('Summary Page'!$C$4+1))*('Summary Page'!$C$4+1)</f>
        <v>10.331325842696629</v>
      </c>
      <c r="CC38" s="11">
        <f t="shared" si="30"/>
        <v>9.1935081148564315</v>
      </c>
      <c r="CD38" s="11">
        <f t="shared" si="15"/>
        <v>8.6691635455680416</v>
      </c>
      <c r="CE38" s="11">
        <f t="shared" si="16"/>
        <v>10.40299625468165</v>
      </c>
      <c r="CF38" s="11">
        <f t="shared" si="17"/>
        <v>10.887623097794423</v>
      </c>
      <c r="CG38" s="11">
        <f t="shared" si="18"/>
        <v>13.623514227007908</v>
      </c>
      <c r="CH38" s="11">
        <f t="shared" si="19"/>
        <v>12.053213483146067</v>
      </c>
    </row>
    <row r="39" spans="1:86" ht="15.75" x14ac:dyDescent="0.25">
      <c r="A39" s="10">
        <v>44078</v>
      </c>
      <c r="B39" s="7">
        <v>154</v>
      </c>
      <c r="C39" s="7">
        <v>106</v>
      </c>
      <c r="D39" s="7">
        <v>137</v>
      </c>
      <c r="E39" s="7">
        <v>79</v>
      </c>
      <c r="F39" s="7">
        <v>112</v>
      </c>
      <c r="G39" s="229">
        <v>73</v>
      </c>
      <c r="H39" s="7">
        <v>45</v>
      </c>
      <c r="I39" s="7">
        <v>58</v>
      </c>
      <c r="J39" s="7">
        <v>35</v>
      </c>
      <c r="K39" s="230">
        <v>51</v>
      </c>
      <c r="L39" s="7"/>
      <c r="M39" s="7"/>
      <c r="N39" s="7"/>
      <c r="O39" s="7"/>
      <c r="P39" s="7"/>
      <c r="Q39" s="7">
        <v>129</v>
      </c>
      <c r="R39" s="7">
        <v>57</v>
      </c>
      <c r="S39" s="7"/>
      <c r="T39" s="7">
        <v>296</v>
      </c>
      <c r="U39" s="7">
        <v>275</v>
      </c>
      <c r="V39" s="7"/>
      <c r="W39" s="7"/>
      <c r="X39" s="7"/>
      <c r="Y39" s="7"/>
      <c r="Z39" s="7"/>
      <c r="AA39" s="2">
        <f t="shared" si="2"/>
        <v>117.6</v>
      </c>
      <c r="AB39" s="2">
        <f t="shared" si="3"/>
        <v>52.4</v>
      </c>
      <c r="AC39" s="2">
        <f t="shared" si="4"/>
        <v>62.879999999999995</v>
      </c>
      <c r="AD39" s="7">
        <f>((AVERAGE(AA34:AA39)*('Summary Page'!$C$2+1))*('Summary Page'!$C$2+1))*('Summary Page'!$C$2+1)</f>
        <v>114.77788586666667</v>
      </c>
      <c r="AE39" s="7">
        <f>((AVERAGE(AA34:AA39)*('Summary Page'!$C$3+1))*('Summary Page'!$C$3+1))*('Summary Page'!$C$3+1)</f>
        <v>143.61979166666669</v>
      </c>
      <c r="AF39" s="7">
        <f>((AVERAGE(AA34:AA39)*('Summary Page'!$C$4+1))*('Summary Page'!$C$4+1))*('Summary Page'!$C$4+1)</f>
        <v>127.0656</v>
      </c>
      <c r="AI39" s="7">
        <f t="shared" si="22"/>
        <v>87.6</v>
      </c>
      <c r="AJ39" s="7">
        <f>((AVERAGE(B34:B39)*('Summary Page'!$C$2+1))*('Summary Page'!$C$2+1))*('Summary Page'!$C$2+1)</f>
        <v>155.04900266666664</v>
      </c>
      <c r="AK39" s="7">
        <f>((AVERAGE(B34:B39)*('Summary Page'!$C$3+1))*('Summary Page'!$C$3+1))*('Summary Page'!$C$3+1)</f>
        <v>194.01041666666663</v>
      </c>
      <c r="AL39" s="8">
        <f>((AVERAGE(B34:B39)*('Summary Page'!$C$4+1))*('Summary Page'!$C$4+1))*('Summary Page'!$C$4+1)</f>
        <v>171.648</v>
      </c>
      <c r="AO39" s="7">
        <f t="shared" si="23"/>
        <v>54</v>
      </c>
      <c r="AP39" s="7">
        <f>((AVERAGE(C34:C39)*('Summary Page'!$C$2+1))*('Summary Page'!$C$2+1))*('Summary Page'!$C$2+1)</f>
        <v>99.116895999999969</v>
      </c>
      <c r="AQ39" s="7">
        <f>((AVERAGE(C34:C39)*('Summary Page'!$C$3+1))*('Summary Page'!$C$3+1))*('Summary Page'!$C$3+1)</f>
        <v>124.0234375</v>
      </c>
      <c r="AR39" s="8">
        <f>((AVERAGE(C34:C39)*('Summary Page'!$C$4+1))*('Summary Page'!$C$4+1))*('Summary Page'!$C$4+1)</f>
        <v>109.72799999999999</v>
      </c>
      <c r="AU39" s="7">
        <f t="shared" si="24"/>
        <v>69.599999999999994</v>
      </c>
      <c r="AV39" s="7">
        <f>((AVERAGE(D34:D39)*('Summary Page'!$C$2+1))*('Summary Page'!$C$2+1))*('Summary Page'!$C$2+1)</f>
        <v>131.37541333333331</v>
      </c>
      <c r="AW39" s="7">
        <f>((AVERAGE(D34:D39)*('Summary Page'!$C$3+1))*('Summary Page'!$C$3+1))*('Summary Page'!$C$3+1)</f>
        <v>164.38802083333337</v>
      </c>
      <c r="AX39" s="7">
        <f>((AVERAGE(D34:D39)*('Summary Page'!$C$4+1))*('Summary Page'!$C$4+1))*('Summary Page'!$C$4+1)</f>
        <v>145.43999999999997</v>
      </c>
      <c r="BA39" s="7">
        <f t="shared" si="25"/>
        <v>42</v>
      </c>
      <c r="BB39" s="7">
        <f>((AVERAGE(E34:E39)*('Summary Page'!$C$2+1))*('Summary Page'!$C$2+1))*('Summary Page'!$C$2+1)</f>
        <v>78.044799999999981</v>
      </c>
      <c r="BC39" s="7">
        <f>((AVERAGE(E34:E39)*('Summary Page'!$C$3+1))*('Summary Page'!$C$3+1))*('Summary Page'!$C$3+1)</f>
        <v>97.65625</v>
      </c>
      <c r="BD39" s="8">
        <f>((AVERAGE(E34:E39)*('Summary Page'!$C$4+1))*('Summary Page'!$C$4+1))*('Summary Page'!$C$4+1)</f>
        <v>86.399999999999991</v>
      </c>
      <c r="BG39" s="7">
        <f t="shared" si="26"/>
        <v>61.199999999999996</v>
      </c>
      <c r="BH39" s="7">
        <f>((AVERAGE(F34:F39)*('Summary Page'!$C$2+1))*('Summary Page'!$C$2+1))*('Summary Page'!$C$2+1)</f>
        <v>110.30331733333331</v>
      </c>
      <c r="BI39" s="7">
        <f>((AVERAGE(F34:F39)*('Summary Page'!$C$3+1))*('Summary Page'!$C$3+1))*('Summary Page'!$C$3+1)</f>
        <v>138.02083333333337</v>
      </c>
      <c r="BJ39" s="8">
        <f>((AVERAGE(F34:F39)*('Summary Page'!$C$4+1))*('Summary Page'!$C$4+1))*('Summary Page'!$C$4+1)</f>
        <v>122.11199999999998</v>
      </c>
      <c r="BM39" s="7">
        <f t="shared" si="27"/>
        <v>68.399999999999991</v>
      </c>
      <c r="BN39" s="7">
        <f>((AVERAGE(Q34:Q39)*('Summary Page'!$C$2+1))*('Summary Page'!$C$2+1))*('Summary Page'!$C$2+1)</f>
        <v>159.73169066666662</v>
      </c>
      <c r="BO39" s="7">
        <f>((AVERAGE(Q34:Q39)*('Summary Page'!$C$3+1))*('Summary Page'!$C$3+1))*('Summary Page'!$C$3+1)</f>
        <v>199.86979166666663</v>
      </c>
      <c r="BP39" s="8">
        <f>((AVERAGE(Q34:Q39)*('Summary Page'!$C$4+1))*('Summary Page'!$C$4+1))*('Summary Page'!$C$4+1)</f>
        <v>176.83199999999997</v>
      </c>
      <c r="BS39" s="7">
        <f t="shared" si="28"/>
        <v>330</v>
      </c>
      <c r="BT39" s="7">
        <f>((AVERAGE(T34:T39)*('Summary Page'!$C$2+1))*('Summary Page'!$C$2+1))*('Summary Page'!$C$2+1)</f>
        <v>348.14484533333325</v>
      </c>
      <c r="BU39" s="7">
        <f>((AVERAGE(T34:T39)*('Summary Page'!$C$3+1))*('Summary Page'!$C$3+1))*('Summary Page'!$C$3+1)</f>
        <v>435.62825520833326</v>
      </c>
      <c r="BV39" s="8">
        <f>((AVERAGE(T34:T39)*('Summary Page'!$C$4+1))*('Summary Page'!$C$4+1))*('Summary Page'!$C$4+1)</f>
        <v>385.41599999999994</v>
      </c>
      <c r="BW39" s="16">
        <f t="shared" si="20"/>
        <v>8.868913857677903</v>
      </c>
      <c r="BX39" s="16">
        <f t="shared" si="21"/>
        <v>8.239700374531834</v>
      </c>
      <c r="BY39" s="7">
        <f t="shared" si="29"/>
        <v>9.8876404494381998</v>
      </c>
      <c r="BZ39" s="7">
        <f>((AVERAGE(BW34:BW39)*('Summary Page'!$C$2+1))*('Summary Page'!$C$2+1))*('Summary Page'!$C$2+1)</f>
        <v>10.431306227215977</v>
      </c>
      <c r="CA39" s="7">
        <f>((AVERAGE(BW34:BW39)*('Summary Page'!$C$3+1))*('Summary Page'!$C$3+1))*('Summary Page'!$C$3+1)</f>
        <v>13.052531991260924</v>
      </c>
      <c r="CB39" s="7">
        <f>((AVERAGE(BW34:BW39)*('Summary Page'!$C$4+1))*('Summary Page'!$C$4+1))*('Summary Page'!$C$4+1)</f>
        <v>11.548044943820225</v>
      </c>
      <c r="CC39" s="11">
        <f t="shared" si="30"/>
        <v>10.347066167290887</v>
      </c>
      <c r="CD39" s="11">
        <f t="shared" si="15"/>
        <v>9.6129837702871406</v>
      </c>
      <c r="CE39" s="11">
        <f t="shared" si="16"/>
        <v>11.535580524344567</v>
      </c>
      <c r="CF39" s="11">
        <f t="shared" si="17"/>
        <v>12.169857265085307</v>
      </c>
      <c r="CG39" s="11">
        <f t="shared" si="18"/>
        <v>15.227953989804412</v>
      </c>
      <c r="CH39" s="11">
        <f t="shared" si="19"/>
        <v>13.472719101123594</v>
      </c>
    </row>
    <row r="40" spans="1:86" ht="15.75" x14ac:dyDescent="0.25">
      <c r="A40" s="10">
        <v>44105</v>
      </c>
      <c r="B40" s="7">
        <v>140</v>
      </c>
      <c r="C40" s="7">
        <v>99</v>
      </c>
      <c r="D40" s="7">
        <v>129</v>
      </c>
      <c r="E40" s="7">
        <v>74</v>
      </c>
      <c r="F40" s="7">
        <v>108</v>
      </c>
      <c r="G40" s="229">
        <v>90</v>
      </c>
      <c r="H40" s="7">
        <v>50</v>
      </c>
      <c r="I40" s="7">
        <v>68</v>
      </c>
      <c r="J40" s="7">
        <v>39</v>
      </c>
      <c r="K40" s="230">
        <v>52</v>
      </c>
      <c r="L40" s="7"/>
      <c r="M40" s="7"/>
      <c r="N40" s="7"/>
      <c r="O40" s="7"/>
      <c r="P40" s="7"/>
      <c r="Q40" s="7">
        <v>119</v>
      </c>
      <c r="R40" s="7">
        <v>65</v>
      </c>
      <c r="S40" s="7"/>
      <c r="T40" s="7">
        <v>277</v>
      </c>
      <c r="U40" s="7">
        <v>282</v>
      </c>
      <c r="V40" s="7"/>
      <c r="W40" s="7"/>
      <c r="X40" s="7"/>
      <c r="Y40" s="7"/>
      <c r="Z40" s="7"/>
      <c r="AA40" s="2">
        <f t="shared" si="2"/>
        <v>110</v>
      </c>
      <c r="AB40" s="2">
        <f t="shared" si="3"/>
        <v>59.8</v>
      </c>
      <c r="AC40" s="2">
        <f t="shared" si="4"/>
        <v>71.759999999999991</v>
      </c>
      <c r="AD40" s="7">
        <f>((AVERAGE(AA35:AA40)*('Summary Page'!$C$2+1))*('Summary Page'!$C$2+1))*('Summary Page'!$C$2+1)</f>
        <v>129.60639786666667</v>
      </c>
      <c r="AE40" s="7">
        <f>((AVERAGE(AA35:AA40)*('Summary Page'!$C$3+1))*('Summary Page'!$C$3+1))*('Summary Page'!$C$3+1)</f>
        <v>162.17447916666671</v>
      </c>
      <c r="AF40" s="7">
        <f>((AVERAGE(AA35:AA40)*('Summary Page'!$C$4+1))*('Summary Page'!$C$4+1))*('Summary Page'!$C$4+1)</f>
        <v>143.48160000000001</v>
      </c>
      <c r="AI40" s="7">
        <f t="shared" si="22"/>
        <v>108</v>
      </c>
      <c r="AJ40" s="7">
        <f>((AVERAGE(B35:B40)*('Summary Page'!$C$2+1))*('Summary Page'!$C$2+1))*('Summary Page'!$C$2+1)</f>
        <v>171.9587093333333</v>
      </c>
      <c r="AK40" s="7">
        <f>((AVERAGE(B35:B40)*('Summary Page'!$C$3+1))*('Summary Page'!$C$3+1))*('Summary Page'!$C$3+1)</f>
        <v>215.16927083333337</v>
      </c>
      <c r="AL40" s="8">
        <f>((AVERAGE(B35:B40)*('Summary Page'!$C$4+1))*('Summary Page'!$C$4+1))*('Summary Page'!$C$4+1)</f>
        <v>190.36799999999997</v>
      </c>
      <c r="AO40" s="7">
        <f t="shared" si="23"/>
        <v>60</v>
      </c>
      <c r="AP40" s="7">
        <f>((AVERAGE(C35:C40)*('Summary Page'!$C$2+1))*('Summary Page'!$C$2+1))*('Summary Page'!$C$2+1)</f>
        <v>113.68525866666664</v>
      </c>
      <c r="AQ40" s="7">
        <f>((AVERAGE(C35:C40)*('Summary Page'!$C$3+1))*('Summary Page'!$C$3+1))*('Summary Page'!$C$3+1)</f>
        <v>142.25260416666663</v>
      </c>
      <c r="AR40" s="8">
        <f>((AVERAGE(C35:C40)*('Summary Page'!$C$4+1))*('Summary Page'!$C$4+1))*('Summary Page'!$C$4+1)</f>
        <v>125.85599999999997</v>
      </c>
      <c r="AU40" s="7">
        <f t="shared" si="24"/>
        <v>81.599999999999994</v>
      </c>
      <c r="AV40" s="7">
        <f>((AVERAGE(D35:D40)*('Summary Page'!$C$2+1))*('Summary Page'!$C$2+1))*('Summary Page'!$C$2+1)</f>
        <v>149.06556799999998</v>
      </c>
      <c r="AW40" s="7">
        <f>((AVERAGE(D35:D40)*('Summary Page'!$C$3+1))*('Summary Page'!$C$3+1))*('Summary Page'!$C$3+1)</f>
        <v>186.5234375</v>
      </c>
      <c r="AX40" s="7">
        <f>((AVERAGE(D35:D40)*('Summary Page'!$C$4+1))*('Summary Page'!$C$4+1))*('Summary Page'!$C$4+1)</f>
        <v>165.02399999999997</v>
      </c>
      <c r="BA40" s="7">
        <f t="shared" si="25"/>
        <v>46.8</v>
      </c>
      <c r="BB40" s="7">
        <f>((AVERAGE(E35:E40)*('Summary Page'!$C$2+1))*('Summary Page'!$C$2+1))*('Summary Page'!$C$2+1)</f>
        <v>87.930474666666655</v>
      </c>
      <c r="BC40" s="7">
        <f>((AVERAGE(E35:E40)*('Summary Page'!$C$3+1))*('Summary Page'!$C$3+1))*('Summary Page'!$C$3+1)</f>
        <v>110.02604166666669</v>
      </c>
      <c r="BD40" s="8">
        <f>((AVERAGE(E35:E40)*('Summary Page'!$C$4+1))*('Summary Page'!$C$4+1))*('Summary Page'!$C$4+1)</f>
        <v>97.34399999999998</v>
      </c>
      <c r="BG40" s="7">
        <f t="shared" si="26"/>
        <v>62.4</v>
      </c>
      <c r="BH40" s="7">
        <f>((AVERAGE(F35:F40)*('Summary Page'!$C$2+1))*('Summary Page'!$C$2+1))*('Summary Page'!$C$2+1)</f>
        <v>125.39197866666663</v>
      </c>
      <c r="BI40" s="7">
        <f>((AVERAGE(F35:F40)*('Summary Page'!$C$3+1))*('Summary Page'!$C$3+1))*('Summary Page'!$C$3+1)</f>
        <v>156.90104166666663</v>
      </c>
      <c r="BJ40" s="8">
        <f>((AVERAGE(F35:F40)*('Summary Page'!$C$4+1))*('Summary Page'!$C$4+1))*('Summary Page'!$C$4+1)</f>
        <v>138.81599999999997</v>
      </c>
      <c r="BM40" s="7">
        <f t="shared" si="27"/>
        <v>78</v>
      </c>
      <c r="BN40" s="7">
        <f>((AVERAGE(Q35:Q40)*('Summary Page'!$C$2+1))*('Summary Page'!$C$2+1))*('Summary Page'!$C$2+1)</f>
        <v>168.31661866666664</v>
      </c>
      <c r="BO40" s="7">
        <f>((AVERAGE(Q35:Q40)*('Summary Page'!$C$3+1))*('Summary Page'!$C$3+1))*('Summary Page'!$C$3+1)</f>
        <v>210.61197916666663</v>
      </c>
      <c r="BP40" s="8">
        <f>((AVERAGE(Q35:Q40)*('Summary Page'!$C$4+1))*('Summary Page'!$C$4+1))*('Summary Page'!$C$4+1)</f>
        <v>186.33599999999996</v>
      </c>
      <c r="BS40" s="7">
        <f t="shared" si="28"/>
        <v>338.4</v>
      </c>
      <c r="BT40" s="7">
        <f>((AVERAGE(T35:T40)*('Summary Page'!$C$2+1))*('Summary Page'!$C$2+1))*('Summary Page'!$C$2+1)</f>
        <v>371.55828533333329</v>
      </c>
      <c r="BU40" s="7">
        <f>((AVERAGE(T35:T40)*('Summary Page'!$C$3+1))*('Summary Page'!$C$3+1))*('Summary Page'!$C$3+1)</f>
        <v>464.92513020833326</v>
      </c>
      <c r="BV40" s="8">
        <f>((AVERAGE(T35:T40)*('Summary Page'!$C$4+1))*('Summary Page'!$C$4+1))*('Summary Page'!$C$4+1)</f>
        <v>411.33599999999996</v>
      </c>
      <c r="BW40" s="16">
        <f t="shared" si="20"/>
        <v>8.299625468164793</v>
      </c>
      <c r="BX40" s="16">
        <f t="shared" si="21"/>
        <v>8.4494382022471903</v>
      </c>
      <c r="BY40" s="7">
        <f t="shared" si="29"/>
        <v>10.139325842696628</v>
      </c>
      <c r="BZ40" s="7">
        <f>((AVERAGE(BW35:BW40)*('Summary Page'!$C$2+1))*('Summary Page'!$C$2+1))*('Summary Page'!$C$2+1)</f>
        <v>11.132832519350808</v>
      </c>
      <c r="CA40" s="7">
        <f>((AVERAGE(BW35:BW40)*('Summary Page'!$C$3+1))*('Summary Page'!$C$3+1))*('Summary Page'!$C$3+1)</f>
        <v>13.930340980024969</v>
      </c>
      <c r="CB40" s="7">
        <f>((AVERAGE(BW35:BW40)*('Summary Page'!$C$4+1))*('Summary Page'!$C$4+1))*('Summary Page'!$C$4+1)</f>
        <v>12.32467415730337</v>
      </c>
      <c r="CC40" s="11">
        <f t="shared" si="30"/>
        <v>9.6828963795255909</v>
      </c>
      <c r="CD40" s="11">
        <f t="shared" si="15"/>
        <v>9.8576779026217221</v>
      </c>
      <c r="CE40" s="11">
        <f t="shared" si="16"/>
        <v>11.829213483146066</v>
      </c>
      <c r="CF40" s="11">
        <f t="shared" si="17"/>
        <v>12.988304605909276</v>
      </c>
      <c r="CG40" s="11">
        <f t="shared" si="18"/>
        <v>16.252064476695796</v>
      </c>
      <c r="CH40" s="11">
        <f t="shared" si="19"/>
        <v>14.378786516853932</v>
      </c>
    </row>
    <row r="41" spans="1:86" ht="15.75" x14ac:dyDescent="0.25">
      <c r="A41" s="10">
        <v>44138</v>
      </c>
      <c r="B41" s="7">
        <v>136</v>
      </c>
      <c r="C41" s="7">
        <v>93</v>
      </c>
      <c r="D41" s="7">
        <v>126</v>
      </c>
      <c r="E41" s="7">
        <v>73</v>
      </c>
      <c r="F41" s="7">
        <v>107</v>
      </c>
      <c r="G41" s="229">
        <v>53</v>
      </c>
      <c r="H41" s="7">
        <v>37</v>
      </c>
      <c r="I41" s="7">
        <v>48</v>
      </c>
      <c r="J41" s="7">
        <v>28</v>
      </c>
      <c r="K41" s="230">
        <v>41</v>
      </c>
      <c r="L41" s="7"/>
      <c r="M41" s="7"/>
      <c r="N41" s="7"/>
      <c r="O41" s="7"/>
      <c r="P41" s="7"/>
      <c r="Q41" s="7">
        <v>96</v>
      </c>
      <c r="R41" s="7">
        <v>37</v>
      </c>
      <c r="S41" s="7"/>
      <c r="T41" s="7">
        <v>334</v>
      </c>
      <c r="U41" s="7">
        <v>345</v>
      </c>
      <c r="V41" s="7"/>
      <c r="W41" s="7"/>
      <c r="X41" s="7"/>
      <c r="Y41" s="7"/>
      <c r="Z41" s="7"/>
      <c r="AA41" s="2">
        <f t="shared" si="2"/>
        <v>107</v>
      </c>
      <c r="AB41" s="2">
        <f t="shared" ref="AB41:AB48" si="31">AVERAGE(G41,H41,I41,J41,K41)</f>
        <v>41.4</v>
      </c>
      <c r="AC41" s="2">
        <f t="shared" ref="AC41:AC48" si="32">AB41*1.2</f>
        <v>49.68</v>
      </c>
      <c r="AD41" s="7">
        <f>((AVERAGE(AA36:AA41)*('Summary Page'!$C$2+1))*('Summary Page'!$C$2+1))*('Summary Page'!$C$2+1)</f>
        <v>142.82198399999996</v>
      </c>
      <c r="AE41" s="7">
        <f>((AVERAGE(AA36:AA41)*('Summary Page'!$C$3+1))*('Summary Page'!$C$3+1))*('Summary Page'!$C$3+1)</f>
        <v>178.7109375</v>
      </c>
      <c r="AF41" s="7">
        <f>((AVERAGE(AA36:AA41)*('Summary Page'!$C$4+1))*('Summary Page'!$C$4+1))*('Summary Page'!$C$4+1)</f>
        <v>158.11199999999999</v>
      </c>
      <c r="AI41" s="7">
        <f t="shared" si="22"/>
        <v>63.599999999999994</v>
      </c>
      <c r="AJ41" s="7">
        <f>((AVERAGE(B36:B41)*('Summary Page'!$C$2+1))*('Summary Page'!$C$2+1))*('Summary Page'!$C$2+1)</f>
        <v>186.00677333333329</v>
      </c>
      <c r="AK41" s="7">
        <f>((AVERAGE(B36:B41)*('Summary Page'!$C$3+1))*('Summary Page'!$C$3+1))*('Summary Page'!$C$3+1)</f>
        <v>232.74739583333337</v>
      </c>
      <c r="AL41" s="8">
        <f>((AVERAGE(B36:B41)*('Summary Page'!$C$4+1))*('Summary Page'!$C$4+1))*('Summary Page'!$C$4+1)</f>
        <v>205.92</v>
      </c>
      <c r="AO41" s="7">
        <f t="shared" si="23"/>
        <v>44.4</v>
      </c>
      <c r="AP41" s="7">
        <f>((AVERAGE(C36:C41)*('Summary Page'!$C$2+1))*('Summary Page'!$C$2+1))*('Summary Page'!$C$2+1)</f>
        <v>126.95287466666662</v>
      </c>
      <c r="AQ41" s="7">
        <f>((AVERAGE(C36:C41)*('Summary Page'!$C$3+1))*('Summary Page'!$C$3+1))*('Summary Page'!$C$3+1)</f>
        <v>158.85416666666663</v>
      </c>
      <c r="AR41" s="8">
        <f>((AVERAGE(C36:C41)*('Summary Page'!$C$4+1))*('Summary Page'!$C$4+1))*('Summary Page'!$C$4+1)</f>
        <v>140.54399999999998</v>
      </c>
      <c r="AU41" s="7">
        <f t="shared" si="24"/>
        <v>57.599999999999994</v>
      </c>
      <c r="AV41" s="7">
        <f>((AVERAGE(D36:D41)*('Summary Page'!$C$2+1))*('Summary Page'!$C$2+1))*('Summary Page'!$C$2+1)</f>
        <v>164.9346773333333</v>
      </c>
      <c r="AW41" s="7">
        <f>((AVERAGE(D36:D41)*('Summary Page'!$C$3+1))*('Summary Page'!$C$3+1))*('Summary Page'!$C$3+1)</f>
        <v>206.38020833333337</v>
      </c>
      <c r="AX41" s="7">
        <f>((AVERAGE(D36:D41)*('Summary Page'!$C$4+1))*('Summary Page'!$C$4+1))*('Summary Page'!$C$4+1)</f>
        <v>182.59199999999998</v>
      </c>
      <c r="BA41" s="7">
        <f t="shared" si="25"/>
        <v>33.6</v>
      </c>
      <c r="BB41" s="7">
        <f>((AVERAGE(E36:E41)*('Summary Page'!$C$2+1))*('Summary Page'!$C$2+1))*('Summary Page'!$C$2+1)</f>
        <v>96.255253333333314</v>
      </c>
      <c r="BC41" s="7">
        <f>((AVERAGE(E36:E41)*('Summary Page'!$C$3+1))*('Summary Page'!$C$3+1))*('Summary Page'!$C$3+1)</f>
        <v>120.44270833333331</v>
      </c>
      <c r="BD41" s="8">
        <f>((AVERAGE(E36:E41)*('Summary Page'!$C$4+1))*('Summary Page'!$C$4+1))*('Summary Page'!$C$4+1)</f>
        <v>106.55999999999999</v>
      </c>
      <c r="BG41" s="7">
        <f t="shared" si="26"/>
        <v>49.199999999999996</v>
      </c>
      <c r="BH41" s="7">
        <f>((AVERAGE(F36:F41)*('Summary Page'!$C$2+1))*('Summary Page'!$C$2+1))*('Summary Page'!$C$2+1)</f>
        <v>139.9603413333333</v>
      </c>
      <c r="BI41" s="7">
        <f>((AVERAGE(F36:F41)*('Summary Page'!$C$3+1))*('Summary Page'!$C$3+1))*('Summary Page'!$C$3+1)</f>
        <v>175.13020833333337</v>
      </c>
      <c r="BJ41" s="8">
        <f>((AVERAGE(F36:F41)*('Summary Page'!$C$4+1))*('Summary Page'!$C$4+1))*('Summary Page'!$C$4+1)</f>
        <v>154.94399999999999</v>
      </c>
      <c r="BM41" s="7">
        <f t="shared" si="27"/>
        <v>44.4</v>
      </c>
      <c r="BN41" s="7">
        <f>((AVERAGE(Q36:Q41)*('Summary Page'!$C$2+1))*('Summary Page'!$C$2+1))*('Summary Page'!$C$2+1)</f>
        <v>169.35721599999997</v>
      </c>
      <c r="BO41" s="7">
        <f>((AVERAGE(Q36:Q41)*('Summary Page'!$C$3+1))*('Summary Page'!$C$3+1))*('Summary Page'!$C$3+1)</f>
        <v>211.9140625</v>
      </c>
      <c r="BP41" s="8">
        <f>((AVERAGE(Q36:Q41)*('Summary Page'!$C$4+1))*('Summary Page'!$C$4+1))*('Summary Page'!$C$4+1)</f>
        <v>187.48799999999997</v>
      </c>
      <c r="BS41" s="7">
        <f t="shared" si="28"/>
        <v>414</v>
      </c>
      <c r="BT41" s="7">
        <f>((AVERAGE(T36:T41)*('Summary Page'!$C$2+1))*('Summary Page'!$C$2+1))*('Summary Page'!$C$2+1)</f>
        <v>407.71904266666655</v>
      </c>
      <c r="BU41" s="7">
        <f>((AVERAGE(T36:T41)*('Summary Page'!$C$3+1))*('Summary Page'!$C$3+1))*('Summary Page'!$C$3+1)</f>
        <v>510.17252604166657</v>
      </c>
      <c r="BV41" s="8">
        <f>((AVERAGE(T36:T41)*('Summary Page'!$C$4+1))*('Summary Page'!$C$4+1))*('Summary Page'!$C$4+1)</f>
        <v>451.36799999999999</v>
      </c>
      <c r="BW41" s="16">
        <f t="shared" si="20"/>
        <v>10.007490636704119</v>
      </c>
      <c r="BX41" s="16">
        <f t="shared" si="21"/>
        <v>10.337078651685392</v>
      </c>
      <c r="BY41" s="7">
        <f t="shared" si="29"/>
        <v>12.40449438202247</v>
      </c>
      <c r="BZ41" s="7">
        <f>((AVERAGE(BW36:BW41)*('Summary Page'!$C$2+1))*('Summary Page'!$C$2+1))*('Summary Page'!$C$2+1)</f>
        <v>12.216300903870161</v>
      </c>
      <c r="CA41" s="7">
        <f>((AVERAGE(BW36:BW41)*('Summary Page'!$C$3+1))*('Summary Page'!$C$3+1))*('Summary Page'!$C$3+1)</f>
        <v>15.286068196004996</v>
      </c>
      <c r="CB41" s="7">
        <f>((AVERAGE(BW36:BW41)*('Summary Page'!$C$4+1))*('Summary Page'!$C$4+1))*('Summary Page'!$C$4+1)</f>
        <v>13.524134831460675</v>
      </c>
      <c r="CC41" s="11">
        <f t="shared" si="30"/>
        <v>11.675405742821473</v>
      </c>
      <c r="CD41" s="11">
        <f t="shared" si="15"/>
        <v>12.059925093632957</v>
      </c>
      <c r="CE41" s="11">
        <f t="shared" si="16"/>
        <v>14.471910112359549</v>
      </c>
      <c r="CF41" s="11">
        <f t="shared" si="17"/>
        <v>14.252351054515188</v>
      </c>
      <c r="CG41" s="11">
        <f t="shared" si="18"/>
        <v>17.833746228672496</v>
      </c>
      <c r="CH41" s="11">
        <f t="shared" si="19"/>
        <v>15.778157303370786</v>
      </c>
    </row>
    <row r="42" spans="1:86" ht="15.75" x14ac:dyDescent="0.25">
      <c r="A42" s="10">
        <v>44166</v>
      </c>
      <c r="B42" s="7">
        <v>132</v>
      </c>
      <c r="C42" s="7">
        <v>76</v>
      </c>
      <c r="D42" s="7">
        <v>96</v>
      </c>
      <c r="E42" s="7">
        <v>58</v>
      </c>
      <c r="F42" s="7">
        <v>79</v>
      </c>
      <c r="G42" s="229">
        <v>60</v>
      </c>
      <c r="H42" s="7">
        <v>44</v>
      </c>
      <c r="I42" s="7">
        <v>57</v>
      </c>
      <c r="J42" s="7">
        <v>33</v>
      </c>
      <c r="K42" s="230">
        <v>47</v>
      </c>
      <c r="L42" s="7"/>
      <c r="M42" s="7"/>
      <c r="N42" s="7"/>
      <c r="O42" s="7"/>
      <c r="P42" s="7"/>
      <c r="Q42" s="7">
        <v>88</v>
      </c>
      <c r="R42" s="7">
        <v>47</v>
      </c>
      <c r="S42" s="7"/>
      <c r="T42" s="7">
        <v>304</v>
      </c>
      <c r="U42" s="7">
        <v>318</v>
      </c>
      <c r="V42" s="7"/>
      <c r="W42" s="7"/>
      <c r="X42" s="7"/>
      <c r="Y42" s="7"/>
      <c r="Z42" s="7"/>
      <c r="AA42" s="2">
        <f t="shared" si="2"/>
        <v>88.2</v>
      </c>
      <c r="AB42" s="2">
        <f t="shared" si="31"/>
        <v>48.2</v>
      </c>
      <c r="AC42" s="2">
        <f t="shared" si="32"/>
        <v>57.84</v>
      </c>
      <c r="AD42" s="7">
        <f>((AVERAGE(AA37:AA42)*('Summary Page'!$C$2+1))*('Summary Page'!$C$2+1))*('Summary Page'!$C$2+1)</f>
        <v>150.10616533333331</v>
      </c>
      <c r="AE42" s="7">
        <f>((AVERAGE(AA37:AA42)*('Summary Page'!$C$3+1))*('Summary Page'!$C$3+1))*('Summary Page'!$C$3+1)</f>
        <v>187.82552083333337</v>
      </c>
      <c r="AF42" s="7">
        <f>((AVERAGE(AA37:AA42)*('Summary Page'!$C$4+1))*('Summary Page'!$C$4+1))*('Summary Page'!$C$4+1)</f>
        <v>166.17599999999999</v>
      </c>
      <c r="AI42" s="7">
        <f t="shared" si="22"/>
        <v>72</v>
      </c>
      <c r="AJ42" s="7">
        <f>((AVERAGE(B37:B42)*('Summary Page'!$C$2+1))*('Summary Page'!$C$2+1))*('Summary Page'!$C$2+1)</f>
        <v>199.53453866666663</v>
      </c>
      <c r="AK42" s="7">
        <f>((AVERAGE(B37:B42)*('Summary Page'!$C$3+1))*('Summary Page'!$C$3+1))*('Summary Page'!$C$3+1)</f>
        <v>249.67447916666663</v>
      </c>
      <c r="AL42" s="8">
        <f>((AVERAGE(B37:B42)*('Summary Page'!$C$4+1))*('Summary Page'!$C$4+1))*('Summary Page'!$C$4+1)</f>
        <v>220.89599999999993</v>
      </c>
      <c r="AO42" s="7">
        <f t="shared" si="23"/>
        <v>52.8</v>
      </c>
      <c r="AP42" s="7">
        <f>((AVERAGE(C37:C42)*('Summary Page'!$C$2+1))*('Summary Page'!$C$2+1))*('Summary Page'!$C$2+1)</f>
        <v>133.45660799999996</v>
      </c>
      <c r="AQ42" s="7">
        <f>((AVERAGE(C37:C42)*('Summary Page'!$C$3+1))*('Summary Page'!$C$3+1))*('Summary Page'!$C$3+1)</f>
        <v>166.9921875</v>
      </c>
      <c r="AR42" s="8">
        <f>((AVERAGE(C37:C42)*('Summary Page'!$C$4+1))*('Summary Page'!$C$4+1))*('Summary Page'!$C$4+1)</f>
        <v>147.74399999999997</v>
      </c>
      <c r="AU42" s="7">
        <f t="shared" si="24"/>
        <v>68.399999999999991</v>
      </c>
      <c r="AV42" s="7">
        <f>((AVERAGE(D37:D42)*('Summary Page'!$C$2+1))*('Summary Page'!$C$2+1))*('Summary Page'!$C$2+1)</f>
        <v>171.9587093333333</v>
      </c>
      <c r="AW42" s="7">
        <f>((AVERAGE(D37:D42)*('Summary Page'!$C$3+1))*('Summary Page'!$C$3+1))*('Summary Page'!$C$3+1)</f>
        <v>215.16927083333337</v>
      </c>
      <c r="AX42" s="7">
        <f>((AVERAGE(D37:D42)*('Summary Page'!$C$4+1))*('Summary Page'!$C$4+1))*('Summary Page'!$C$4+1)</f>
        <v>190.36799999999997</v>
      </c>
      <c r="BA42" s="7">
        <f t="shared" si="25"/>
        <v>39.6</v>
      </c>
      <c r="BB42" s="7">
        <f>((AVERAGE(E37:E42)*('Summary Page'!$C$2+1))*('Summary Page'!$C$2+1))*('Summary Page'!$C$2+1)</f>
        <v>100.67779199999998</v>
      </c>
      <c r="BC42" s="7">
        <f>((AVERAGE(E37:E42)*('Summary Page'!$C$3+1))*('Summary Page'!$C$3+1))*('Summary Page'!$C$3+1)</f>
        <v>125.9765625</v>
      </c>
      <c r="BD42" s="8">
        <f>((AVERAGE(E37:E42)*('Summary Page'!$C$4+1))*('Summary Page'!$C$4+1))*('Summary Page'!$C$4+1)</f>
        <v>111.45599999999997</v>
      </c>
      <c r="BG42" s="7">
        <f t="shared" si="26"/>
        <v>56.4</v>
      </c>
      <c r="BH42" s="7">
        <f>((AVERAGE(F37:F42)*('Summary Page'!$C$2+1))*('Summary Page'!$C$2+1))*('Summary Page'!$C$2+1)</f>
        <v>144.90317866666663</v>
      </c>
      <c r="BI42" s="7">
        <f>((AVERAGE(F37:F42)*('Summary Page'!$C$3+1))*('Summary Page'!$C$3+1))*('Summary Page'!$C$3+1)</f>
        <v>181.31510416666663</v>
      </c>
      <c r="BJ42" s="8">
        <f>((AVERAGE(F37:F42)*('Summary Page'!$C$4+1))*('Summary Page'!$C$4+1))*('Summary Page'!$C$4+1)</f>
        <v>160.41599999999997</v>
      </c>
      <c r="BM42" s="7">
        <f t="shared" si="27"/>
        <v>56.4</v>
      </c>
      <c r="BN42" s="7">
        <f>((AVERAGE(Q37:Q42)*('Summary Page'!$C$2+1))*('Summary Page'!$C$2+1))*('Summary Page'!$C$2+1)</f>
        <v>167.27602133333332</v>
      </c>
      <c r="BO42" s="7">
        <f>((AVERAGE(Q37:Q42)*('Summary Page'!$C$3+1))*('Summary Page'!$C$3+1))*('Summary Page'!$C$3+1)</f>
        <v>209.30989583333337</v>
      </c>
      <c r="BP42" s="8">
        <f>((AVERAGE(Q37:Q42)*('Summary Page'!$C$4+1))*('Summary Page'!$C$4+1))*('Summary Page'!$C$4+1)</f>
        <v>185.184</v>
      </c>
      <c r="BS42" s="7">
        <f t="shared" si="28"/>
        <v>381.59999999999997</v>
      </c>
      <c r="BT42" s="7">
        <f>((AVERAGE(T37:T42)*('Summary Page'!$C$2+1))*('Summary Page'!$C$2+1))*('Summary Page'!$C$2+1)</f>
        <v>435.55502133333329</v>
      </c>
      <c r="BU42" s="7">
        <f>((AVERAGE(T37:T42)*('Summary Page'!$C$3+1))*('Summary Page'!$C$3+1))*('Summary Page'!$C$3+1)</f>
        <v>545.00325520833348</v>
      </c>
      <c r="BV42" s="8">
        <f>((AVERAGE(T37:T42)*('Summary Page'!$C$4+1))*('Summary Page'!$C$4+1))*('Summary Page'!$C$4+1)</f>
        <v>482.18399999999997</v>
      </c>
      <c r="BW42" s="16">
        <f t="shared" si="20"/>
        <v>9.108614232209737</v>
      </c>
      <c r="BX42" s="16">
        <f t="shared" si="21"/>
        <v>9.5280898876404496</v>
      </c>
      <c r="BY42" s="7">
        <f t="shared" si="29"/>
        <v>11.43370786516854</v>
      </c>
      <c r="BZ42" s="7">
        <f>((AVERAGE(BW37:BW42)*('Summary Page'!$C$2+1))*('Summary Page'!$C$2+1))*('Summary Page'!$C$2+1)</f>
        <v>13.050337717852681</v>
      </c>
      <c r="CA42" s="7">
        <f>((AVERAGE(BW37:BW42)*('Summary Page'!$C$3+1))*('Summary Page'!$C$3+1))*('Summary Page'!$C$3+1)</f>
        <v>16.329685549313357</v>
      </c>
      <c r="CB42" s="7">
        <f>((AVERAGE(BW37:BW42)*('Summary Page'!$C$4+1))*('Summary Page'!$C$4+1))*('Summary Page'!$C$4+1)</f>
        <v>14.447460674157302</v>
      </c>
      <c r="CC42" s="11">
        <f t="shared" si="30"/>
        <v>10.626716604244693</v>
      </c>
      <c r="CD42" s="11">
        <f t="shared" si="15"/>
        <v>11.116104868913858</v>
      </c>
      <c r="CE42" s="11">
        <f t="shared" si="16"/>
        <v>13.339325842696629</v>
      </c>
      <c r="CF42" s="11">
        <f t="shared" si="17"/>
        <v>15.225394004161462</v>
      </c>
      <c r="CG42" s="11">
        <f t="shared" si="18"/>
        <v>19.051299807532249</v>
      </c>
      <c r="CH42" s="11">
        <f t="shared" si="19"/>
        <v>16.855370786516851</v>
      </c>
    </row>
    <row r="43" spans="1:86" ht="15.75" x14ac:dyDescent="0.25">
      <c r="A43" s="10">
        <v>44230</v>
      </c>
      <c r="B43" s="7">
        <v>83</v>
      </c>
      <c r="C43" s="7">
        <v>67</v>
      </c>
      <c r="D43" s="7">
        <v>89</v>
      </c>
      <c r="E43" s="7">
        <v>54</v>
      </c>
      <c r="F43" s="7">
        <v>72</v>
      </c>
      <c r="G43" s="229">
        <v>43</v>
      </c>
      <c r="H43" s="7">
        <v>37</v>
      </c>
      <c r="I43" s="7">
        <v>56</v>
      </c>
      <c r="J43" s="7">
        <v>33</v>
      </c>
      <c r="K43" s="230">
        <v>42</v>
      </c>
      <c r="L43" s="7"/>
      <c r="M43" s="7"/>
      <c r="N43" s="7"/>
      <c r="O43" s="7"/>
      <c r="P43" s="7"/>
      <c r="Q43" s="7">
        <v>96</v>
      </c>
      <c r="R43" s="7">
        <v>56</v>
      </c>
      <c r="S43" s="7"/>
      <c r="T43" s="7">
        <v>252</v>
      </c>
      <c r="U43" s="7">
        <v>263</v>
      </c>
      <c r="V43" s="7"/>
      <c r="W43" s="7"/>
      <c r="X43" s="7"/>
      <c r="Y43" s="7"/>
      <c r="Z43" s="7"/>
      <c r="AA43" s="2">
        <f t="shared" si="2"/>
        <v>73</v>
      </c>
      <c r="AB43" s="2">
        <f t="shared" si="31"/>
        <v>42.2</v>
      </c>
      <c r="AC43" s="2">
        <f t="shared" si="32"/>
        <v>50.64</v>
      </c>
      <c r="AD43" s="7">
        <f>((AVERAGE(AA38:AA43)*('Summary Page'!$C$2+1))*('Summary Page'!$C$2+1))*('Summary Page'!$C$2+1)</f>
        <v>151.04270293333329</v>
      </c>
      <c r="AE43" s="7">
        <f>((AVERAGE(AA38:AA43)*('Summary Page'!$C$3+1))*('Summary Page'!$C$3+1))*('Summary Page'!$C$3+1)</f>
        <v>188.99739583333329</v>
      </c>
      <c r="AF43" s="7">
        <f>((AVERAGE(AA38:AA43)*('Summary Page'!$C$4+1))*('Summary Page'!$C$4+1))*('Summary Page'!$C$4+1)</f>
        <v>167.21279999999996</v>
      </c>
      <c r="AI43" s="7">
        <f t="shared" si="22"/>
        <v>51.6</v>
      </c>
      <c r="AJ43" s="7">
        <f>((AVERAGE(B38:B43)*('Summary Page'!$C$2+1))*('Summary Page'!$C$2+1))*('Summary Page'!$C$2+1)</f>
        <v>198.23379199999994</v>
      </c>
      <c r="AK43" s="7">
        <f>((AVERAGE(B38:B43)*('Summary Page'!$C$3+1))*('Summary Page'!$C$3+1))*('Summary Page'!$C$3+1)</f>
        <v>248.046875</v>
      </c>
      <c r="AL43" s="8">
        <f>((AVERAGE(B38:B43)*('Summary Page'!$C$4+1))*('Summary Page'!$C$4+1))*('Summary Page'!$C$4+1)</f>
        <v>219.45599999999999</v>
      </c>
      <c r="AO43" s="7">
        <f t="shared" si="23"/>
        <v>44.4</v>
      </c>
      <c r="AP43" s="7">
        <f>((AVERAGE(C38:C43)*('Summary Page'!$C$2+1))*('Summary Page'!$C$2+1))*('Summary Page'!$C$2+1)</f>
        <v>134.23705599999997</v>
      </c>
      <c r="AQ43" s="7">
        <f>((AVERAGE(C38:C43)*('Summary Page'!$C$3+1))*('Summary Page'!$C$3+1))*('Summary Page'!$C$3+1)</f>
        <v>167.96875</v>
      </c>
      <c r="AR43" s="8">
        <f>((AVERAGE(C38:C43)*('Summary Page'!$C$4+1))*('Summary Page'!$C$4+1))*('Summary Page'!$C$4+1)</f>
        <v>148.608</v>
      </c>
      <c r="AU43" s="7">
        <f t="shared" si="24"/>
        <v>67.2</v>
      </c>
      <c r="AV43" s="7">
        <f>((AVERAGE(D38:D43)*('Summary Page'!$C$2+1))*('Summary Page'!$C$2+1))*('Summary Page'!$C$2+1)</f>
        <v>175.08050133333333</v>
      </c>
      <c r="AW43" s="7">
        <f>((AVERAGE(D38:D43)*('Summary Page'!$C$3+1))*('Summary Page'!$C$3+1))*('Summary Page'!$C$3+1)</f>
        <v>219.07552083333337</v>
      </c>
      <c r="AX43" s="7">
        <f>((AVERAGE(D38:D43)*('Summary Page'!$C$4+1))*('Summary Page'!$C$4+1))*('Summary Page'!$C$4+1)</f>
        <v>193.82399999999998</v>
      </c>
      <c r="BA43" s="7">
        <f t="shared" si="25"/>
        <v>39.6</v>
      </c>
      <c r="BB43" s="7">
        <f>((AVERAGE(E38:E43)*('Summary Page'!$C$2+1))*('Summary Page'!$C$2+1))*('Summary Page'!$C$2+1)</f>
        <v>102.75898666666664</v>
      </c>
      <c r="BC43" s="7">
        <f>((AVERAGE(E38:E43)*('Summary Page'!$C$3+1))*('Summary Page'!$C$3+1))*('Summary Page'!$C$3+1)</f>
        <v>128.58072916666663</v>
      </c>
      <c r="BD43" s="8">
        <f>((AVERAGE(E38:E43)*('Summary Page'!$C$4+1))*('Summary Page'!$C$4+1))*('Summary Page'!$C$4+1)</f>
        <v>113.75999999999998</v>
      </c>
      <c r="BG43" s="7">
        <f t="shared" si="26"/>
        <v>50.4</v>
      </c>
      <c r="BH43" s="7">
        <f>((AVERAGE(F38:F43)*('Summary Page'!$C$2+1))*('Summary Page'!$C$2+1))*('Summary Page'!$C$2+1)</f>
        <v>144.90317866666663</v>
      </c>
      <c r="BI43" s="7">
        <f>((AVERAGE(F38:F43)*('Summary Page'!$C$3+1))*('Summary Page'!$C$3+1))*('Summary Page'!$C$3+1)</f>
        <v>181.31510416666663</v>
      </c>
      <c r="BJ43" s="8">
        <f>((AVERAGE(F38:F43)*('Summary Page'!$C$4+1))*('Summary Page'!$C$4+1))*('Summary Page'!$C$4+1)</f>
        <v>160.41599999999997</v>
      </c>
      <c r="BM43" s="7">
        <f t="shared" si="27"/>
        <v>67.2</v>
      </c>
      <c r="BN43" s="7">
        <f>((AVERAGE(Q38:Q43)*('Summary Page'!$C$2+1))*('Summary Page'!$C$2+1))*('Summary Page'!$C$2+1)</f>
        <v>163.89407999999997</v>
      </c>
      <c r="BO43" s="7">
        <f>((AVERAGE(Q38:Q43)*('Summary Page'!$C$3+1))*('Summary Page'!$C$3+1))*('Summary Page'!$C$3+1)</f>
        <v>205.078125</v>
      </c>
      <c r="BP43" s="8">
        <f>((AVERAGE(Q38:Q43)*('Summary Page'!$C$4+1))*('Summary Page'!$C$4+1))*('Summary Page'!$C$4+1)</f>
        <v>181.43999999999997</v>
      </c>
      <c r="BS43" s="7">
        <f t="shared" si="28"/>
        <v>315.59999999999997</v>
      </c>
      <c r="BT43" s="7">
        <f>((AVERAGE(T38:T43)*('Summary Page'!$C$2+1))*('Summary Page'!$C$2+1))*('Summary Page'!$C$2+1)</f>
        <v>449.01774933333326</v>
      </c>
      <c r="BU43" s="7">
        <f>((AVERAGE(T38:T43)*('Summary Page'!$C$3+1))*('Summary Page'!$C$3+1))*('Summary Page'!$C$3+1)</f>
        <v>561.84895833333348</v>
      </c>
      <c r="BV43" s="8">
        <f>((AVERAGE(T38:T43)*('Summary Page'!$C$4+1))*('Summary Page'!$C$4+1))*('Summary Page'!$C$4+1)</f>
        <v>497.08799999999991</v>
      </c>
      <c r="BW43" s="16">
        <f t="shared" si="20"/>
        <v>7.5505617977528088</v>
      </c>
      <c r="BX43" s="16">
        <f t="shared" si="21"/>
        <v>7.8801498127340839</v>
      </c>
      <c r="BY43" s="7">
        <f t="shared" si="29"/>
        <v>9.4561797752808996</v>
      </c>
      <c r="BZ43" s="7">
        <f>((AVERAGE(BW38:BW43)*('Summary Page'!$C$2+1))*('Summary Page'!$C$2+1))*('Summary Page'!$C$2+1)</f>
        <v>13.453715335830209</v>
      </c>
      <c r="CA43" s="7">
        <f>((AVERAGE(BW38:BW43)*('Summary Page'!$C$3+1))*('Summary Page'!$C$3+1))*('Summary Page'!$C$3+1)</f>
        <v>16.834425717852682</v>
      </c>
      <c r="CB43" s="7">
        <f>((AVERAGE(BW38:BW43)*('Summary Page'!$C$4+1))*('Summary Page'!$C$4+1))*('Summary Page'!$C$4+1)</f>
        <v>14.894022471910112</v>
      </c>
      <c r="CC43" s="11">
        <f t="shared" si="30"/>
        <v>8.808988764044944</v>
      </c>
      <c r="CD43" s="11">
        <f t="shared" si="15"/>
        <v>9.1935081148564315</v>
      </c>
      <c r="CE43" s="11">
        <f t="shared" si="16"/>
        <v>11.032209737827717</v>
      </c>
      <c r="CF43" s="11">
        <f t="shared" si="17"/>
        <v>15.696001225135245</v>
      </c>
      <c r="CG43" s="11">
        <f t="shared" si="18"/>
        <v>19.640163337494794</v>
      </c>
      <c r="CH43" s="11">
        <f t="shared" si="19"/>
        <v>17.376359550561798</v>
      </c>
    </row>
    <row r="44" spans="1:86" ht="15.75" x14ac:dyDescent="0.25">
      <c r="A44" s="10">
        <v>44292</v>
      </c>
      <c r="B44" s="7">
        <v>86</v>
      </c>
      <c r="C44" s="7">
        <v>63</v>
      </c>
      <c r="D44" s="7">
        <v>96</v>
      </c>
      <c r="E44" s="7">
        <v>57</v>
      </c>
      <c r="F44" s="7">
        <v>75</v>
      </c>
      <c r="H44" s="7">
        <v>49</v>
      </c>
      <c r="I44" s="7">
        <v>80</v>
      </c>
      <c r="J44" s="7">
        <v>48</v>
      </c>
      <c r="K44" s="230">
        <v>55</v>
      </c>
      <c r="L44" s="7"/>
      <c r="M44" s="7"/>
      <c r="N44" s="7"/>
      <c r="O44" s="7"/>
      <c r="P44" s="7"/>
      <c r="Q44" s="7">
        <v>100</v>
      </c>
      <c r="R44" s="7">
        <v>85</v>
      </c>
      <c r="S44" s="7"/>
      <c r="T44" s="7">
        <v>259</v>
      </c>
      <c r="U44" s="7">
        <v>267</v>
      </c>
      <c r="V44" s="7"/>
      <c r="W44" s="7"/>
      <c r="X44" s="7"/>
      <c r="Y44" s="7"/>
      <c r="Z44" s="7"/>
      <c r="AA44" s="2">
        <f t="shared" si="2"/>
        <v>75.400000000000006</v>
      </c>
      <c r="AB44" s="2">
        <f t="shared" si="31"/>
        <v>58</v>
      </c>
      <c r="AC44" s="2">
        <f t="shared" si="32"/>
        <v>69.599999999999994</v>
      </c>
      <c r="AD44" s="7">
        <f>((AVERAGE(AA39:AA44)*('Summary Page'!$C$2+1))*('Summary Page'!$C$2+1))*('Summary Page'!$C$2+1)</f>
        <v>148.59729919999998</v>
      </c>
      <c r="AE44" s="7">
        <f>((AVERAGE(AA39:AA44)*('Summary Page'!$C$3+1))*('Summary Page'!$C$3+1))*('Summary Page'!$C$3+1)</f>
        <v>185.9375</v>
      </c>
      <c r="AF44" s="7">
        <f>((AVERAGE(AA39:AA44)*('Summary Page'!$C$4+1))*('Summary Page'!$C$4+1))*('Summary Page'!$C$4+1)</f>
        <v>164.50559999999999</v>
      </c>
      <c r="AI44" s="7">
        <f t="shared" si="22"/>
        <v>0</v>
      </c>
      <c r="AJ44" s="7">
        <f>((AVERAGE(B39:B44)*('Summary Page'!$C$2+1))*('Summary Page'!$C$2+1))*('Summary Page'!$C$2+1)</f>
        <v>190.16916266666661</v>
      </c>
      <c r="AK44" s="7">
        <f>((AVERAGE(B39:B44)*('Summary Page'!$C$3+1))*('Summary Page'!$C$3+1))*('Summary Page'!$C$3+1)</f>
        <v>237.95572916666663</v>
      </c>
      <c r="AL44" s="8">
        <f>((AVERAGE(B39:B44)*('Summary Page'!$C$4+1))*('Summary Page'!$C$4+1))*('Summary Page'!$C$4+1)</f>
        <v>210.52799999999996</v>
      </c>
      <c r="AO44" s="7">
        <f t="shared" si="23"/>
        <v>58.8</v>
      </c>
      <c r="AP44" s="7">
        <f>((AVERAGE(C39:C44)*('Summary Page'!$C$2+1))*('Summary Page'!$C$2+1))*('Summary Page'!$C$2+1)</f>
        <v>131.11526399999997</v>
      </c>
      <c r="AQ44" s="7">
        <f>((AVERAGE(C39:C44)*('Summary Page'!$C$3+1))*('Summary Page'!$C$3+1))*('Summary Page'!$C$3+1)</f>
        <v>164.0625</v>
      </c>
      <c r="AR44" s="8">
        <f>((AVERAGE(C39:C44)*('Summary Page'!$C$4+1))*('Summary Page'!$C$4+1))*('Summary Page'!$C$4+1)</f>
        <v>145.15199999999999</v>
      </c>
      <c r="AU44" s="7">
        <f t="shared" si="24"/>
        <v>96</v>
      </c>
      <c r="AV44" s="7">
        <f>((AVERAGE(D39:D44)*('Summary Page'!$C$2+1))*('Summary Page'!$C$2+1))*('Summary Page'!$C$2+1)</f>
        <v>175.08050133333333</v>
      </c>
      <c r="AW44" s="7">
        <f>((AVERAGE(D39:D44)*('Summary Page'!$C$3+1))*('Summary Page'!$C$3+1))*('Summary Page'!$C$3+1)</f>
        <v>219.07552083333337</v>
      </c>
      <c r="AX44" s="7">
        <f>((AVERAGE(D39:D44)*('Summary Page'!$C$4+1))*('Summary Page'!$C$4+1))*('Summary Page'!$C$4+1)</f>
        <v>193.82399999999998</v>
      </c>
      <c r="BA44" s="7">
        <f t="shared" si="25"/>
        <v>57.599999999999994</v>
      </c>
      <c r="BB44" s="7">
        <f>((AVERAGE(E39:E44)*('Summary Page'!$C$2+1))*('Summary Page'!$C$2+1))*('Summary Page'!$C$2+1)</f>
        <v>102.75898666666664</v>
      </c>
      <c r="BC44" s="7">
        <f>((AVERAGE(E39:E44)*('Summary Page'!$C$3+1))*('Summary Page'!$C$3+1))*('Summary Page'!$C$3+1)</f>
        <v>128.58072916666663</v>
      </c>
      <c r="BD44" s="8">
        <f>((AVERAGE(E39:E44)*('Summary Page'!$C$4+1))*('Summary Page'!$C$4+1))*('Summary Page'!$C$4+1)</f>
        <v>113.75999999999998</v>
      </c>
      <c r="BG44" s="7">
        <f t="shared" si="26"/>
        <v>66</v>
      </c>
      <c r="BH44" s="7">
        <f>((AVERAGE(F39:F44)*('Summary Page'!$C$2+1))*('Summary Page'!$C$2+1))*('Summary Page'!$C$2+1)</f>
        <v>143.86258133333331</v>
      </c>
      <c r="BI44" s="7">
        <f>((AVERAGE(F39:F44)*('Summary Page'!$C$3+1))*('Summary Page'!$C$3+1))*('Summary Page'!$C$3+1)</f>
        <v>180.01302083333337</v>
      </c>
      <c r="BJ44" s="8">
        <f>((AVERAGE(F39:F44)*('Summary Page'!$C$4+1))*('Summary Page'!$C$4+1))*('Summary Page'!$C$4+1)</f>
        <v>159.26399999999998</v>
      </c>
      <c r="BM44" s="7">
        <f t="shared" si="27"/>
        <v>102</v>
      </c>
      <c r="BN44" s="7">
        <f>((AVERAGE(Q39:Q44)*('Summary Page'!$C$2+1))*('Summary Page'!$C$2+1))*('Summary Page'!$C$2+1)</f>
        <v>163.37378133333331</v>
      </c>
      <c r="BO44" s="7">
        <f>((AVERAGE(Q39:Q44)*('Summary Page'!$C$3+1))*('Summary Page'!$C$3+1))*('Summary Page'!$C$3+1)</f>
        <v>204.42708333333337</v>
      </c>
      <c r="BP44" s="8">
        <f>((AVERAGE(Q39:Q44)*('Summary Page'!$C$4+1))*('Summary Page'!$C$4+1))*('Summary Page'!$C$4+1)</f>
        <v>180.864</v>
      </c>
      <c r="BS44" s="7">
        <f t="shared" si="28"/>
        <v>320.39999999999998</v>
      </c>
      <c r="BT44" s="7">
        <f>((AVERAGE(T39:T44)*('Summary Page'!$C$2+1))*('Summary Page'!$C$2+1))*('Summary Page'!$C$2+1)</f>
        <v>447.97715199999988</v>
      </c>
      <c r="BU44" s="7">
        <f>((AVERAGE(T39:T44)*('Summary Page'!$C$3+1))*('Summary Page'!$C$3+1))*('Summary Page'!$C$3+1)</f>
        <v>560.546875</v>
      </c>
      <c r="BV44" s="8">
        <f>((AVERAGE(T39:T44)*('Summary Page'!$C$4+1))*('Summary Page'!$C$4+1))*('Summary Page'!$C$4+1)</f>
        <v>495.93599999999992</v>
      </c>
      <c r="BW44" s="16">
        <f t="shared" si="20"/>
        <v>7.7602996254681642</v>
      </c>
      <c r="BX44" s="16">
        <f t="shared" si="21"/>
        <v>8</v>
      </c>
      <c r="BY44" s="7">
        <f t="shared" si="29"/>
        <v>9.6</v>
      </c>
      <c r="BZ44" s="7">
        <f>((AVERAGE(BW39:BW44)*('Summary Page'!$C$2+1))*('Summary Page'!$C$2+1))*('Summary Page'!$C$2+1)</f>
        <v>13.422536389513105</v>
      </c>
      <c r="CA44" s="7">
        <f>((AVERAGE(BW39:BW44)*('Summary Page'!$C$3+1))*('Summary Page'!$C$3+1))*('Summary Page'!$C$3+1)</f>
        <v>16.795411985018728</v>
      </c>
      <c r="CB44" s="7">
        <f>((AVERAGE(BW39:BW44)*('Summary Page'!$C$4+1))*('Summary Page'!$C$4+1))*('Summary Page'!$C$4+1)</f>
        <v>14.859505617977526</v>
      </c>
      <c r="CC44" s="11">
        <f t="shared" si="30"/>
        <v>9.0536828963795255</v>
      </c>
      <c r="CD44" s="11">
        <f t="shared" si="15"/>
        <v>9.3333333333333339</v>
      </c>
      <c r="CE44" s="11">
        <f t="shared" si="16"/>
        <v>11.2</v>
      </c>
      <c r="CF44" s="11">
        <f t="shared" si="17"/>
        <v>15.65962578776529</v>
      </c>
      <c r="CG44" s="11">
        <f t="shared" si="18"/>
        <v>19.594647315855184</v>
      </c>
      <c r="CH44" s="11">
        <f t="shared" si="19"/>
        <v>17.336089887640448</v>
      </c>
    </row>
    <row r="45" spans="1:86" ht="15.75" x14ac:dyDescent="0.25">
      <c r="A45" s="10">
        <v>44363</v>
      </c>
      <c r="B45" s="7">
        <v>127</v>
      </c>
      <c r="C45" s="7">
        <v>64</v>
      </c>
      <c r="D45" s="7">
        <v>102</v>
      </c>
      <c r="E45" s="7">
        <v>63</v>
      </c>
      <c r="F45" s="7">
        <v>79</v>
      </c>
      <c r="G45" s="229">
        <v>157</v>
      </c>
      <c r="H45" s="7">
        <v>107</v>
      </c>
      <c r="I45" s="7">
        <v>143</v>
      </c>
      <c r="J45" s="7">
        <v>78</v>
      </c>
      <c r="K45" s="230">
        <v>115</v>
      </c>
      <c r="L45" s="7"/>
      <c r="M45" s="7"/>
      <c r="N45" s="7"/>
      <c r="O45" s="7"/>
      <c r="P45" s="7"/>
      <c r="Q45" s="7">
        <v>109</v>
      </c>
      <c r="R45" s="7">
        <v>129</v>
      </c>
      <c r="S45" s="7"/>
      <c r="T45" s="7">
        <v>272</v>
      </c>
      <c r="U45" s="7">
        <v>296</v>
      </c>
      <c r="V45" s="7"/>
      <c r="W45" s="7"/>
      <c r="X45" s="7"/>
      <c r="Y45" s="7"/>
      <c r="Z45" s="7"/>
      <c r="AA45" s="2">
        <f t="shared" si="2"/>
        <v>87</v>
      </c>
      <c r="AB45" s="2">
        <f t="shared" si="31"/>
        <v>120</v>
      </c>
      <c r="AC45" s="2">
        <f t="shared" si="32"/>
        <v>144</v>
      </c>
      <c r="AD45" s="7">
        <f>((AVERAGE(AA40:AA45)*('Summary Page'!$C$2+1))*('Summary Page'!$C$2+1))*('Summary Page'!$C$2+1)</f>
        <v>140.6367296</v>
      </c>
      <c r="AE45" s="7">
        <f>((AVERAGE(AA40:AA45)*('Summary Page'!$C$3+1))*('Summary Page'!$C$3+1))*('Summary Page'!$C$3+1)</f>
        <v>175.97656250000003</v>
      </c>
      <c r="AF45" s="7">
        <f>((AVERAGE(AA40:AA45)*('Summary Page'!$C$4+1))*('Summary Page'!$C$4+1))*('Summary Page'!$C$4+1)</f>
        <v>155.69280000000001</v>
      </c>
      <c r="AI45" s="7">
        <f t="shared" si="22"/>
        <v>188.4</v>
      </c>
      <c r="AJ45" s="7">
        <f>((AVERAGE(B40:B45)*('Summary Page'!$C$2+1))*('Summary Page'!$C$2+1))*('Summary Page'!$C$2+1)</f>
        <v>183.14513066666663</v>
      </c>
      <c r="AK45" s="7">
        <f>((AVERAGE(B40:B45)*('Summary Page'!$C$3+1))*('Summary Page'!$C$3+1))*('Summary Page'!$C$3+1)</f>
        <v>229.16666666666663</v>
      </c>
      <c r="AL45" s="8">
        <f>((AVERAGE(B40:B45)*('Summary Page'!$C$4+1))*('Summary Page'!$C$4+1))*('Summary Page'!$C$4+1)</f>
        <v>202.75199999999998</v>
      </c>
      <c r="AO45" s="7">
        <f t="shared" si="23"/>
        <v>128.4</v>
      </c>
      <c r="AP45" s="7">
        <f>((AVERAGE(C40:C45)*('Summary Page'!$C$2+1))*('Summary Page'!$C$2+1))*('Summary Page'!$C$2+1)</f>
        <v>120.18899199999997</v>
      </c>
      <c r="AQ45" s="7">
        <f>((AVERAGE(C40:C45)*('Summary Page'!$C$3+1))*('Summary Page'!$C$3+1))*('Summary Page'!$C$3+1)</f>
        <v>150.390625</v>
      </c>
      <c r="AR45" s="8">
        <f>((AVERAGE(C40:C45)*('Summary Page'!$C$4+1))*('Summary Page'!$C$4+1))*('Summary Page'!$C$4+1)</f>
        <v>133.05599999999998</v>
      </c>
      <c r="AU45" s="7">
        <f t="shared" si="24"/>
        <v>171.6</v>
      </c>
      <c r="AV45" s="7">
        <f>((AVERAGE(D40:D45)*('Summary Page'!$C$2+1))*('Summary Page'!$C$2+1))*('Summary Page'!$C$2+1)</f>
        <v>165.97527466666662</v>
      </c>
      <c r="AW45" s="7">
        <f>((AVERAGE(D40:D45)*('Summary Page'!$C$3+1))*('Summary Page'!$C$3+1))*('Summary Page'!$C$3+1)</f>
        <v>207.68229166666663</v>
      </c>
      <c r="AX45" s="7">
        <f>((AVERAGE(D40:D45)*('Summary Page'!$C$4+1))*('Summary Page'!$C$4+1))*('Summary Page'!$C$4+1)</f>
        <v>183.74399999999997</v>
      </c>
      <c r="BA45" s="7">
        <f t="shared" si="25"/>
        <v>93.6</v>
      </c>
      <c r="BB45" s="7">
        <f>((AVERAGE(E40:E45)*('Summary Page'!$C$2+1))*('Summary Page'!$C$2+1))*('Summary Page'!$C$2+1)</f>
        <v>98.596597333333307</v>
      </c>
      <c r="BC45" s="7">
        <f>((AVERAGE(E40:E45)*('Summary Page'!$C$3+1))*('Summary Page'!$C$3+1))*('Summary Page'!$C$3+1)</f>
        <v>123.37239583333331</v>
      </c>
      <c r="BD45" s="8">
        <f>((AVERAGE(E40:E45)*('Summary Page'!$C$4+1))*('Summary Page'!$C$4+1))*('Summary Page'!$C$4+1)</f>
        <v>109.15199999999999</v>
      </c>
      <c r="BG45" s="7">
        <f t="shared" si="26"/>
        <v>138</v>
      </c>
      <c r="BH45" s="7">
        <f>((AVERAGE(F40:F45)*('Summary Page'!$C$2+1))*('Summary Page'!$C$2+1))*('Summary Page'!$C$2+1)</f>
        <v>135.27765333333332</v>
      </c>
      <c r="BI45" s="7">
        <f>((AVERAGE(F40:F45)*('Summary Page'!$C$3+1))*('Summary Page'!$C$3+1))*('Summary Page'!$C$3+1)</f>
        <v>169.27083333333337</v>
      </c>
      <c r="BJ45" s="8">
        <f>((AVERAGE(F40:F45)*('Summary Page'!$C$4+1))*('Summary Page'!$C$4+1))*('Summary Page'!$C$4+1)</f>
        <v>149.76</v>
      </c>
      <c r="BM45" s="7">
        <f t="shared" si="27"/>
        <v>154.79999999999998</v>
      </c>
      <c r="BN45" s="7">
        <f>((AVERAGE(Q40:Q45)*('Summary Page'!$C$2+1))*('Summary Page'!$C$2+1))*('Summary Page'!$C$2+1)</f>
        <v>158.17079466666661</v>
      </c>
      <c r="BO45" s="7">
        <f>((AVERAGE(Q40:Q45)*('Summary Page'!$C$3+1))*('Summary Page'!$C$3+1))*('Summary Page'!$C$3+1)</f>
        <v>197.91666666666663</v>
      </c>
      <c r="BP45" s="8">
        <f>((AVERAGE(Q40:Q45)*('Summary Page'!$C$4+1))*('Summary Page'!$C$4+1))*('Summary Page'!$C$4+1)</f>
        <v>175.10399999999998</v>
      </c>
      <c r="BS45" s="7">
        <f t="shared" si="28"/>
        <v>355.2</v>
      </c>
      <c r="BT45" s="7">
        <f>((AVERAGE(T40:T45)*('Summary Page'!$C$2+1))*('Summary Page'!$C$2+1))*('Summary Page'!$C$2+1)</f>
        <v>441.73356799999988</v>
      </c>
      <c r="BU45" s="7">
        <f>((AVERAGE(T40:T45)*('Summary Page'!$C$3+1))*('Summary Page'!$C$3+1))*('Summary Page'!$C$3+1)</f>
        <v>552.734375</v>
      </c>
      <c r="BV45" s="8">
        <f>((AVERAGE(T40:T45)*('Summary Page'!$C$4+1))*('Summary Page'!$C$4+1))*('Summary Page'!$C$4+1)</f>
        <v>489.02399999999989</v>
      </c>
      <c r="BW45" s="16">
        <f t="shared" si="20"/>
        <v>8.1498127340823974</v>
      </c>
      <c r="BX45" s="16">
        <f t="shared" si="21"/>
        <v>8.868913857677903</v>
      </c>
      <c r="BY45" s="7">
        <f t="shared" si="29"/>
        <v>10.642696629213484</v>
      </c>
      <c r="BZ45" s="7">
        <f>((AVERAGE(BW40:BW45)*('Summary Page'!$C$2+1))*('Summary Page'!$C$2+1))*('Summary Page'!$C$2+1)</f>
        <v>13.235462711610484</v>
      </c>
      <c r="CA45" s="7">
        <f>((AVERAGE(BW40:BW45)*('Summary Page'!$C$3+1))*('Summary Page'!$C$3+1))*('Summary Page'!$C$3+1)</f>
        <v>16.561329588014981</v>
      </c>
      <c r="CB45" s="7">
        <f>((AVERAGE(BW40:BW45)*('Summary Page'!$C$4+1))*('Summary Page'!$C$4+1))*('Summary Page'!$C$4+1)</f>
        <v>14.652404494382019</v>
      </c>
      <c r="CC45" s="11">
        <f t="shared" si="30"/>
        <v>9.5081148564294633</v>
      </c>
      <c r="CD45" s="11">
        <f t="shared" si="15"/>
        <v>10.347066167290887</v>
      </c>
      <c r="CE45" s="11">
        <f t="shared" si="16"/>
        <v>12.416479400749065</v>
      </c>
      <c r="CF45" s="11">
        <f t="shared" si="17"/>
        <v>15.441373163545565</v>
      </c>
      <c r="CG45" s="11">
        <f t="shared" si="18"/>
        <v>19.32155118601748</v>
      </c>
      <c r="CH45" s="11">
        <f t="shared" si="19"/>
        <v>17.094471910112354</v>
      </c>
    </row>
    <row r="46" spans="1:86" ht="15.75" x14ac:dyDescent="0.25">
      <c r="A46" s="10">
        <v>44419</v>
      </c>
      <c r="B46" s="7">
        <v>91</v>
      </c>
      <c r="C46" s="7">
        <v>88</v>
      </c>
      <c r="D46" s="7">
        <v>110</v>
      </c>
      <c r="E46" s="7">
        <v>73</v>
      </c>
      <c r="F46" s="7">
        <v>99</v>
      </c>
      <c r="G46" s="229">
        <v>61</v>
      </c>
      <c r="H46" s="7">
        <v>67</v>
      </c>
      <c r="I46" s="7">
        <v>80</v>
      </c>
      <c r="J46" s="7">
        <v>53</v>
      </c>
      <c r="K46" s="230">
        <v>78</v>
      </c>
      <c r="L46" s="7"/>
      <c r="M46" s="7"/>
      <c r="N46" s="7"/>
      <c r="O46" s="7"/>
      <c r="P46" s="7"/>
      <c r="Q46" s="7">
        <v>98</v>
      </c>
      <c r="R46" s="7">
        <v>66</v>
      </c>
      <c r="S46" s="7"/>
      <c r="T46" s="7">
        <v>351</v>
      </c>
      <c r="U46" s="7">
        <v>354</v>
      </c>
      <c r="V46" s="7"/>
      <c r="W46" s="7"/>
      <c r="X46" s="7"/>
      <c r="Y46" s="7"/>
      <c r="Z46" s="7"/>
      <c r="AA46" s="2">
        <f t="shared" si="2"/>
        <v>92.2</v>
      </c>
      <c r="AB46" s="2">
        <f t="shared" si="31"/>
        <v>67.8</v>
      </c>
      <c r="AC46" s="2">
        <f t="shared" si="32"/>
        <v>81.36</v>
      </c>
      <c r="AD46" s="7">
        <f>((AVERAGE(AA41:AA46)*('Summary Page'!$C$2+1))*('Summary Page'!$C$2+1))*('Summary Page'!$C$2+1)</f>
        <v>136.00607146666664</v>
      </c>
      <c r="AE46" s="7">
        <f>((AVERAGE(AA41:AA46)*('Summary Page'!$C$3+1))*('Summary Page'!$C$3+1))*('Summary Page'!$C$3+1)</f>
        <v>170.18229166666669</v>
      </c>
      <c r="AF46" s="7">
        <f>((AVERAGE(AA41:AA46)*('Summary Page'!$C$4+1))*('Summary Page'!$C$4+1))*('Summary Page'!$C$4+1)</f>
        <v>150.56639999999999</v>
      </c>
      <c r="AI46" s="7">
        <f t="shared" si="22"/>
        <v>73.2</v>
      </c>
      <c r="AJ46" s="7">
        <f>((AVERAGE(B41:B46)*('Summary Page'!$C$2+1))*('Summary Page'!$C$2+1))*('Summary Page'!$C$2+1)</f>
        <v>170.39781333333329</v>
      </c>
      <c r="AK46" s="7">
        <f>((AVERAGE(B41:B46)*('Summary Page'!$C$3+1))*('Summary Page'!$C$3+1))*('Summary Page'!$C$3+1)</f>
        <v>213.21614583333337</v>
      </c>
      <c r="AL46" s="8">
        <f>((AVERAGE(B41:B46)*('Summary Page'!$C$4+1))*('Summary Page'!$C$4+1))*('Summary Page'!$C$4+1)</f>
        <v>188.64</v>
      </c>
      <c r="AO46" s="7">
        <f t="shared" si="23"/>
        <v>80.399999999999991</v>
      </c>
      <c r="AP46" s="7">
        <f>((AVERAGE(C41:C46)*('Summary Page'!$C$2+1))*('Summary Page'!$C$2+1))*('Summary Page'!$C$2+1)</f>
        <v>117.3273493333333</v>
      </c>
      <c r="AQ46" s="7">
        <f>((AVERAGE(C41:C46)*('Summary Page'!$C$3+1))*('Summary Page'!$C$3+1))*('Summary Page'!$C$3+1)</f>
        <v>146.80989583333337</v>
      </c>
      <c r="AR46" s="8">
        <f>((AVERAGE(C41:C46)*('Summary Page'!$C$4+1))*('Summary Page'!$C$4+1))*('Summary Page'!$C$4+1)</f>
        <v>129.88799999999998</v>
      </c>
      <c r="AU46" s="7">
        <f t="shared" si="24"/>
        <v>96</v>
      </c>
      <c r="AV46" s="7">
        <f>((AVERAGE(D41:D46)*('Summary Page'!$C$2+1))*('Summary Page'!$C$2+1))*('Summary Page'!$C$2+1)</f>
        <v>161.03243733333332</v>
      </c>
      <c r="AW46" s="7">
        <f>((AVERAGE(D41:D46)*('Summary Page'!$C$3+1))*('Summary Page'!$C$3+1))*('Summary Page'!$C$3+1)</f>
        <v>201.49739583333337</v>
      </c>
      <c r="AX46" s="7">
        <f>((AVERAGE(D41:D46)*('Summary Page'!$C$4+1))*('Summary Page'!$C$4+1))*('Summary Page'!$C$4+1)</f>
        <v>178.27199999999999</v>
      </c>
      <c r="BA46" s="7">
        <f t="shared" si="25"/>
        <v>63.599999999999994</v>
      </c>
      <c r="BB46" s="7">
        <f>((AVERAGE(E41:E46)*('Summary Page'!$C$2+1))*('Summary Page'!$C$2+1))*('Summary Page'!$C$2+1)</f>
        <v>98.336447999999976</v>
      </c>
      <c r="BC46" s="7">
        <f>((AVERAGE(E41:E46)*('Summary Page'!$C$3+1))*('Summary Page'!$C$3+1))*('Summary Page'!$C$3+1)</f>
        <v>123.046875</v>
      </c>
      <c r="BD46" s="8">
        <f>((AVERAGE(E41:E46)*('Summary Page'!$C$4+1))*('Summary Page'!$C$4+1))*('Summary Page'!$C$4+1)</f>
        <v>108.86399999999998</v>
      </c>
      <c r="BG46" s="7">
        <f t="shared" si="26"/>
        <v>93.6</v>
      </c>
      <c r="BH46" s="7">
        <f>((AVERAGE(F41:F46)*('Summary Page'!$C$2+1))*('Summary Page'!$C$2+1))*('Summary Page'!$C$2+1)</f>
        <v>132.9363093333333</v>
      </c>
      <c r="BI46" s="7">
        <f>((AVERAGE(F41:F46)*('Summary Page'!$C$3+1))*('Summary Page'!$C$3+1))*('Summary Page'!$C$3+1)</f>
        <v>166.34114583333337</v>
      </c>
      <c r="BJ46" s="8">
        <f>((AVERAGE(F41:F46)*('Summary Page'!$C$4+1))*('Summary Page'!$C$4+1))*('Summary Page'!$C$4+1)</f>
        <v>147.16800000000001</v>
      </c>
      <c r="BM46" s="7">
        <f t="shared" si="27"/>
        <v>79.2</v>
      </c>
      <c r="BN46" s="7">
        <f>((AVERAGE(Q41:Q46)*('Summary Page'!$C$2+1))*('Summary Page'!$C$2+1))*('Summary Page'!$C$2+1)</f>
        <v>152.70765866666662</v>
      </c>
      <c r="BO46" s="7">
        <f>((AVERAGE(Q41:Q46)*('Summary Page'!$C$3+1))*('Summary Page'!$C$3+1))*('Summary Page'!$C$3+1)</f>
        <v>191.08072916666663</v>
      </c>
      <c r="BP46" s="8">
        <f>((AVERAGE(Q41:Q46)*('Summary Page'!$C$4+1))*('Summary Page'!$C$4+1))*('Summary Page'!$C$4+1)</f>
        <v>169.05599999999998</v>
      </c>
      <c r="BS46" s="7">
        <f t="shared" si="28"/>
        <v>424.8</v>
      </c>
      <c r="BT46" s="7">
        <f>((AVERAGE(T41:T46)*('Summary Page'!$C$2+1))*('Summary Page'!$C$2+1))*('Summary Page'!$C$2+1)</f>
        <v>460.98461866666656</v>
      </c>
      <c r="BU46" s="7">
        <f>((AVERAGE(T41:T46)*('Summary Page'!$C$3+1))*('Summary Page'!$C$3+1))*('Summary Page'!$C$3+1)</f>
        <v>576.82291666666652</v>
      </c>
      <c r="BV46" s="8">
        <f>((AVERAGE(T41:T46)*('Summary Page'!$C$4+1))*('Summary Page'!$C$4+1))*('Summary Page'!$C$4+1)</f>
        <v>510.33599999999996</v>
      </c>
      <c r="BW46" s="16">
        <f t="shared" si="20"/>
        <v>10.516853932584269</v>
      </c>
      <c r="BX46" s="16">
        <f t="shared" si="21"/>
        <v>10.606741573033709</v>
      </c>
      <c r="BY46" s="7">
        <f t="shared" si="29"/>
        <v>12.728089887640451</v>
      </c>
      <c r="BZ46" s="7">
        <f>((AVERAGE(BW41:BW46)*('Summary Page'!$C$2+1))*('Summary Page'!$C$2+1))*('Summary Page'!$C$2+1)</f>
        <v>13.812273218476902</v>
      </c>
      <c r="CA46" s="7">
        <f>((AVERAGE(BW41:BW46)*('Summary Page'!$C$3+1))*('Summary Page'!$C$3+1))*('Summary Page'!$C$3+1)</f>
        <v>17.283083645443199</v>
      </c>
      <c r="CB46" s="7">
        <f>((AVERAGE(BW41:BW46)*('Summary Page'!$C$4+1))*('Summary Page'!$C$4+1))*('Summary Page'!$C$4+1)</f>
        <v>15.290966292134829</v>
      </c>
      <c r="CC46" s="11">
        <f t="shared" si="30"/>
        <v>12.269662921348313</v>
      </c>
      <c r="CD46" s="11">
        <f t="shared" si="15"/>
        <v>12.374531835205994</v>
      </c>
      <c r="CE46" s="11">
        <f t="shared" si="16"/>
        <v>14.849438202247192</v>
      </c>
      <c r="CF46" s="11">
        <f t="shared" si="17"/>
        <v>16.11431875488972</v>
      </c>
      <c r="CG46" s="11">
        <f t="shared" si="18"/>
        <v>20.163597586350399</v>
      </c>
      <c r="CH46" s="11">
        <f t="shared" si="19"/>
        <v>17.839460674157301</v>
      </c>
    </row>
    <row r="47" spans="1:86" ht="15.75" x14ac:dyDescent="0.25">
      <c r="A47" s="10">
        <v>44447</v>
      </c>
      <c r="B47" s="7">
        <v>62</v>
      </c>
      <c r="C47" s="7">
        <v>92</v>
      </c>
      <c r="D47" s="7">
        <v>56</v>
      </c>
      <c r="E47" s="7">
        <v>65</v>
      </c>
      <c r="F47" s="7">
        <v>102</v>
      </c>
      <c r="G47" s="229">
        <v>40</v>
      </c>
      <c r="H47" s="7">
        <v>54</v>
      </c>
      <c r="I47" s="7">
        <v>36</v>
      </c>
      <c r="J47" s="7">
        <v>42</v>
      </c>
      <c r="K47" s="230">
        <v>58</v>
      </c>
      <c r="L47" s="7"/>
      <c r="M47" s="7"/>
      <c r="N47" s="7"/>
      <c r="O47" s="7"/>
      <c r="P47" s="7"/>
      <c r="Q47" s="7">
        <v>107</v>
      </c>
      <c r="R47" s="7">
        <v>64</v>
      </c>
      <c r="S47" s="7"/>
      <c r="T47" s="7">
        <v>296</v>
      </c>
      <c r="U47" s="7">
        <v>317</v>
      </c>
      <c r="V47" s="7"/>
      <c r="W47" s="7"/>
      <c r="X47" s="7"/>
      <c r="Y47" s="7"/>
      <c r="Z47" s="7"/>
      <c r="AA47" s="2">
        <f t="shared" si="2"/>
        <v>75.400000000000006</v>
      </c>
      <c r="AB47" s="2">
        <f t="shared" si="31"/>
        <v>46</v>
      </c>
      <c r="AC47" s="2">
        <f t="shared" si="32"/>
        <v>55.199999999999996</v>
      </c>
      <c r="AD47" s="7">
        <f>((AVERAGE(AA42:AA47)*('Summary Page'!$C$2+1))*('Summary Page'!$C$2+1))*('Summary Page'!$C$2+1)</f>
        <v>127.78535253333332</v>
      </c>
      <c r="AE47" s="7">
        <f>((AVERAGE(AA42:AA47)*('Summary Page'!$C$3+1))*('Summary Page'!$C$3+1))*('Summary Page'!$C$3+1)</f>
        <v>159.89583333333337</v>
      </c>
      <c r="AF47" s="7">
        <f>((AVERAGE(AA42:AA47)*('Summary Page'!$C$4+1))*('Summary Page'!$C$4+1))*('Summary Page'!$C$4+1)</f>
        <v>141.46559999999999</v>
      </c>
      <c r="AI47" s="7">
        <f t="shared" si="22"/>
        <v>48</v>
      </c>
      <c r="AJ47" s="7">
        <f>((AVERAGE(B42:B47)*('Summary Page'!$C$2+1))*('Summary Page'!$C$2+1))*('Summary Page'!$C$2+1)</f>
        <v>151.14676266666663</v>
      </c>
      <c r="AK47" s="7">
        <f>((AVERAGE(B42:B47)*('Summary Page'!$C$3+1))*('Summary Page'!$C$3+1))*('Summary Page'!$C$3+1)</f>
        <v>189.12760416666663</v>
      </c>
      <c r="AL47" s="8">
        <f>((AVERAGE(B42:B47)*('Summary Page'!$C$4+1))*('Summary Page'!$C$4+1))*('Summary Page'!$C$4+1)</f>
        <v>167.32799999999995</v>
      </c>
      <c r="AO47" s="7">
        <f t="shared" si="23"/>
        <v>64.8</v>
      </c>
      <c r="AP47" s="7">
        <f>((AVERAGE(C42:C47)*('Summary Page'!$C$2+1))*('Summary Page'!$C$2+1))*('Summary Page'!$C$2+1)</f>
        <v>117.06719999999997</v>
      </c>
      <c r="AQ47" s="7">
        <f>((AVERAGE(C42:C47)*('Summary Page'!$C$3+1))*('Summary Page'!$C$3+1))*('Summary Page'!$C$3+1)</f>
        <v>146.484375</v>
      </c>
      <c r="AR47" s="8">
        <f>((AVERAGE(C42:C47)*('Summary Page'!$C$4+1))*('Summary Page'!$C$4+1))*('Summary Page'!$C$4+1)</f>
        <v>129.6</v>
      </c>
      <c r="AU47" s="7">
        <f t="shared" si="24"/>
        <v>43.199999999999996</v>
      </c>
      <c r="AV47" s="7">
        <f>((AVERAGE(D42:D47)*('Summary Page'!$C$2+1))*('Summary Page'!$C$2+1))*('Summary Page'!$C$2+1)</f>
        <v>142.82198399999996</v>
      </c>
      <c r="AW47" s="7">
        <f>((AVERAGE(D42:D47)*('Summary Page'!$C$3+1))*('Summary Page'!$C$3+1))*('Summary Page'!$C$3+1)</f>
        <v>178.7109375</v>
      </c>
      <c r="AX47" s="7">
        <f>((AVERAGE(D42:D47)*('Summary Page'!$C$4+1))*('Summary Page'!$C$4+1))*('Summary Page'!$C$4+1)</f>
        <v>158.11199999999999</v>
      </c>
      <c r="BA47" s="7">
        <f t="shared" si="25"/>
        <v>50.4</v>
      </c>
      <c r="BB47" s="7">
        <f>((AVERAGE(E42:E47)*('Summary Page'!$C$2+1))*('Summary Page'!$C$2+1))*('Summary Page'!$C$2+1)</f>
        <v>96.255253333333314</v>
      </c>
      <c r="BC47" s="7">
        <f>((AVERAGE(E42:E47)*('Summary Page'!$C$3+1))*('Summary Page'!$C$3+1))*('Summary Page'!$C$3+1)</f>
        <v>120.44270833333331</v>
      </c>
      <c r="BD47" s="8">
        <f>((AVERAGE(E42:E47)*('Summary Page'!$C$4+1))*('Summary Page'!$C$4+1))*('Summary Page'!$C$4+1)</f>
        <v>106.55999999999999</v>
      </c>
      <c r="BG47" s="7">
        <f t="shared" si="26"/>
        <v>69.599999999999994</v>
      </c>
      <c r="BH47" s="7">
        <f>((AVERAGE(F42:F47)*('Summary Page'!$C$2+1))*('Summary Page'!$C$2+1))*('Summary Page'!$C$2+1)</f>
        <v>131.63556266666663</v>
      </c>
      <c r="BI47" s="7">
        <f>((AVERAGE(F42:F47)*('Summary Page'!$C$3+1))*('Summary Page'!$C$3+1))*('Summary Page'!$C$3+1)</f>
        <v>164.71354166666663</v>
      </c>
      <c r="BJ47" s="8">
        <f>((AVERAGE(F42:F47)*('Summary Page'!$C$4+1))*('Summary Page'!$C$4+1))*('Summary Page'!$C$4+1)</f>
        <v>145.72799999999998</v>
      </c>
      <c r="BM47" s="7">
        <f t="shared" si="27"/>
        <v>76.8</v>
      </c>
      <c r="BN47" s="7">
        <f>((AVERAGE(Q42:Q47)*('Summary Page'!$C$2+1))*('Summary Page'!$C$2+1))*('Summary Page'!$C$2+1)</f>
        <v>155.5693013333333</v>
      </c>
      <c r="BO47" s="7">
        <f>((AVERAGE(Q42:Q47)*('Summary Page'!$C$3+1))*('Summary Page'!$C$3+1))*('Summary Page'!$C$3+1)</f>
        <v>194.66145833333337</v>
      </c>
      <c r="BP47" s="8">
        <f>((AVERAGE(Q42:Q47)*('Summary Page'!$C$4+1))*('Summary Page'!$C$4+1))*('Summary Page'!$C$4+1)</f>
        <v>172.22399999999996</v>
      </c>
      <c r="BS47" s="7">
        <f t="shared" si="28"/>
        <v>380.4</v>
      </c>
      <c r="BT47" s="7">
        <f>((AVERAGE(T42:T47)*('Summary Page'!$C$2+1))*('Summary Page'!$C$2+1))*('Summary Page'!$C$2+1)</f>
        <v>451.0989439999999</v>
      </c>
      <c r="BU47" s="7">
        <f>((AVERAGE(T42:T47)*('Summary Page'!$C$3+1))*('Summary Page'!$C$3+1))*('Summary Page'!$C$3+1)</f>
        <v>564.453125</v>
      </c>
      <c r="BV47" s="8">
        <f>((AVERAGE(T42:T47)*('Summary Page'!$C$4+1))*('Summary Page'!$C$4+1))*('Summary Page'!$C$4+1)</f>
        <v>499.392</v>
      </c>
      <c r="BW47" s="16">
        <f t="shared" si="20"/>
        <v>8.868913857677903</v>
      </c>
      <c r="BX47" s="16">
        <f t="shared" si="21"/>
        <v>9.4981273408239701</v>
      </c>
      <c r="BY47" s="7">
        <f t="shared" si="29"/>
        <v>11.397752808988765</v>
      </c>
      <c r="BZ47" s="7">
        <f>((AVERAGE(BW42:BW47)*('Summary Page'!$C$2+1))*('Summary Page'!$C$2+1))*('Summary Page'!$C$2+1)</f>
        <v>13.516073228464416</v>
      </c>
      <c r="CA47" s="7">
        <f>((AVERAGE(BW42:BW47)*('Summary Page'!$C$3+1))*('Summary Page'!$C$3+1))*('Summary Page'!$C$3+1)</f>
        <v>16.912453183520597</v>
      </c>
      <c r="CB47" s="7">
        <f>((AVERAGE(BW42:BW47)*('Summary Page'!$C$4+1))*('Summary Page'!$C$4+1))*('Summary Page'!$C$4+1)</f>
        <v>14.963056179775277</v>
      </c>
      <c r="CC47" s="11">
        <f t="shared" si="30"/>
        <v>10.347066167290887</v>
      </c>
      <c r="CD47" s="11">
        <f t="shared" si="15"/>
        <v>11.081148564294631</v>
      </c>
      <c r="CE47" s="11">
        <f t="shared" si="16"/>
        <v>13.297378277153559</v>
      </c>
      <c r="CF47" s="11">
        <f t="shared" si="17"/>
        <v>15.768752099875151</v>
      </c>
      <c r="CG47" s="11">
        <f t="shared" si="18"/>
        <v>19.731195380774029</v>
      </c>
      <c r="CH47" s="11">
        <f t="shared" si="19"/>
        <v>17.456898876404491</v>
      </c>
    </row>
    <row r="48" spans="1:86" ht="15.75" x14ac:dyDescent="0.25">
      <c r="A48" s="10">
        <v>44475</v>
      </c>
      <c r="B48" s="7">
        <v>71</v>
      </c>
      <c r="C48" s="7">
        <v>92</v>
      </c>
      <c r="D48" s="7">
        <v>49</v>
      </c>
      <c r="E48" s="7">
        <v>71</v>
      </c>
      <c r="F48" s="7">
        <v>106</v>
      </c>
      <c r="G48" s="218">
        <v>40</v>
      </c>
      <c r="H48" s="7">
        <v>64</v>
      </c>
      <c r="I48" s="7">
        <v>35</v>
      </c>
      <c r="J48" s="7">
        <v>51</v>
      </c>
      <c r="K48" s="213">
        <v>77</v>
      </c>
      <c r="L48" s="43"/>
      <c r="M48" s="43"/>
      <c r="N48" s="43"/>
      <c r="O48" s="43"/>
      <c r="P48" s="43"/>
      <c r="Q48" s="7">
        <v>117</v>
      </c>
      <c r="R48" s="7">
        <v>77</v>
      </c>
      <c r="S48" s="7"/>
      <c r="T48" s="7">
        <v>333</v>
      </c>
      <c r="U48" s="7">
        <v>224</v>
      </c>
      <c r="V48" s="7"/>
      <c r="W48" s="7"/>
      <c r="X48" s="7"/>
      <c r="Y48" s="7"/>
      <c r="Z48" s="7"/>
      <c r="AA48" s="2">
        <f t="shared" si="2"/>
        <v>77.8</v>
      </c>
      <c r="AB48" s="2">
        <f t="shared" si="31"/>
        <v>53.4</v>
      </c>
      <c r="AC48" s="2">
        <f t="shared" si="32"/>
        <v>64.08</v>
      </c>
      <c r="AD48" s="7">
        <f>((AVERAGE(AA43:AA48)*('Summary Page'!$C$2+1))*('Summary Page'!$C$2+1))*('Summary Page'!$C$2+1)</f>
        <v>125.07979946666664</v>
      </c>
      <c r="AE48" s="7">
        <f>((AVERAGE(AA43:AA48)*('Summary Page'!$C$3+1))*('Summary Page'!$C$3+1))*('Summary Page'!$C$3+1)</f>
        <v>156.51041666666669</v>
      </c>
      <c r="AF48" s="7">
        <f>((AVERAGE(AA43:AA48)*('Summary Page'!$C$4+1))*('Summary Page'!$C$4+1))*('Summary Page'!$C$4+1)</f>
        <v>138.47040000000001</v>
      </c>
      <c r="AI48" s="7">
        <f t="shared" si="22"/>
        <v>48</v>
      </c>
      <c r="AJ48" s="7">
        <f>((AVERAGE(B43:B48)*('Summary Page'!$C$2+1))*('Summary Page'!$C$2+1))*('Summary Page'!$C$2+1)</f>
        <v>135.27765333333332</v>
      </c>
      <c r="AK48" s="7">
        <f>((AVERAGE(B43:B48)*('Summary Page'!$C$3+1))*('Summary Page'!$C$3+1))*('Summary Page'!$C$3+1)</f>
        <v>169.27083333333337</v>
      </c>
      <c r="AL48" s="8">
        <f>((AVERAGE(B43:B48)*('Summary Page'!$C$4+1))*('Summary Page'!$C$4+1))*('Summary Page'!$C$4+1)</f>
        <v>149.76</v>
      </c>
      <c r="AO48" s="7">
        <f t="shared" si="23"/>
        <v>76.8</v>
      </c>
      <c r="AP48" s="7">
        <f>((AVERAGE(C43:C48)*('Summary Page'!$C$2+1))*('Summary Page'!$C$2+1))*('Summary Page'!$C$2+1)</f>
        <v>121.22958933333331</v>
      </c>
      <c r="AQ48" s="7">
        <f>((AVERAGE(C43:C48)*('Summary Page'!$C$3+1))*('Summary Page'!$C$3+1))*('Summary Page'!$C$3+1)</f>
        <v>151.69270833333337</v>
      </c>
      <c r="AR48" s="8">
        <f>((AVERAGE(C43:C48)*('Summary Page'!$C$4+1))*('Summary Page'!$C$4+1))*('Summary Page'!$C$4+1)</f>
        <v>134.208</v>
      </c>
      <c r="AU48" s="7">
        <f t="shared" si="24"/>
        <v>42</v>
      </c>
      <c r="AV48" s="7">
        <f>((AVERAGE(D43:D48)*('Summary Page'!$C$2+1))*('Summary Page'!$C$2+1))*('Summary Page'!$C$2+1)</f>
        <v>130.59496533333331</v>
      </c>
      <c r="AW48" s="7">
        <f>((AVERAGE(D43:D48)*('Summary Page'!$C$3+1))*('Summary Page'!$C$3+1))*('Summary Page'!$C$3+1)</f>
        <v>163.41145833333337</v>
      </c>
      <c r="AX48" s="7">
        <f>((AVERAGE(D43:D48)*('Summary Page'!$C$4+1))*('Summary Page'!$C$4+1))*('Summary Page'!$C$4+1)</f>
        <v>144.57599999999999</v>
      </c>
      <c r="BA48" s="7">
        <f t="shared" si="25"/>
        <v>61.199999999999996</v>
      </c>
      <c r="BB48" s="7">
        <f>((AVERAGE(E43:E48)*('Summary Page'!$C$2+1))*('Summary Page'!$C$2+1))*('Summary Page'!$C$2+1)</f>
        <v>99.637194666666659</v>
      </c>
      <c r="BC48" s="7">
        <f>((AVERAGE(E43:E48)*('Summary Page'!$C$3+1))*('Summary Page'!$C$3+1))*('Summary Page'!$C$3+1)</f>
        <v>124.67447916666669</v>
      </c>
      <c r="BD48" s="8">
        <f>((AVERAGE(E43:E48)*('Summary Page'!$C$4+1))*('Summary Page'!$C$4+1))*('Summary Page'!$C$4+1)</f>
        <v>110.30399999999999</v>
      </c>
      <c r="BG48" s="7">
        <f t="shared" si="26"/>
        <v>92.399999999999991</v>
      </c>
      <c r="BH48" s="7">
        <f>((AVERAGE(F43:F48)*('Summary Page'!$C$2+1))*('Summary Page'!$C$2+1))*('Summary Page'!$C$2+1)</f>
        <v>138.65959466666664</v>
      </c>
      <c r="BI48" s="7">
        <f>((AVERAGE(F43:F48)*('Summary Page'!$C$3+1))*('Summary Page'!$C$3+1))*('Summary Page'!$C$3+1)</f>
        <v>173.50260416666663</v>
      </c>
      <c r="BJ48" s="8">
        <f>((AVERAGE(F43:F48)*('Summary Page'!$C$4+1))*('Summary Page'!$C$4+1))*('Summary Page'!$C$4+1)</f>
        <v>153.50399999999999</v>
      </c>
      <c r="BM48" s="7">
        <f t="shared" si="27"/>
        <v>92.399999999999991</v>
      </c>
      <c r="BN48" s="7">
        <f>((AVERAGE(Q43:Q48)*('Summary Page'!$C$2+1))*('Summary Page'!$C$2+1))*('Summary Page'!$C$2+1)</f>
        <v>163.11363199999994</v>
      </c>
      <c r="BO48" s="7">
        <f>((AVERAGE(Q43:Q48)*('Summary Page'!$C$3+1))*('Summary Page'!$C$3+1))*('Summary Page'!$C$3+1)</f>
        <v>204.1015625</v>
      </c>
      <c r="BP48" s="8">
        <f>((AVERAGE(Q43:Q48)*('Summary Page'!$C$4+1))*('Summary Page'!$C$4+1))*('Summary Page'!$C$4+1)</f>
        <v>180.57599999999999</v>
      </c>
      <c r="BS48" s="7">
        <f t="shared" si="28"/>
        <v>268.8</v>
      </c>
      <c r="BT48" s="7">
        <f>((AVERAGE(T43:T48)*('Summary Page'!$C$2+1))*('Summary Page'!$C$2+1))*('Summary Page'!$C$2+1)</f>
        <v>458.64327466666657</v>
      </c>
      <c r="BU48" s="7">
        <f>((AVERAGE(T43:T48)*('Summary Page'!$C$3+1))*('Summary Page'!$C$3+1))*('Summary Page'!$C$3+1)</f>
        <v>573.89322916666652</v>
      </c>
      <c r="BV48" s="8">
        <f>((AVERAGE(T43:T48)*('Summary Page'!$C$4+1))*('Summary Page'!$C$4+1))*('Summary Page'!$C$4+1)</f>
        <v>507.74399999999991</v>
      </c>
      <c r="BW48" s="16">
        <f t="shared" si="20"/>
        <v>9.97752808988764</v>
      </c>
      <c r="BX48" s="16">
        <f t="shared" si="21"/>
        <v>6.7116104868913853</v>
      </c>
      <c r="BY48" s="7">
        <f t="shared" si="29"/>
        <v>8.0539325842696616</v>
      </c>
      <c r="BZ48" s="7">
        <f>((AVERAGE(BW43:BW48)*('Summary Page'!$C$2+1))*('Summary Page'!$C$2+1))*('Summary Page'!$C$2+1)</f>
        <v>13.74212058926342</v>
      </c>
      <c r="CA48" s="7">
        <f>((AVERAGE(BW43:BW48)*('Summary Page'!$C$3+1))*('Summary Page'!$C$3+1))*('Summary Page'!$C$3+1)</f>
        <v>17.195302746566796</v>
      </c>
      <c r="CB48" s="7">
        <f>((AVERAGE(BW43:BW48)*('Summary Page'!$C$4+1))*('Summary Page'!$C$4+1))*('Summary Page'!$C$4+1)</f>
        <v>15.213303370786518</v>
      </c>
      <c r="CC48" s="11">
        <f t="shared" si="30"/>
        <v>11.640449438202246</v>
      </c>
      <c r="CD48" s="11">
        <f t="shared" si="15"/>
        <v>7.8302122347066163</v>
      </c>
      <c r="CE48" s="11">
        <f t="shared" si="16"/>
        <v>9.3962546816479389</v>
      </c>
      <c r="CF48" s="11">
        <f t="shared" si="17"/>
        <v>16.032474020807324</v>
      </c>
      <c r="CG48" s="11">
        <f t="shared" si="18"/>
        <v>20.061186537661261</v>
      </c>
      <c r="CH48" s="11">
        <f t="shared" si="19"/>
        <v>17.748853932584272</v>
      </c>
    </row>
    <row r="49" spans="1:83" ht="15.75" x14ac:dyDescent="0.25">
      <c r="A49" s="10">
        <v>44501</v>
      </c>
      <c r="B49" s="7">
        <v>72</v>
      </c>
      <c r="C49" s="7">
        <v>82</v>
      </c>
      <c r="D49" s="7">
        <v>42</v>
      </c>
      <c r="E49" s="7">
        <v>59</v>
      </c>
      <c r="F49" s="7">
        <v>90</v>
      </c>
      <c r="G49" s="218">
        <v>47</v>
      </c>
      <c r="H49" s="7">
        <v>61</v>
      </c>
      <c r="I49" s="7">
        <v>35</v>
      </c>
      <c r="J49" s="7">
        <v>52</v>
      </c>
      <c r="K49" s="213">
        <v>69</v>
      </c>
      <c r="L49" s="43"/>
      <c r="M49" s="43"/>
      <c r="N49" s="43"/>
      <c r="O49" s="43"/>
      <c r="P49" s="43"/>
      <c r="Q49" s="7">
        <v>93</v>
      </c>
      <c r="R49" s="7">
        <v>71</v>
      </c>
      <c r="S49" s="7"/>
      <c r="T49" s="7">
        <v>294</v>
      </c>
      <c r="U49" s="7">
        <v>224</v>
      </c>
      <c r="V49" s="7"/>
      <c r="W49" s="7"/>
      <c r="X49" s="7"/>
      <c r="Y49" s="7"/>
      <c r="Z49" s="7"/>
      <c r="AA49" s="2">
        <f t="shared" si="2"/>
        <v>69</v>
      </c>
      <c r="AO49" s="7">
        <f t="shared" si="23"/>
        <v>73.2</v>
      </c>
      <c r="AU49" s="7">
        <f t="shared" si="24"/>
        <v>42</v>
      </c>
      <c r="BA49" s="7">
        <f t="shared" si="25"/>
        <v>62.4</v>
      </c>
      <c r="BG49" s="7">
        <f t="shared" si="26"/>
        <v>82.8</v>
      </c>
      <c r="BM49" s="7">
        <f t="shared" si="27"/>
        <v>85.2</v>
      </c>
      <c r="BS49" s="7">
        <f t="shared" si="28"/>
        <v>268.8</v>
      </c>
      <c r="BW49" s="16">
        <f t="shared" si="20"/>
        <v>8.808988764044944</v>
      </c>
      <c r="BX49" s="16">
        <f t="shared" si="21"/>
        <v>6.7116104868913853</v>
      </c>
      <c r="BY49" s="7">
        <f t="shared" si="29"/>
        <v>8.0539325842696616</v>
      </c>
      <c r="CC49" s="11">
        <f t="shared" si="30"/>
        <v>10.277153558052435</v>
      </c>
      <c r="CD49" s="11">
        <f>(BX49/6)+BX49</f>
        <v>7.8302122347066163</v>
      </c>
      <c r="CE49" s="11">
        <f>(BY49/6)+BY49</f>
        <v>9.3962546816479389</v>
      </c>
    </row>
    <row r="50" spans="1:83" ht="15.75" x14ac:dyDescent="0.25">
      <c r="A50" s="10">
        <v>44531</v>
      </c>
      <c r="B50" s="7">
        <v>59</v>
      </c>
      <c r="C50" s="7">
        <v>81</v>
      </c>
      <c r="D50" s="7">
        <v>45</v>
      </c>
      <c r="E50" s="7">
        <v>63</v>
      </c>
      <c r="F50" s="7">
        <v>88</v>
      </c>
      <c r="G50" s="223">
        <v>46</v>
      </c>
      <c r="H50" s="7">
        <v>73</v>
      </c>
      <c r="I50" s="7">
        <v>43</v>
      </c>
      <c r="J50" s="7">
        <v>62</v>
      </c>
      <c r="K50" s="213">
        <v>84</v>
      </c>
      <c r="L50" s="43"/>
      <c r="M50" s="43"/>
      <c r="N50" s="43"/>
      <c r="O50" s="43"/>
      <c r="P50" s="43"/>
      <c r="Q50" s="7">
        <v>109</v>
      </c>
      <c r="R50" s="7">
        <v>101</v>
      </c>
      <c r="S50" s="7"/>
      <c r="T50" s="7">
        <v>250</v>
      </c>
      <c r="U50" s="7">
        <v>293</v>
      </c>
      <c r="V50" s="7"/>
      <c r="W50" s="7"/>
      <c r="X50" s="7"/>
      <c r="Y50" s="7"/>
      <c r="Z50" s="7"/>
      <c r="AA50" s="2">
        <f t="shared" si="2"/>
        <v>67.2</v>
      </c>
      <c r="AO50" s="7">
        <f t="shared" si="23"/>
        <v>87.6</v>
      </c>
      <c r="AU50" s="7">
        <f t="shared" si="24"/>
        <v>51.6</v>
      </c>
      <c r="BA50" s="7">
        <f t="shared" si="25"/>
        <v>74.399999999999991</v>
      </c>
      <c r="BM50" s="7">
        <f t="shared" si="27"/>
        <v>121.19999999999999</v>
      </c>
      <c r="BS50" s="7">
        <f t="shared" si="28"/>
        <v>351.59999999999997</v>
      </c>
      <c r="BW50" s="16">
        <f t="shared" si="20"/>
        <v>7.4906367041198507</v>
      </c>
      <c r="BX50" s="16">
        <f t="shared" si="21"/>
        <v>8.7790262172284663</v>
      </c>
      <c r="BY50" s="7">
        <f t="shared" si="29"/>
        <v>10.534831460674159</v>
      </c>
      <c r="CC50" s="11">
        <f t="shared" si="30"/>
        <v>8.7390761548064919</v>
      </c>
      <c r="CD50" s="11">
        <f>(BX50/6)+BX50</f>
        <v>10.242197253433211</v>
      </c>
      <c r="CE50" s="11">
        <f>(BY50/6)+BY50</f>
        <v>12.290636704119851</v>
      </c>
    </row>
    <row r="51" spans="1:83" ht="15.75" x14ac:dyDescent="0.25">
      <c r="A51" s="10">
        <v>44581</v>
      </c>
      <c r="B51" s="7">
        <v>74</v>
      </c>
      <c r="C51" s="7">
        <v>54</v>
      </c>
      <c r="D51" s="7">
        <v>71</v>
      </c>
      <c r="E51" s="7">
        <v>43</v>
      </c>
      <c r="F51" s="7">
        <v>62</v>
      </c>
      <c r="G51" s="218">
        <v>62</v>
      </c>
      <c r="H51" s="7">
        <v>20</v>
      </c>
      <c r="I51" s="7">
        <v>38</v>
      </c>
      <c r="J51" s="7">
        <v>25</v>
      </c>
      <c r="K51" s="213">
        <v>22</v>
      </c>
      <c r="AA51" s="2">
        <f t="shared" si="2"/>
        <v>60.8</v>
      </c>
      <c r="AO51" s="7">
        <f t="shared" si="23"/>
        <v>24</v>
      </c>
      <c r="AU51" s="7">
        <f t="shared" si="24"/>
        <v>45.6</v>
      </c>
      <c r="BA51" s="7">
        <f t="shared" si="25"/>
        <v>30</v>
      </c>
    </row>
    <row r="52" spans="1:83" ht="15.75" x14ac:dyDescent="0.25">
      <c r="A52" s="10">
        <v>44593</v>
      </c>
      <c r="B52" s="7">
        <v>71</v>
      </c>
      <c r="C52" s="7">
        <v>41</v>
      </c>
      <c r="D52" s="7">
        <v>59</v>
      </c>
      <c r="E52" s="7">
        <v>36</v>
      </c>
      <c r="F52" s="7">
        <v>48</v>
      </c>
      <c r="G52" s="223">
        <v>64</v>
      </c>
      <c r="H52" s="7">
        <v>27</v>
      </c>
      <c r="I52" s="7">
        <v>43</v>
      </c>
      <c r="J52" s="7">
        <v>28</v>
      </c>
      <c r="K52" s="4">
        <v>30</v>
      </c>
      <c r="L52" s="7">
        <v>73</v>
      </c>
      <c r="M52" s="7">
        <v>46</v>
      </c>
      <c r="N52" s="7">
        <v>62</v>
      </c>
      <c r="O52" s="7">
        <v>38</v>
      </c>
      <c r="P52" s="7">
        <v>51</v>
      </c>
      <c r="Q52" s="7">
        <v>103</v>
      </c>
      <c r="R52" s="7">
        <v>76</v>
      </c>
      <c r="S52" s="7">
        <v>104</v>
      </c>
      <c r="T52" s="7">
        <v>308</v>
      </c>
      <c r="U52" s="7">
        <v>333</v>
      </c>
      <c r="V52" s="7">
        <v>307</v>
      </c>
      <c r="W52" s="16">
        <f t="shared" ref="W52:Y63" si="33">((T52/37.5)/0.83)*(Q52/100)</f>
        <v>10.192449799196789</v>
      </c>
      <c r="X52" s="11">
        <f t="shared" si="33"/>
        <v>8.1310843373493995</v>
      </c>
      <c r="Y52" s="1355">
        <f t="shared" si="33"/>
        <v>10.257991967871488</v>
      </c>
      <c r="Z52" s="7"/>
      <c r="AA52" s="2">
        <f t="shared" si="2"/>
        <v>51</v>
      </c>
      <c r="AO52" s="7">
        <f t="shared" si="23"/>
        <v>32.4</v>
      </c>
      <c r="AU52" s="7">
        <f t="shared" si="24"/>
        <v>51.6</v>
      </c>
      <c r="BA52" s="7">
        <f t="shared" si="25"/>
        <v>33.6</v>
      </c>
    </row>
    <row r="53" spans="1:83" ht="15.75" x14ac:dyDescent="0.25">
      <c r="A53" s="10">
        <v>44617</v>
      </c>
      <c r="B53" s="7">
        <v>73</v>
      </c>
      <c r="C53" s="7">
        <v>38</v>
      </c>
      <c r="D53" s="7">
        <v>57</v>
      </c>
      <c r="E53" s="7">
        <v>36</v>
      </c>
      <c r="F53" s="7">
        <v>43</v>
      </c>
      <c r="G53" s="7">
        <v>36</v>
      </c>
      <c r="H53" s="7">
        <v>24</v>
      </c>
      <c r="I53" s="7">
        <v>29</v>
      </c>
      <c r="J53" s="7">
        <v>17</v>
      </c>
      <c r="K53" s="7">
        <v>26</v>
      </c>
      <c r="L53" s="7">
        <v>40</v>
      </c>
      <c r="M53" s="7">
        <v>37</v>
      </c>
      <c r="N53" s="7">
        <v>39</v>
      </c>
      <c r="O53" s="7">
        <v>22</v>
      </c>
      <c r="P53" s="7">
        <v>39</v>
      </c>
      <c r="Q53" s="7">
        <v>94</v>
      </c>
      <c r="R53" s="7">
        <v>49</v>
      </c>
      <c r="S53" s="7">
        <v>65</v>
      </c>
      <c r="T53" s="7">
        <v>333</v>
      </c>
      <c r="U53" s="7">
        <v>333</v>
      </c>
      <c r="V53" s="7">
        <v>304</v>
      </c>
      <c r="W53" s="16">
        <f t="shared" si="33"/>
        <v>10.056867469879519</v>
      </c>
      <c r="X53" s="11">
        <f t="shared" si="33"/>
        <v>5.2424096385542178</v>
      </c>
      <c r="Y53" s="1355">
        <f t="shared" si="33"/>
        <v>6.3485943775100404</v>
      </c>
      <c r="Z53" s="7"/>
      <c r="AA53" s="2">
        <f t="shared" si="2"/>
        <v>49.4</v>
      </c>
      <c r="AO53" s="7">
        <f t="shared" si="23"/>
        <v>28.799999999999997</v>
      </c>
      <c r="AU53" s="7">
        <f t="shared" si="24"/>
        <v>34.799999999999997</v>
      </c>
      <c r="BA53" s="7">
        <f t="shared" si="25"/>
        <v>20.399999999999999</v>
      </c>
    </row>
    <row r="54" spans="1:83" ht="15.75" x14ac:dyDescent="0.25">
      <c r="A54" s="10">
        <v>44650</v>
      </c>
      <c r="B54" s="7">
        <v>67</v>
      </c>
      <c r="C54" s="7">
        <v>29</v>
      </c>
      <c r="D54" s="7">
        <v>52</v>
      </c>
      <c r="E54" s="7">
        <v>33</v>
      </c>
      <c r="F54" s="7">
        <v>37</v>
      </c>
      <c r="G54" s="7">
        <v>70</v>
      </c>
      <c r="H54" s="7">
        <v>28</v>
      </c>
      <c r="I54" s="7">
        <v>48</v>
      </c>
      <c r="J54" s="7">
        <v>32</v>
      </c>
      <c r="K54" s="7">
        <v>33</v>
      </c>
      <c r="L54" s="7">
        <v>73</v>
      </c>
      <c r="M54" s="7">
        <v>42</v>
      </c>
      <c r="N54" s="7">
        <v>59</v>
      </c>
      <c r="O54" s="7">
        <v>37</v>
      </c>
      <c r="P54" s="7">
        <v>48</v>
      </c>
      <c r="Q54" s="7">
        <v>92</v>
      </c>
      <c r="R54" s="7">
        <v>64</v>
      </c>
      <c r="S54" s="7">
        <v>77</v>
      </c>
      <c r="T54" s="7">
        <v>294</v>
      </c>
      <c r="U54" s="7">
        <v>338</v>
      </c>
      <c r="V54" s="7">
        <v>304</v>
      </c>
      <c r="W54" s="16">
        <f t="shared" si="33"/>
        <v>8.6901204819277122</v>
      </c>
      <c r="X54" s="11">
        <f t="shared" si="33"/>
        <v>6.9500401606425708</v>
      </c>
      <c r="Y54" s="1355">
        <f t="shared" si="33"/>
        <v>7.520642570281125</v>
      </c>
      <c r="Z54" s="7"/>
      <c r="AA54" s="2">
        <f t="shared" si="2"/>
        <v>43.6</v>
      </c>
      <c r="AO54" s="7">
        <f t="shared" si="23"/>
        <v>33.6</v>
      </c>
      <c r="AU54" s="7">
        <f t="shared" si="24"/>
        <v>57.599999999999994</v>
      </c>
      <c r="BA54" s="7">
        <f t="shared" si="25"/>
        <v>38.4</v>
      </c>
    </row>
    <row r="55" spans="1:83" ht="15.75" x14ac:dyDescent="0.25">
      <c r="A55" s="10">
        <v>44691</v>
      </c>
      <c r="B55" s="7">
        <v>65</v>
      </c>
      <c r="C55" s="7">
        <v>26</v>
      </c>
      <c r="D55" s="7">
        <v>49</v>
      </c>
      <c r="E55" s="7">
        <v>32</v>
      </c>
      <c r="F55" s="7">
        <v>33</v>
      </c>
      <c r="G55" s="7">
        <v>63</v>
      </c>
      <c r="H55" s="7">
        <v>32</v>
      </c>
      <c r="I55" s="7">
        <v>53</v>
      </c>
      <c r="J55" s="7">
        <v>34</v>
      </c>
      <c r="K55" s="7">
        <v>38</v>
      </c>
      <c r="L55" s="7">
        <v>55</v>
      </c>
      <c r="M55" s="7">
        <v>31</v>
      </c>
      <c r="N55" s="7">
        <v>49</v>
      </c>
      <c r="O55" s="7">
        <v>29</v>
      </c>
      <c r="P55" s="7">
        <v>37</v>
      </c>
      <c r="Q55" s="7">
        <v>98</v>
      </c>
      <c r="R55" s="7">
        <v>95</v>
      </c>
      <c r="S55" s="7">
        <v>86</v>
      </c>
      <c r="T55" s="7">
        <v>277</v>
      </c>
      <c r="U55" s="7">
        <v>303</v>
      </c>
      <c r="V55" s="7">
        <v>272</v>
      </c>
      <c r="W55" s="16">
        <f t="shared" si="33"/>
        <v>8.7216064257028112</v>
      </c>
      <c r="X55" s="11">
        <f t="shared" si="33"/>
        <v>9.2481927710843372</v>
      </c>
      <c r="Y55" s="1355">
        <f t="shared" si="33"/>
        <v>7.5155020080321284</v>
      </c>
      <c r="Z55" s="7"/>
      <c r="AA55" s="2">
        <f t="shared" si="2"/>
        <v>41</v>
      </c>
      <c r="AO55" s="7">
        <f t="shared" si="23"/>
        <v>38.4</v>
      </c>
      <c r="AU55" s="7">
        <f t="shared" si="24"/>
        <v>63.599999999999994</v>
      </c>
      <c r="BA55" s="7">
        <f t="shared" si="25"/>
        <v>40.799999999999997</v>
      </c>
    </row>
    <row r="56" spans="1:83" ht="15.75" x14ac:dyDescent="0.25">
      <c r="A56" s="10">
        <v>44714</v>
      </c>
      <c r="B56" s="7">
        <v>61</v>
      </c>
      <c r="C56" s="7">
        <v>24</v>
      </c>
      <c r="D56" s="7">
        <v>45</v>
      </c>
      <c r="E56" s="7">
        <v>29</v>
      </c>
      <c r="F56" s="7">
        <v>32</v>
      </c>
      <c r="G56" s="7">
        <v>53</v>
      </c>
      <c r="H56" s="7">
        <v>31</v>
      </c>
      <c r="I56" s="7">
        <v>47</v>
      </c>
      <c r="J56" s="7">
        <v>30</v>
      </c>
      <c r="K56" s="7">
        <v>35</v>
      </c>
      <c r="L56" s="7">
        <v>53</v>
      </c>
      <c r="M56" s="7">
        <v>26</v>
      </c>
      <c r="N56" s="7">
        <v>38</v>
      </c>
      <c r="O56" s="7">
        <v>25</v>
      </c>
      <c r="P56" s="7">
        <v>31</v>
      </c>
      <c r="Q56" s="7">
        <v>90</v>
      </c>
      <c r="R56" s="7">
        <v>85</v>
      </c>
      <c r="S56" s="7">
        <v>74</v>
      </c>
      <c r="T56" s="7">
        <v>281</v>
      </c>
      <c r="U56" s="7">
        <v>303</v>
      </c>
      <c r="V56" s="7">
        <v>272</v>
      </c>
      <c r="W56" s="16">
        <f t="shared" si="33"/>
        <v>8.1253012048192783</v>
      </c>
      <c r="X56" s="11">
        <f t="shared" si="33"/>
        <v>8.274698795180722</v>
      </c>
      <c r="Y56" s="1355">
        <f t="shared" si="33"/>
        <v>6.4668273092369484</v>
      </c>
      <c r="Z56" s="7"/>
      <c r="AA56" s="2">
        <f t="shared" si="2"/>
        <v>38.200000000000003</v>
      </c>
      <c r="AO56" s="7">
        <f t="shared" si="23"/>
        <v>37.199999999999996</v>
      </c>
      <c r="AU56" s="7">
        <f t="shared" si="24"/>
        <v>56.4</v>
      </c>
      <c r="BA56" s="7">
        <f t="shared" si="25"/>
        <v>36</v>
      </c>
    </row>
    <row r="57" spans="1:83" ht="15.75" x14ac:dyDescent="0.25">
      <c r="A57" s="10">
        <v>44753</v>
      </c>
      <c r="B57" s="7">
        <v>51</v>
      </c>
      <c r="C57" s="7">
        <v>25</v>
      </c>
      <c r="D57" s="7">
        <v>40</v>
      </c>
      <c r="E57" s="7">
        <v>25</v>
      </c>
      <c r="F57" s="7">
        <v>27</v>
      </c>
      <c r="G57" s="7">
        <v>44</v>
      </c>
      <c r="H57" s="7">
        <v>26</v>
      </c>
      <c r="I57" s="7">
        <v>40</v>
      </c>
      <c r="J57" s="7">
        <v>25</v>
      </c>
      <c r="K57" s="7">
        <v>33</v>
      </c>
      <c r="L57" s="7">
        <v>50</v>
      </c>
      <c r="M57" s="7">
        <v>24</v>
      </c>
      <c r="N57" s="7">
        <v>36</v>
      </c>
      <c r="O57" s="7">
        <v>25</v>
      </c>
      <c r="P57" s="7">
        <v>27</v>
      </c>
      <c r="Q57" s="7">
        <v>91</v>
      </c>
      <c r="R57" s="7">
        <v>90</v>
      </c>
      <c r="S57" s="7">
        <v>89</v>
      </c>
      <c r="T57" s="7">
        <v>246</v>
      </c>
      <c r="U57" s="7">
        <v>204</v>
      </c>
      <c r="V57" s="7">
        <v>232</v>
      </c>
      <c r="W57" s="16">
        <f t="shared" si="33"/>
        <v>7.1922891566265061</v>
      </c>
      <c r="X57" s="11">
        <f t="shared" si="33"/>
        <v>5.8987951807228924</v>
      </c>
      <c r="Y57" s="1355">
        <f t="shared" si="33"/>
        <v>6.633895582329318</v>
      </c>
      <c r="Z57" s="7"/>
      <c r="AA57" s="2"/>
      <c r="AO57" s="7"/>
      <c r="AU57" s="7"/>
      <c r="BA57" s="7"/>
    </row>
    <row r="58" spans="1:83" ht="15.75" x14ac:dyDescent="0.25">
      <c r="A58" s="10">
        <v>44774</v>
      </c>
      <c r="B58" s="7">
        <v>43</v>
      </c>
      <c r="C58" s="7">
        <v>20</v>
      </c>
      <c r="D58" s="7">
        <v>35</v>
      </c>
      <c r="E58" s="7">
        <v>21</v>
      </c>
      <c r="F58" s="7">
        <v>27</v>
      </c>
      <c r="G58" s="7">
        <v>47</v>
      </c>
      <c r="H58" s="7">
        <v>27</v>
      </c>
      <c r="I58" s="7">
        <v>42</v>
      </c>
      <c r="J58" s="7">
        <v>26</v>
      </c>
      <c r="K58" s="7">
        <v>33</v>
      </c>
      <c r="L58" s="7">
        <v>44</v>
      </c>
      <c r="M58" s="7">
        <v>25</v>
      </c>
      <c r="N58" s="7">
        <v>36</v>
      </c>
      <c r="O58" s="7">
        <v>23</v>
      </c>
      <c r="P58" s="7">
        <v>28</v>
      </c>
      <c r="Q58" s="7">
        <v>90</v>
      </c>
      <c r="R58" s="7">
        <v>96</v>
      </c>
      <c r="S58" s="7">
        <v>84</v>
      </c>
      <c r="T58" s="7">
        <v>212</v>
      </c>
      <c r="U58" s="7">
        <v>202</v>
      </c>
      <c r="V58" s="7">
        <v>235</v>
      </c>
      <c r="W58" s="16">
        <f t="shared" si="33"/>
        <v>6.1301204819277109</v>
      </c>
      <c r="X58" s="11">
        <f t="shared" si="33"/>
        <v>6.2303614457831333</v>
      </c>
      <c r="Y58" s="1355">
        <f t="shared" si="33"/>
        <v>6.3421686746987955</v>
      </c>
      <c r="Z58" s="7"/>
      <c r="AA58" s="2"/>
      <c r="AO58" s="7"/>
      <c r="AU58" s="7"/>
      <c r="BA58" s="7"/>
    </row>
    <row r="59" spans="1:83" ht="15.75" x14ac:dyDescent="0.25">
      <c r="A59" s="10">
        <v>44805</v>
      </c>
      <c r="B59" s="7">
        <v>46</v>
      </c>
      <c r="C59" s="7">
        <v>20</v>
      </c>
      <c r="D59" s="7">
        <v>33</v>
      </c>
      <c r="E59" s="7">
        <v>21</v>
      </c>
      <c r="F59" s="7">
        <v>25</v>
      </c>
      <c r="G59" s="7">
        <v>45</v>
      </c>
      <c r="H59" s="7">
        <v>31</v>
      </c>
      <c r="I59" s="7">
        <v>46</v>
      </c>
      <c r="J59" s="7">
        <v>26</v>
      </c>
      <c r="K59" s="7">
        <v>31</v>
      </c>
      <c r="L59" s="7">
        <v>46</v>
      </c>
      <c r="M59" s="7">
        <v>22</v>
      </c>
      <c r="N59" s="7">
        <v>34</v>
      </c>
      <c r="O59" s="7">
        <v>22</v>
      </c>
      <c r="P59" s="7">
        <v>27</v>
      </c>
      <c r="Q59" s="7">
        <v>105</v>
      </c>
      <c r="R59" s="7">
        <v>128</v>
      </c>
      <c r="S59" s="7">
        <v>109</v>
      </c>
      <c r="T59" s="7">
        <v>182</v>
      </c>
      <c r="U59" s="7">
        <v>150</v>
      </c>
      <c r="V59" s="7">
        <v>177</v>
      </c>
      <c r="W59" s="16">
        <f t="shared" si="33"/>
        <v>6.1397590361445795</v>
      </c>
      <c r="X59" s="11">
        <f t="shared" si="33"/>
        <v>6.168674698795181</v>
      </c>
      <c r="Y59" s="1355">
        <f t="shared" si="33"/>
        <v>6.1985542168674703</v>
      </c>
      <c r="Z59" s="7"/>
      <c r="AA59" s="2"/>
      <c r="AO59" s="7"/>
      <c r="AU59" s="7"/>
      <c r="BA59" s="7"/>
    </row>
    <row r="60" spans="1:83" ht="15.75" x14ac:dyDescent="0.25">
      <c r="A60" s="10">
        <v>44838</v>
      </c>
      <c r="B60" s="7">
        <v>38</v>
      </c>
      <c r="C60" s="7">
        <v>23</v>
      </c>
      <c r="D60" s="7">
        <v>37</v>
      </c>
      <c r="E60" s="7">
        <v>22</v>
      </c>
      <c r="F60" s="7">
        <v>38</v>
      </c>
      <c r="G60" s="7">
        <v>53</v>
      </c>
      <c r="H60" s="7">
        <v>19</v>
      </c>
      <c r="I60" s="7">
        <v>36</v>
      </c>
      <c r="J60" s="7">
        <v>22</v>
      </c>
      <c r="K60" s="7">
        <v>28</v>
      </c>
      <c r="L60" s="7">
        <v>50</v>
      </c>
      <c r="M60" s="7">
        <v>24</v>
      </c>
      <c r="N60" s="7">
        <v>36</v>
      </c>
      <c r="O60" s="7">
        <v>23</v>
      </c>
      <c r="P60" s="7">
        <v>26</v>
      </c>
      <c r="Q60" s="7">
        <v>93</v>
      </c>
      <c r="R60" s="7">
        <v>96</v>
      </c>
      <c r="S60" s="7">
        <v>98</v>
      </c>
      <c r="T60" s="7">
        <v>179</v>
      </c>
      <c r="U60" s="7">
        <v>205</v>
      </c>
      <c r="V60" s="7">
        <v>209</v>
      </c>
      <c r="W60" s="16">
        <f t="shared" si="33"/>
        <v>5.3484337349397597</v>
      </c>
      <c r="X60" s="11">
        <f t="shared" si="33"/>
        <v>6.32289156626506</v>
      </c>
      <c r="Y60" s="1355">
        <f t="shared" si="33"/>
        <v>6.5805622489959834</v>
      </c>
      <c r="Z60" s="7"/>
      <c r="AA60" s="2"/>
      <c r="AO60" s="7"/>
      <c r="AU60" s="7"/>
      <c r="BA60" s="7"/>
    </row>
    <row r="61" spans="1:83" ht="15.75" x14ac:dyDescent="0.25">
      <c r="A61" s="10">
        <v>44868</v>
      </c>
      <c r="B61" s="7">
        <v>27</v>
      </c>
      <c r="C61" s="7">
        <v>18</v>
      </c>
      <c r="D61" s="7">
        <v>28</v>
      </c>
      <c r="E61" s="7">
        <v>16</v>
      </c>
      <c r="F61" s="7">
        <v>23</v>
      </c>
      <c r="G61" s="7">
        <v>45</v>
      </c>
      <c r="H61" s="7">
        <v>16</v>
      </c>
      <c r="I61" s="7">
        <v>28</v>
      </c>
      <c r="J61" s="7">
        <v>18</v>
      </c>
      <c r="K61" s="7">
        <v>17</v>
      </c>
      <c r="L61" s="7">
        <v>41</v>
      </c>
      <c r="M61" s="7">
        <v>23</v>
      </c>
      <c r="N61" s="7">
        <v>33</v>
      </c>
      <c r="O61" s="7">
        <v>21</v>
      </c>
      <c r="P61" s="7">
        <v>26</v>
      </c>
      <c r="Q61" s="7">
        <v>68</v>
      </c>
      <c r="R61" s="7">
        <v>79</v>
      </c>
      <c r="S61" s="7">
        <v>87</v>
      </c>
      <c r="T61" s="7">
        <v>204</v>
      </c>
      <c r="U61" s="7">
        <v>202</v>
      </c>
      <c r="V61" s="7">
        <v>210</v>
      </c>
      <c r="W61" s="16">
        <f>((T61/37.5)/0.83)*(Q61/100)</f>
        <v>4.4568674698795192</v>
      </c>
      <c r="X61" s="11">
        <f t="shared" si="33"/>
        <v>5.1270682730923705</v>
      </c>
      <c r="Y61" s="1355">
        <f t="shared" si="33"/>
        <v>5.8698795180722891</v>
      </c>
      <c r="Z61" s="7"/>
      <c r="AA61" s="2"/>
      <c r="AO61" s="7"/>
      <c r="AU61" s="7"/>
      <c r="BA61" s="7"/>
    </row>
    <row r="62" spans="1:83" ht="15.75" x14ac:dyDescent="0.25">
      <c r="A62" s="10">
        <v>44908</v>
      </c>
      <c r="B62" s="7">
        <v>25</v>
      </c>
      <c r="C62" s="7">
        <v>16</v>
      </c>
      <c r="D62" s="7">
        <v>27</v>
      </c>
      <c r="E62" s="7">
        <v>14</v>
      </c>
      <c r="F62" s="7">
        <v>22</v>
      </c>
      <c r="G62" s="7">
        <v>36</v>
      </c>
      <c r="H62" s="7">
        <v>14</v>
      </c>
      <c r="I62" s="7">
        <v>26</v>
      </c>
      <c r="J62" s="7">
        <v>17</v>
      </c>
      <c r="K62" s="7">
        <v>18</v>
      </c>
      <c r="L62" s="7">
        <v>48</v>
      </c>
      <c r="M62" s="7">
        <v>27</v>
      </c>
      <c r="N62" s="7">
        <v>40</v>
      </c>
      <c r="O62" s="7">
        <v>24</v>
      </c>
      <c r="P62" s="7">
        <v>29</v>
      </c>
      <c r="Q62" s="7">
        <v>73</v>
      </c>
      <c r="R62" s="7">
        <v>82</v>
      </c>
      <c r="S62" s="7">
        <v>121</v>
      </c>
      <c r="T62" s="7">
        <v>170</v>
      </c>
      <c r="U62" s="7">
        <v>173</v>
      </c>
      <c r="V62" s="7">
        <v>182</v>
      </c>
      <c r="W62" s="16">
        <f>((T62/37.5)/0.83)*(Q62/100)</f>
        <v>3.9871485943775102</v>
      </c>
      <c r="X62" s="11">
        <f t="shared" si="33"/>
        <v>4.5577510040160636</v>
      </c>
      <c r="Y62" s="1355">
        <f t="shared" si="33"/>
        <v>7.0753413654618482</v>
      </c>
      <c r="Z62" s="7"/>
      <c r="AA62" s="2"/>
      <c r="AO62" s="7"/>
      <c r="AU62" s="7"/>
      <c r="BA62" s="7"/>
    </row>
    <row r="63" spans="1:83" ht="15.75" x14ac:dyDescent="0.25">
      <c r="A63" s="10">
        <v>44965</v>
      </c>
      <c r="B63" s="7">
        <v>69</v>
      </c>
      <c r="C63" s="7">
        <v>33</v>
      </c>
      <c r="D63" s="7">
        <v>30</v>
      </c>
      <c r="E63" s="7">
        <v>17</v>
      </c>
      <c r="F63" s="7">
        <v>47</v>
      </c>
      <c r="G63" s="7">
        <v>40</v>
      </c>
      <c r="H63" s="7">
        <v>35</v>
      </c>
      <c r="I63" s="7">
        <v>22</v>
      </c>
      <c r="J63" s="7">
        <v>13</v>
      </c>
      <c r="K63" s="7">
        <v>38</v>
      </c>
      <c r="L63" s="7">
        <v>121</v>
      </c>
      <c r="M63" s="7">
        <v>62</v>
      </c>
      <c r="N63" s="7">
        <v>50</v>
      </c>
      <c r="O63" s="7">
        <v>30</v>
      </c>
      <c r="P63" s="7">
        <v>70</v>
      </c>
      <c r="Q63" s="7">
        <v>80</v>
      </c>
      <c r="R63" s="7">
        <v>85</v>
      </c>
      <c r="S63" s="7">
        <v>148</v>
      </c>
      <c r="T63" s="7">
        <v>182</v>
      </c>
      <c r="U63" s="7">
        <v>185</v>
      </c>
      <c r="V63" s="7">
        <v>186</v>
      </c>
      <c r="W63" s="16">
        <f>((T63/37.5)/0.83)*(Q63/100)</f>
        <v>4.6779116465863462</v>
      </c>
      <c r="X63" s="11">
        <f t="shared" si="33"/>
        <v>5.0522088353413652</v>
      </c>
      <c r="Y63" s="1355">
        <f t="shared" si="33"/>
        <v>8.8443373493975912</v>
      </c>
      <c r="Z63" s="7"/>
      <c r="AA63" s="2"/>
      <c r="AO63" s="7"/>
      <c r="AU63" s="7"/>
      <c r="BA63" s="7"/>
    </row>
    <row r="64" spans="1:83" ht="15.75" x14ac:dyDescent="0.25">
      <c r="A64" s="10">
        <v>44992</v>
      </c>
      <c r="B64" s="7">
        <v>65</v>
      </c>
      <c r="C64" s="7">
        <v>39</v>
      </c>
      <c r="D64" s="7">
        <v>30</v>
      </c>
      <c r="E64" s="7">
        <v>18</v>
      </c>
      <c r="F64" s="7">
        <v>60</v>
      </c>
      <c r="G64" s="7">
        <v>70</v>
      </c>
      <c r="H64" s="7">
        <v>45</v>
      </c>
      <c r="I64" s="7">
        <v>35</v>
      </c>
      <c r="J64" s="7">
        <v>21</v>
      </c>
      <c r="K64" s="7">
        <v>51</v>
      </c>
      <c r="L64" s="7">
        <v>126</v>
      </c>
      <c r="M64" s="7">
        <v>71</v>
      </c>
      <c r="N64" s="7">
        <v>56</v>
      </c>
      <c r="O64" s="7">
        <v>33</v>
      </c>
      <c r="P64" s="7">
        <v>85</v>
      </c>
      <c r="Q64" s="7">
        <v>105</v>
      </c>
      <c r="R64" s="7">
        <v>97</v>
      </c>
      <c r="S64" s="7">
        <v>107</v>
      </c>
      <c r="T64" s="7">
        <v>157</v>
      </c>
      <c r="U64" s="7">
        <v>181</v>
      </c>
      <c r="V64" s="7">
        <v>299</v>
      </c>
      <c r="W64" s="16">
        <f t="shared" ref="W64:Y66" si="34">((T64/37.5)/0.85)*(Q64/100)</f>
        <v>5.171764705882353</v>
      </c>
      <c r="X64" s="11">
        <f t="shared" si="34"/>
        <v>5.5080784313725495</v>
      </c>
      <c r="Y64" s="1355">
        <f t="shared" si="34"/>
        <v>10.037019607843138</v>
      </c>
      <c r="Z64" s="7"/>
      <c r="AA64" s="2"/>
      <c r="AO64" s="7"/>
      <c r="AU64" s="7"/>
      <c r="BA64" s="7"/>
    </row>
    <row r="65" spans="1:53" ht="15.75" x14ac:dyDescent="0.25">
      <c r="A65" s="10">
        <v>45020</v>
      </c>
      <c r="B65" s="7">
        <v>76</v>
      </c>
      <c r="C65" s="7">
        <v>60</v>
      </c>
      <c r="D65" s="7">
        <v>34</v>
      </c>
      <c r="E65" s="7">
        <v>26</v>
      </c>
      <c r="F65" s="7">
        <v>77</v>
      </c>
      <c r="G65" s="7">
        <v>100</v>
      </c>
      <c r="H65" s="7">
        <v>59</v>
      </c>
      <c r="I65" s="7">
        <v>36</v>
      </c>
      <c r="J65" s="7">
        <v>26</v>
      </c>
      <c r="K65" s="7">
        <v>64</v>
      </c>
      <c r="L65" s="7">
        <v>110</v>
      </c>
      <c r="M65" s="7">
        <v>54</v>
      </c>
      <c r="N65" s="7">
        <v>38</v>
      </c>
      <c r="O65" s="7">
        <v>26</v>
      </c>
      <c r="P65" s="7">
        <v>62</v>
      </c>
      <c r="Q65" s="7">
        <v>89</v>
      </c>
      <c r="R65" s="7">
        <v>95</v>
      </c>
      <c r="S65" s="7">
        <v>98</v>
      </c>
      <c r="T65" s="7">
        <v>243</v>
      </c>
      <c r="U65" s="7">
        <v>251</v>
      </c>
      <c r="V65" s="7">
        <v>244</v>
      </c>
      <c r="W65" s="16">
        <f t="shared" si="34"/>
        <v>6.7849411764705891</v>
      </c>
      <c r="X65" s="11">
        <f t="shared" si="34"/>
        <v>7.4807843137254899</v>
      </c>
      <c r="Y65" s="1355">
        <f t="shared" si="34"/>
        <v>7.5018039215686274</v>
      </c>
      <c r="Z65" s="7"/>
      <c r="AA65" s="2"/>
      <c r="AO65" s="7"/>
      <c r="AU65" s="7"/>
      <c r="BA65" s="7"/>
    </row>
    <row r="66" spans="1:53" ht="15.75" x14ac:dyDescent="0.25">
      <c r="A66" s="10">
        <v>45047</v>
      </c>
      <c r="B66" s="7">
        <v>83</v>
      </c>
      <c r="C66" s="7">
        <v>61</v>
      </c>
      <c r="D66" s="7">
        <v>35</v>
      </c>
      <c r="E66" s="7">
        <v>26</v>
      </c>
      <c r="F66" s="7">
        <v>72</v>
      </c>
      <c r="G66" s="7">
        <v>105</v>
      </c>
      <c r="H66" s="7">
        <v>59</v>
      </c>
      <c r="I66" s="7">
        <v>37</v>
      </c>
      <c r="J66" s="7">
        <v>26</v>
      </c>
      <c r="K66" s="7">
        <v>67</v>
      </c>
      <c r="L66" s="7">
        <v>98</v>
      </c>
      <c r="M66" s="7">
        <v>50</v>
      </c>
      <c r="N66" s="7">
        <v>35</v>
      </c>
      <c r="O66" s="7">
        <v>25</v>
      </c>
      <c r="P66" s="7">
        <v>58</v>
      </c>
      <c r="Q66" s="7">
        <v>91</v>
      </c>
      <c r="R66" s="7">
        <v>97</v>
      </c>
      <c r="S66" s="7">
        <v>90</v>
      </c>
      <c r="T66" s="7">
        <v>247</v>
      </c>
      <c r="U66" s="7">
        <v>251</v>
      </c>
      <c r="V66" s="7">
        <v>244</v>
      </c>
      <c r="W66" s="16">
        <f t="shared" si="34"/>
        <v>7.0516078431372557</v>
      </c>
      <c r="X66" s="11">
        <f t="shared" si="34"/>
        <v>7.6382745098039218</v>
      </c>
      <c r="Y66" s="1355">
        <f t="shared" si="34"/>
        <v>6.8894117647058826</v>
      </c>
      <c r="Z66" s="7"/>
      <c r="AA66" s="2"/>
      <c r="AO66" s="7"/>
      <c r="AU66" s="7"/>
      <c r="BA66" s="7"/>
    </row>
    <row r="67" spans="1:53" ht="15.75" x14ac:dyDescent="0.25">
      <c r="A67" s="10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16"/>
      <c r="X67" s="11"/>
      <c r="Y67" s="1355"/>
      <c r="Z67" s="7"/>
      <c r="AA67" s="2"/>
      <c r="AO67" s="7"/>
      <c r="AU67" s="7"/>
      <c r="BA67" s="7"/>
    </row>
    <row r="68" spans="1:53" ht="15.75" x14ac:dyDescent="0.25">
      <c r="A68" s="10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16"/>
      <c r="X68" s="11"/>
      <c r="Y68" s="1355"/>
      <c r="Z68" s="7"/>
      <c r="AA68" s="2"/>
      <c r="AO68" s="7"/>
      <c r="AU68" s="7"/>
      <c r="BA68" s="7"/>
    </row>
    <row r="69" spans="1:53" ht="15.75" x14ac:dyDescent="0.25">
      <c r="A69" s="10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16"/>
      <c r="X69" s="11"/>
      <c r="Y69" s="1355"/>
      <c r="Z69" s="7"/>
      <c r="AA69" s="2"/>
      <c r="AO69" s="7"/>
      <c r="AU69" s="7"/>
      <c r="BA69" s="7"/>
    </row>
    <row r="70" spans="1:53" x14ac:dyDescent="0.25">
      <c r="N70" s="106"/>
      <c r="O70" s="106"/>
      <c r="P70" s="106"/>
    </row>
    <row r="71" spans="1:53" x14ac:dyDescent="0.25">
      <c r="N71" s="106"/>
      <c r="O71" s="106"/>
      <c r="P71" s="106"/>
    </row>
    <row r="72" spans="1:53" x14ac:dyDescent="0.25">
      <c r="N72" s="106"/>
      <c r="O72" s="106"/>
      <c r="P72" s="106"/>
    </row>
    <row r="73" spans="1:53" x14ac:dyDescent="0.25">
      <c r="N73" s="106"/>
      <c r="O73" s="106"/>
      <c r="P73" s="106"/>
    </row>
    <row r="74" spans="1:53" x14ac:dyDescent="0.25">
      <c r="N74" s="106"/>
      <c r="O74" s="106"/>
      <c r="P74" s="106"/>
    </row>
    <row r="75" spans="1:53" x14ac:dyDescent="0.25">
      <c r="N75" s="106"/>
      <c r="O75" s="106"/>
      <c r="P75" s="106"/>
    </row>
    <row r="76" spans="1:53" x14ac:dyDescent="0.25">
      <c r="N76" s="106"/>
      <c r="O76" s="106"/>
      <c r="P76" s="106"/>
    </row>
    <row r="77" spans="1:53" x14ac:dyDescent="0.25">
      <c r="N77" s="106"/>
      <c r="O77" s="106"/>
      <c r="P77" s="106"/>
    </row>
    <row r="78" spans="1:53" x14ac:dyDescent="0.25">
      <c r="N78" s="106"/>
      <c r="O78" s="106"/>
      <c r="P78" s="106"/>
    </row>
    <row r="79" spans="1:53" x14ac:dyDescent="0.25">
      <c r="N79" s="106"/>
      <c r="O79" s="106"/>
      <c r="P79" s="106"/>
    </row>
    <row r="80" spans="1:53" x14ac:dyDescent="0.25">
      <c r="N80" s="106"/>
      <c r="O80" s="106"/>
      <c r="P80" s="106"/>
    </row>
  </sheetData>
  <mergeCells count="13">
    <mergeCell ref="BS2:BV2"/>
    <mergeCell ref="BW2:CB2"/>
    <mergeCell ref="CC2:CH2"/>
    <mergeCell ref="A2:A3"/>
    <mergeCell ref="AA2:AF2"/>
    <mergeCell ref="AO2:AR2"/>
    <mergeCell ref="AU2:AX2"/>
    <mergeCell ref="BA2:BD2"/>
    <mergeCell ref="BG2:BJ2"/>
    <mergeCell ref="BM2:BP2"/>
    <mergeCell ref="Q2:S2"/>
    <mergeCell ref="T2:V2"/>
    <mergeCell ref="W2:Y2"/>
  </mergeCells>
  <conditionalFormatting sqref="AO5:AR24 BM5:BP24 R5:S25 G5:P25 T27:Z27 AO25 BM25 R39:Z40 H44:Z44 G45:Z46 AI5:AL48 AU5:AX48 BA5:BD48 BG5:BJ48 H48:J48 BG49 Q47:Z50 B25:S27 B28:Z28 B29:S29 B30:Z38 B39:P40 B41:Z43 L52:V52 B44:F52 H50:J52 Q53:R69 T53:V69 BA49:BA69 AU49:AU69 Z52:Z69">
    <cfRule type="cellIs" dxfId="778" priority="100" operator="lessThan">
      <formula>40</formula>
    </cfRule>
    <cfRule type="cellIs" dxfId="777" priority="102" operator="greaterThan">
      <formula>80</formula>
    </cfRule>
  </conditionalFormatting>
  <conditionalFormatting sqref="AA5:AC48 AA49:AA69">
    <cfRule type="cellIs" dxfId="776" priority="101" operator="greaterThan">
      <formula>80</formula>
    </cfRule>
  </conditionalFormatting>
  <conditionalFormatting sqref="AD5:AF48">
    <cfRule type="cellIs" dxfId="775" priority="98" operator="lessThan">
      <formula>40</formula>
    </cfRule>
    <cfRule type="cellIs" dxfId="774" priority="99" operator="greaterThan">
      <formula>80</formula>
    </cfRule>
  </conditionalFormatting>
  <conditionalFormatting sqref="B5:B25">
    <cfRule type="cellIs" dxfId="773" priority="97" operator="greaterThan">
      <formula>80</formula>
    </cfRule>
  </conditionalFormatting>
  <conditionalFormatting sqref="B5:B17">
    <cfRule type="cellIs" dxfId="772" priority="96" operator="lessThan">
      <formula>35</formula>
    </cfRule>
  </conditionalFormatting>
  <conditionalFormatting sqref="E5:E25 E28:E52">
    <cfRule type="cellIs" dxfId="771" priority="95" operator="greaterThan">
      <formula>80</formula>
    </cfRule>
  </conditionalFormatting>
  <conditionalFormatting sqref="E5:E17">
    <cfRule type="cellIs" dxfId="770" priority="94" operator="lessThan">
      <formula>35</formula>
    </cfRule>
  </conditionalFormatting>
  <conditionalFormatting sqref="D5:D25 D28:D52">
    <cfRule type="cellIs" dxfId="769" priority="93" operator="greaterThan">
      <formula>80</formula>
    </cfRule>
  </conditionalFormatting>
  <conditionalFormatting sqref="D5:D17">
    <cfRule type="cellIs" dxfId="768" priority="92" operator="lessThan">
      <formula>35</formula>
    </cfRule>
  </conditionalFormatting>
  <conditionalFormatting sqref="F5:F25">
    <cfRule type="cellIs" dxfId="767" priority="91" operator="greaterThan">
      <formula>80</formula>
    </cfRule>
  </conditionalFormatting>
  <conditionalFormatting sqref="F5:F17">
    <cfRule type="cellIs" dxfId="766" priority="90" operator="lessThan">
      <formula>35</formula>
    </cfRule>
  </conditionalFormatting>
  <conditionalFormatting sqref="BM26:BM31 BN25:BP31 BM32:BP48 BM49:BM50">
    <cfRule type="cellIs" dxfId="765" priority="88" operator="lessThan">
      <formula>40</formula>
    </cfRule>
    <cfRule type="cellIs" dxfId="764" priority="89" operator="greaterThan">
      <formula>80</formula>
    </cfRule>
  </conditionalFormatting>
  <conditionalFormatting sqref="Q5:Q25">
    <cfRule type="cellIs" dxfId="763" priority="87" operator="greaterThan">
      <formula>80</formula>
    </cfRule>
  </conditionalFormatting>
  <conditionalFormatting sqref="Q5:Q17">
    <cfRule type="cellIs" dxfId="762" priority="86" operator="lessThan">
      <formula>35</formula>
    </cfRule>
  </conditionalFormatting>
  <conditionalFormatting sqref="AO26:AO31 AP25:AR31 AO32:AR48 AO49:AO69">
    <cfRule type="cellIs" dxfId="761" priority="84" operator="lessThan">
      <formula>40</formula>
    </cfRule>
    <cfRule type="cellIs" dxfId="760" priority="85" operator="greaterThan">
      <formula>80</formula>
    </cfRule>
  </conditionalFormatting>
  <conditionalFormatting sqref="C5:C25 C28:C52">
    <cfRule type="cellIs" dxfId="759" priority="83" operator="greaterThan">
      <formula>80</formula>
    </cfRule>
  </conditionalFormatting>
  <conditionalFormatting sqref="C5:C17">
    <cfRule type="cellIs" dxfId="758" priority="82" operator="lessThan">
      <formula>35</formula>
    </cfRule>
  </conditionalFormatting>
  <conditionalFormatting sqref="BS5:BV48 BS49:BS50">
    <cfRule type="cellIs" dxfId="757" priority="80" operator="lessThan">
      <formula>40</formula>
    </cfRule>
    <cfRule type="cellIs" dxfId="756" priority="81" operator="greaterThan">
      <formula>80</formula>
    </cfRule>
  </conditionalFormatting>
  <conditionalFormatting sqref="BY25:BY50">
    <cfRule type="cellIs" dxfId="755" priority="78" operator="lessThan">
      <formula>40</formula>
    </cfRule>
    <cfRule type="cellIs" dxfId="754" priority="79" operator="greaterThan">
      <formula>80</formula>
    </cfRule>
  </conditionalFormatting>
  <conditionalFormatting sqref="BZ25:CB48">
    <cfRule type="cellIs" dxfId="753" priority="76" operator="lessThan">
      <formula>40</formula>
    </cfRule>
    <cfRule type="cellIs" dxfId="752" priority="77" operator="greaterThan">
      <formula>80</formula>
    </cfRule>
  </conditionalFormatting>
  <conditionalFormatting sqref="Q39:Q40">
    <cfRule type="cellIs" dxfId="751" priority="74" operator="lessThan">
      <formula>40</formula>
    </cfRule>
    <cfRule type="cellIs" dxfId="750" priority="75" operator="greaterThan">
      <formula>80</formula>
    </cfRule>
  </conditionalFormatting>
  <conditionalFormatting sqref="G47:P47">
    <cfRule type="cellIs" dxfId="749" priority="72" operator="lessThan">
      <formula>40</formula>
    </cfRule>
    <cfRule type="cellIs" dxfId="748" priority="73" operator="greaterThan">
      <formula>80</formula>
    </cfRule>
  </conditionalFormatting>
  <conditionalFormatting sqref="H49:J49">
    <cfRule type="cellIs" dxfId="747" priority="70" operator="lessThan">
      <formula>40</formula>
    </cfRule>
    <cfRule type="cellIs" dxfId="746" priority="71" operator="greaterThan">
      <formula>80</formula>
    </cfRule>
  </conditionalFormatting>
  <conditionalFormatting sqref="B53:K53">
    <cfRule type="cellIs" dxfId="745" priority="68" operator="lessThan">
      <formula>40</formula>
    </cfRule>
    <cfRule type="cellIs" dxfId="744" priority="69" operator="greaterThan">
      <formula>80</formula>
    </cfRule>
  </conditionalFormatting>
  <conditionalFormatting sqref="E53:E69 J53:J69">
    <cfRule type="cellIs" dxfId="743" priority="67" operator="greaterThan">
      <formula>80</formula>
    </cfRule>
  </conditionalFormatting>
  <conditionalFormatting sqref="D53:D69 I53:I69">
    <cfRule type="cellIs" dxfId="742" priority="66" operator="greaterThan">
      <formula>80</formula>
    </cfRule>
  </conditionalFormatting>
  <conditionalFormatting sqref="C53:C69 H53:H69">
    <cfRule type="cellIs" dxfId="741" priority="65" operator="greaterThan">
      <formula>80</formula>
    </cfRule>
  </conditionalFormatting>
  <conditionalFormatting sqref="L53:P53">
    <cfRule type="cellIs" dxfId="740" priority="63" operator="lessThan">
      <formula>40</formula>
    </cfRule>
    <cfRule type="cellIs" dxfId="739" priority="64" operator="greaterThan">
      <formula>80</formula>
    </cfRule>
  </conditionalFormatting>
  <conditionalFormatting sqref="O53:O69">
    <cfRule type="cellIs" dxfId="738" priority="62" operator="greaterThan">
      <formula>80</formula>
    </cfRule>
  </conditionalFormatting>
  <conditionalFormatting sqref="N53:N69">
    <cfRule type="cellIs" dxfId="737" priority="61" operator="greaterThan">
      <formula>80</formula>
    </cfRule>
  </conditionalFormatting>
  <conditionalFormatting sqref="M53:M69">
    <cfRule type="cellIs" dxfId="736" priority="60" operator="greaterThan">
      <formula>80</formula>
    </cfRule>
  </conditionalFormatting>
  <conditionalFormatting sqref="S53:S69">
    <cfRule type="cellIs" dxfId="735" priority="58" operator="lessThan">
      <formula>40</formula>
    </cfRule>
    <cfRule type="cellIs" dxfId="734" priority="59" operator="greaterThan">
      <formula>80</formula>
    </cfRule>
  </conditionalFormatting>
  <conditionalFormatting sqref="T25:Z51 T52:V69 Z52:Z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2:W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2:X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2:Y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K69">
    <cfRule type="cellIs" dxfId="733" priority="28" operator="lessThan">
      <formula>40</formula>
    </cfRule>
    <cfRule type="cellIs" dxfId="732" priority="29" operator="greaterThan">
      <formula>80</formula>
    </cfRule>
  </conditionalFormatting>
  <conditionalFormatting sqref="L54:P69">
    <cfRule type="cellIs" dxfId="731" priority="26" operator="lessThan">
      <formula>40</formula>
    </cfRule>
    <cfRule type="cellIs" dxfId="730" priority="27" operator="greaterThan">
      <formula>80</formula>
    </cfRule>
  </conditionalFormatting>
  <conditionalFormatting sqref="BA4 AU4">
    <cfRule type="cellIs" dxfId="729" priority="3" operator="lessThan">
      <formula>40</formula>
    </cfRule>
    <cfRule type="cellIs" dxfId="728" priority="4" operator="greaterThan">
      <formula>80</formula>
    </cfRule>
  </conditionalFormatting>
  <conditionalFormatting sqref="B4:AT4">
    <cfRule type="cellIs" dxfId="727" priority="1" operator="lessThan">
      <formula>40</formula>
    </cfRule>
    <cfRule type="cellIs" dxfId="726" priority="2" operator="greaterThan">
      <formula>80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419CC-E6C0-48A3-B42B-3921DF6EA3B8}">
  <sheetPr>
    <tabColor rgb="FF00B050"/>
  </sheetPr>
  <dimension ref="A1:AQ12"/>
  <sheetViews>
    <sheetView workbookViewId="0">
      <selection activeCell="B11" sqref="B11:J11"/>
    </sheetView>
  </sheetViews>
  <sheetFormatPr defaultRowHeight="15" x14ac:dyDescent="0.25"/>
  <cols>
    <col min="1" max="1" width="10.7109375" bestFit="1" customWidth="1"/>
  </cols>
  <sheetData>
    <row r="1" spans="1:43" ht="14.45" customHeight="1" x14ac:dyDescent="0.25">
      <c r="B1" t="s">
        <v>131</v>
      </c>
      <c r="C1" s="41" t="s">
        <v>132</v>
      </c>
      <c r="D1" s="42" t="s">
        <v>133</v>
      </c>
      <c r="E1" s="41" t="s">
        <v>134</v>
      </c>
      <c r="F1" s="42" t="s">
        <v>135</v>
      </c>
      <c r="G1" s="42" t="s">
        <v>136</v>
      </c>
      <c r="H1" s="41" t="s">
        <v>137</v>
      </c>
      <c r="I1" s="183" t="s">
        <v>138</v>
      </c>
      <c r="J1" s="183" t="s">
        <v>139</v>
      </c>
      <c r="K1" s="181" t="s">
        <v>140</v>
      </c>
      <c r="L1" s="182" t="s">
        <v>141</v>
      </c>
      <c r="M1" t="s">
        <v>131</v>
      </c>
      <c r="N1" s="41" t="s">
        <v>132</v>
      </c>
      <c r="O1" s="42" t="s">
        <v>133</v>
      </c>
      <c r="P1" s="41" t="s">
        <v>134</v>
      </c>
      <c r="Q1" s="42" t="s">
        <v>135</v>
      </c>
      <c r="R1" s="42" t="s">
        <v>136</v>
      </c>
      <c r="S1" s="41" t="s">
        <v>137</v>
      </c>
      <c r="T1" s="183" t="s">
        <v>138</v>
      </c>
      <c r="U1" s="183" t="s">
        <v>139</v>
      </c>
      <c r="V1" s="181" t="s">
        <v>140</v>
      </c>
      <c r="W1" s="181" t="s">
        <v>141</v>
      </c>
      <c r="X1" t="s">
        <v>131</v>
      </c>
      <c r="Y1" s="41" t="s">
        <v>132</v>
      </c>
      <c r="Z1" s="42" t="s">
        <v>133</v>
      </c>
      <c r="AA1" s="41" t="s">
        <v>134</v>
      </c>
      <c r="AB1" s="42" t="s">
        <v>135</v>
      </c>
      <c r="AC1" s="42" t="s">
        <v>136</v>
      </c>
      <c r="AD1" s="41" t="s">
        <v>137</v>
      </c>
      <c r="AE1" s="183" t="s">
        <v>138</v>
      </c>
      <c r="AF1" s="183" t="s">
        <v>139</v>
      </c>
      <c r="AG1" s="181" t="s">
        <v>140</v>
      </c>
      <c r="AH1" s="181" t="s">
        <v>141</v>
      </c>
      <c r="AI1" s="1564" t="s">
        <v>142</v>
      </c>
      <c r="AJ1" s="1545"/>
      <c r="AK1" s="1562"/>
      <c r="AL1" s="1564" t="s">
        <v>143</v>
      </c>
      <c r="AM1" s="1545"/>
      <c r="AN1" s="1562"/>
      <c r="AO1" s="1570" t="s">
        <v>62</v>
      </c>
      <c r="AP1" s="1571"/>
      <c r="AQ1" s="1571"/>
    </row>
    <row r="2" spans="1:43" ht="30" x14ac:dyDescent="0.25">
      <c r="A2" t="s">
        <v>22</v>
      </c>
      <c r="B2" t="s">
        <v>23</v>
      </c>
      <c r="C2" s="181" t="s">
        <v>75</v>
      </c>
      <c r="D2" s="183" t="s">
        <v>75</v>
      </c>
      <c r="E2" s="181" t="s">
        <v>75</v>
      </c>
      <c r="F2" s="183" t="s">
        <v>75</v>
      </c>
      <c r="G2" s="183" t="s">
        <v>75</v>
      </c>
      <c r="H2" s="181" t="s">
        <v>75</v>
      </c>
      <c r="I2" s="183" t="s">
        <v>75</v>
      </c>
      <c r="J2" s="183" t="s">
        <v>75</v>
      </c>
      <c r="K2" s="181" t="s">
        <v>75</v>
      </c>
      <c r="L2" s="181" t="s">
        <v>75</v>
      </c>
      <c r="M2" s="216" t="s">
        <v>24</v>
      </c>
      <c r="N2" s="183" t="s">
        <v>24</v>
      </c>
      <c r="O2" s="183" t="s">
        <v>24</v>
      </c>
      <c r="P2" s="183" t="s">
        <v>24</v>
      </c>
      <c r="Q2" s="183" t="s">
        <v>24</v>
      </c>
      <c r="R2" s="183" t="s">
        <v>24</v>
      </c>
      <c r="S2" s="183" t="s">
        <v>24</v>
      </c>
      <c r="T2" s="183" t="s">
        <v>24</v>
      </c>
      <c r="U2" s="183" t="s">
        <v>24</v>
      </c>
      <c r="V2" s="183" t="s">
        <v>24</v>
      </c>
      <c r="W2" s="217" t="s">
        <v>24</v>
      </c>
      <c r="X2" s="1066" t="s">
        <v>25</v>
      </c>
      <c r="Y2" s="183" t="s">
        <v>25</v>
      </c>
      <c r="Z2" s="183" t="s">
        <v>25</v>
      </c>
      <c r="AA2" s="183" t="s">
        <v>25</v>
      </c>
      <c r="AB2" s="183" t="s">
        <v>25</v>
      </c>
      <c r="AC2" s="183" t="s">
        <v>25</v>
      </c>
      <c r="AD2" s="183" t="s">
        <v>25</v>
      </c>
      <c r="AE2" s="183" t="s">
        <v>25</v>
      </c>
      <c r="AF2" s="183" t="s">
        <v>25</v>
      </c>
      <c r="AG2" s="183" t="s">
        <v>25</v>
      </c>
      <c r="AH2" s="183" t="s">
        <v>25</v>
      </c>
      <c r="AI2" s="183" t="s">
        <v>75</v>
      </c>
      <c r="AJ2" s="183" t="s">
        <v>24</v>
      </c>
      <c r="AK2" s="183" t="s">
        <v>25</v>
      </c>
      <c r="AL2" s="181" t="s">
        <v>75</v>
      </c>
      <c r="AM2" s="183" t="s">
        <v>24</v>
      </c>
      <c r="AN2" s="183" t="s">
        <v>25</v>
      </c>
      <c r="AO2" s="181" t="s">
        <v>75</v>
      </c>
      <c r="AP2" s="183" t="s">
        <v>24</v>
      </c>
      <c r="AQ2" s="183" t="s">
        <v>25</v>
      </c>
    </row>
    <row r="3" spans="1:43" x14ac:dyDescent="0.25">
      <c r="A3" s="10">
        <v>44593</v>
      </c>
      <c r="B3" s="14">
        <v>69</v>
      </c>
      <c r="C3" s="7">
        <v>95</v>
      </c>
      <c r="D3" s="7">
        <v>41</v>
      </c>
      <c r="E3" s="7">
        <v>171</v>
      </c>
      <c r="F3" s="7">
        <v>33</v>
      </c>
      <c r="G3" s="7">
        <v>55</v>
      </c>
      <c r="H3" s="7">
        <v>70</v>
      </c>
      <c r="I3" s="7">
        <v>203</v>
      </c>
      <c r="J3" s="7">
        <v>60</v>
      </c>
      <c r="K3" s="7">
        <v>9</v>
      </c>
      <c r="L3" s="8">
        <v>0</v>
      </c>
      <c r="M3" s="14">
        <v>45</v>
      </c>
      <c r="N3" s="7">
        <v>53</v>
      </c>
      <c r="O3" s="7">
        <v>30</v>
      </c>
      <c r="P3" s="7">
        <v>142</v>
      </c>
      <c r="Q3" s="7">
        <v>19</v>
      </c>
      <c r="R3" s="7">
        <v>22</v>
      </c>
      <c r="S3" s="7">
        <v>59</v>
      </c>
      <c r="T3" s="7">
        <v>144</v>
      </c>
      <c r="U3" s="7">
        <v>56</v>
      </c>
      <c r="V3" s="7">
        <v>11</v>
      </c>
      <c r="W3" s="8">
        <v>0</v>
      </c>
      <c r="X3" s="14">
        <v>54</v>
      </c>
      <c r="Y3" s="7">
        <v>79</v>
      </c>
      <c r="Z3" s="7">
        <v>60</v>
      </c>
      <c r="AA3" s="7">
        <v>92</v>
      </c>
      <c r="AB3" s="7">
        <v>34</v>
      </c>
      <c r="AC3" s="7">
        <v>37</v>
      </c>
      <c r="AD3" s="7">
        <v>71</v>
      </c>
      <c r="AE3" s="7">
        <v>197</v>
      </c>
      <c r="AF3" s="7">
        <v>52</v>
      </c>
      <c r="AG3" s="7">
        <v>25</v>
      </c>
      <c r="AH3" s="8">
        <v>0</v>
      </c>
      <c r="AI3" s="7">
        <v>93</v>
      </c>
      <c r="AJ3" s="7">
        <v>64</v>
      </c>
      <c r="AK3" s="8">
        <v>82</v>
      </c>
      <c r="AL3" s="9">
        <v>1035</v>
      </c>
      <c r="AM3">
        <v>1122</v>
      </c>
      <c r="AN3" s="49">
        <v>1035</v>
      </c>
      <c r="AO3" s="16">
        <f t="shared" ref="AO3:AQ12" si="0">((AL3/37.5)/0.83)*(AI3/100)</f>
        <v>30.925301204819281</v>
      </c>
      <c r="AP3" s="11">
        <f t="shared" si="0"/>
        <v>23.070843373493975</v>
      </c>
      <c r="AQ3" s="1355">
        <f t="shared" si="0"/>
        <v>27.267469879518071</v>
      </c>
    </row>
    <row r="4" spans="1:43" x14ac:dyDescent="0.25">
      <c r="A4" s="10">
        <v>44617</v>
      </c>
      <c r="B4" s="14">
        <v>56</v>
      </c>
      <c r="C4" s="7">
        <v>88</v>
      </c>
      <c r="D4" s="7">
        <v>38</v>
      </c>
      <c r="E4" s="7">
        <v>176</v>
      </c>
      <c r="F4" s="7">
        <v>42</v>
      </c>
      <c r="G4" s="7">
        <v>41</v>
      </c>
      <c r="H4" s="7">
        <v>73</v>
      </c>
      <c r="I4" s="7">
        <v>204</v>
      </c>
      <c r="J4" s="7">
        <v>66</v>
      </c>
      <c r="K4" s="7">
        <v>11</v>
      </c>
      <c r="L4" s="8">
        <v>0</v>
      </c>
      <c r="M4" s="14">
        <v>41</v>
      </c>
      <c r="N4" s="7">
        <v>54</v>
      </c>
      <c r="O4" s="7">
        <v>37</v>
      </c>
      <c r="P4" s="7">
        <v>177</v>
      </c>
      <c r="Q4" s="7">
        <v>13</v>
      </c>
      <c r="R4" s="7">
        <v>22</v>
      </c>
      <c r="S4" s="7">
        <v>49</v>
      </c>
      <c r="T4" s="7">
        <v>160</v>
      </c>
      <c r="U4" s="7">
        <v>43</v>
      </c>
      <c r="V4" s="7">
        <v>18</v>
      </c>
      <c r="W4" s="8">
        <v>0</v>
      </c>
      <c r="X4" s="14">
        <v>65</v>
      </c>
      <c r="Y4" s="7">
        <v>100</v>
      </c>
      <c r="Z4" s="7">
        <v>62</v>
      </c>
      <c r="AA4" s="7">
        <v>94</v>
      </c>
      <c r="AB4" s="7">
        <v>42</v>
      </c>
      <c r="AC4" s="7">
        <v>38</v>
      </c>
      <c r="AD4" s="7">
        <v>72</v>
      </c>
      <c r="AE4" s="7">
        <v>198</v>
      </c>
      <c r="AF4" s="7">
        <v>52</v>
      </c>
      <c r="AG4" s="7">
        <v>18</v>
      </c>
      <c r="AH4" s="8">
        <v>0</v>
      </c>
      <c r="AI4" s="7">
        <v>115</v>
      </c>
      <c r="AJ4" s="7">
        <v>73</v>
      </c>
      <c r="AK4" s="8">
        <v>105</v>
      </c>
      <c r="AL4" s="9">
        <v>892</v>
      </c>
      <c r="AM4">
        <v>945</v>
      </c>
      <c r="AN4" s="49">
        <v>864</v>
      </c>
      <c r="AO4" s="16">
        <f t="shared" si="0"/>
        <v>32.957429718875503</v>
      </c>
      <c r="AP4" s="11">
        <f t="shared" si="0"/>
        <v>22.163855421686748</v>
      </c>
      <c r="AQ4" s="1355">
        <f t="shared" si="0"/>
        <v>29.14698795180723</v>
      </c>
    </row>
    <row r="5" spans="1:43" x14ac:dyDescent="0.25">
      <c r="A5" s="10">
        <v>44655</v>
      </c>
      <c r="B5" s="14">
        <v>50</v>
      </c>
      <c r="C5" s="7">
        <v>71</v>
      </c>
      <c r="D5" s="7">
        <v>41</v>
      </c>
      <c r="E5" s="7">
        <v>245</v>
      </c>
      <c r="F5" s="7">
        <v>23</v>
      </c>
      <c r="G5" s="7">
        <v>37</v>
      </c>
      <c r="H5" s="7">
        <v>60</v>
      </c>
      <c r="I5" s="7">
        <v>175</v>
      </c>
      <c r="J5" s="7">
        <v>62</v>
      </c>
      <c r="K5" s="7">
        <v>17</v>
      </c>
      <c r="L5" s="8">
        <v>0</v>
      </c>
      <c r="M5" s="14">
        <v>48</v>
      </c>
      <c r="N5" s="7">
        <v>32</v>
      </c>
      <c r="O5" s="7">
        <v>39</v>
      </c>
      <c r="P5" s="7">
        <v>97</v>
      </c>
      <c r="Q5" s="7">
        <v>29</v>
      </c>
      <c r="R5" s="7">
        <v>31</v>
      </c>
      <c r="S5" s="7">
        <v>51</v>
      </c>
      <c r="T5" s="7">
        <v>176</v>
      </c>
      <c r="U5" s="7">
        <v>43</v>
      </c>
      <c r="V5" s="7">
        <v>18</v>
      </c>
      <c r="W5" s="8">
        <v>0</v>
      </c>
      <c r="X5" s="14">
        <v>58</v>
      </c>
      <c r="Y5" s="7">
        <v>78</v>
      </c>
      <c r="Z5" s="7">
        <v>53</v>
      </c>
      <c r="AA5" s="7">
        <v>91</v>
      </c>
      <c r="AB5" s="7">
        <v>43</v>
      </c>
      <c r="AC5" s="7">
        <v>37</v>
      </c>
      <c r="AD5" s="7">
        <v>69</v>
      </c>
      <c r="AE5" s="7">
        <v>183</v>
      </c>
      <c r="AF5" s="7">
        <v>55</v>
      </c>
      <c r="AG5" s="7">
        <v>18</v>
      </c>
      <c r="AH5" s="8">
        <v>0</v>
      </c>
      <c r="AI5" s="7">
        <v>100</v>
      </c>
      <c r="AJ5" s="7">
        <v>73</v>
      </c>
      <c r="AK5" s="8">
        <v>92</v>
      </c>
      <c r="AL5" s="9">
        <v>888</v>
      </c>
      <c r="AM5">
        <v>990</v>
      </c>
      <c r="AN5" s="49">
        <v>883</v>
      </c>
      <c r="AO5" s="16">
        <f t="shared" si="0"/>
        <v>28.53012048192771</v>
      </c>
      <c r="AP5" s="11">
        <f t="shared" si="0"/>
        <v>23.219277108433737</v>
      </c>
      <c r="AQ5" s="1355">
        <f t="shared" si="0"/>
        <v>26.099919678714862</v>
      </c>
    </row>
    <row r="6" spans="1:43" x14ac:dyDescent="0.25">
      <c r="A6" s="10">
        <v>44714</v>
      </c>
      <c r="B6" s="14">
        <v>39</v>
      </c>
      <c r="C6" s="7">
        <v>69</v>
      </c>
      <c r="D6" s="7">
        <v>30</v>
      </c>
      <c r="E6" s="7">
        <v>196</v>
      </c>
      <c r="F6" s="7">
        <v>12</v>
      </c>
      <c r="G6" s="7">
        <v>27</v>
      </c>
      <c r="H6" s="7">
        <v>40</v>
      </c>
      <c r="I6" s="7">
        <v>142</v>
      </c>
      <c r="J6" s="7">
        <v>30</v>
      </c>
      <c r="K6" s="7">
        <v>14</v>
      </c>
      <c r="L6" s="8">
        <v>0</v>
      </c>
      <c r="M6" s="14">
        <v>41</v>
      </c>
      <c r="N6" s="7">
        <v>76</v>
      </c>
      <c r="O6" s="7">
        <v>54</v>
      </c>
      <c r="P6" s="7">
        <v>139</v>
      </c>
      <c r="Q6" s="7">
        <v>39</v>
      </c>
      <c r="R6" s="7">
        <v>31</v>
      </c>
      <c r="S6" s="7">
        <v>57</v>
      </c>
      <c r="T6" s="7">
        <v>161</v>
      </c>
      <c r="U6" s="7">
        <v>38</v>
      </c>
      <c r="V6" s="7">
        <v>23</v>
      </c>
      <c r="W6" s="8">
        <v>0</v>
      </c>
      <c r="X6" s="14">
        <v>47</v>
      </c>
      <c r="Y6" s="7">
        <v>82</v>
      </c>
      <c r="Z6" s="7">
        <v>34</v>
      </c>
      <c r="AA6" s="7">
        <v>99</v>
      </c>
      <c r="AB6" s="7">
        <v>21</v>
      </c>
      <c r="AC6" s="7">
        <v>34</v>
      </c>
      <c r="AD6" s="7">
        <v>70</v>
      </c>
      <c r="AE6" s="7">
        <v>170</v>
      </c>
      <c r="AF6" s="7">
        <v>49</v>
      </c>
      <c r="AG6" s="7">
        <v>20</v>
      </c>
      <c r="AH6" s="8">
        <v>0</v>
      </c>
      <c r="AI6" s="7">
        <v>67</v>
      </c>
      <c r="AJ6" s="7">
        <v>75</v>
      </c>
      <c r="AK6" s="8">
        <v>72</v>
      </c>
      <c r="AL6" s="9">
        <v>1105</v>
      </c>
      <c r="AM6">
        <v>1122</v>
      </c>
      <c r="AN6" s="49">
        <v>1008</v>
      </c>
      <c r="AO6" s="16">
        <f t="shared" si="0"/>
        <v>23.786345381526107</v>
      </c>
      <c r="AP6" s="11">
        <f t="shared" si="0"/>
        <v>27.036144578313255</v>
      </c>
      <c r="AQ6" s="1355">
        <f t="shared" si="0"/>
        <v>23.317590361445781</v>
      </c>
    </row>
    <row r="7" spans="1:43" x14ac:dyDescent="0.25">
      <c r="A7" s="10">
        <v>44753</v>
      </c>
      <c r="B7" s="14">
        <v>26</v>
      </c>
      <c r="C7" s="7">
        <v>35</v>
      </c>
      <c r="D7" s="7">
        <v>43</v>
      </c>
      <c r="E7" s="7">
        <v>215</v>
      </c>
      <c r="F7" s="7">
        <v>26</v>
      </c>
      <c r="G7" s="7">
        <v>19</v>
      </c>
      <c r="H7" s="7">
        <v>52</v>
      </c>
      <c r="I7" s="7">
        <v>191</v>
      </c>
      <c r="J7" s="7">
        <v>22</v>
      </c>
      <c r="K7" s="7">
        <v>18</v>
      </c>
      <c r="L7" s="8">
        <v>0</v>
      </c>
      <c r="M7" s="14">
        <v>46</v>
      </c>
      <c r="N7" s="7">
        <v>134</v>
      </c>
      <c r="O7" s="7">
        <v>91</v>
      </c>
      <c r="P7" s="7">
        <v>69</v>
      </c>
      <c r="Q7" s="7">
        <v>40</v>
      </c>
      <c r="R7" s="7">
        <v>35</v>
      </c>
      <c r="S7" s="7">
        <v>90</v>
      </c>
      <c r="T7" s="7">
        <v>201</v>
      </c>
      <c r="U7" s="7">
        <v>45</v>
      </c>
      <c r="V7" s="7">
        <v>34</v>
      </c>
      <c r="W7" s="8">
        <v>0</v>
      </c>
      <c r="X7" s="14">
        <v>33</v>
      </c>
      <c r="Y7" s="7">
        <v>55</v>
      </c>
      <c r="Z7" s="7">
        <v>22</v>
      </c>
      <c r="AA7" s="7">
        <v>87</v>
      </c>
      <c r="AB7" s="7">
        <v>8</v>
      </c>
      <c r="AC7" s="7">
        <v>32</v>
      </c>
      <c r="AD7" s="7">
        <v>74</v>
      </c>
      <c r="AE7" s="7">
        <v>173</v>
      </c>
      <c r="AF7" s="7">
        <v>49</v>
      </c>
      <c r="AG7" s="7">
        <v>21</v>
      </c>
      <c r="AH7" s="8">
        <v>0</v>
      </c>
      <c r="AI7" s="7">
        <v>68</v>
      </c>
      <c r="AJ7" s="7">
        <v>99</v>
      </c>
      <c r="AK7" s="8">
        <v>61</v>
      </c>
      <c r="AL7" s="9">
        <v>1140</v>
      </c>
      <c r="AM7">
        <v>947</v>
      </c>
      <c r="AN7" s="49">
        <v>1079</v>
      </c>
      <c r="AO7" s="16">
        <f t="shared" si="0"/>
        <v>24.906024096385543</v>
      </c>
      <c r="AP7" s="11">
        <f t="shared" si="0"/>
        <v>30.121445783132533</v>
      </c>
      <c r="AQ7" s="1355">
        <f t="shared" si="0"/>
        <v>21.146666666666668</v>
      </c>
    </row>
    <row r="8" spans="1:43" x14ac:dyDescent="0.25">
      <c r="A8" s="10">
        <v>44774</v>
      </c>
      <c r="B8" s="14">
        <v>37</v>
      </c>
      <c r="C8" s="7">
        <v>57</v>
      </c>
      <c r="D8" s="7">
        <v>45</v>
      </c>
      <c r="E8" s="7">
        <v>176</v>
      </c>
      <c r="F8" s="7">
        <v>38</v>
      </c>
      <c r="G8" s="7">
        <v>22</v>
      </c>
      <c r="H8" s="7">
        <v>62</v>
      </c>
      <c r="I8" s="7">
        <v>152</v>
      </c>
      <c r="J8" s="7">
        <v>29</v>
      </c>
      <c r="K8" s="7">
        <v>25</v>
      </c>
      <c r="L8" s="8">
        <v>0</v>
      </c>
      <c r="M8" s="14">
        <v>48</v>
      </c>
      <c r="N8" s="7">
        <v>104</v>
      </c>
      <c r="O8" s="7">
        <v>66</v>
      </c>
      <c r="P8" s="7">
        <v>74</v>
      </c>
      <c r="Q8" s="7">
        <v>35</v>
      </c>
      <c r="R8" s="7">
        <v>31</v>
      </c>
      <c r="S8" s="7">
        <v>43</v>
      </c>
      <c r="T8" s="7">
        <v>93</v>
      </c>
      <c r="U8" s="7">
        <v>41</v>
      </c>
      <c r="V8" s="7">
        <v>0</v>
      </c>
      <c r="W8" s="8">
        <v>0</v>
      </c>
      <c r="X8" s="14">
        <v>31</v>
      </c>
      <c r="Y8" s="7">
        <v>42</v>
      </c>
      <c r="Z8" s="7">
        <v>28</v>
      </c>
      <c r="AA8" s="7">
        <v>85</v>
      </c>
      <c r="AB8" s="7">
        <v>8</v>
      </c>
      <c r="AC8" s="7">
        <v>31</v>
      </c>
      <c r="AD8" s="7">
        <v>42</v>
      </c>
      <c r="AE8" s="7">
        <v>92</v>
      </c>
      <c r="AF8" s="7">
        <v>46</v>
      </c>
      <c r="AG8" s="7">
        <v>0</v>
      </c>
      <c r="AH8" s="8">
        <v>0</v>
      </c>
      <c r="AI8" s="7">
        <v>73</v>
      </c>
      <c r="AJ8" s="7">
        <v>68</v>
      </c>
      <c r="AK8" s="8">
        <v>43</v>
      </c>
      <c r="AL8" s="9">
        <v>1122</v>
      </c>
      <c r="AM8">
        <v>947</v>
      </c>
      <c r="AN8" s="49">
        <v>1087</v>
      </c>
      <c r="AO8" s="16">
        <f t="shared" si="0"/>
        <v>26.315180722891565</v>
      </c>
      <c r="AP8" s="11">
        <f t="shared" si="0"/>
        <v>20.689477911646588</v>
      </c>
      <c r="AQ8" s="1355">
        <f t="shared" si="0"/>
        <v>15.017188755020081</v>
      </c>
    </row>
    <row r="9" spans="1:43" x14ac:dyDescent="0.25">
      <c r="A9" s="10">
        <v>44805</v>
      </c>
      <c r="B9" s="14">
        <v>46</v>
      </c>
      <c r="C9" s="7">
        <v>73</v>
      </c>
      <c r="D9" s="7">
        <v>52</v>
      </c>
      <c r="E9" s="7">
        <v>159</v>
      </c>
      <c r="F9" s="7">
        <v>51</v>
      </c>
      <c r="G9" s="7">
        <v>22</v>
      </c>
      <c r="H9" s="7">
        <v>84</v>
      </c>
      <c r="I9" s="7">
        <v>178</v>
      </c>
      <c r="J9" s="7">
        <v>25</v>
      </c>
      <c r="K9" s="7">
        <v>25</v>
      </c>
      <c r="L9" s="8">
        <v>0</v>
      </c>
      <c r="M9" s="14">
        <v>60</v>
      </c>
      <c r="N9" s="7">
        <v>102</v>
      </c>
      <c r="O9" s="7">
        <v>46</v>
      </c>
      <c r="P9" s="7">
        <v>88</v>
      </c>
      <c r="Q9" s="7">
        <v>20</v>
      </c>
      <c r="R9" s="7">
        <v>36</v>
      </c>
      <c r="S9" s="7">
        <v>84</v>
      </c>
      <c r="T9" s="7">
        <v>174</v>
      </c>
      <c r="U9" s="7">
        <v>51</v>
      </c>
      <c r="V9" s="7">
        <v>29</v>
      </c>
      <c r="W9" s="8">
        <v>0</v>
      </c>
      <c r="X9" s="14">
        <v>37</v>
      </c>
      <c r="Y9" s="7">
        <v>37</v>
      </c>
      <c r="Z9" s="7">
        <v>25</v>
      </c>
      <c r="AA9" s="7">
        <v>73</v>
      </c>
      <c r="AB9" s="7">
        <v>10</v>
      </c>
      <c r="AC9" s="7">
        <v>29</v>
      </c>
      <c r="AD9" s="7">
        <v>81</v>
      </c>
      <c r="AE9" s="7">
        <v>159</v>
      </c>
      <c r="AF9" s="7">
        <v>42</v>
      </c>
      <c r="AG9" s="7">
        <v>25</v>
      </c>
      <c r="AH9" s="8">
        <v>0</v>
      </c>
      <c r="AI9" s="7">
        <v>100</v>
      </c>
      <c r="AJ9" s="7">
        <v>102</v>
      </c>
      <c r="AK9" s="8">
        <v>70</v>
      </c>
      <c r="AL9" s="9">
        <v>914</v>
      </c>
      <c r="AM9">
        <v>757</v>
      </c>
      <c r="AN9" s="49">
        <v>892</v>
      </c>
      <c r="AO9" s="16">
        <f t="shared" si="0"/>
        <v>29.365461847389561</v>
      </c>
      <c r="AP9" s="11">
        <f t="shared" si="0"/>
        <v>24.807710843373496</v>
      </c>
      <c r="AQ9" s="1355">
        <f t="shared" si="0"/>
        <v>20.061044176706826</v>
      </c>
    </row>
    <row r="10" spans="1:43" x14ac:dyDescent="0.25">
      <c r="A10" s="10">
        <v>44838</v>
      </c>
      <c r="B10" s="14">
        <v>57</v>
      </c>
      <c r="C10" s="7">
        <v>92</v>
      </c>
      <c r="D10" s="7">
        <v>36</v>
      </c>
      <c r="E10" s="7">
        <v>57</v>
      </c>
      <c r="F10" s="7">
        <v>49</v>
      </c>
      <c r="G10" s="7">
        <v>27</v>
      </c>
      <c r="H10" s="7">
        <v>88</v>
      </c>
      <c r="I10" s="7">
        <v>178</v>
      </c>
      <c r="J10" s="7">
        <v>42</v>
      </c>
      <c r="K10" s="7">
        <v>41</v>
      </c>
      <c r="L10" s="8">
        <v>0</v>
      </c>
      <c r="M10" s="14">
        <v>26</v>
      </c>
      <c r="N10" s="7">
        <v>61</v>
      </c>
      <c r="O10" s="7">
        <v>31</v>
      </c>
      <c r="P10" s="7">
        <v>39</v>
      </c>
      <c r="Q10" s="7">
        <v>9</v>
      </c>
      <c r="R10" s="7">
        <v>32</v>
      </c>
      <c r="S10" s="7">
        <v>54</v>
      </c>
      <c r="T10" s="7">
        <v>99</v>
      </c>
      <c r="U10" s="7">
        <v>37</v>
      </c>
      <c r="V10" s="7">
        <v>19</v>
      </c>
      <c r="W10" s="8">
        <v>0</v>
      </c>
      <c r="X10" s="14">
        <v>21</v>
      </c>
      <c r="Y10" s="7">
        <v>37</v>
      </c>
      <c r="Z10" s="7">
        <v>19</v>
      </c>
      <c r="AA10" s="7">
        <v>36</v>
      </c>
      <c r="AB10" s="7">
        <v>13</v>
      </c>
      <c r="AC10" s="7">
        <v>27</v>
      </c>
      <c r="AD10" s="7">
        <v>51</v>
      </c>
      <c r="AE10" s="7">
        <v>86</v>
      </c>
      <c r="AF10" s="7">
        <v>32</v>
      </c>
      <c r="AG10" s="7">
        <v>26</v>
      </c>
      <c r="AH10" s="8">
        <v>0</v>
      </c>
      <c r="AI10" s="7">
        <v>93</v>
      </c>
      <c r="AJ10" s="7">
        <v>55</v>
      </c>
      <c r="AK10" s="8">
        <v>47</v>
      </c>
      <c r="AL10" s="9">
        <v>822</v>
      </c>
      <c r="AM10">
        <v>944</v>
      </c>
      <c r="AN10" s="49">
        <v>960</v>
      </c>
      <c r="AO10" s="16">
        <f t="shared" si="0"/>
        <v>24.560963855421694</v>
      </c>
      <c r="AP10" s="11">
        <f t="shared" si="0"/>
        <v>16.68112449799197</v>
      </c>
      <c r="AQ10" s="1355">
        <f t="shared" si="0"/>
        <v>14.496385542168676</v>
      </c>
    </row>
    <row r="11" spans="1:43" x14ac:dyDescent="0.25">
      <c r="A11" s="10">
        <v>44868</v>
      </c>
      <c r="B11" s="14">
        <v>38</v>
      </c>
      <c r="C11" s="7">
        <v>80</v>
      </c>
      <c r="D11" s="7">
        <v>17</v>
      </c>
      <c r="E11" s="7">
        <v>55</v>
      </c>
      <c r="F11" s="7">
        <v>32</v>
      </c>
      <c r="G11" s="7">
        <v>29</v>
      </c>
      <c r="H11" s="7">
        <v>45</v>
      </c>
      <c r="I11" s="7">
        <v>153</v>
      </c>
      <c r="J11" s="7">
        <v>42</v>
      </c>
      <c r="K11" s="7">
        <v>11</v>
      </c>
      <c r="L11" s="8">
        <v>0</v>
      </c>
      <c r="M11" s="14">
        <v>35</v>
      </c>
      <c r="N11" s="7">
        <v>42</v>
      </c>
      <c r="O11" s="7">
        <v>26</v>
      </c>
      <c r="P11" s="7">
        <v>47</v>
      </c>
      <c r="Q11" s="7">
        <v>5</v>
      </c>
      <c r="R11" s="7">
        <v>14</v>
      </c>
      <c r="S11" s="7">
        <v>65</v>
      </c>
      <c r="T11" s="7">
        <v>104</v>
      </c>
      <c r="U11" s="7">
        <v>19</v>
      </c>
      <c r="V11" s="7">
        <v>12</v>
      </c>
      <c r="W11" s="8">
        <v>0</v>
      </c>
      <c r="X11" s="14">
        <v>35</v>
      </c>
      <c r="Y11" s="7">
        <v>36</v>
      </c>
      <c r="Z11" s="7">
        <v>38</v>
      </c>
      <c r="AA11" s="7">
        <v>19</v>
      </c>
      <c r="AB11" s="7">
        <v>3</v>
      </c>
      <c r="AC11" s="7">
        <v>7</v>
      </c>
      <c r="AD11" s="7">
        <v>63</v>
      </c>
      <c r="AE11" s="7">
        <v>85</v>
      </c>
      <c r="AF11" s="7">
        <v>10</v>
      </c>
      <c r="AG11" s="7">
        <v>0</v>
      </c>
      <c r="AH11" s="8">
        <v>0</v>
      </c>
      <c r="AI11" s="7">
        <v>76</v>
      </c>
      <c r="AJ11" s="7">
        <v>52</v>
      </c>
      <c r="AK11" s="8">
        <v>44</v>
      </c>
      <c r="AL11" s="9">
        <v>851</v>
      </c>
      <c r="AM11">
        <v>844</v>
      </c>
      <c r="AN11" s="49">
        <v>879</v>
      </c>
      <c r="AO11" s="16">
        <f t="shared" si="0"/>
        <v>20.779437751004014</v>
      </c>
      <c r="AP11" s="11">
        <f t="shared" si="0"/>
        <v>14.100562248995987</v>
      </c>
      <c r="AQ11" s="1355">
        <f t="shared" si="0"/>
        <v>12.426024096385543</v>
      </c>
    </row>
    <row r="12" spans="1:43" x14ac:dyDescent="0.25">
      <c r="AO12" s="16">
        <f>((AL12/37.5)/0.83)*(AI12/100)</f>
        <v>0</v>
      </c>
      <c r="AP12" s="11">
        <f t="shared" si="0"/>
        <v>0</v>
      </c>
      <c r="AQ12" s="1355">
        <f t="shared" si="0"/>
        <v>0</v>
      </c>
    </row>
  </sheetData>
  <mergeCells count="3">
    <mergeCell ref="AL1:AN1"/>
    <mergeCell ref="AI1:AK1"/>
    <mergeCell ref="AO1:AQ1"/>
  </mergeCells>
  <conditionalFormatting sqref="B3:AK4">
    <cfRule type="cellIs" dxfId="725" priority="21" operator="lessThan">
      <formula>40</formula>
    </cfRule>
    <cfRule type="cellIs" dxfId="724" priority="22" operator="greaterThan">
      <formula>80</formula>
    </cfRule>
  </conditionalFormatting>
  <conditionalFormatting sqref="B5:AK5">
    <cfRule type="cellIs" dxfId="723" priority="19" operator="lessThan">
      <formula>40</formula>
    </cfRule>
    <cfRule type="cellIs" dxfId="722" priority="20" operator="greaterThan">
      <formula>80</formula>
    </cfRule>
  </conditionalFormatting>
  <conditionalFormatting sqref="B6:AK6">
    <cfRule type="cellIs" dxfId="721" priority="17" operator="lessThan">
      <formula>40</formula>
    </cfRule>
    <cfRule type="cellIs" dxfId="720" priority="18" operator="greaterThan">
      <formula>80</formula>
    </cfRule>
  </conditionalFormatting>
  <conditionalFormatting sqref="B7:AK7">
    <cfRule type="cellIs" dxfId="719" priority="15" operator="lessThan">
      <formula>40</formula>
    </cfRule>
    <cfRule type="cellIs" dxfId="718" priority="16" operator="greaterThan">
      <formula>80</formula>
    </cfRule>
  </conditionalFormatting>
  <conditionalFormatting sqref="B8:AK8">
    <cfRule type="cellIs" dxfId="717" priority="13" operator="lessThan">
      <formula>40</formula>
    </cfRule>
    <cfRule type="cellIs" dxfId="716" priority="14" operator="greaterThan">
      <formula>80</formula>
    </cfRule>
  </conditionalFormatting>
  <conditionalFormatting sqref="AL3:AN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AK9">
    <cfRule type="cellIs" dxfId="715" priority="10" operator="lessThan">
      <formula>40</formula>
    </cfRule>
    <cfRule type="cellIs" dxfId="714" priority="11" operator="greaterThan">
      <formula>80</formula>
    </cfRule>
  </conditionalFormatting>
  <conditionalFormatting sqref="B10:AK10">
    <cfRule type="cellIs" dxfId="713" priority="8" operator="lessThan">
      <formula>40</formula>
    </cfRule>
    <cfRule type="cellIs" dxfId="712" priority="9" operator="greaterThan">
      <formula>80</formula>
    </cfRule>
  </conditionalFormatting>
  <conditionalFormatting sqref="AO3:AO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:AP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:AQ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AK11">
    <cfRule type="cellIs" dxfId="711" priority="1" operator="lessThan">
      <formula>40</formula>
    </cfRule>
    <cfRule type="cellIs" dxfId="710" priority="2" operator="greaterThan">
      <formula>80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4217F-96DF-4184-8BCE-A29EB9E4EF91}">
  <sheetPr>
    <tabColor rgb="FF00B050"/>
    <pageSetUpPr fitToPage="1"/>
  </sheetPr>
  <dimension ref="B2:BZ132"/>
  <sheetViews>
    <sheetView showGridLines="0" topLeftCell="A13" zoomScale="70" zoomScaleNormal="70" workbookViewId="0">
      <selection activeCell="C3" sqref="C3"/>
    </sheetView>
  </sheetViews>
  <sheetFormatPr defaultRowHeight="15" x14ac:dyDescent="0.25"/>
  <cols>
    <col min="1" max="1" width="2.85546875" customWidth="1"/>
    <col min="2" max="2" width="18.140625" bestFit="1" customWidth="1"/>
    <col min="4" max="4" width="9.140625" customWidth="1"/>
    <col min="12" max="12" width="2" customWidth="1"/>
    <col min="13" max="13" width="16.5703125" customWidth="1"/>
    <col min="14" max="14" width="2.28515625" customWidth="1"/>
    <col min="15" max="15" width="10.28515625" customWidth="1"/>
    <col min="16" max="16" width="2.5703125" customWidth="1"/>
    <col min="17" max="17" width="10.85546875" customWidth="1"/>
    <col min="18" max="18" width="3.28515625" customWidth="1"/>
    <col min="21" max="21" width="9.85546875" bestFit="1" customWidth="1"/>
    <col min="25" max="25" width="1.85546875" customWidth="1"/>
    <col min="29" max="29" width="2.28515625" customWidth="1"/>
    <col min="30" max="30" width="14.7109375" customWidth="1"/>
    <col min="31" max="31" width="1.7109375" customWidth="1"/>
    <col min="33" max="33" width="2.28515625" customWidth="1"/>
    <col min="35" max="35" width="2" customWidth="1"/>
    <col min="43" max="43" width="2" customWidth="1"/>
    <col min="44" max="44" width="17.5703125" customWidth="1"/>
    <col min="45" max="45" width="1.7109375" customWidth="1"/>
    <col min="46" max="46" width="10" customWidth="1"/>
    <col min="47" max="47" width="2.28515625" customWidth="1"/>
    <col min="48" max="48" width="14.140625" customWidth="1"/>
    <col min="49" max="49" width="2.7109375" customWidth="1"/>
    <col min="50" max="50" width="2.85546875" customWidth="1"/>
    <col min="58" max="58" width="2.5703125" customWidth="1"/>
    <col min="59" max="59" width="18" customWidth="1"/>
    <col min="60" max="60" width="1.5703125" customWidth="1"/>
    <col min="61" max="61" width="12.42578125" bestFit="1" customWidth="1"/>
    <col min="62" max="62" width="1.7109375" customWidth="1"/>
    <col min="63" max="63" width="13.85546875" customWidth="1"/>
    <col min="64" max="64" width="2.28515625" customWidth="1"/>
    <col min="65" max="65" width="2.7109375" customWidth="1"/>
    <col min="73" max="73" width="1.5703125" customWidth="1"/>
    <col min="74" max="74" width="16.140625" bestFit="1" customWidth="1"/>
    <col min="75" max="75" width="2.28515625" customWidth="1"/>
    <col min="76" max="76" width="9.7109375" customWidth="1"/>
    <col min="77" max="77" width="1.7109375" customWidth="1"/>
    <col min="78" max="78" width="11.5703125" customWidth="1"/>
  </cols>
  <sheetData>
    <row r="2" spans="2:63" ht="15" customHeight="1" x14ac:dyDescent="0.25">
      <c r="B2" s="23" t="s">
        <v>144</v>
      </c>
      <c r="C2" s="24">
        <v>0.16</v>
      </c>
      <c r="D2" s="1620" t="s">
        <v>145</v>
      </c>
      <c r="E2" s="1621" t="s">
        <v>146</v>
      </c>
      <c r="F2" s="1621"/>
      <c r="G2" s="1621"/>
      <c r="H2" s="1621"/>
      <c r="I2" s="1621"/>
      <c r="J2" s="1621"/>
      <c r="K2" s="1621"/>
      <c r="L2" s="1621"/>
      <c r="M2" s="1621"/>
      <c r="N2" s="1621"/>
      <c r="O2" s="1621"/>
      <c r="P2" s="1621"/>
      <c r="Q2" s="1621"/>
      <c r="R2" s="1621"/>
      <c r="T2" t="s">
        <v>22</v>
      </c>
      <c r="U2" s="1609">
        <v>44419</v>
      </c>
      <c r="V2" s="1609"/>
    </row>
    <row r="3" spans="2:63" ht="15" customHeight="1" x14ac:dyDescent="0.25">
      <c r="B3" s="25" t="s">
        <v>147</v>
      </c>
      <c r="C3" s="24">
        <v>0.25</v>
      </c>
      <c r="D3" s="1620"/>
      <c r="E3" s="1622" t="s">
        <v>148</v>
      </c>
      <c r="F3" s="1622"/>
      <c r="G3" s="1622"/>
      <c r="H3" s="1622"/>
      <c r="I3" s="1622"/>
      <c r="J3" s="1622"/>
      <c r="K3" s="1622"/>
      <c r="L3" s="1622"/>
      <c r="M3" s="1622"/>
      <c r="N3" s="1622"/>
      <c r="O3" s="1622"/>
      <c r="P3" s="1622"/>
      <c r="Q3" s="1622"/>
      <c r="R3" s="1622"/>
      <c r="U3" s="1609"/>
      <c r="V3" s="1609"/>
    </row>
    <row r="4" spans="2:63" ht="15" customHeight="1" x14ac:dyDescent="0.25">
      <c r="B4" s="26" t="s">
        <v>149</v>
      </c>
      <c r="C4" s="24">
        <v>0.2</v>
      </c>
      <c r="D4" s="1620"/>
      <c r="E4" s="1622"/>
      <c r="F4" s="1622"/>
      <c r="G4" s="1622"/>
      <c r="H4" s="1622"/>
      <c r="I4" s="1622"/>
      <c r="J4" s="1622"/>
      <c r="K4" s="1622"/>
      <c r="L4" s="1622"/>
      <c r="M4" s="1622"/>
      <c r="N4" s="1622"/>
      <c r="O4" s="1622"/>
      <c r="P4" s="1622"/>
      <c r="Q4" s="1622"/>
      <c r="R4" s="1622"/>
    </row>
    <row r="5" spans="2:63" ht="15" customHeight="1" x14ac:dyDescent="0.25">
      <c r="C5" s="69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</row>
    <row r="7" spans="2:63" ht="15" customHeight="1" x14ac:dyDescent="0.25">
      <c r="B7" s="1583" t="s">
        <v>150</v>
      </c>
      <c r="M7" s="61" t="s">
        <v>151</v>
      </c>
      <c r="O7" s="1558" t="s">
        <v>152</v>
      </c>
      <c r="Q7" s="1601" t="s">
        <v>153</v>
      </c>
      <c r="AF7" s="1601" t="s">
        <v>154</v>
      </c>
      <c r="AH7" s="1601" t="s">
        <v>155</v>
      </c>
      <c r="AR7" s="61" t="s">
        <v>151</v>
      </c>
      <c r="AT7" s="1558" t="s">
        <v>152</v>
      </c>
      <c r="AV7" s="1601" t="s">
        <v>153</v>
      </c>
      <c r="BG7" s="61" t="s">
        <v>151</v>
      </c>
      <c r="BI7" s="1558" t="s">
        <v>152</v>
      </c>
      <c r="BK7" s="1601" t="s">
        <v>153</v>
      </c>
    </row>
    <row r="8" spans="2:63" x14ac:dyDescent="0.25">
      <c r="B8" s="1584"/>
      <c r="M8" s="63">
        <f>AR8+AR21+BG8</f>
        <v>8</v>
      </c>
      <c r="O8" s="1560"/>
      <c r="Q8" s="1602"/>
      <c r="AF8" s="1602"/>
      <c r="AH8" s="1602"/>
      <c r="AR8" s="62">
        <v>4</v>
      </c>
      <c r="AT8" s="1560"/>
      <c r="AV8" s="1602"/>
      <c r="BG8" s="63">
        <v>1</v>
      </c>
      <c r="BI8" s="1560"/>
      <c r="BK8" s="1602"/>
    </row>
    <row r="9" spans="2:63" x14ac:dyDescent="0.25">
      <c r="B9" s="1584"/>
    </row>
    <row r="10" spans="2:63" ht="15" customHeight="1" x14ac:dyDescent="0.25">
      <c r="B10" s="1584"/>
      <c r="M10" s="1603" t="str">
        <f>B4</f>
        <v>Group Stretch</v>
      </c>
      <c r="O10" s="1599" t="e">
        <f>VLOOKUP($U$2,'SEC Benches Data'!$A$2:$IG$202,33,FALSE)</f>
        <v>#DIV/0!</v>
      </c>
      <c r="Q10" s="1599">
        <f>AV10+AV23+BK10</f>
        <v>0</v>
      </c>
      <c r="AD10" s="1603" t="str">
        <f>B4</f>
        <v>Group Stretch</v>
      </c>
      <c r="AF10" s="1599">
        <f>VLOOKUP($U$2,'SEC Benches Data'!$A$2:$IG$202,120,FALSE)</f>
        <v>0</v>
      </c>
      <c r="AH10" s="1599">
        <f>VLOOKUP($U$2,'SEC Benches Data'!$A$2:$IG$202,126,FALSE)</f>
        <v>0</v>
      </c>
      <c r="AR10" s="50" t="str">
        <f>B4</f>
        <v>Group Stretch</v>
      </c>
      <c r="AS10" s="43"/>
      <c r="AT10" s="51">
        <f>VLOOKUP($U$2,'SEC Benches Data'!$A$2:$IG$202,40,FALSE)</f>
        <v>0</v>
      </c>
      <c r="AU10" s="43"/>
      <c r="AV10" s="51">
        <f>ROUNDUP(IF(AT10&gt;80, ((AT10-80)+AT10)/100*$AR$8,AT10/100*$AR$8),)</f>
        <v>0</v>
      </c>
      <c r="BG10" s="50" t="str">
        <f>B4</f>
        <v>Group Stretch</v>
      </c>
      <c r="BH10" s="43"/>
      <c r="BI10" s="51">
        <f>VLOOKUP($U$2,'SEC Benches Data'!$A$2:$IG$202,53,FALSE)</f>
        <v>0</v>
      </c>
      <c r="BJ10" s="43"/>
      <c r="BK10" s="51">
        <f>ROUNDUP(IF(BI10&gt;80, ((BI10-80)+BI10)/100*$BG$8,BI10/100*$BG$8),)</f>
        <v>0</v>
      </c>
    </row>
    <row r="11" spans="2:63" x14ac:dyDescent="0.25">
      <c r="B11" s="1584"/>
      <c r="M11" s="1604"/>
      <c r="O11" s="1600"/>
      <c r="Q11" s="1600"/>
      <c r="AD11" s="1604"/>
      <c r="AF11" s="1600"/>
      <c r="AH11" s="1600"/>
      <c r="AR11" s="6"/>
      <c r="AS11" s="43"/>
      <c r="AT11" s="15"/>
      <c r="AU11" s="43"/>
      <c r="AV11" s="15"/>
      <c r="BG11" s="6"/>
      <c r="BH11" s="43"/>
      <c r="BI11" s="15"/>
      <c r="BJ11" s="43"/>
      <c r="BK11" s="15"/>
    </row>
    <row r="12" spans="2:63" x14ac:dyDescent="0.25">
      <c r="B12" s="1584"/>
      <c r="AR12" s="52" t="str">
        <f>AD13</f>
        <v>SEC Stretch</v>
      </c>
      <c r="AS12" s="43"/>
      <c r="AT12" s="51">
        <f>VLOOKUP($U$2,'SEC Benches Data'!$A$2:$IG$202,39,FALSE)</f>
        <v>101</v>
      </c>
      <c r="AU12" s="43"/>
      <c r="AV12" s="51">
        <f>ROUNDUP(IF(AT12&gt;80, ((AT12-80)+AT12)/100*$AR$8,AT12/100*$AR$8),)</f>
        <v>5</v>
      </c>
      <c r="BG12" s="52" t="str">
        <f>AR12</f>
        <v>SEC Stretch</v>
      </c>
      <c r="BH12" s="43"/>
      <c r="BI12" s="51">
        <f>VLOOKUP($U$2,'SEC Benches Data'!$A$2:$IG$202,52,FALSE)</f>
        <v>0</v>
      </c>
      <c r="BJ12" s="43"/>
      <c r="BK12" s="51">
        <f>ROUNDUP(IF(BI12&gt;80, ((BI12-80)+BI12)/100*$BG$8,BI12/100*$BG$8),)</f>
        <v>0</v>
      </c>
    </row>
    <row r="13" spans="2:63" ht="15" customHeight="1" x14ac:dyDescent="0.25">
      <c r="B13" s="1584"/>
      <c r="M13" s="1612" t="str">
        <f>B3</f>
        <v>SEC Stretch</v>
      </c>
      <c r="O13" s="1599">
        <f>VLOOKUP($U$2,'SEC Benches Data'!$A$2:$IG$202,32,FALSE)</f>
        <v>0</v>
      </c>
      <c r="Q13" s="1599">
        <f>AV12+AV25+BK12</f>
        <v>5</v>
      </c>
      <c r="AD13" s="1612" t="str">
        <f>B3</f>
        <v>SEC Stretch</v>
      </c>
      <c r="AF13" s="1599">
        <f>VLOOKUP($U$2,'SEC Benches Data'!$A$2:$IG$202,119,FALSE)</f>
        <v>0</v>
      </c>
      <c r="AH13" s="1599">
        <f>VLOOKUP($U$2,'SEC Benches Data'!$A$2:$IG$202,125,FALSE)</f>
        <v>0</v>
      </c>
      <c r="AR13" s="43"/>
      <c r="AS13" s="43"/>
      <c r="AT13" s="43"/>
      <c r="AU13" s="43"/>
      <c r="AV13" s="7"/>
      <c r="BG13" s="43"/>
      <c r="BH13" s="43"/>
      <c r="BI13" s="43"/>
      <c r="BJ13" s="43"/>
      <c r="BK13" s="7"/>
    </row>
    <row r="14" spans="2:63" x14ac:dyDescent="0.25">
      <c r="B14" s="1584"/>
      <c r="M14" s="1613"/>
      <c r="O14" s="1600"/>
      <c r="Q14" s="1600"/>
      <c r="AD14" s="1613"/>
      <c r="AF14" s="1600"/>
      <c r="AH14" s="1600"/>
      <c r="AR14" s="53" t="str">
        <f>AD16</f>
        <v>AM Stretch</v>
      </c>
      <c r="AS14" s="43"/>
      <c r="AT14" s="51">
        <f>VLOOKUP($U$2,'SEC Benches Data'!$A$2:$IG$202,38,FALSE)</f>
        <v>146</v>
      </c>
      <c r="AU14" s="43"/>
      <c r="AV14" s="51">
        <f>ROUNDUP(IF(AT14&gt;80, ((AT14-80)+AT14)/100*$AR$8,AT14/100*$AR$8),)</f>
        <v>9</v>
      </c>
      <c r="BG14" s="53" t="str">
        <f>AR14</f>
        <v>AM Stretch</v>
      </c>
      <c r="BH14" s="43"/>
      <c r="BI14" s="51">
        <f>VLOOKUP($U$2,'SEC Benches Data'!$A$2:$IG$202,51,FALSE)</f>
        <v>0</v>
      </c>
      <c r="BJ14" s="43"/>
      <c r="BK14" s="51">
        <f>ROUNDUP(IF(BI14&gt;80, ((BI14-80)+BI14)/100*$BG$8,BI14/100*$BG$8),)</f>
        <v>0</v>
      </c>
    </row>
    <row r="15" spans="2:63" x14ac:dyDescent="0.25">
      <c r="B15" s="1584"/>
      <c r="AR15" s="43"/>
      <c r="AS15" s="43"/>
      <c r="AT15" s="43"/>
      <c r="AU15" s="43"/>
      <c r="AV15" s="7"/>
      <c r="BG15" s="43"/>
      <c r="BH15" s="43"/>
      <c r="BI15" s="43"/>
      <c r="BJ15" s="43"/>
      <c r="BK15" s="7"/>
    </row>
    <row r="16" spans="2:63" ht="15" customHeight="1" x14ac:dyDescent="0.25">
      <c r="B16" s="1584"/>
      <c r="M16" s="1610" t="str">
        <f>B2</f>
        <v>AM Stretch</v>
      </c>
      <c r="O16" s="1599">
        <f>VLOOKUP($U$2,'SEC Benches Data'!$A$2:$IG$202,31,FALSE)</f>
        <v>0</v>
      </c>
      <c r="Q16" s="1599">
        <f>AV14+AV27+BK14</f>
        <v>9</v>
      </c>
      <c r="AD16" s="1610" t="str">
        <f>B2</f>
        <v>AM Stretch</v>
      </c>
      <c r="AF16" s="1599">
        <f>VLOOKUP($U$2,'SEC Benches Data'!$A$2:$IG$202,118,FALSE)</f>
        <v>0</v>
      </c>
      <c r="AH16" s="1599">
        <f>VLOOKUP($U$2,'SEC Benches Data'!$A$2:$IG$202,124,FALSE)</f>
        <v>0</v>
      </c>
      <c r="AR16" s="54" t="s">
        <v>156</v>
      </c>
      <c r="AS16" s="43"/>
      <c r="AT16" s="51">
        <f>VLOOKUP($U$2,'SEC Benches Data'!$A$2:$IG$202,37,FALSE)</f>
        <v>0</v>
      </c>
      <c r="AU16" s="43"/>
      <c r="AV16" s="51">
        <f>ROUNDUP(IF(AT16&gt;80, ((AT16-80)+AT16)/100*$AR$8,AT16/100*$AR$8),)</f>
        <v>0</v>
      </c>
      <c r="BG16" s="54" t="s">
        <v>156</v>
      </c>
      <c r="BH16" s="43"/>
      <c r="BI16" s="51">
        <f>VLOOKUP($U$2,'SEC Benches Data'!$A$2:$IG$202,14,FALSE)</f>
        <v>22</v>
      </c>
      <c r="BJ16" s="43"/>
      <c r="BK16" s="51">
        <f>ROUNDUP(IF(BI16&gt;80, ((BI16-80)+BI16)/100*$BG$8,BI16/100*$BG$8),)</f>
        <v>1</v>
      </c>
    </row>
    <row r="17" spans="2:63" x14ac:dyDescent="0.25">
      <c r="B17" s="1584"/>
      <c r="M17" s="1611"/>
      <c r="O17" s="1600"/>
      <c r="Q17" s="1600"/>
      <c r="AD17" s="1611"/>
      <c r="AF17" s="1600"/>
      <c r="AH17" s="1600"/>
      <c r="AR17" s="6"/>
      <c r="AS17" s="43"/>
      <c r="AT17" s="15"/>
      <c r="AU17" s="43"/>
      <c r="AV17" s="15"/>
      <c r="BG17" s="6"/>
      <c r="BH17" s="43"/>
      <c r="BI17" s="15"/>
      <c r="BJ17" s="43"/>
      <c r="BK17" s="15"/>
    </row>
    <row r="18" spans="2:63" x14ac:dyDescent="0.25">
      <c r="B18" s="1584"/>
      <c r="AR18" s="55" t="s">
        <v>157</v>
      </c>
      <c r="AS18" s="43"/>
      <c r="AT18" s="79">
        <f>VLOOKUP($U$2,'SEC Benches Data'!$A$2:$IG$202,35,FALSE)</f>
        <v>0</v>
      </c>
      <c r="AU18" s="43"/>
      <c r="AV18" s="51">
        <f>ROUNDUP(IF(AT18&gt;80, ((AT18-80)+AT18)/100*$AR$8,AT18/100*$AR$8),)</f>
        <v>0</v>
      </c>
      <c r="BG18" s="55" t="s">
        <v>157</v>
      </c>
      <c r="BH18" s="43"/>
      <c r="BI18" s="57">
        <f>VLOOKUP($U$2,'SEC Benches Data'!$A$2:$IG$202,3,FALSE)</f>
        <v>80</v>
      </c>
      <c r="BJ18" s="43"/>
      <c r="BK18" s="51">
        <f>ROUNDUP(IF(BI18&gt;80, ((BI18-80)+BI18)/100*$BG$8,BI18/100*$BG$8),)</f>
        <v>1</v>
      </c>
    </row>
    <row r="19" spans="2:63" ht="15" customHeight="1" x14ac:dyDescent="0.25">
      <c r="B19" s="1584"/>
      <c r="M19" s="1605" t="s">
        <v>158</v>
      </c>
      <c r="O19" s="1599">
        <f>VLOOKUP($U$2,'SEC Benches Data'!$A$2:$IG$202,25,FALSE)</f>
        <v>78</v>
      </c>
      <c r="Q19" s="1599">
        <f>AV16+AV29+BK16</f>
        <v>1</v>
      </c>
      <c r="AD19" s="1605" t="s">
        <v>158</v>
      </c>
      <c r="AF19" s="1599">
        <f>VLOOKUP($U$2,'SEC Benches Data'!$A$2:$IG$202,117,FALSE)</f>
        <v>0</v>
      </c>
      <c r="AH19" s="1599">
        <f>VLOOKUP($U$2,'SEC Benches Data'!$A$2:$IG$202,123,FALSE)</f>
        <v>0</v>
      </c>
    </row>
    <row r="20" spans="2:63" x14ac:dyDescent="0.25">
      <c r="B20" s="1584"/>
      <c r="M20" s="1606"/>
      <c r="O20" s="1600"/>
      <c r="Q20" s="1600"/>
      <c r="AD20" s="1606"/>
      <c r="AF20" s="1600"/>
      <c r="AH20" s="1600"/>
      <c r="AR20" s="61" t="s">
        <v>151</v>
      </c>
      <c r="AT20" s="1558" t="s">
        <v>152</v>
      </c>
      <c r="AV20" s="1601" t="s">
        <v>153</v>
      </c>
      <c r="BG20" s="61" t="s">
        <v>151</v>
      </c>
      <c r="BI20" s="1558" t="s">
        <v>152</v>
      </c>
      <c r="BK20" s="1601" t="s">
        <v>153</v>
      </c>
    </row>
    <row r="21" spans="2:63" x14ac:dyDescent="0.25">
      <c r="B21" s="1584"/>
      <c r="AR21" s="62">
        <v>3</v>
      </c>
      <c r="AT21" s="1560"/>
      <c r="AV21" s="1602"/>
      <c r="BG21" s="62">
        <v>1</v>
      </c>
      <c r="BI21" s="1560"/>
      <c r="BK21" s="1602"/>
    </row>
    <row r="22" spans="2:63" ht="15" customHeight="1" x14ac:dyDescent="0.25">
      <c r="B22" s="1584"/>
      <c r="M22" s="1607" t="s">
        <v>157</v>
      </c>
      <c r="O22" s="1599">
        <f>VLOOKUP($U$2,'SEC Benches Data'!$A$2:$IG$202,24,FALSE)</f>
        <v>81</v>
      </c>
      <c r="Q22" s="1599">
        <f>AV18+AV31+BK18</f>
        <v>37</v>
      </c>
      <c r="AD22" s="1607" t="s">
        <v>157</v>
      </c>
      <c r="AF22" s="1599">
        <f>VLOOKUP($U$2,'SEC Benches Data'!$A$2:$IG$202,115,FALSE)</f>
        <v>0</v>
      </c>
      <c r="AH22" s="1599">
        <f>VLOOKUP($U$2,'SEC Benches Data'!$A$2:$IG$202,121,FALSE)</f>
        <v>0</v>
      </c>
    </row>
    <row r="23" spans="2:63" x14ac:dyDescent="0.25">
      <c r="B23" s="1584"/>
      <c r="M23" s="1608"/>
      <c r="O23" s="1600"/>
      <c r="Q23" s="1600"/>
      <c r="AD23" s="1608"/>
      <c r="AF23" s="1600"/>
      <c r="AH23" s="1600"/>
      <c r="AR23" s="50" t="str">
        <f>AR10</f>
        <v>Group Stretch</v>
      </c>
      <c r="AS23" s="43"/>
      <c r="AT23" s="51">
        <f>VLOOKUP($U$2,'SEC Benches Data'!$A$2:$IG$202,46,FALSE)</f>
        <v>0</v>
      </c>
      <c r="AU23" s="43"/>
      <c r="AV23" s="51">
        <f>ROUNDUP(IF(AT23&gt;80, ((AT23-80)+AT23)/100*$AR$21,AT23/100*$AR$21),)</f>
        <v>0</v>
      </c>
      <c r="BG23" s="50" t="str">
        <f>BG10</f>
        <v>Group Stretch</v>
      </c>
      <c r="BH23" s="43"/>
      <c r="BI23" s="51">
        <f>VLOOKUP($U$2,'SEC Benches Data'!$A$2:$IG$202,95,FALSE)</f>
        <v>0</v>
      </c>
      <c r="BJ23" s="43"/>
      <c r="BK23" s="51">
        <f>ROUNDUP(IF(BI23&gt;80, ((BI23-80)+BI23)/100*$BG$21,BI23/100*$BG$21),)</f>
        <v>0</v>
      </c>
    </row>
    <row r="24" spans="2:63" x14ac:dyDescent="0.25">
      <c r="B24" s="1584"/>
      <c r="AR24" s="6"/>
      <c r="AS24" s="43"/>
      <c r="AT24" s="15"/>
      <c r="AU24" s="43"/>
      <c r="AV24" s="15"/>
      <c r="BG24" s="6"/>
      <c r="BH24" s="43"/>
      <c r="BI24" s="15"/>
      <c r="BJ24" s="43"/>
      <c r="BK24" s="15"/>
    </row>
    <row r="25" spans="2:63" ht="15" customHeight="1" x14ac:dyDescent="0.25">
      <c r="B25" s="1584"/>
      <c r="M25" s="12"/>
      <c r="O25" s="12"/>
      <c r="AD25" s="1558" t="s">
        <v>159</v>
      </c>
      <c r="AF25" s="1597">
        <v>36</v>
      </c>
      <c r="AR25" s="52" t="str">
        <f>AR12</f>
        <v>SEC Stretch</v>
      </c>
      <c r="AS25" s="43"/>
      <c r="AT25" s="51">
        <f>VLOOKUP($U$2,'SEC Benches Data'!$A$2:$IG$202,45,FALSE)</f>
        <v>0</v>
      </c>
      <c r="AU25" s="43"/>
      <c r="AV25" s="51">
        <f>ROUNDUP(IF(AT25&gt;80, ((AT25-80)+AT25)/100*$AR$21,AT25/100*$AR$21),)</f>
        <v>0</v>
      </c>
      <c r="BG25" s="52" t="str">
        <f>AR25</f>
        <v>SEC Stretch</v>
      </c>
      <c r="BH25" s="43"/>
      <c r="BI25" s="51">
        <f>VLOOKUP($U$2,'SEC Benches Data'!$A$2:$IG$202,94,FALSE)</f>
        <v>0</v>
      </c>
      <c r="BJ25" s="43"/>
      <c r="BK25" s="51">
        <f>ROUNDUP(IF(BI25&gt;80, ((BI25-80)+BI25)/100*$BG$21,BI25/100*$BG$21),)</f>
        <v>0</v>
      </c>
    </row>
    <row r="26" spans="2:63" x14ac:dyDescent="0.25">
      <c r="B26" s="1584"/>
      <c r="M26" s="12"/>
      <c r="O26" s="12"/>
      <c r="AD26" s="1560"/>
      <c r="AF26" s="1598"/>
      <c r="AR26" s="43"/>
      <c r="AS26" s="43"/>
      <c r="AT26" s="43"/>
      <c r="AU26" s="43"/>
      <c r="AV26" s="7"/>
      <c r="BG26" s="43"/>
      <c r="BH26" s="43"/>
      <c r="BI26" s="43"/>
      <c r="BJ26" s="43"/>
      <c r="BK26" s="7"/>
    </row>
    <row r="27" spans="2:63" x14ac:dyDescent="0.25">
      <c r="B27" s="1584"/>
      <c r="AR27" s="53" t="str">
        <f>AR14</f>
        <v>AM Stretch</v>
      </c>
      <c r="AS27" s="43"/>
      <c r="AT27" s="51">
        <f>VLOOKUP($U$2,'SEC Benches Data'!$A$2:$IG$202,44,FALSE)</f>
        <v>0</v>
      </c>
      <c r="AU27" s="43"/>
      <c r="AV27" s="51">
        <f>ROUNDUP(IF(AT27&gt;80, ((AT27-80)+AT27)/100*$AR$21,AT27/100*$AR$21),)</f>
        <v>0</v>
      </c>
      <c r="BG27" s="53" t="str">
        <f>AR27</f>
        <v>AM Stretch</v>
      </c>
      <c r="BH27" s="43"/>
      <c r="BI27" s="51">
        <f>VLOOKUP($U$2,'SEC Benches Data'!$A$2:$IG$202,93,FALSE)</f>
        <v>0</v>
      </c>
      <c r="BJ27" s="43"/>
      <c r="BK27" s="51">
        <f>ROUNDUP(IF(BI27&gt;80, ((BI27-80)+BI27)/100*$BG$21,BI27/100*$BG$21),)</f>
        <v>0</v>
      </c>
    </row>
    <row r="28" spans="2:63" x14ac:dyDescent="0.25">
      <c r="B28" s="1584"/>
      <c r="AR28" s="43"/>
      <c r="AS28" s="43"/>
      <c r="AT28" s="43"/>
      <c r="AU28" s="43"/>
      <c r="AV28" s="7"/>
      <c r="BG28" s="43"/>
      <c r="BH28" s="43"/>
      <c r="BI28" s="43"/>
      <c r="BJ28" s="43"/>
      <c r="BK28" s="7"/>
    </row>
    <row r="29" spans="2:63" x14ac:dyDescent="0.25">
      <c r="B29" s="1584"/>
      <c r="AR29" s="54" t="s">
        <v>156</v>
      </c>
      <c r="AS29" s="43"/>
      <c r="AT29" s="51">
        <f>VLOOKUP($U$2,'SEC Benches Data'!$A$2:$IG$202,43,FALSE)</f>
        <v>0</v>
      </c>
      <c r="AU29" s="43"/>
      <c r="AV29" s="51">
        <f>ROUNDUP(IF(AT29&gt;80, ((AT29-80)+AT29)/100*$AR$21,AT29/100*$AR$21),)</f>
        <v>0</v>
      </c>
      <c r="BG29" s="54" t="s">
        <v>156</v>
      </c>
      <c r="BH29" s="43"/>
      <c r="BI29" s="51">
        <f>VLOOKUP($U$2,'SEC Benches Data'!$A$2:$IG$202,21,FALSE)</f>
        <v>57</v>
      </c>
      <c r="BJ29" s="43"/>
      <c r="BK29" s="51">
        <f>ROUNDUP(IF(BI29&gt;80, ((BI29-80)+BI29)/100*$BG$21,BI29/100*$BG$21),)</f>
        <v>1</v>
      </c>
    </row>
    <row r="30" spans="2:63" x14ac:dyDescent="0.25">
      <c r="B30" s="1584"/>
      <c r="AR30" s="6"/>
      <c r="AS30" s="43"/>
      <c r="AT30" s="15"/>
      <c r="AU30" s="43"/>
      <c r="AV30" s="15"/>
      <c r="BG30" s="6"/>
      <c r="BH30" s="43"/>
      <c r="BI30" s="15"/>
      <c r="BJ30" s="43"/>
      <c r="BK30" s="15"/>
    </row>
    <row r="31" spans="2:63" x14ac:dyDescent="0.25">
      <c r="B31" s="1584"/>
      <c r="AR31" s="55" t="s">
        <v>157</v>
      </c>
      <c r="AS31" s="43"/>
      <c r="AT31" s="51">
        <f>VLOOKUP($U$2,'SEC Benches Data'!$A$2:$IG$202,41,FALSE)</f>
        <v>624</v>
      </c>
      <c r="AU31" s="43"/>
      <c r="AV31" s="51">
        <f>ROUNDUP(IF(AT31&gt;80, ((AT31-80)+AT31)/100*$AR$21,AT31/100*$AR$21),)</f>
        <v>36</v>
      </c>
      <c r="BG31" s="55" t="s">
        <v>157</v>
      </c>
      <c r="BH31" s="43"/>
      <c r="BI31" s="51">
        <f>VLOOKUP($U$2,'SEC Benches Data'!$A$2:$IG$202,10,FALSE)</f>
        <v>17</v>
      </c>
      <c r="BJ31" s="43"/>
      <c r="BK31" s="51">
        <f>ROUNDUP(IF(BI31&gt;80, ((BI31-80)+BI31)/100*$BG$21,BI31/100*$BG$21),)</f>
        <v>1</v>
      </c>
    </row>
    <row r="32" spans="2:63" x14ac:dyDescent="0.25">
      <c r="B32" s="1584"/>
    </row>
    <row r="33" spans="2:78" x14ac:dyDescent="0.25">
      <c r="B33" s="1584"/>
    </row>
    <row r="34" spans="2:78" ht="15" customHeight="1" x14ac:dyDescent="0.25">
      <c r="B34" s="1584"/>
      <c r="C34" s="1578"/>
      <c r="D34" s="1578"/>
      <c r="E34" s="1578"/>
      <c r="F34" s="1578"/>
      <c r="G34" s="1578"/>
      <c r="H34" s="1578"/>
      <c r="I34" s="1578"/>
      <c r="J34" s="1578"/>
      <c r="K34" s="1579"/>
      <c r="S34" s="1586"/>
      <c r="T34" s="1578"/>
      <c r="U34" s="1578"/>
      <c r="V34" s="1578"/>
      <c r="W34" s="1578"/>
      <c r="X34" s="1578"/>
      <c r="Y34" s="1578"/>
      <c r="Z34" s="1578"/>
      <c r="AA34" s="1578"/>
      <c r="AB34" s="1579"/>
      <c r="AI34" s="12"/>
      <c r="AJ34" s="1586"/>
      <c r="AK34" s="1578"/>
      <c r="AL34" s="1578"/>
      <c r="AM34" s="1578"/>
      <c r="AN34" s="1578"/>
      <c r="AO34" s="1578"/>
      <c r="AP34" s="1579"/>
      <c r="AY34" s="1586"/>
      <c r="AZ34" s="1578"/>
      <c r="BA34" s="1578"/>
      <c r="BB34" s="1578"/>
      <c r="BC34" s="1578"/>
      <c r="BD34" s="1578"/>
      <c r="BE34" s="1579"/>
    </row>
    <row r="35" spans="2:78" x14ac:dyDescent="0.25">
      <c r="B35" s="1585"/>
      <c r="C35" s="1581"/>
      <c r="D35" s="1581"/>
      <c r="E35" s="1581"/>
      <c r="F35" s="1581"/>
      <c r="G35" s="1581"/>
      <c r="H35" s="1581"/>
      <c r="I35" s="1581"/>
      <c r="J35" s="1581"/>
      <c r="K35" s="1582"/>
      <c r="S35" s="1587"/>
      <c r="T35" s="1581"/>
      <c r="U35" s="1581"/>
      <c r="V35" s="1581"/>
      <c r="W35" s="1581"/>
      <c r="X35" s="1581"/>
      <c r="Y35" s="1581"/>
      <c r="Z35" s="1581"/>
      <c r="AA35" s="1581"/>
      <c r="AB35" s="1582"/>
      <c r="AI35" s="12"/>
      <c r="AJ35" s="1587"/>
      <c r="AK35" s="1581"/>
      <c r="AL35" s="1581"/>
      <c r="AM35" s="1581"/>
      <c r="AN35" s="1581"/>
      <c r="AO35" s="1581"/>
      <c r="AP35" s="1582"/>
      <c r="AY35" s="1587"/>
      <c r="AZ35" s="1581"/>
      <c r="BA35" s="1581"/>
      <c r="BB35" s="1581"/>
      <c r="BC35" s="1581"/>
      <c r="BD35" s="1581"/>
      <c r="BE35" s="1582"/>
    </row>
    <row r="36" spans="2:78" ht="15.75" thickBot="1" x14ac:dyDescent="0.3"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</row>
    <row r="37" spans="2:78" ht="15.75" thickTop="1" x14ac:dyDescent="0.25"/>
    <row r="38" spans="2:78" ht="15" customHeight="1" x14ac:dyDescent="0.25">
      <c r="B38" s="1583" t="s">
        <v>160</v>
      </c>
      <c r="M38" s="61" t="s">
        <v>151</v>
      </c>
      <c r="O38" s="1558" t="s">
        <v>152</v>
      </c>
      <c r="Q38" s="1601" t="s">
        <v>153</v>
      </c>
      <c r="AF38" s="1601" t="s">
        <v>154</v>
      </c>
      <c r="AH38" s="1601" t="s">
        <v>155</v>
      </c>
      <c r="AR38" s="61" t="s">
        <v>151</v>
      </c>
      <c r="AT38" s="1558" t="s">
        <v>161</v>
      </c>
      <c r="AV38" s="1601" t="s">
        <v>153</v>
      </c>
      <c r="BI38" s="64"/>
      <c r="BK38" s="18"/>
    </row>
    <row r="39" spans="2:78" x14ac:dyDescent="0.25">
      <c r="B39" s="1584"/>
      <c r="M39" s="62">
        <v>2</v>
      </c>
      <c r="O39" s="1560"/>
      <c r="Q39" s="1602"/>
      <c r="AF39" s="1602"/>
      <c r="AH39" s="1602"/>
      <c r="AR39" s="62">
        <v>1</v>
      </c>
      <c r="AT39" s="1560"/>
      <c r="AV39" s="1602"/>
      <c r="BG39" s="43"/>
      <c r="BI39" s="64"/>
      <c r="BK39" s="18"/>
    </row>
    <row r="40" spans="2:78" x14ac:dyDescent="0.25">
      <c r="B40" s="1584"/>
    </row>
    <row r="41" spans="2:78" ht="15" customHeight="1" x14ac:dyDescent="0.25">
      <c r="B41" s="1584"/>
      <c r="M41" s="1603" t="str">
        <f>M10</f>
        <v>Group Stretch</v>
      </c>
      <c r="O41" s="1599">
        <f>VLOOKUP($U$2,'AM Benches Data'!$A$2:$EL$202,25,FALSE)</f>
        <v>0</v>
      </c>
      <c r="Q41" s="1599">
        <f>ROUNDUP(IF(O41&gt;80, ((O41-80)+O41)/100*$M$39,O41/100*$M$39),)</f>
        <v>0</v>
      </c>
      <c r="AD41" s="1603" t="str">
        <f>AD10</f>
        <v>Group Stretch</v>
      </c>
      <c r="AF41" s="1599">
        <f>VLOOKUP($U$2,'AM Benches Data'!$A$2:$FC$202,135,FALSE)</f>
        <v>0</v>
      </c>
      <c r="AH41" s="1599">
        <f>VLOOKUP($U$2,'AM Benches Data'!$A$2:$FC$202,141,FALSE)</f>
        <v>0</v>
      </c>
      <c r="AR41" s="50" t="str">
        <f>AR10</f>
        <v>Group Stretch</v>
      </c>
      <c r="AT41" s="51">
        <f>VLOOKUP($U$2,'AM Benches Data'!$A$2:$FC$202,38,FALSE)</f>
        <v>0</v>
      </c>
      <c r="AU41" s="43"/>
      <c r="AV41" s="51">
        <f>ROUNDUP(IF(AT41&gt;80, ((AT41-80)+AT41)/100*$AR$39,AT41/100*$AR$39),)</f>
        <v>0</v>
      </c>
      <c r="BG41" s="6"/>
      <c r="BI41" s="15"/>
      <c r="BJ41" s="43"/>
      <c r="BK41" s="15"/>
    </row>
    <row r="42" spans="2:78" x14ac:dyDescent="0.25">
      <c r="B42" s="1584"/>
      <c r="M42" s="1604"/>
      <c r="O42" s="1600"/>
      <c r="Q42" s="1600"/>
      <c r="AD42" s="1604"/>
      <c r="AF42" s="1600"/>
      <c r="AH42" s="1600"/>
      <c r="AR42" s="6"/>
      <c r="AT42" s="15"/>
      <c r="AU42" s="43"/>
      <c r="AV42" s="58"/>
      <c r="BG42" s="6"/>
      <c r="BI42" s="15"/>
      <c r="BJ42" s="43"/>
      <c r="BK42" s="58"/>
    </row>
    <row r="43" spans="2:78" x14ac:dyDescent="0.25">
      <c r="B43" s="1584"/>
      <c r="AR43" s="52" t="str">
        <f>AD44</f>
        <v>SEC Stretch</v>
      </c>
      <c r="AT43" s="51">
        <f>VLOOKUP($U$2,'AM Benches Data'!$A$2:$FC$202,37,FALSE)</f>
        <v>0</v>
      </c>
      <c r="AU43" s="43"/>
      <c r="AV43" s="51">
        <f>ROUNDUP(IF(AT43&gt;80, ((AT43-80)+AT43)/100*$AR$39,AT43/100*$AR$39),)</f>
        <v>0</v>
      </c>
      <c r="BG43" s="6"/>
      <c r="BI43" s="15"/>
      <c r="BJ43" s="43"/>
      <c r="BK43" s="15"/>
    </row>
    <row r="44" spans="2:78" ht="15" customHeight="1" x14ac:dyDescent="0.25">
      <c r="B44" s="1584"/>
      <c r="M44" s="1612" t="str">
        <f>M13</f>
        <v>SEC Stretch</v>
      </c>
      <c r="O44" s="1599">
        <f>VLOOKUP($U$2,'AM Benches Data'!$A$2:$EL$202,24,FALSE)</f>
        <v>0</v>
      </c>
      <c r="Q44" s="1599">
        <f>ROUNDUP(IF(O44&gt;80, ((O44-80)+O44)/100*$M$39,O44/100*$M$39),)</f>
        <v>0</v>
      </c>
      <c r="AD44" s="1612" t="str">
        <f>M44</f>
        <v>SEC Stretch</v>
      </c>
      <c r="AF44" s="1599">
        <f>VLOOKUP($U$2,'AM Benches Data'!$A$2:$FC$202,134,FALSE)</f>
        <v>58.175999999999995</v>
      </c>
      <c r="AH44" s="1599">
        <f>VLOOKUP($U$2,'AM Benches Data'!$A$2:$FC$202,140,FALSE)</f>
        <v>115.77599999999998</v>
      </c>
      <c r="AR44" s="43"/>
      <c r="AT44" s="15"/>
      <c r="AU44" s="43"/>
      <c r="AV44" s="58"/>
      <c r="BG44" s="43"/>
      <c r="BI44" s="15"/>
      <c r="BJ44" s="43"/>
      <c r="BK44" s="58"/>
    </row>
    <row r="45" spans="2:78" x14ac:dyDescent="0.25">
      <c r="B45" s="1584"/>
      <c r="M45" s="1613"/>
      <c r="O45" s="1600"/>
      <c r="Q45" s="1600"/>
      <c r="AD45" s="1613"/>
      <c r="AF45" s="1600"/>
      <c r="AH45" s="1600"/>
      <c r="AR45" s="53" t="str">
        <f>AD47</f>
        <v>AM Stretch</v>
      </c>
      <c r="AT45" s="51">
        <f>VLOOKUP($U$2,'AM Benches Data'!$A$2:$FC$202,36,FALSE)</f>
        <v>0</v>
      </c>
      <c r="AU45" s="43"/>
      <c r="AV45" s="51">
        <f>ROUNDUP(IF(AT45&gt;80, ((AT45-80)+AT45)/100*$AR$39,AT45/100*$AR$39),)</f>
        <v>0</v>
      </c>
      <c r="BG45" s="6"/>
      <c r="BI45" s="15"/>
      <c r="BJ45" s="43"/>
      <c r="BK45" s="15"/>
    </row>
    <row r="46" spans="2:78" x14ac:dyDescent="0.25">
      <c r="B46" s="1584"/>
      <c r="AR46" s="43"/>
      <c r="AT46" s="15"/>
      <c r="AU46" s="43"/>
      <c r="AV46" s="58"/>
      <c r="BG46" s="43"/>
      <c r="BI46" s="15"/>
      <c r="BJ46" s="43"/>
      <c r="BK46" s="58"/>
    </row>
    <row r="47" spans="2:78" ht="15" customHeight="1" x14ac:dyDescent="0.25">
      <c r="B47" s="1584"/>
      <c r="M47" s="1610" t="str">
        <f>M16</f>
        <v>AM Stretch</v>
      </c>
      <c r="O47" s="1599">
        <f>VLOOKUP($U$2,'AM Benches Data'!$A$2:$EL$202,23,FALSE)</f>
        <v>0</v>
      </c>
      <c r="Q47" s="1599">
        <f>ROUNDUP(IF(O47&gt;80, ((O47-80)+O47)/100*$M$39,O47/100*$M$39),)</f>
        <v>0</v>
      </c>
      <c r="AD47" s="1610" t="str">
        <f>M47</f>
        <v>AM Stretch</v>
      </c>
      <c r="AF47" s="1599">
        <f>VLOOKUP($U$2,'AM Benches Data'!$A$2:$FC$202,133,FALSE)</f>
        <v>65.755208333333314</v>
      </c>
      <c r="AH47" s="1599">
        <f>VLOOKUP($U$2,'AM Benches Data'!$A$2:$FC$202,139,FALSE)</f>
        <v>130.859375</v>
      </c>
      <c r="AR47" s="54" t="s">
        <v>156</v>
      </c>
      <c r="AT47" s="51">
        <f>VLOOKUP($U$2,'AM Benches Data'!$A$2:$FC$202,35,FALSE)</f>
        <v>0</v>
      </c>
      <c r="AU47" s="43"/>
      <c r="AV47" s="51">
        <f>ROUNDUP(IF(AT47&gt;80, ((AT47-80)+AT47)/100*$AR$39,AT47/100*$AR$39),)</f>
        <v>0</v>
      </c>
      <c r="BG47" s="43"/>
      <c r="BI47" s="15"/>
      <c r="BJ47" s="43"/>
      <c r="BK47" s="15"/>
    </row>
    <row r="48" spans="2:78" x14ac:dyDescent="0.25">
      <c r="B48" s="1584"/>
      <c r="M48" s="1611"/>
      <c r="O48" s="1600"/>
      <c r="Q48" s="1600"/>
      <c r="AD48" s="1611"/>
      <c r="AF48" s="1600"/>
      <c r="AH48" s="1600"/>
      <c r="AR48" s="6"/>
      <c r="AT48" s="15"/>
      <c r="AU48" s="43"/>
      <c r="AV48" s="58"/>
      <c r="BG48" s="6"/>
      <c r="BI48" s="15"/>
      <c r="BJ48" s="43"/>
      <c r="BK48" s="58"/>
    </row>
    <row r="49" spans="2:63" x14ac:dyDescent="0.25">
      <c r="B49" s="1584"/>
      <c r="AR49" s="55" t="s">
        <v>157</v>
      </c>
      <c r="AT49" s="51">
        <f>VLOOKUP($U$2,'AM Benches Data'!$A$2:$FC$202,2,FALSE)</f>
        <v>108</v>
      </c>
      <c r="AU49" s="43"/>
      <c r="AV49" s="51">
        <f>ROUNDUP(IF(AT49&gt;80, ((AT49-80)+AT49)/100*$AR$39,AT49/100*$AR$39),)</f>
        <v>2</v>
      </c>
      <c r="BG49" s="6"/>
      <c r="BI49" s="15"/>
      <c r="BJ49" s="43"/>
      <c r="BK49" s="15"/>
    </row>
    <row r="50" spans="2:63" ht="15" customHeight="1" x14ac:dyDescent="0.25">
      <c r="B50" s="1584"/>
      <c r="M50" s="1605" t="s">
        <v>158</v>
      </c>
      <c r="O50" s="1599">
        <f>VLOOKUP($U$2,'AM Benches Data'!$A$2:$EL$202,22,FALSE)</f>
        <v>0</v>
      </c>
      <c r="Q50" s="1599">
        <f>ROUNDUP(IF(O50&gt;80, ((O50-80)+O50)/100*$M$39,O50/100*$M$39),)</f>
        <v>0</v>
      </c>
      <c r="AD50" s="1605" t="s">
        <v>158</v>
      </c>
      <c r="AF50" s="1599">
        <f>VLOOKUP($U$2,'AM Benches Data'!$A$2:$FC$202,132,FALSE)</f>
        <v>52.550165333333318</v>
      </c>
      <c r="AH50" s="1599">
        <f>VLOOKUP($U$2,'AM Benches Data'!$A$2:$FC$202,138,FALSE)</f>
        <v>104.58003199999999</v>
      </c>
      <c r="AT50" s="15"/>
      <c r="AU50" s="43"/>
      <c r="AV50" s="58"/>
      <c r="BI50" s="15"/>
      <c r="BJ50" s="43"/>
      <c r="BK50" s="58"/>
    </row>
    <row r="51" spans="2:63" x14ac:dyDescent="0.25">
      <c r="B51" s="1584"/>
      <c r="M51" s="1606"/>
      <c r="O51" s="1600"/>
      <c r="Q51" s="1600"/>
      <c r="AD51" s="1606"/>
      <c r="AF51" s="1600"/>
      <c r="AH51" s="1600"/>
      <c r="AT51" s="43"/>
      <c r="AU51" s="43"/>
      <c r="AV51" s="59"/>
      <c r="BI51" s="43"/>
      <c r="BJ51" s="43"/>
      <c r="BK51" s="59"/>
    </row>
    <row r="52" spans="2:63" x14ac:dyDescent="0.25">
      <c r="B52" s="1584"/>
      <c r="AR52" s="61" t="s">
        <v>151</v>
      </c>
      <c r="AT52" s="1558" t="s">
        <v>161</v>
      </c>
      <c r="AV52" s="1601" t="s">
        <v>153</v>
      </c>
      <c r="BI52" s="64"/>
      <c r="BK52" s="18"/>
    </row>
    <row r="53" spans="2:63" x14ac:dyDescent="0.25">
      <c r="B53" s="1584"/>
      <c r="M53" s="1607" t="s">
        <v>157</v>
      </c>
      <c r="O53" s="1599">
        <f>VLOOKUP($U$2,'AM Benches Data'!$A$2:$EL$202,9,FALSE)</f>
        <v>60</v>
      </c>
      <c r="Q53" s="1599">
        <f>ROUNDUP(IF(O53&gt;80, ((O53-80)+O53)/100*$M$39,O53/100*$M$39),)</f>
        <v>2</v>
      </c>
      <c r="AD53" s="1607" t="s">
        <v>157</v>
      </c>
      <c r="AF53" s="1599">
        <f>VLOOKUP($U$2,'AM Benches Data'!$A$2:$FC$202,130,FALSE)</f>
        <v>0</v>
      </c>
      <c r="AH53" s="1599">
        <f>VLOOKUP($U$2,'AM Benches Data'!$A$2:$FC$202,136,FALSE)</f>
        <v>0</v>
      </c>
      <c r="AR53" s="62">
        <v>3</v>
      </c>
      <c r="AT53" s="1560"/>
      <c r="AV53" s="1602"/>
      <c r="BG53" s="43"/>
      <c r="BI53" s="64"/>
      <c r="BK53" s="18"/>
    </row>
    <row r="54" spans="2:63" x14ac:dyDescent="0.25">
      <c r="B54" s="1584"/>
      <c r="M54" s="1608"/>
      <c r="O54" s="1600"/>
      <c r="Q54" s="1600"/>
      <c r="AD54" s="1608"/>
      <c r="AF54" s="1600"/>
      <c r="AH54" s="1600"/>
    </row>
    <row r="55" spans="2:63" x14ac:dyDescent="0.25">
      <c r="B55" s="1584"/>
      <c r="AR55" s="50" t="str">
        <f>AR41</f>
        <v>Group Stretch</v>
      </c>
      <c r="AT55" s="51">
        <f>VLOOKUP($U$2,'AM Benches Data'!$A$2:$FC$202,32,FALSE)</f>
        <v>0</v>
      </c>
      <c r="AU55" s="43"/>
      <c r="AV55" s="51">
        <f>ROUNDUP(IF(AT55&gt;80, ((AT55-80)+AT55)/100*$AR$53,AT55/100*$AR$53),)</f>
        <v>0</v>
      </c>
      <c r="BG55" s="6"/>
      <c r="BI55" s="15"/>
      <c r="BJ55" s="43"/>
      <c r="BK55" s="15"/>
    </row>
    <row r="56" spans="2:63" ht="15" customHeight="1" x14ac:dyDescent="0.25">
      <c r="B56" s="1584"/>
      <c r="M56" s="12"/>
      <c r="O56" s="12"/>
      <c r="AD56" s="1558" t="s">
        <v>159</v>
      </c>
      <c r="AF56" s="1597">
        <v>40</v>
      </c>
      <c r="AR56" s="6"/>
      <c r="AT56" s="15"/>
      <c r="AU56" s="43"/>
      <c r="AV56" s="58"/>
      <c r="BG56" s="6"/>
      <c r="BI56" s="15"/>
      <c r="BJ56" s="43"/>
      <c r="BK56" s="58"/>
    </row>
    <row r="57" spans="2:63" x14ac:dyDescent="0.25">
      <c r="B57" s="1584"/>
      <c r="M57" s="12"/>
      <c r="O57" s="12"/>
      <c r="AD57" s="1560"/>
      <c r="AF57" s="1598"/>
      <c r="AR57" s="52" t="str">
        <f>AR43</f>
        <v>SEC Stretch</v>
      </c>
      <c r="AT57" s="51">
        <f>VLOOKUP($U$2,'AM Benches Data'!$A$2:$FC$202,31,FALSE)</f>
        <v>97</v>
      </c>
      <c r="AU57" s="43"/>
      <c r="AV57" s="51">
        <f>ROUNDUP(IF(AT57&gt;80, ((AT57-80)+AT57)/100*$AR$53,AT57/100*$AR$53),)</f>
        <v>4</v>
      </c>
      <c r="BG57" s="6"/>
      <c r="BI57" s="15"/>
      <c r="BJ57" s="43"/>
      <c r="BK57" s="15"/>
    </row>
    <row r="58" spans="2:63" x14ac:dyDescent="0.25">
      <c r="B58" s="1584"/>
      <c r="AR58" s="43"/>
      <c r="AT58" s="15"/>
      <c r="AU58" s="43"/>
      <c r="AV58" s="58"/>
      <c r="BG58" s="43"/>
      <c r="BI58" s="15"/>
      <c r="BJ58" s="43"/>
      <c r="BK58" s="58"/>
    </row>
    <row r="59" spans="2:63" x14ac:dyDescent="0.25">
      <c r="B59" s="1584"/>
      <c r="AR59" s="53" t="str">
        <f>AR45</f>
        <v>AM Stretch</v>
      </c>
      <c r="AT59" s="51">
        <f>VLOOKUP($U$2,'AM Benches Data'!$A$2:$FC$202,30,FALSE)</f>
        <v>94</v>
      </c>
      <c r="AU59" s="43"/>
      <c r="AV59" s="51">
        <f>ROUNDUP(IF(AT59&gt;80, ((AT59-80)+AT59)/100*$AR$53,AT59/100*$AR$53),)</f>
        <v>4</v>
      </c>
      <c r="BG59" s="6"/>
      <c r="BI59" s="15"/>
      <c r="BJ59" s="43"/>
      <c r="BK59" s="15"/>
    </row>
    <row r="60" spans="2:63" x14ac:dyDescent="0.25">
      <c r="B60" s="1584"/>
      <c r="AR60" s="43"/>
      <c r="AT60" s="15"/>
      <c r="AU60" s="43"/>
      <c r="AV60" s="58"/>
      <c r="BG60" s="43"/>
      <c r="BI60" s="15"/>
      <c r="BJ60" s="43"/>
      <c r="BK60" s="58"/>
    </row>
    <row r="61" spans="2:63" x14ac:dyDescent="0.25">
      <c r="B61" s="1584"/>
      <c r="AR61" s="54" t="s">
        <v>156</v>
      </c>
      <c r="AT61" s="51">
        <f>VLOOKUP($U$2,'AM Benches Data'!$A$2:$FC$202,29,FALSE)</f>
        <v>0</v>
      </c>
      <c r="AU61" s="43"/>
      <c r="AV61" s="51">
        <f>ROUNDUP(IF(AT61&gt;80, ((AT61-80)+AT61)/100*$AR$53,AT61/100*$AR$53),)</f>
        <v>0</v>
      </c>
      <c r="BG61" s="43"/>
      <c r="BI61" s="15"/>
      <c r="BJ61" s="43"/>
      <c r="BK61" s="15"/>
    </row>
    <row r="62" spans="2:63" x14ac:dyDescent="0.25">
      <c r="B62" s="1584"/>
      <c r="AR62" s="6"/>
      <c r="AT62" s="15"/>
      <c r="AU62" s="43"/>
      <c r="AV62" s="58"/>
      <c r="BG62" s="6"/>
      <c r="BI62" s="15"/>
      <c r="BJ62" s="43"/>
      <c r="BK62" s="58"/>
    </row>
    <row r="63" spans="2:63" x14ac:dyDescent="0.25">
      <c r="B63" s="1584"/>
      <c r="AR63" s="55" t="s">
        <v>157</v>
      </c>
      <c r="AT63" s="51">
        <f>VLOOKUP($U$2,'AM Benches Data'!$A$2:$FC$202,27,FALSE)</f>
        <v>0</v>
      </c>
      <c r="AU63" s="43"/>
      <c r="AV63" s="51">
        <f>ROUNDUP(IF(AT63&gt;80, ((AT63-80)+AT63)/100*$AR$53,AT63/100*$AR$53),)</f>
        <v>0</v>
      </c>
      <c r="BG63" s="6"/>
      <c r="BI63" s="15"/>
      <c r="BJ63" s="43"/>
      <c r="BK63" s="15"/>
    </row>
    <row r="64" spans="2:63" x14ac:dyDescent="0.25">
      <c r="B64" s="1584"/>
      <c r="AT64" s="43"/>
      <c r="AU64" s="43"/>
      <c r="AV64" s="43"/>
      <c r="BI64" s="43"/>
      <c r="BJ64" s="43"/>
      <c r="BK64" s="43"/>
    </row>
    <row r="65" spans="2:78" ht="15" customHeight="1" x14ac:dyDescent="0.25">
      <c r="B65" s="1584"/>
      <c r="C65" s="1578"/>
      <c r="D65" s="1578"/>
      <c r="E65" s="1578"/>
      <c r="F65" s="1578"/>
      <c r="G65" s="1578"/>
      <c r="H65" s="1578"/>
      <c r="I65" s="1578"/>
      <c r="J65" s="1578"/>
      <c r="K65" s="1579"/>
      <c r="R65" s="64"/>
      <c r="S65" s="1586"/>
      <c r="T65" s="1578"/>
      <c r="U65" s="1578"/>
      <c r="V65" s="1578"/>
      <c r="W65" s="1578"/>
      <c r="X65" s="1578"/>
      <c r="Y65" s="1578"/>
      <c r="Z65" s="1578"/>
      <c r="AA65" s="1578"/>
      <c r="AB65" s="1578"/>
      <c r="AC65" s="1578"/>
      <c r="AD65" s="1578"/>
      <c r="AE65" s="1578"/>
      <c r="AF65" s="1578"/>
      <c r="AG65" s="1578"/>
      <c r="AH65" s="1579"/>
      <c r="AJ65" s="1586"/>
      <c r="AK65" s="1578"/>
      <c r="AL65" s="1578"/>
      <c r="AM65" s="1578"/>
      <c r="AN65" s="1578"/>
      <c r="AO65" s="1578"/>
      <c r="AP65" s="1579"/>
      <c r="AT65" s="43"/>
      <c r="AU65" s="43"/>
      <c r="AV65" s="43"/>
      <c r="BI65" s="43"/>
      <c r="BJ65" s="43"/>
      <c r="BK65" s="43"/>
    </row>
    <row r="66" spans="2:78" x14ac:dyDescent="0.25">
      <c r="B66" s="1584"/>
      <c r="C66" s="1580"/>
      <c r="D66" s="1580"/>
      <c r="E66" s="1580"/>
      <c r="F66" s="1580"/>
      <c r="G66" s="1580"/>
      <c r="H66" s="1580"/>
      <c r="I66" s="1580"/>
      <c r="J66" s="1580"/>
      <c r="K66" s="1563"/>
      <c r="R66" s="64"/>
      <c r="S66" s="1561"/>
      <c r="T66" s="1580"/>
      <c r="U66" s="1580"/>
      <c r="V66" s="1580"/>
      <c r="W66" s="1580"/>
      <c r="X66" s="1580"/>
      <c r="Y66" s="1580"/>
      <c r="Z66" s="1580"/>
      <c r="AA66" s="1580"/>
      <c r="AB66" s="1580"/>
      <c r="AC66" s="1580"/>
      <c r="AD66" s="1580"/>
      <c r="AE66" s="1580"/>
      <c r="AF66" s="1580"/>
      <c r="AG66" s="1580"/>
      <c r="AH66" s="1563"/>
      <c r="AJ66" s="1561"/>
      <c r="AK66" s="1580"/>
      <c r="AL66" s="1580"/>
      <c r="AM66" s="1580"/>
      <c r="AN66" s="1580"/>
      <c r="AO66" s="1580"/>
      <c r="AP66" s="1563"/>
      <c r="AT66" s="43"/>
      <c r="AU66" s="43"/>
      <c r="AV66" s="43"/>
      <c r="BI66" s="43"/>
      <c r="BJ66" s="43"/>
      <c r="BK66" s="43"/>
    </row>
    <row r="67" spans="2:78" x14ac:dyDescent="0.25">
      <c r="B67" s="1585"/>
      <c r="C67" s="1581"/>
      <c r="D67" s="1581"/>
      <c r="E67" s="1581"/>
      <c r="F67" s="1581"/>
      <c r="G67" s="1581"/>
      <c r="H67" s="1581"/>
      <c r="I67" s="1581"/>
      <c r="J67" s="1581"/>
      <c r="K67" s="1582"/>
      <c r="R67" s="64"/>
      <c r="S67" s="1587"/>
      <c r="T67" s="1581"/>
      <c r="U67" s="1581"/>
      <c r="V67" s="1581"/>
      <c r="W67" s="1581"/>
      <c r="X67" s="1581"/>
      <c r="Y67" s="1581"/>
      <c r="Z67" s="1581"/>
      <c r="AA67" s="1581"/>
      <c r="AB67" s="1581"/>
      <c r="AC67" s="1581"/>
      <c r="AD67" s="1581"/>
      <c r="AE67" s="1581"/>
      <c r="AF67" s="1581"/>
      <c r="AG67" s="1581"/>
      <c r="AH67" s="1582"/>
      <c r="AJ67" s="1587"/>
      <c r="AK67" s="1581"/>
      <c r="AL67" s="1581"/>
      <c r="AM67" s="1581"/>
      <c r="AN67" s="1581"/>
      <c r="AO67" s="1581"/>
      <c r="AP67" s="1582"/>
      <c r="AT67" s="43"/>
      <c r="AU67" s="43"/>
      <c r="AV67" s="43"/>
      <c r="BI67" s="43"/>
      <c r="BJ67" s="43"/>
      <c r="BK67" s="43"/>
    </row>
    <row r="68" spans="2:78" ht="15.75" thickBot="1" x14ac:dyDescent="0.3"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56"/>
      <c r="AU68" s="56"/>
      <c r="AV68" s="56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56"/>
      <c r="BJ68" s="56"/>
      <c r="BK68" s="56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</row>
    <row r="69" spans="2:78" ht="15.75" thickTop="1" x14ac:dyDescent="0.25">
      <c r="AT69" s="43"/>
      <c r="AU69" s="43"/>
      <c r="AV69" s="43"/>
      <c r="BI69" s="43"/>
      <c r="BJ69" s="43"/>
      <c r="BK69" s="43"/>
    </row>
    <row r="70" spans="2:78" ht="15" customHeight="1" x14ac:dyDescent="0.25">
      <c r="B70" s="1583" t="s">
        <v>162</v>
      </c>
      <c r="O70" s="1558" t="s">
        <v>152</v>
      </c>
      <c r="Q70" s="18"/>
      <c r="AF70" s="1601" t="s">
        <v>154</v>
      </c>
      <c r="AH70" s="1601" t="s">
        <v>155</v>
      </c>
      <c r="AR70" s="61" t="s">
        <v>163</v>
      </c>
      <c r="AT70" s="1558" t="s">
        <v>161</v>
      </c>
      <c r="AU70" s="43"/>
      <c r="AV70" s="1601" t="s">
        <v>164</v>
      </c>
      <c r="BG70" s="61" t="s">
        <v>163</v>
      </c>
      <c r="BI70" s="1558" t="s">
        <v>161</v>
      </c>
      <c r="BJ70" s="43"/>
      <c r="BK70" s="1601" t="s">
        <v>164</v>
      </c>
    </row>
    <row r="71" spans="2:78" x14ac:dyDescent="0.25">
      <c r="B71" s="1584"/>
      <c r="O71" s="1560"/>
      <c r="Q71" s="18"/>
      <c r="AF71" s="1602"/>
      <c r="AH71" s="1602"/>
      <c r="AR71" s="62">
        <v>3</v>
      </c>
      <c r="AT71" s="1560"/>
      <c r="AU71" s="43"/>
      <c r="AV71" s="1602"/>
      <c r="BG71" s="62">
        <v>4</v>
      </c>
      <c r="BI71" s="1560"/>
      <c r="BJ71" s="43"/>
      <c r="BK71" s="1602"/>
    </row>
    <row r="72" spans="2:78" x14ac:dyDescent="0.25">
      <c r="B72" s="1584"/>
      <c r="AT72" s="43"/>
      <c r="AU72" s="43"/>
      <c r="AV72" s="43"/>
      <c r="BI72" s="43"/>
      <c r="BJ72" s="43"/>
      <c r="BK72" s="43"/>
    </row>
    <row r="73" spans="2:78" ht="15" customHeight="1" x14ac:dyDescent="0.25">
      <c r="B73" s="1584"/>
      <c r="M73" s="1603" t="str">
        <f>M41</f>
        <v>Group Stretch</v>
      </c>
      <c r="O73" s="1599">
        <f>VLOOKUP($U$2,'PCB Data'!$A$2:$EG$202,19,FALSE)</f>
        <v>0</v>
      </c>
      <c r="Q73" s="65"/>
      <c r="AD73" s="1603" t="str">
        <f>AD41</f>
        <v>Group Stretch</v>
      </c>
      <c r="AF73" s="1599">
        <f>VLOOKUP($U$2,'PCB Data'!$A$2:$EX$202,56,FALSE)</f>
        <v>144.53125</v>
      </c>
      <c r="AH73" s="1599">
        <f>VLOOKUP($U$2,'PCB Data'!$A$2:$EX$202,62,FALSE)</f>
        <v>200.1953125</v>
      </c>
      <c r="AR73" s="50" t="str">
        <f>AR55</f>
        <v>Group Stretch</v>
      </c>
      <c r="AT73" s="51">
        <f>VLOOKUP($U$2,'PCB Data'!$A$2:$EX$202,26,FALSE)</f>
        <v>0</v>
      </c>
      <c r="AU73" s="43"/>
      <c r="AV73" s="51">
        <f>ROUNDUP(IF(AT73&gt;80, ((AT73-80)+AT73)/100*$AR$71,AT73/100*$AR$71),)</f>
        <v>0</v>
      </c>
      <c r="BG73" s="50" t="str">
        <f>AR73</f>
        <v>Group Stretch</v>
      </c>
      <c r="BI73" s="51">
        <f>VLOOKUP($U$2,'PCB Data'!$A$2:$EX$202,38,FALSE)</f>
        <v>116.53645833333331</v>
      </c>
      <c r="BJ73" s="43"/>
      <c r="BK73" s="51">
        <f>ROUNDUP(IF(BI73&gt;80, ((BI73-80)+BI73)/100*$BG$71,BI73/100*$BG$71),)</f>
        <v>7</v>
      </c>
    </row>
    <row r="74" spans="2:78" x14ac:dyDescent="0.25">
      <c r="B74" s="1584"/>
      <c r="M74" s="1604"/>
      <c r="O74" s="1600"/>
      <c r="Q74" s="65"/>
      <c r="AD74" s="1604"/>
      <c r="AF74" s="1600"/>
      <c r="AH74" s="1600"/>
      <c r="AR74" s="6"/>
      <c r="AT74" s="15"/>
      <c r="AU74" s="43"/>
      <c r="AV74" s="58"/>
      <c r="BG74" s="6"/>
      <c r="BI74" s="15"/>
      <c r="BJ74" s="43"/>
      <c r="BK74" s="58"/>
    </row>
    <row r="75" spans="2:78" x14ac:dyDescent="0.25">
      <c r="B75" s="1584"/>
      <c r="AR75" s="52" t="str">
        <f>AR57</f>
        <v>SEC Stretch</v>
      </c>
      <c r="AT75" s="51">
        <f>VLOOKUP($U$2,'PCB Data'!$A$2:$EX$202,25,FALSE)</f>
        <v>0</v>
      </c>
      <c r="AU75" s="43"/>
      <c r="AV75" s="51">
        <f>ROUNDUP(IF(AT75&gt;80, ((AT75-80)+AT75)/100*$AR$71,AT75/100*$AR$71),)</f>
        <v>0</v>
      </c>
      <c r="BG75" s="52" t="str">
        <f>AR75</f>
        <v>SEC Stretch</v>
      </c>
      <c r="BI75" s="51">
        <f>VLOOKUP($U$2,'PCB Data'!$A$2:$EX$202,37,FALSE)</f>
        <v>93.133461333333301</v>
      </c>
      <c r="BJ75" s="43"/>
      <c r="BK75" s="51">
        <f>ROUNDUP(IF(BI75&gt;80, ((BI75-80)+BI75)/100*$BG$71,BI75/100*$BG$71),)</f>
        <v>5</v>
      </c>
    </row>
    <row r="76" spans="2:78" ht="15" customHeight="1" x14ac:dyDescent="0.25">
      <c r="B76" s="1584"/>
      <c r="M76" s="1612" t="str">
        <f>M44</f>
        <v>SEC Stretch</v>
      </c>
      <c r="O76" s="1599">
        <f>VLOOKUP($U$2,'PCB Data'!$A$2:$EG$202,18,FALSE)</f>
        <v>498</v>
      </c>
      <c r="Q76" s="65"/>
      <c r="AD76" s="1612" t="str">
        <f>AD44</f>
        <v>SEC Stretch</v>
      </c>
      <c r="AF76" s="1599">
        <f>VLOOKUP($U$2,'PCB Data'!$A$2:$EX$202,55,FALSE)</f>
        <v>115.50630399999997</v>
      </c>
      <c r="AH76" s="1599">
        <f>VLOOKUP($U$2,'PCB Data'!$A$2:$EX$202,61,FALSE)</f>
        <v>159.99183999999997</v>
      </c>
      <c r="AR76" s="43"/>
      <c r="AT76" s="15"/>
      <c r="AU76" s="43"/>
      <c r="AV76" s="58"/>
      <c r="BG76" s="43"/>
      <c r="BI76" s="15"/>
      <c r="BJ76" s="43"/>
      <c r="BK76" s="58"/>
    </row>
    <row r="77" spans="2:78" x14ac:dyDescent="0.25">
      <c r="B77" s="1584"/>
      <c r="M77" s="1613"/>
      <c r="O77" s="1600"/>
      <c r="Q77" s="65"/>
      <c r="AD77" s="1613"/>
      <c r="AF77" s="1600"/>
      <c r="AH77" s="1600"/>
      <c r="AR77" s="53" t="str">
        <f>AR59</f>
        <v>AM Stretch</v>
      </c>
      <c r="AT77" s="51">
        <f>VLOOKUP($U$2,'PCB Data'!$A$2:$EX$202,24,FALSE)</f>
        <v>0</v>
      </c>
      <c r="AU77" s="43"/>
      <c r="AV77" s="51">
        <f>ROUNDUP(IF(AT77&gt;80, ((AT77-80)+AT77)/100*$AR$71,AT77/100*$AR$71),)</f>
        <v>0</v>
      </c>
      <c r="BG77" s="53" t="str">
        <f>AR77</f>
        <v>AM Stretch</v>
      </c>
      <c r="BI77" s="51">
        <f>VLOOKUP($U$2,'PCB Data'!$A$2:$EX$202,36,FALSE)</f>
        <v>92.399999999999991</v>
      </c>
      <c r="BJ77" s="43"/>
      <c r="BK77" s="51">
        <f>ROUNDUP(IF(BI77&gt;80, ((BI77-80)+BI77)/100*$BG$71,BI77/100*$BG$71),)</f>
        <v>5</v>
      </c>
    </row>
    <row r="78" spans="2:78" x14ac:dyDescent="0.25">
      <c r="B78" s="1584"/>
      <c r="AR78" s="43"/>
      <c r="AT78" s="15"/>
      <c r="AU78" s="43"/>
      <c r="AV78" s="58"/>
      <c r="BG78" s="43"/>
      <c r="BI78" s="15"/>
      <c r="BJ78" s="43"/>
      <c r="BK78" s="58"/>
    </row>
    <row r="79" spans="2:78" ht="15" customHeight="1" x14ac:dyDescent="0.25">
      <c r="B79" s="1584"/>
      <c r="M79" s="1610" t="str">
        <f>M47</f>
        <v>AM Stretch</v>
      </c>
      <c r="O79" s="1599">
        <f>VLOOKUP($U$2,'PCB Data'!$A$2:$EG$202,17,FALSE)</f>
        <v>497</v>
      </c>
      <c r="Q79" s="65"/>
      <c r="AD79" s="1610" t="str">
        <f>AD47</f>
        <v>AM Stretch</v>
      </c>
      <c r="AF79" s="1599">
        <f>VLOOKUP($U$2,'PCB Data'!$A$2:$EX$202,54,FALSE)</f>
        <v>57.599999999999994</v>
      </c>
      <c r="AH79" s="1599">
        <f>VLOOKUP($U$2,'PCB Data'!$A$2:$EX$202,60,FALSE)</f>
        <v>138</v>
      </c>
      <c r="AR79" s="54" t="s">
        <v>156</v>
      </c>
      <c r="AT79" s="51">
        <f>VLOOKUP($U$2,'PCB Data'!$A$2:$EX$202,23,FALSE)</f>
        <v>0</v>
      </c>
      <c r="AU79" s="43"/>
      <c r="AV79" s="51">
        <f>ROUNDUP(IF(AT79&gt;80, ((AT79-80)+AT79)/100*$AR$71,AT79/100*$AR$71),)</f>
        <v>0</v>
      </c>
      <c r="BG79" s="54" t="s">
        <v>156</v>
      </c>
      <c r="BI79" s="51">
        <f>VLOOKUP($U$2,'PCB Data'!$A$2:$EX$202,35,FALSE)</f>
        <v>0</v>
      </c>
      <c r="BJ79" s="43"/>
      <c r="BK79" s="51">
        <f>ROUNDUP(IF(BI79&gt;80, ((BI79-80)+BI79)/100*$BG$71,BI79/100*$BG$71),)</f>
        <v>0</v>
      </c>
    </row>
    <row r="80" spans="2:78" x14ac:dyDescent="0.25">
      <c r="B80" s="1584"/>
      <c r="M80" s="1611"/>
      <c r="O80" s="1600"/>
      <c r="Q80" s="65"/>
      <c r="AD80" s="1611"/>
      <c r="AF80" s="1600"/>
      <c r="AH80" s="1600"/>
      <c r="AR80" s="6"/>
      <c r="AT80" s="15"/>
      <c r="AU80" s="43"/>
      <c r="AV80" s="58"/>
      <c r="BG80" s="6"/>
      <c r="BI80" s="15"/>
      <c r="BJ80" s="43"/>
      <c r="BK80" s="58"/>
    </row>
    <row r="81" spans="2:63" x14ac:dyDescent="0.25">
      <c r="B81" s="1584"/>
      <c r="AR81" s="55" t="s">
        <v>157</v>
      </c>
      <c r="AT81" s="51">
        <f>VLOOKUP($U$2,'PCB Data'!$A$2:$EX$202,2,FALSE)</f>
        <v>94</v>
      </c>
      <c r="AU81" s="43"/>
      <c r="AV81" s="51">
        <f>ROUNDUP(IF(AT81&gt;80, ((AT81-80)+AT81)/100*$AR$71,AT81/100*$AR$71),)</f>
        <v>4</v>
      </c>
      <c r="BG81" s="55" t="s">
        <v>157</v>
      </c>
      <c r="BI81" s="51">
        <f>VLOOKUP($U$2,'PCB Data'!$A$2:$EX$202,4,FALSE)</f>
        <v>123</v>
      </c>
      <c r="BJ81" s="43"/>
      <c r="BK81" s="51">
        <f>ROUNDUP(IF(BI81&gt;80, ((BI81-80)+BI81)/100*$BG$71,BI81/100*$BG$71),)</f>
        <v>7</v>
      </c>
    </row>
    <row r="82" spans="2:63" ht="15" customHeight="1" x14ac:dyDescent="0.25">
      <c r="B82" s="1584"/>
      <c r="M82" s="1605" t="s">
        <v>158</v>
      </c>
      <c r="O82" s="1599">
        <f>VLOOKUP($U$2,'PCB Data'!$A$2:$EG$202,16,FALSE)</f>
        <v>0</v>
      </c>
      <c r="Q82" s="65"/>
      <c r="AD82" s="1605" t="s">
        <v>158</v>
      </c>
      <c r="AF82" s="1599">
        <f>VLOOKUP($U$2,'PCB Data'!$A$2:$EX$202,53,FALSE)</f>
        <v>0</v>
      </c>
      <c r="AH82" s="1599">
        <f>VLOOKUP($U$2,'PCB Data'!$A$2:$EX$202,59,FALSE)</f>
        <v>0</v>
      </c>
      <c r="AT82" s="15"/>
      <c r="AU82" s="43"/>
      <c r="AV82" s="58"/>
      <c r="BI82" s="15"/>
      <c r="BJ82" s="43"/>
      <c r="BK82" s="58"/>
    </row>
    <row r="83" spans="2:63" x14ac:dyDescent="0.25">
      <c r="B83" s="1584"/>
      <c r="M83" s="1606"/>
      <c r="O83" s="1600"/>
      <c r="Q83" s="65"/>
      <c r="AD83" s="1606"/>
      <c r="AF83" s="1600"/>
      <c r="AH83" s="1600"/>
      <c r="AT83" s="43"/>
      <c r="AU83" s="43"/>
      <c r="AV83" s="59"/>
      <c r="BI83" s="43"/>
      <c r="BJ83" s="43"/>
      <c r="BK83" s="59"/>
    </row>
    <row r="84" spans="2:63" x14ac:dyDescent="0.25">
      <c r="B84" s="1584"/>
      <c r="AR84" s="61" t="s">
        <v>163</v>
      </c>
      <c r="AT84" s="1558" t="s">
        <v>161</v>
      </c>
      <c r="AU84" s="43"/>
      <c r="AV84" s="1601" t="s">
        <v>164</v>
      </c>
      <c r="BG84" s="61" t="s">
        <v>163</v>
      </c>
      <c r="BI84" s="1558" t="s">
        <v>161</v>
      </c>
      <c r="BJ84" s="43"/>
      <c r="BK84" s="1601" t="s">
        <v>164</v>
      </c>
    </row>
    <row r="85" spans="2:63" x14ac:dyDescent="0.25">
      <c r="B85" s="1584"/>
      <c r="M85" s="1607" t="s">
        <v>157</v>
      </c>
      <c r="O85" s="1599">
        <f>VLOOKUP($U$2,'PCB Data'!$A$2:$EG$202,14,FALSE)</f>
        <v>126</v>
      </c>
      <c r="Q85" s="65"/>
      <c r="AD85" s="1607" t="s">
        <v>157</v>
      </c>
      <c r="AF85" s="1599">
        <f>VLOOKUP($U$2,'PCB Data'!$A$2:$EX$202,51,FALSE)</f>
        <v>150.624</v>
      </c>
      <c r="AH85" s="1599">
        <f>VLOOKUP($U$2,'PCB Data'!$A$2:$EX$202,57,FALSE)</f>
        <v>127.87199999999999</v>
      </c>
      <c r="AR85" s="62">
        <v>5</v>
      </c>
      <c r="AT85" s="1560"/>
      <c r="AU85" s="43"/>
      <c r="AV85" s="1602"/>
      <c r="BG85" s="62">
        <v>1</v>
      </c>
      <c r="BI85" s="1560"/>
      <c r="BJ85" s="43"/>
      <c r="BK85" s="1602"/>
    </row>
    <row r="86" spans="2:63" x14ac:dyDescent="0.25">
      <c r="B86" s="1584"/>
      <c r="M86" s="1608"/>
      <c r="O86" s="1600"/>
      <c r="Q86" s="65"/>
      <c r="AD86" s="1608"/>
      <c r="AF86" s="1600"/>
      <c r="AH86" s="1600"/>
    </row>
    <row r="87" spans="2:63" x14ac:dyDescent="0.25">
      <c r="B87" s="1584"/>
      <c r="AR87" s="50" t="str">
        <f>AR73</f>
        <v>Group Stretch</v>
      </c>
      <c r="AT87" s="51">
        <f>VLOOKUP($U$2,'PCB Data'!$A$2:$EX$202,32,FALSE)</f>
        <v>111.54240000000001</v>
      </c>
      <c r="AU87" s="43"/>
      <c r="AV87" s="51">
        <f>ROUNDUP(IF(AT87&gt;80, ((AT87-80)+AT87)/100*$AR$85,AT87/100*$AR$85),)</f>
        <v>8</v>
      </c>
      <c r="BG87" s="50" t="str">
        <f>BG73</f>
        <v>Group Stretch</v>
      </c>
      <c r="BI87" s="51">
        <f>VLOOKUP($U$2,'PCB Data'!$A$2:$EX$202,44,FALSE)</f>
        <v>181.31510416666663</v>
      </c>
      <c r="BJ87" s="43"/>
      <c r="BK87" s="51">
        <f>ROUNDUP(IF(BI87&gt;80, ((BI87-80)+BI87)/100*$BG$85,BI87/100*$BG$85),)</f>
        <v>3</v>
      </c>
    </row>
    <row r="88" spans="2:63" ht="15" customHeight="1" x14ac:dyDescent="0.25">
      <c r="B88" s="1584"/>
      <c r="M88" s="12"/>
      <c r="O88" s="12"/>
      <c r="AD88" s="1558" t="s">
        <v>159</v>
      </c>
      <c r="AF88" s="1597" t="s">
        <v>165</v>
      </c>
      <c r="AR88" s="6"/>
      <c r="AT88" s="15"/>
      <c r="AU88" s="43"/>
      <c r="AV88" s="58"/>
      <c r="BG88" s="6"/>
      <c r="BI88" s="15"/>
      <c r="BJ88" s="43"/>
      <c r="BK88" s="58"/>
    </row>
    <row r="89" spans="2:63" x14ac:dyDescent="0.25">
      <c r="B89" s="1584"/>
      <c r="M89" s="12"/>
      <c r="O89" s="12"/>
      <c r="AD89" s="1560"/>
      <c r="AF89" s="1598"/>
      <c r="AR89" s="52" t="str">
        <f>AR75</f>
        <v>SEC Stretch</v>
      </c>
      <c r="AT89" s="51">
        <f>VLOOKUP($U$2,'PCB Data'!$A$2:$EX$202,31,FALSE)</f>
        <v>126.07421875000001</v>
      </c>
      <c r="AU89" s="43"/>
      <c r="AV89" s="51">
        <f>ROUNDUP(IF(AT89&gt;80, ((AT89-80)+AT89)/100*$AR$85,AT89/100*$AR$85),)</f>
        <v>9</v>
      </c>
      <c r="BG89" s="52" t="str">
        <f>BG75</f>
        <v>SEC Stretch</v>
      </c>
      <c r="BI89" s="51">
        <f>VLOOKUP($U$2,'PCB Data'!$A$2:$EX$202,43,FALSE)</f>
        <v>144.90317866666663</v>
      </c>
      <c r="BJ89" s="43"/>
      <c r="BK89" s="51">
        <f>ROUNDUP(IF(BI89&gt;80, ((BI89-80)+BI89)/100*$BG$85,BI89/100*$BG$85),)</f>
        <v>3</v>
      </c>
    </row>
    <row r="90" spans="2:63" x14ac:dyDescent="0.25">
      <c r="B90" s="1584"/>
      <c r="AR90" s="43"/>
      <c r="AT90" s="15"/>
      <c r="AU90" s="43"/>
      <c r="AV90" s="58"/>
      <c r="BG90" s="43"/>
      <c r="BI90" s="15"/>
      <c r="BJ90" s="43"/>
      <c r="BK90" s="58"/>
    </row>
    <row r="91" spans="2:63" x14ac:dyDescent="0.25">
      <c r="B91" s="1584"/>
      <c r="AR91" s="53" t="str">
        <f>AR77</f>
        <v>AM Stretch</v>
      </c>
      <c r="AT91" s="51">
        <f>VLOOKUP($U$2,'PCB Data'!$A$2:$EX$202,30,FALSE)</f>
        <v>100.75583680000001</v>
      </c>
      <c r="AU91" s="43"/>
      <c r="AV91" s="51">
        <f>ROUNDUP(IF(AT91&gt;80, ((AT91-80)+AT91)/100*$AR$85,AT91/100*$AR$85),)</f>
        <v>7</v>
      </c>
      <c r="BG91" s="53" t="str">
        <f>BG77</f>
        <v>AM Stretch</v>
      </c>
      <c r="BI91" s="51">
        <f>VLOOKUP($U$2,'PCB Data'!$A$2:$EX$202,42,FALSE)</f>
        <v>99.6</v>
      </c>
      <c r="BJ91" s="43"/>
      <c r="BK91" s="51">
        <f>ROUNDUP(IF(BI91&gt;80, ((BI91-80)+BI91)/100*$BG$85,BI91/100*$BG$85),)</f>
        <v>2</v>
      </c>
    </row>
    <row r="92" spans="2:63" x14ac:dyDescent="0.25">
      <c r="B92" s="1584"/>
      <c r="AR92" s="43"/>
      <c r="AT92" s="15"/>
      <c r="AU92" s="43"/>
      <c r="AV92" s="58"/>
      <c r="BG92" s="43"/>
      <c r="BI92" s="15"/>
      <c r="BJ92" s="43"/>
      <c r="BK92" s="58"/>
    </row>
    <row r="93" spans="2:63" x14ac:dyDescent="0.25">
      <c r="B93" s="1584"/>
      <c r="AR93" s="54" t="s">
        <v>156</v>
      </c>
      <c r="AT93" s="51">
        <f>VLOOKUP($U$2,'PCB Data'!$A$2:$EX$202,29,FALSE)</f>
        <v>73.44</v>
      </c>
      <c r="AU93" s="43"/>
      <c r="AV93" s="51">
        <f>ROUNDUP(IF(AT93&gt;80, ((AT93-80)+AT93)/100*$AR$85,AT93/100*$AR$85),)</f>
        <v>4</v>
      </c>
      <c r="BG93" s="54" t="s">
        <v>156</v>
      </c>
      <c r="BI93" s="51">
        <f>VLOOKUP($U$2,'PCB Data'!$A$2:$EX$202,41,FALSE)</f>
        <v>0</v>
      </c>
      <c r="BJ93" s="43"/>
      <c r="BK93" s="51">
        <f>ROUNDUP(IF(BI93&gt;80, ((BI93-80)+BI93)/100*$BG$85,BI93/100*$BG$85),)</f>
        <v>0</v>
      </c>
    </row>
    <row r="94" spans="2:63" x14ac:dyDescent="0.25">
      <c r="B94" s="1584"/>
      <c r="AR94" s="6"/>
      <c r="AT94" s="15"/>
      <c r="AU94" s="43"/>
      <c r="AV94" s="58"/>
      <c r="BG94" s="6"/>
      <c r="BI94" s="15"/>
      <c r="BJ94" s="43"/>
      <c r="BK94" s="58"/>
    </row>
    <row r="95" spans="2:63" x14ac:dyDescent="0.25">
      <c r="B95" s="1584"/>
      <c r="AR95" s="55" t="s">
        <v>157</v>
      </c>
      <c r="AT95" s="51">
        <f>VLOOKUP($U$2,'PCB Data'!$A$2:$EX$202,3,FALSE)</f>
        <v>93</v>
      </c>
      <c r="AU95" s="43"/>
      <c r="AV95" s="51">
        <f>ROUNDUP(IF(AT95&gt;80, ((AT95-80)+AT95)/100*$AR$85,AT95/100*$AR$85),)</f>
        <v>6</v>
      </c>
      <c r="BG95" s="55" t="s">
        <v>157</v>
      </c>
      <c r="BI95" s="51">
        <f>VLOOKUP($U$2,'PCB Data'!$A$2:$EX$202,5,FALSE)</f>
        <v>61</v>
      </c>
      <c r="BJ95" s="43"/>
      <c r="BK95" s="51">
        <f>ROUNDUP(IF(BI95&gt;80, ((BI95-80)+BI95)/100*$BG$85,BI95/100*$BG$85),)</f>
        <v>1</v>
      </c>
    </row>
    <row r="96" spans="2:63" x14ac:dyDescent="0.25">
      <c r="B96" s="1584"/>
      <c r="AT96" s="43"/>
      <c r="AU96" s="43"/>
      <c r="AV96" s="43"/>
      <c r="BI96" s="43"/>
      <c r="BJ96" s="43"/>
      <c r="BK96" s="43"/>
    </row>
    <row r="97" spans="2:78" ht="15" customHeight="1" x14ac:dyDescent="0.25">
      <c r="B97" s="1584"/>
      <c r="C97" s="1588"/>
      <c r="D97" s="1589"/>
      <c r="E97" s="1589"/>
      <c r="F97" s="1589"/>
      <c r="G97" s="1589"/>
      <c r="H97" s="1589"/>
      <c r="I97" s="1589"/>
      <c r="J97" s="1589"/>
      <c r="K97" s="1590"/>
      <c r="S97" s="1586"/>
      <c r="T97" s="1578"/>
      <c r="U97" s="1578"/>
      <c r="V97" s="1578"/>
      <c r="W97" s="1578"/>
      <c r="X97" s="1578"/>
      <c r="Y97" s="1578"/>
      <c r="Z97" s="1578"/>
      <c r="AA97" s="1578"/>
      <c r="AB97" s="1579"/>
      <c r="AJ97" s="1586" t="s">
        <v>166</v>
      </c>
      <c r="AK97" s="1578"/>
      <c r="AL97" s="1578"/>
      <c r="AM97" s="1578"/>
      <c r="AN97" s="1578"/>
      <c r="AO97" s="1578"/>
      <c r="AP97" s="1579"/>
      <c r="AT97" s="43"/>
      <c r="AU97" s="43"/>
      <c r="AV97" s="43"/>
      <c r="AY97" s="1586" t="s">
        <v>167</v>
      </c>
      <c r="AZ97" s="1578"/>
      <c r="BA97" s="1578"/>
      <c r="BB97" s="1578"/>
      <c r="BC97" s="1578"/>
      <c r="BD97" s="1578"/>
      <c r="BE97" s="1578"/>
      <c r="BF97" s="1578"/>
      <c r="BG97" s="1578"/>
      <c r="BH97" s="1578"/>
      <c r="BI97" s="1578"/>
      <c r="BJ97" s="1578"/>
      <c r="BK97" s="1579"/>
    </row>
    <row r="98" spans="2:78" x14ac:dyDescent="0.25">
      <c r="B98" s="1584"/>
      <c r="C98" s="1591"/>
      <c r="D98" s="1592"/>
      <c r="E98" s="1592"/>
      <c r="F98" s="1592"/>
      <c r="G98" s="1592"/>
      <c r="H98" s="1592"/>
      <c r="I98" s="1592"/>
      <c r="J98" s="1592"/>
      <c r="K98" s="1593"/>
      <c r="S98" s="1561"/>
      <c r="T98" s="1580"/>
      <c r="U98" s="1580"/>
      <c r="V98" s="1580"/>
      <c r="W98" s="1580"/>
      <c r="X98" s="1580"/>
      <c r="Y98" s="1580"/>
      <c r="Z98" s="1580"/>
      <c r="AA98" s="1580"/>
      <c r="AB98" s="1563"/>
      <c r="AJ98" s="1561"/>
      <c r="AK98" s="1580"/>
      <c r="AL98" s="1580"/>
      <c r="AM98" s="1580"/>
      <c r="AN98" s="1580"/>
      <c r="AO98" s="1580"/>
      <c r="AP98" s="1563"/>
      <c r="AT98" s="43"/>
      <c r="AU98" s="43"/>
      <c r="AV98" s="43"/>
      <c r="AY98" s="1561"/>
      <c r="AZ98" s="1580"/>
      <c r="BA98" s="1580"/>
      <c r="BB98" s="1580"/>
      <c r="BC98" s="1580"/>
      <c r="BD98" s="1580"/>
      <c r="BE98" s="1580"/>
      <c r="BF98" s="1580"/>
      <c r="BG98" s="1580"/>
      <c r="BH98" s="1580"/>
      <c r="BI98" s="1580"/>
      <c r="BJ98" s="1580"/>
      <c r="BK98" s="1563"/>
    </row>
    <row r="99" spans="2:78" x14ac:dyDescent="0.25">
      <c r="B99" s="1585"/>
      <c r="C99" s="1594"/>
      <c r="D99" s="1595"/>
      <c r="E99" s="1595"/>
      <c r="F99" s="1595"/>
      <c r="G99" s="1595"/>
      <c r="H99" s="1595"/>
      <c r="I99" s="1595"/>
      <c r="J99" s="1595"/>
      <c r="K99" s="1596"/>
      <c r="S99" s="1587"/>
      <c r="T99" s="1581"/>
      <c r="U99" s="1581"/>
      <c r="V99" s="1581"/>
      <c r="W99" s="1581"/>
      <c r="X99" s="1581"/>
      <c r="Y99" s="1581"/>
      <c r="Z99" s="1581"/>
      <c r="AA99" s="1581"/>
      <c r="AB99" s="1582"/>
      <c r="AJ99" s="1587"/>
      <c r="AK99" s="1581"/>
      <c r="AL99" s="1581"/>
      <c r="AM99" s="1581"/>
      <c r="AN99" s="1581"/>
      <c r="AO99" s="1581"/>
      <c r="AP99" s="1582"/>
      <c r="AT99" s="43"/>
      <c r="AU99" s="43"/>
      <c r="AV99" s="43"/>
      <c r="AY99" s="1587"/>
      <c r="AZ99" s="1581"/>
      <c r="BA99" s="1581"/>
      <c r="BB99" s="1581"/>
      <c r="BC99" s="1581"/>
      <c r="BD99" s="1581"/>
      <c r="BE99" s="1581"/>
      <c r="BF99" s="1581"/>
      <c r="BG99" s="1581"/>
      <c r="BH99" s="1581"/>
      <c r="BI99" s="1581"/>
      <c r="BJ99" s="1581"/>
      <c r="BK99" s="1582"/>
    </row>
    <row r="100" spans="2:78" ht="15.75" thickBot="1" x14ac:dyDescent="0.3"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56"/>
      <c r="AU100" s="56"/>
      <c r="AV100" s="56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56"/>
      <c r="BJ100" s="56"/>
      <c r="BK100" s="56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</row>
    <row r="101" spans="2:78" ht="15.75" thickTop="1" x14ac:dyDescent="0.25">
      <c r="AT101" s="43"/>
      <c r="AU101" s="43"/>
      <c r="AV101" s="43"/>
      <c r="BI101" s="43"/>
      <c r="BJ101" s="43"/>
      <c r="BK101" s="43"/>
    </row>
    <row r="102" spans="2:78" ht="15" customHeight="1" x14ac:dyDescent="0.25">
      <c r="B102" s="1583" t="s">
        <v>168</v>
      </c>
      <c r="O102" s="1558" t="s">
        <v>152</v>
      </c>
      <c r="Q102" s="18"/>
      <c r="AF102" s="1601" t="s">
        <v>154</v>
      </c>
      <c r="AH102" s="1601" t="s">
        <v>155</v>
      </c>
      <c r="AR102" s="61" t="s">
        <v>163</v>
      </c>
      <c r="AT102" s="1558" t="s">
        <v>161</v>
      </c>
      <c r="AU102" s="43"/>
      <c r="AV102" s="1601" t="s">
        <v>164</v>
      </c>
      <c r="BG102" s="61" t="s">
        <v>163</v>
      </c>
      <c r="BI102" s="1558" t="s">
        <v>161</v>
      </c>
      <c r="BJ102" s="43"/>
      <c r="BK102" s="1601" t="s">
        <v>164</v>
      </c>
      <c r="BV102" s="61" t="s">
        <v>163</v>
      </c>
      <c r="BX102" s="1558" t="s">
        <v>161</v>
      </c>
      <c r="BY102" s="43"/>
      <c r="BZ102" s="1601" t="s">
        <v>164</v>
      </c>
    </row>
    <row r="103" spans="2:78" x14ac:dyDescent="0.25">
      <c r="B103" s="1584"/>
      <c r="O103" s="1560"/>
      <c r="Q103" s="18"/>
      <c r="AF103" s="1602"/>
      <c r="AH103" s="1602"/>
      <c r="AR103" s="62">
        <v>1</v>
      </c>
      <c r="AT103" s="1560"/>
      <c r="AU103" s="43"/>
      <c r="AV103" s="1602"/>
      <c r="BG103" s="62">
        <v>1</v>
      </c>
      <c r="BI103" s="1560"/>
      <c r="BJ103" s="43"/>
      <c r="BK103" s="1602"/>
      <c r="BV103" s="62">
        <v>1</v>
      </c>
      <c r="BX103" s="1560"/>
      <c r="BY103" s="43"/>
      <c r="BZ103" s="1602"/>
    </row>
    <row r="104" spans="2:78" x14ac:dyDescent="0.25">
      <c r="B104" s="1584"/>
      <c r="AT104" s="43"/>
      <c r="AU104" s="43"/>
      <c r="AV104" s="43"/>
      <c r="BI104" s="43"/>
      <c r="BJ104" s="43"/>
      <c r="BK104" s="43"/>
      <c r="BX104" s="43"/>
      <c r="BY104" s="43"/>
      <c r="BZ104" s="43"/>
    </row>
    <row r="105" spans="2:78" ht="15" customHeight="1" x14ac:dyDescent="0.25">
      <c r="B105" s="1584"/>
      <c r="M105" s="1603" t="str">
        <f>M73</f>
        <v>Group Stretch</v>
      </c>
      <c r="O105" s="1599">
        <f>VLOOKUP($U$2,'XFMR Data'!$A$2:$EE$202,21,FALSE)</f>
        <v>354</v>
      </c>
      <c r="Q105" s="65"/>
      <c r="AD105" s="1603" t="str">
        <f>AD73</f>
        <v>Group Stretch</v>
      </c>
      <c r="AF105" s="1599">
        <f>VLOOKUP($U$2,'XFMR Data'!$A$2:$EV$202,69,FALSE)</f>
        <v>0</v>
      </c>
      <c r="AH105" s="1599">
        <f>VLOOKUP($U$2,'XFMR Data'!$A$2:$EV$202,75,FALSE)</f>
        <v>10.516853932584269</v>
      </c>
      <c r="AR105" s="50" t="str">
        <f>AR73</f>
        <v>Group Stretch</v>
      </c>
      <c r="AT105" s="51">
        <f>VLOOKUP($U$2,'XFMR Data'!$A$2:$EV$202,27,FALSE)</f>
        <v>92.2</v>
      </c>
      <c r="AU105" s="43"/>
      <c r="AV105" s="51">
        <f>ROUNDUP(IF(AT105&gt;80, ((AT105-80)+AT105)/100*$AR$103,AT105/100*$AR$103),)</f>
        <v>2</v>
      </c>
      <c r="BG105" s="50" t="str">
        <f>BG73</f>
        <v>Group Stretch</v>
      </c>
      <c r="BI105" s="51">
        <f>VLOOKUP($U$2,'XFMR Data'!$A$2:$EV$202,39,FALSE)</f>
        <v>0</v>
      </c>
      <c r="BJ105" s="43"/>
      <c r="BK105" s="51">
        <f>ROUNDUP(IF(BI105&gt;80, ((BI105-80)+BI105)/100*$BG$103,BI105/100*$BG$103),)</f>
        <v>0</v>
      </c>
      <c r="BV105" s="50" t="str">
        <f>BG105</f>
        <v>Group Stretch</v>
      </c>
      <c r="BX105" s="51">
        <f>VLOOKUP($U$2,'XFMR Data'!$A$2:$EV$202,51,FALSE)</f>
        <v>0</v>
      </c>
      <c r="BY105" s="43"/>
      <c r="BZ105" s="51">
        <f>ROUNDUP(IF(BX105&gt;80, ((BX105-80)+BX105)/100*$BV$103,BX105/100*$BV$103),)</f>
        <v>0</v>
      </c>
    </row>
    <row r="106" spans="2:78" x14ac:dyDescent="0.25">
      <c r="B106" s="1584"/>
      <c r="M106" s="1604"/>
      <c r="O106" s="1600"/>
      <c r="Q106" s="65"/>
      <c r="AD106" s="1604"/>
      <c r="AF106" s="1600"/>
      <c r="AH106" s="1600"/>
      <c r="AR106" s="6"/>
      <c r="AT106" s="15"/>
      <c r="AU106" s="43"/>
      <c r="AV106" s="58"/>
      <c r="BG106" s="6"/>
      <c r="BI106" s="15"/>
      <c r="BJ106" s="43"/>
      <c r="BK106" s="58"/>
      <c r="BV106" s="6"/>
      <c r="BX106" s="15"/>
      <c r="BY106" s="43"/>
      <c r="BZ106" s="58"/>
    </row>
    <row r="107" spans="2:78" x14ac:dyDescent="0.25">
      <c r="B107" s="1584"/>
      <c r="AR107" s="52" t="str">
        <f>AR75</f>
        <v>SEC Stretch</v>
      </c>
      <c r="AT107" s="51">
        <f>VLOOKUP($U$2,'XFMR Data'!$A$2:$EV$202,26,FALSE)</f>
        <v>0</v>
      </c>
      <c r="AU107" s="43"/>
      <c r="AV107" s="51">
        <f>ROUNDUP(IF(AT107&gt;80, ((AT107-80)+AT107)/100*$AR$103,AT107/100*$AR$103),)</f>
        <v>0</v>
      </c>
      <c r="BG107" s="52" t="str">
        <f>BG75</f>
        <v>SEC Stretch</v>
      </c>
      <c r="BI107" s="51">
        <f>VLOOKUP($U$2,'XFMR Data'!$A$2:$EV$202,38,FALSE)</f>
        <v>188.64</v>
      </c>
      <c r="BJ107" s="43"/>
      <c r="BK107" s="51">
        <f>ROUNDUP(IF(BI107&gt;80, ((BI107-80)+BI107)/100*$BG$103,BI107/100*$BG$103),)</f>
        <v>3</v>
      </c>
      <c r="BV107" s="52" t="str">
        <f>BG107</f>
        <v>SEC Stretch</v>
      </c>
      <c r="BX107" s="51">
        <f>VLOOKUP($U$2,'XFMR Data'!$A$2:$EV$202,50,FALSE)</f>
        <v>178.27199999999999</v>
      </c>
      <c r="BY107" s="43"/>
      <c r="BZ107" s="51">
        <f>ROUNDUP(IF(BX107&gt;80, ((BX107-80)+BX107)/100*$BV$103,BX107/100*$BV$103),)</f>
        <v>3</v>
      </c>
    </row>
    <row r="108" spans="2:78" ht="15" customHeight="1" x14ac:dyDescent="0.25">
      <c r="B108" s="1584"/>
      <c r="M108" s="1612" t="str">
        <f>M76</f>
        <v>SEC Stretch</v>
      </c>
      <c r="O108" s="1599">
        <f>VLOOKUP($U$2,'XFMR Data'!$A$2:$EE$202,20,FALSE)</f>
        <v>351</v>
      </c>
      <c r="Q108" s="65"/>
      <c r="AD108" s="1612" t="str">
        <f>AD76</f>
        <v>SEC Stretch</v>
      </c>
      <c r="AF108" s="1599">
        <f>VLOOKUP($U$2,'XFMR Data'!$A$2:$EV$202,68,FALSE)</f>
        <v>169.05599999999998</v>
      </c>
      <c r="AH108" s="1599">
        <f>VLOOKUP($U$2,'XFMR Data'!$A$2:$EV$202,74,FALSE)</f>
        <v>510.33599999999996</v>
      </c>
      <c r="AR108" s="43"/>
      <c r="AT108" s="15"/>
      <c r="AU108" s="43"/>
      <c r="AV108" s="58"/>
      <c r="BG108" s="43"/>
      <c r="BI108" s="15"/>
      <c r="BJ108" s="43"/>
      <c r="BK108" s="58"/>
      <c r="BV108" s="43"/>
      <c r="BX108" s="15"/>
      <c r="BY108" s="43"/>
      <c r="BZ108" s="58"/>
    </row>
    <row r="109" spans="2:78" x14ac:dyDescent="0.25">
      <c r="B109" s="1584"/>
      <c r="M109" s="1613"/>
      <c r="O109" s="1600"/>
      <c r="Q109" s="65"/>
      <c r="AD109" s="1613"/>
      <c r="AF109" s="1600"/>
      <c r="AH109" s="1600"/>
      <c r="AR109" s="53" t="str">
        <f>AR77</f>
        <v>AM Stretch</v>
      </c>
      <c r="AT109" s="51">
        <f>VLOOKUP($U$2,'XFMR Data'!$A$2:$EV$202,25,FALSE)</f>
        <v>0</v>
      </c>
      <c r="AU109" s="43"/>
      <c r="AV109" s="51">
        <f>ROUNDUP(IF(AT109&gt;80, ((AT109-80)+AT109)/100*$AR$103,AT109/100*$AR$103),)</f>
        <v>0</v>
      </c>
      <c r="BG109" s="53" t="str">
        <f>BG77</f>
        <v>AM Stretch</v>
      </c>
      <c r="BI109" s="51">
        <f>VLOOKUP($U$2,'XFMR Data'!$A$2:$EV$202,37,FALSE)</f>
        <v>213.21614583333337</v>
      </c>
      <c r="BJ109" s="43"/>
      <c r="BK109" s="51">
        <f>ROUNDUP(IF(BI109&gt;80, ((BI109-80)+BI109)/100*$BG$103,BI109/100*$BG$103),)</f>
        <v>4</v>
      </c>
      <c r="BV109" s="53" t="str">
        <f>BG109</f>
        <v>AM Stretch</v>
      </c>
      <c r="BX109" s="51">
        <f>VLOOKUP($U$2,'XFMR Data'!$A$2:$EV$202,49,FALSE)</f>
        <v>201.49739583333337</v>
      </c>
      <c r="BY109" s="43"/>
      <c r="BZ109" s="51">
        <f>ROUNDUP(IF(BX109&gt;80, ((BX109-80)+BX109)/100*$BV$103,BX109/100*$BV$103),)</f>
        <v>4</v>
      </c>
    </row>
    <row r="110" spans="2:78" x14ac:dyDescent="0.25">
      <c r="B110" s="1584"/>
      <c r="AR110" s="43"/>
      <c r="AV110" s="60"/>
      <c r="BG110" s="43"/>
      <c r="BK110" s="60"/>
      <c r="BV110" s="43"/>
      <c r="BZ110" s="60"/>
    </row>
    <row r="111" spans="2:78" ht="15" customHeight="1" x14ac:dyDescent="0.25">
      <c r="B111" s="1584"/>
      <c r="M111" s="1610" t="str">
        <f>M79</f>
        <v>AM Stretch</v>
      </c>
      <c r="O111" s="1599">
        <f>VLOOKUP($U$2,'XFMR Data'!$A$2:$EE$202,19,FALSE)</f>
        <v>0</v>
      </c>
      <c r="Q111" s="65"/>
      <c r="AD111" s="1610" t="str">
        <f>AD79</f>
        <v>AM Stretch</v>
      </c>
      <c r="AF111" s="1599">
        <f>VLOOKUP($U$2,'XFMR Data'!$A$2:$EV$202,67,FALSE)</f>
        <v>191.08072916666663</v>
      </c>
      <c r="AH111" s="1599">
        <f>VLOOKUP($U$2,'XFMR Data'!$A$2:$EV$202,73,FALSE)</f>
        <v>576.82291666666652</v>
      </c>
      <c r="AR111" s="54" t="s">
        <v>156</v>
      </c>
      <c r="AT111" s="51">
        <f>VLOOKUP($U$2,'XFMR Data'!$A$2:$EV$202,24,FALSE)</f>
        <v>0</v>
      </c>
      <c r="AU111" s="43"/>
      <c r="AV111" s="51">
        <f>ROUNDUP(IF(AT111&gt;80, ((AT111-80)+AT111)/100*$AR$103,AT111/100*$AR$103),)</f>
        <v>0</v>
      </c>
      <c r="BG111" s="54" t="s">
        <v>156</v>
      </c>
      <c r="BI111" s="51">
        <f>VLOOKUP($U$2,'XFMR Data'!$A$2:$EV$202,36,FALSE)</f>
        <v>170.39781333333329</v>
      </c>
      <c r="BJ111" s="43"/>
      <c r="BK111" s="51">
        <f>ROUNDUP(IF(BI111&gt;80, ((BI111-80)+BI111)/100*$BG$103,BI111/100*$BG$103),)</f>
        <v>3</v>
      </c>
      <c r="BV111" s="54" t="s">
        <v>156</v>
      </c>
      <c r="BX111" s="51">
        <f>VLOOKUP($U$2,'XFMR Data'!$A$2:$EV$202,48,FALSE)</f>
        <v>161.03243733333332</v>
      </c>
      <c r="BY111" s="43"/>
      <c r="BZ111" s="51">
        <f>ROUNDUP(IF(BX111&gt;80, ((BX111-80)+BX111)/100*$BV$103,BX111/100*$BV$103),)</f>
        <v>3</v>
      </c>
    </row>
    <row r="112" spans="2:78" x14ac:dyDescent="0.25">
      <c r="B112" s="1584"/>
      <c r="M112" s="1611"/>
      <c r="O112" s="1600"/>
      <c r="Q112" s="65"/>
      <c r="AD112" s="1611"/>
      <c r="AF112" s="1600"/>
      <c r="AH112" s="1600"/>
      <c r="AR112" s="6"/>
      <c r="AT112" s="43"/>
      <c r="AU112" s="43"/>
      <c r="AV112" s="59"/>
      <c r="BG112" s="6"/>
      <c r="BI112" s="43"/>
      <c r="BJ112" s="43"/>
      <c r="BK112" s="59"/>
      <c r="BV112" s="6"/>
      <c r="BX112" s="43"/>
      <c r="BY112" s="43"/>
      <c r="BZ112" s="59"/>
    </row>
    <row r="113" spans="2:78" x14ac:dyDescent="0.25">
      <c r="B113" s="1584"/>
      <c r="AR113" s="55" t="s">
        <v>157</v>
      </c>
      <c r="AT113" s="51">
        <f>VLOOKUP($U$2,'XFMR Data'!$A$2:$EV$202,2,FALSE)</f>
        <v>91</v>
      </c>
      <c r="AU113" s="43"/>
      <c r="AV113" s="51">
        <f>ROUNDUP(IF(AT113&gt;80, ((AT113-80)+AT113)/100*$AR$103,AT113/100*$AR$103),)</f>
        <v>2</v>
      </c>
      <c r="BG113" s="55" t="s">
        <v>157</v>
      </c>
      <c r="BI113" s="51">
        <f>VLOOKUP($U$2,'XFMR Data'!$A$2:$EV$202,4,FALSE)</f>
        <v>110</v>
      </c>
      <c r="BJ113" s="43"/>
      <c r="BK113" s="51">
        <f>ROUNDUP(IF(BI113&gt;80, ((BI113-80)+BI113)/100*$BG$103,BI113/100*$BG$103),)</f>
        <v>2</v>
      </c>
      <c r="BV113" s="55" t="s">
        <v>157</v>
      </c>
      <c r="BX113" s="51">
        <f>VLOOKUP($U$2,'XFMR Data'!$A$2:$EV$202,6,FALSE)</f>
        <v>99</v>
      </c>
      <c r="BY113" s="43"/>
      <c r="BZ113" s="51">
        <f>ROUNDUP(IF(BX113&gt;80, ((BX113-80)+BX113)/100*$BV$103,BX113/100*$BV$103),)</f>
        <v>2</v>
      </c>
    </row>
    <row r="114" spans="2:78" ht="15" customHeight="1" x14ac:dyDescent="0.25">
      <c r="B114" s="1584"/>
      <c r="M114" s="1605" t="s">
        <v>158</v>
      </c>
      <c r="O114" s="1599">
        <f>VLOOKUP($U$2,'XFMR Data'!$A$2:$EE$202,18,FALSE)</f>
        <v>66</v>
      </c>
      <c r="Q114" s="65"/>
      <c r="AD114" s="1605" t="s">
        <v>158</v>
      </c>
      <c r="AF114" s="1599">
        <f>VLOOKUP($U$2,'XFMR Data'!$A$2:$EV$202,66,FALSE)</f>
        <v>152.70765866666662</v>
      </c>
      <c r="AH114" s="1599">
        <f>VLOOKUP($U$2,'XFMR Data'!$A$2:$EV$202,72,FALSE)</f>
        <v>460.98461866666656</v>
      </c>
      <c r="AT114" s="15"/>
      <c r="AU114" s="43"/>
      <c r="AV114" s="58"/>
      <c r="BI114" s="15"/>
      <c r="BJ114" s="43"/>
      <c r="BK114" s="58"/>
    </row>
    <row r="115" spans="2:78" x14ac:dyDescent="0.25">
      <c r="B115" s="1584"/>
      <c r="M115" s="1606"/>
      <c r="O115" s="1600"/>
      <c r="Q115" s="65"/>
      <c r="AD115" s="1606"/>
      <c r="AF115" s="1600"/>
      <c r="AH115" s="1600"/>
      <c r="AR115" s="61" t="s">
        <v>163</v>
      </c>
      <c r="AT115" s="1558" t="s">
        <v>161</v>
      </c>
      <c r="AU115" s="43"/>
      <c r="AV115" s="1601" t="s">
        <v>164</v>
      </c>
      <c r="BG115" s="61" t="s">
        <v>163</v>
      </c>
      <c r="BI115" s="1558" t="s">
        <v>161</v>
      </c>
      <c r="BJ115" s="43"/>
      <c r="BK115" s="1601" t="s">
        <v>164</v>
      </c>
    </row>
    <row r="116" spans="2:78" x14ac:dyDescent="0.25">
      <c r="B116" s="1584"/>
      <c r="AR116" s="62">
        <v>1</v>
      </c>
      <c r="AT116" s="1560"/>
      <c r="AU116" s="43"/>
      <c r="AV116" s="1602"/>
      <c r="BG116" s="62">
        <v>1</v>
      </c>
      <c r="BI116" s="1560"/>
      <c r="BJ116" s="43"/>
      <c r="BK116" s="1602"/>
    </row>
    <row r="117" spans="2:78" x14ac:dyDescent="0.25">
      <c r="B117" s="1584"/>
      <c r="M117" s="1607" t="s">
        <v>157</v>
      </c>
      <c r="O117" s="1599">
        <f>VLOOKUP($U$2,'XFMR Data'!$A$2:$EE$202,16,FALSE)</f>
        <v>0</v>
      </c>
      <c r="Q117" s="65"/>
      <c r="AD117" s="1607" t="s">
        <v>157</v>
      </c>
      <c r="AF117" s="1599">
        <f>VLOOKUP($U$2,'XFMR Data'!$A$2:$EV$202,64,FALSE)</f>
        <v>0</v>
      </c>
      <c r="AH117" s="1599">
        <f>VLOOKUP($U$2,'XFMR Data'!$A$2:$EV$202,70,FALSE)</f>
        <v>0</v>
      </c>
    </row>
    <row r="118" spans="2:78" x14ac:dyDescent="0.25">
      <c r="B118" s="1584"/>
      <c r="M118" s="1608"/>
      <c r="O118" s="1600"/>
      <c r="Q118" s="65"/>
      <c r="AD118" s="1608"/>
      <c r="AF118" s="1600"/>
      <c r="AH118" s="1600"/>
      <c r="AR118" s="50" t="str">
        <f>AR87</f>
        <v>Group Stretch</v>
      </c>
      <c r="AT118" s="51">
        <f>VLOOKUP($U$2,'XFMR Data'!$A$2:$EV$202,33,FALSE)</f>
        <v>0</v>
      </c>
      <c r="AU118" s="43"/>
      <c r="AV118" s="51">
        <f>ROUNDUP(IF(AT118&gt;80, ((AT118-80)+AT118)/100*$AR$116,AT118/100*$AR$116),)</f>
        <v>0</v>
      </c>
      <c r="BG118" s="50" t="str">
        <f>BG87</f>
        <v>Group Stretch</v>
      </c>
      <c r="BI118" s="51">
        <f>VLOOKUP($U$2,'XFMR Data'!$A$2:$EV$202,45,FALSE)</f>
        <v>0</v>
      </c>
      <c r="BJ118" s="43"/>
      <c r="BK118" s="51">
        <f>ROUNDUP(IF(BI118&gt;80, ((BI118-80)+BI118)/100*$BG$116,BI118/100*$BG$116),)</f>
        <v>0</v>
      </c>
    </row>
    <row r="119" spans="2:78" x14ac:dyDescent="0.25">
      <c r="B119" s="1584"/>
      <c r="AR119" s="6"/>
      <c r="AT119" s="15"/>
      <c r="AU119" s="43"/>
      <c r="AV119" s="58"/>
      <c r="BG119" s="6"/>
      <c r="BI119" s="15"/>
      <c r="BJ119" s="43"/>
      <c r="BK119" s="58"/>
    </row>
    <row r="120" spans="2:78" ht="15" customHeight="1" x14ac:dyDescent="0.25">
      <c r="B120" s="1584"/>
      <c r="M120" s="12"/>
      <c r="O120" s="12"/>
      <c r="AD120" s="1558" t="s">
        <v>159</v>
      </c>
      <c r="AF120" s="1597" t="s">
        <v>165</v>
      </c>
      <c r="AR120" s="52" t="str">
        <f>AR107</f>
        <v>SEC Stretch</v>
      </c>
      <c r="AT120" s="51">
        <f>VLOOKUP($U$2,'XFMR Data'!$A$2:$EV$202,32,FALSE)</f>
        <v>150.56639999999999</v>
      </c>
      <c r="AU120" s="43"/>
      <c r="AV120" s="51">
        <f>ROUNDUP(IF(AT120&gt;80, ((AT120-80)+AT120)/100*$AR$116,AT120/100*$AR$116),)</f>
        <v>3</v>
      </c>
      <c r="BG120" s="52" t="str">
        <f>BG107</f>
        <v>SEC Stretch</v>
      </c>
      <c r="BI120" s="51">
        <f>VLOOKUP($U$2,'XFMR Data'!$A$2:$EV$202,44,FALSE)</f>
        <v>129.88799999999998</v>
      </c>
      <c r="BJ120" s="43"/>
      <c r="BK120" s="51">
        <f>ROUNDUP(IF(BI120&gt;80, ((BI120-80)+BI120)/100*$BG$116,BI120/100*$BG$116),)</f>
        <v>2</v>
      </c>
    </row>
    <row r="121" spans="2:78" x14ac:dyDescent="0.25">
      <c r="B121" s="1584"/>
      <c r="M121" s="12"/>
      <c r="O121" s="12"/>
      <c r="AD121" s="1560"/>
      <c r="AF121" s="1598"/>
      <c r="AR121" s="43"/>
      <c r="AT121" s="15"/>
      <c r="AU121" s="43"/>
      <c r="AV121" s="58"/>
      <c r="BG121" s="43"/>
      <c r="BI121" s="15"/>
      <c r="BJ121" s="43"/>
      <c r="BK121" s="58"/>
    </row>
    <row r="122" spans="2:78" x14ac:dyDescent="0.25">
      <c r="B122" s="1584"/>
      <c r="AR122" s="53" t="str">
        <f>AR109</f>
        <v>AM Stretch</v>
      </c>
      <c r="AT122" s="51">
        <f>VLOOKUP($U$2,'XFMR Data'!$A$2:$EV$202,31,FALSE)</f>
        <v>170.18229166666669</v>
      </c>
      <c r="AU122" s="43"/>
      <c r="AV122" s="51">
        <f>ROUNDUP(IF(AT122&gt;80, ((AT122-80)+AT122)/100*$AR$116,AT122/100*$AR$116),)</f>
        <v>3</v>
      </c>
      <c r="BG122" s="53" t="str">
        <f>BG109</f>
        <v>AM Stretch</v>
      </c>
      <c r="BI122" s="51">
        <f>VLOOKUP($U$2,'XFMR Data'!$A$2:$EV$202,43,FALSE)</f>
        <v>146.80989583333337</v>
      </c>
      <c r="BJ122" s="43"/>
      <c r="BK122" s="51">
        <f>ROUNDUP(IF(BI122&gt;80, ((BI122-80)+BI122)/100*$BG$116,BI122/100*$BG$116),)</f>
        <v>3</v>
      </c>
    </row>
    <row r="123" spans="2:78" x14ac:dyDescent="0.25">
      <c r="B123" s="1584"/>
      <c r="AR123" s="43"/>
      <c r="AV123" s="60"/>
      <c r="BG123" s="43"/>
      <c r="BK123" s="60"/>
    </row>
    <row r="124" spans="2:78" x14ac:dyDescent="0.25">
      <c r="B124" s="1584"/>
      <c r="AR124" s="54" t="s">
        <v>156</v>
      </c>
      <c r="AT124" s="51">
        <f>VLOOKUP($U$2,'XFMR Data'!$A$2:$EV$202,30,FALSE)</f>
        <v>136.00607146666664</v>
      </c>
      <c r="AU124" s="43"/>
      <c r="AV124" s="51">
        <f>ROUNDUP(IF(AT124&gt;80, ((AT124-80)+AT124)/100*$AR$116,AT124/100*$AR$116),)</f>
        <v>2</v>
      </c>
      <c r="BG124" s="54" t="s">
        <v>156</v>
      </c>
      <c r="BI124" s="51">
        <f>VLOOKUP($U$2,'XFMR Data'!$A$2:$EV$202,42,FALSE)</f>
        <v>117.3273493333333</v>
      </c>
      <c r="BJ124" s="43"/>
      <c r="BK124" s="51">
        <f>ROUNDUP(IF(BI124&gt;80, ((BI124-80)+BI124)/100*$BG$116,BI124/100*$BG$116),)</f>
        <v>2</v>
      </c>
    </row>
    <row r="125" spans="2:78" x14ac:dyDescent="0.25">
      <c r="B125" s="1584"/>
      <c r="AR125" s="6"/>
      <c r="AT125" s="43"/>
      <c r="AU125" s="43"/>
      <c r="AV125" s="59"/>
      <c r="BG125" s="6"/>
      <c r="BI125" s="43"/>
      <c r="BJ125" s="43"/>
      <c r="BK125" s="59"/>
    </row>
    <row r="126" spans="2:78" x14ac:dyDescent="0.25">
      <c r="B126" s="1584"/>
      <c r="AR126" s="55" t="s">
        <v>157</v>
      </c>
      <c r="AT126" s="51">
        <f>VLOOKUP($U$2,'XFMR Data'!$A$2:$EV$202,3,FALSE)</f>
        <v>88</v>
      </c>
      <c r="AU126" s="43"/>
      <c r="AV126" s="51">
        <f>ROUNDUP(IF(AT126&gt;80, ((AT126-80)+AT126)/100*$AR$116,AT126/100*$AR$116),)</f>
        <v>1</v>
      </c>
      <c r="BG126" s="55" t="s">
        <v>157</v>
      </c>
      <c r="BI126" s="51">
        <f>VLOOKUP($U$2,'XFMR Data'!$A$2:$EV$202,5,FALSE)</f>
        <v>73</v>
      </c>
      <c r="BJ126" s="43"/>
      <c r="BK126" s="51">
        <f>ROUNDUP(IF(BI126&gt;80, ((BI126-80)+BI126)/100*$BG$116,BI126/100*$BG$116),)</f>
        <v>1</v>
      </c>
    </row>
    <row r="127" spans="2:78" x14ac:dyDescent="0.25">
      <c r="B127" s="1584"/>
    </row>
    <row r="128" spans="2:78" x14ac:dyDescent="0.25">
      <c r="B128" s="1584"/>
      <c r="AT128" s="43"/>
      <c r="AU128" s="43"/>
      <c r="AV128" s="43"/>
    </row>
    <row r="129" spans="2:78" x14ac:dyDescent="0.25">
      <c r="B129" s="1584"/>
      <c r="C129" s="1588" t="s">
        <v>169</v>
      </c>
      <c r="D129" s="1578"/>
      <c r="E129" s="1578"/>
      <c r="F129" s="1578"/>
      <c r="G129" s="1578"/>
      <c r="H129" s="1578"/>
      <c r="I129" s="1578"/>
      <c r="J129" s="1578"/>
      <c r="K129" s="1579"/>
      <c r="S129" s="1614" t="s">
        <v>170</v>
      </c>
      <c r="T129" s="1615"/>
      <c r="U129" s="1615"/>
      <c r="V129" s="1615"/>
      <c r="W129" s="1615"/>
      <c r="X129" s="1615"/>
      <c r="Y129" s="1615"/>
      <c r="Z129" s="1615"/>
      <c r="AA129" s="1615"/>
      <c r="AB129" s="1616"/>
      <c r="AJ129" s="1586"/>
      <c r="AK129" s="1578"/>
      <c r="AL129" s="1578"/>
      <c r="AM129" s="1578"/>
      <c r="AN129" s="1578"/>
      <c r="AO129" s="1578"/>
      <c r="AP129" s="1579"/>
      <c r="AY129" s="1586"/>
      <c r="AZ129" s="1578"/>
      <c r="BA129" s="1578"/>
      <c r="BB129" s="1578"/>
      <c r="BC129" s="1578"/>
      <c r="BD129" s="1578"/>
      <c r="BE129" s="1579"/>
    </row>
    <row r="130" spans="2:78" x14ac:dyDescent="0.25">
      <c r="B130" s="1585"/>
      <c r="C130" s="1587"/>
      <c r="D130" s="1581"/>
      <c r="E130" s="1581"/>
      <c r="F130" s="1581"/>
      <c r="G130" s="1581"/>
      <c r="H130" s="1581"/>
      <c r="I130" s="1581"/>
      <c r="J130" s="1581"/>
      <c r="K130" s="1582"/>
      <c r="S130" s="1617"/>
      <c r="T130" s="1618"/>
      <c r="U130" s="1618"/>
      <c r="V130" s="1618"/>
      <c r="W130" s="1618"/>
      <c r="X130" s="1618"/>
      <c r="Y130" s="1618"/>
      <c r="Z130" s="1618"/>
      <c r="AA130" s="1618"/>
      <c r="AB130" s="1619"/>
      <c r="AJ130" s="1587"/>
      <c r="AK130" s="1581"/>
      <c r="AL130" s="1581"/>
      <c r="AM130" s="1581"/>
      <c r="AN130" s="1581"/>
      <c r="AO130" s="1581"/>
      <c r="AP130" s="1582"/>
      <c r="AY130" s="1587"/>
      <c r="AZ130" s="1581"/>
      <c r="BA130" s="1581"/>
      <c r="BB130" s="1581"/>
      <c r="BC130" s="1581"/>
      <c r="BD130" s="1581"/>
      <c r="BE130" s="1582"/>
    </row>
    <row r="131" spans="2:78" ht="15.75" thickBot="1" x14ac:dyDescent="0.3"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</row>
    <row r="132" spans="2:78" ht="15.75" thickTop="1" x14ac:dyDescent="0.25"/>
  </sheetData>
  <mergeCells count="185">
    <mergeCell ref="D2:D4"/>
    <mergeCell ref="E2:R2"/>
    <mergeCell ref="E3:R4"/>
    <mergeCell ref="M117:M118"/>
    <mergeCell ref="O117:O118"/>
    <mergeCell ref="M108:M109"/>
    <mergeCell ref="O108:O109"/>
    <mergeCell ref="M111:M112"/>
    <mergeCell ref="O111:O112"/>
    <mergeCell ref="M114:M115"/>
    <mergeCell ref="O114:O115"/>
    <mergeCell ref="M85:M86"/>
    <mergeCell ref="O85:O86"/>
    <mergeCell ref="O102:O103"/>
    <mergeCell ref="M105:M106"/>
    <mergeCell ref="O105:O106"/>
    <mergeCell ref="O73:O74"/>
    <mergeCell ref="M76:M77"/>
    <mergeCell ref="O76:O77"/>
    <mergeCell ref="M79:M80"/>
    <mergeCell ref="O79:O80"/>
    <mergeCell ref="M82:M83"/>
    <mergeCell ref="O82:O83"/>
    <mergeCell ref="M50:M51"/>
    <mergeCell ref="M53:M54"/>
    <mergeCell ref="O53:O54"/>
    <mergeCell ref="Q53:Q54"/>
    <mergeCell ref="O70:O71"/>
    <mergeCell ref="M41:M42"/>
    <mergeCell ref="O41:O42"/>
    <mergeCell ref="Q41:Q42"/>
    <mergeCell ref="M44:M45"/>
    <mergeCell ref="O44:O45"/>
    <mergeCell ref="Q44:Q45"/>
    <mergeCell ref="M47:M48"/>
    <mergeCell ref="O47:O48"/>
    <mergeCell ref="Q47:Q48"/>
    <mergeCell ref="M19:M20"/>
    <mergeCell ref="O19:O20"/>
    <mergeCell ref="Q19:Q20"/>
    <mergeCell ref="M22:M23"/>
    <mergeCell ref="O22:O23"/>
    <mergeCell ref="Q22:Q23"/>
    <mergeCell ref="O38:O39"/>
    <mergeCell ref="Q38:Q39"/>
    <mergeCell ref="O7:O8"/>
    <mergeCell ref="Q7:Q8"/>
    <mergeCell ref="M10:M11"/>
    <mergeCell ref="O10:O11"/>
    <mergeCell ref="Q10:Q11"/>
    <mergeCell ref="M13:M14"/>
    <mergeCell ref="O13:O14"/>
    <mergeCell ref="Q13:Q14"/>
    <mergeCell ref="M16:M17"/>
    <mergeCell ref="O16:O17"/>
    <mergeCell ref="Q16:Q17"/>
    <mergeCell ref="BK84:BK85"/>
    <mergeCell ref="BI102:BI103"/>
    <mergeCell ref="BK102:BK103"/>
    <mergeCell ref="BI115:BI116"/>
    <mergeCell ref="BK115:BK116"/>
    <mergeCell ref="BX102:BX103"/>
    <mergeCell ref="BZ102:BZ103"/>
    <mergeCell ref="S34:AB35"/>
    <mergeCell ref="AT84:AT85"/>
    <mergeCell ref="AV84:AV85"/>
    <mergeCell ref="AT115:AT116"/>
    <mergeCell ref="AV115:AV116"/>
    <mergeCell ref="BI84:BI85"/>
    <mergeCell ref="AD44:AD45"/>
    <mergeCell ref="AF44:AF45"/>
    <mergeCell ref="AH44:AH45"/>
    <mergeCell ref="AJ34:AP35"/>
    <mergeCell ref="AF41:AF42"/>
    <mergeCell ref="AH41:AH42"/>
    <mergeCell ref="AF76:AF77"/>
    <mergeCell ref="AH76:AH77"/>
    <mergeCell ref="AD79:AD80"/>
    <mergeCell ref="AY97:BK99"/>
    <mergeCell ref="S65:AH67"/>
    <mergeCell ref="BK7:BK8"/>
    <mergeCell ref="BI20:BI21"/>
    <mergeCell ref="BK20:BK21"/>
    <mergeCell ref="BI70:BI71"/>
    <mergeCell ref="BK70:BK71"/>
    <mergeCell ref="AT20:AT21"/>
    <mergeCell ref="AV20:AV21"/>
    <mergeCell ref="AT52:AT53"/>
    <mergeCell ref="AV52:AV53"/>
    <mergeCell ref="BI7:BI8"/>
    <mergeCell ref="AY34:BE35"/>
    <mergeCell ref="AT38:AT39"/>
    <mergeCell ref="AV38:AV39"/>
    <mergeCell ref="AT7:AT8"/>
    <mergeCell ref="AV7:AV8"/>
    <mergeCell ref="AT70:AT71"/>
    <mergeCell ref="AV70:AV71"/>
    <mergeCell ref="S129:AB130"/>
    <mergeCell ref="M73:M74"/>
    <mergeCell ref="AD76:AD77"/>
    <mergeCell ref="B7:B35"/>
    <mergeCell ref="C34:K35"/>
    <mergeCell ref="AH7:AH8"/>
    <mergeCell ref="AF7:AF8"/>
    <mergeCell ref="AH10:AH11"/>
    <mergeCell ref="AF10:AF11"/>
    <mergeCell ref="AH13:AH14"/>
    <mergeCell ref="AF13:AF14"/>
    <mergeCell ref="AD10:AD11"/>
    <mergeCell ref="AD13:AD14"/>
    <mergeCell ref="AD16:AD17"/>
    <mergeCell ref="AD19:AD20"/>
    <mergeCell ref="AD22:AD23"/>
    <mergeCell ref="AH16:AH17"/>
    <mergeCell ref="AF16:AF17"/>
    <mergeCell ref="AF25:AF26"/>
    <mergeCell ref="AD25:AD26"/>
    <mergeCell ref="AF38:AF39"/>
    <mergeCell ref="AH38:AH39"/>
    <mergeCell ref="B102:B130"/>
    <mergeCell ref="C129:K130"/>
    <mergeCell ref="AY129:BE130"/>
    <mergeCell ref="AJ129:AP130"/>
    <mergeCell ref="AF102:AF103"/>
    <mergeCell ref="AH102:AH103"/>
    <mergeCell ref="AD105:AD106"/>
    <mergeCell ref="AF105:AF106"/>
    <mergeCell ref="AH105:AH106"/>
    <mergeCell ref="AT102:AT103"/>
    <mergeCell ref="AV102:AV103"/>
    <mergeCell ref="AD120:AD121"/>
    <mergeCell ref="AF120:AF121"/>
    <mergeCell ref="AD114:AD115"/>
    <mergeCell ref="AF114:AF115"/>
    <mergeCell ref="AH114:AH115"/>
    <mergeCell ref="AD117:AD118"/>
    <mergeCell ref="AF117:AF118"/>
    <mergeCell ref="AH117:AH118"/>
    <mergeCell ref="AD108:AD109"/>
    <mergeCell ref="AF108:AF109"/>
    <mergeCell ref="AH108:AH109"/>
    <mergeCell ref="AD111:AD112"/>
    <mergeCell ref="AF111:AF112"/>
    <mergeCell ref="AH111:AH112"/>
    <mergeCell ref="U2:V3"/>
    <mergeCell ref="AH19:AH20"/>
    <mergeCell ref="AF19:AF20"/>
    <mergeCell ref="AF22:AF23"/>
    <mergeCell ref="AH22:AH23"/>
    <mergeCell ref="AD53:AD54"/>
    <mergeCell ref="AF53:AF54"/>
    <mergeCell ref="AF56:AF57"/>
    <mergeCell ref="AD47:AD48"/>
    <mergeCell ref="AF47:AF48"/>
    <mergeCell ref="AH47:AH48"/>
    <mergeCell ref="AD50:AD51"/>
    <mergeCell ref="AF50:AF51"/>
    <mergeCell ref="AH50:AH51"/>
    <mergeCell ref="AD41:AD42"/>
    <mergeCell ref="AH53:AH54"/>
    <mergeCell ref="AD56:AD57"/>
    <mergeCell ref="C65:K67"/>
    <mergeCell ref="B38:B67"/>
    <mergeCell ref="AJ65:AP67"/>
    <mergeCell ref="C97:K99"/>
    <mergeCell ref="B70:B99"/>
    <mergeCell ref="S97:AB99"/>
    <mergeCell ref="AJ97:AP99"/>
    <mergeCell ref="AD88:AD89"/>
    <mergeCell ref="AF88:AF89"/>
    <mergeCell ref="AF79:AF80"/>
    <mergeCell ref="AH79:AH80"/>
    <mergeCell ref="AF70:AF71"/>
    <mergeCell ref="AH70:AH71"/>
    <mergeCell ref="AD73:AD74"/>
    <mergeCell ref="AF73:AF74"/>
    <mergeCell ref="AH73:AH74"/>
    <mergeCell ref="AD82:AD83"/>
    <mergeCell ref="AF82:AF83"/>
    <mergeCell ref="AH82:AH83"/>
    <mergeCell ref="AD85:AD86"/>
    <mergeCell ref="AF85:AF86"/>
    <mergeCell ref="AH85:AH86"/>
    <mergeCell ref="O50:O51"/>
    <mergeCell ref="Q50:Q51"/>
  </mergeCells>
  <conditionalFormatting sqref="Q10">
    <cfRule type="cellIs" dxfId="709" priority="270" operator="equal">
      <formula>$M$8</formula>
    </cfRule>
    <cfRule type="cellIs" dxfId="708" priority="275" operator="lessThan">
      <formula>$M$8</formula>
    </cfRule>
    <cfRule type="cellIs" dxfId="707" priority="276" operator="greaterThan">
      <formula>$M$8</formula>
    </cfRule>
  </conditionalFormatting>
  <conditionalFormatting sqref="Q13">
    <cfRule type="cellIs" dxfId="706" priority="267" operator="equal">
      <formula>$M$8</formula>
    </cfRule>
    <cfRule type="cellIs" dxfId="705" priority="268" operator="lessThan">
      <formula>$M$8</formula>
    </cfRule>
    <cfRule type="cellIs" dxfId="704" priority="269" operator="greaterThan">
      <formula>$M$8</formula>
    </cfRule>
  </conditionalFormatting>
  <conditionalFormatting sqref="Q16">
    <cfRule type="cellIs" dxfId="703" priority="264" operator="equal">
      <formula>$M$8</formula>
    </cfRule>
    <cfRule type="cellIs" dxfId="702" priority="265" operator="lessThan">
      <formula>$M$8</formula>
    </cfRule>
    <cfRule type="cellIs" dxfId="701" priority="266" operator="greaterThan">
      <formula>$M$8</formula>
    </cfRule>
  </conditionalFormatting>
  <conditionalFormatting sqref="Q19">
    <cfRule type="cellIs" dxfId="700" priority="261" operator="equal">
      <formula>$M$8</formula>
    </cfRule>
    <cfRule type="cellIs" dxfId="699" priority="262" operator="lessThan">
      <formula>$M$8</formula>
    </cfRule>
    <cfRule type="cellIs" dxfId="698" priority="263" operator="greaterThan">
      <formula>$M$8</formula>
    </cfRule>
  </conditionalFormatting>
  <conditionalFormatting sqref="Q22">
    <cfRule type="cellIs" dxfId="697" priority="258" operator="equal">
      <formula>$M$8</formula>
    </cfRule>
    <cfRule type="cellIs" dxfId="696" priority="259" operator="lessThan">
      <formula>$M$8</formula>
    </cfRule>
    <cfRule type="cellIs" dxfId="695" priority="260" operator="greaterThan">
      <formula>$M$8</formula>
    </cfRule>
  </conditionalFormatting>
  <conditionalFormatting sqref="AV10">
    <cfRule type="cellIs" dxfId="694" priority="255" operator="equal">
      <formula>$AR$8</formula>
    </cfRule>
    <cfRule type="cellIs" dxfId="693" priority="256" operator="lessThan">
      <formula>$AR$8</formula>
    </cfRule>
    <cfRule type="cellIs" dxfId="692" priority="257" operator="greaterThan">
      <formula>$AR$8</formula>
    </cfRule>
  </conditionalFormatting>
  <conditionalFormatting sqref="AV12">
    <cfRule type="cellIs" dxfId="691" priority="252" operator="equal">
      <formula>$AR$8</formula>
    </cfRule>
    <cfRule type="cellIs" dxfId="690" priority="253" operator="lessThan">
      <formula>$AR$8</formula>
    </cfRule>
    <cfRule type="cellIs" dxfId="689" priority="254" operator="greaterThan">
      <formula>$AR$8</formula>
    </cfRule>
  </conditionalFormatting>
  <conditionalFormatting sqref="AV14">
    <cfRule type="cellIs" dxfId="688" priority="249" operator="equal">
      <formula>$AR$8</formula>
    </cfRule>
    <cfRule type="cellIs" dxfId="687" priority="250" operator="lessThan">
      <formula>$AR$8</formula>
    </cfRule>
    <cfRule type="cellIs" dxfId="686" priority="251" operator="greaterThan">
      <formula>$AR$8</formula>
    </cfRule>
  </conditionalFormatting>
  <conditionalFormatting sqref="AV16">
    <cfRule type="cellIs" dxfId="685" priority="246" operator="equal">
      <formula>$AR$8</formula>
    </cfRule>
    <cfRule type="cellIs" dxfId="684" priority="247" operator="lessThan">
      <formula>$AR$8</formula>
    </cfRule>
    <cfRule type="cellIs" dxfId="683" priority="248" operator="greaterThan">
      <formula>$AR$8</formula>
    </cfRule>
  </conditionalFormatting>
  <conditionalFormatting sqref="AV18">
    <cfRule type="cellIs" dxfId="682" priority="243" operator="equal">
      <formula>$AR$8</formula>
    </cfRule>
    <cfRule type="cellIs" dxfId="681" priority="244" operator="lessThan">
      <formula>$AR$8</formula>
    </cfRule>
    <cfRule type="cellIs" dxfId="680" priority="245" operator="greaterThan">
      <formula>$AR$8</formula>
    </cfRule>
  </conditionalFormatting>
  <conditionalFormatting sqref="AV23">
    <cfRule type="cellIs" dxfId="679" priority="240" operator="equal">
      <formula>$AR$21</formula>
    </cfRule>
    <cfRule type="cellIs" dxfId="678" priority="241" operator="lessThan">
      <formula>$AR$21</formula>
    </cfRule>
    <cfRule type="cellIs" dxfId="677" priority="242" operator="greaterThan">
      <formula>$AR$21</formula>
    </cfRule>
  </conditionalFormatting>
  <conditionalFormatting sqref="AV25">
    <cfRule type="cellIs" dxfId="676" priority="237" operator="equal">
      <formula>$AR$21</formula>
    </cfRule>
    <cfRule type="cellIs" dxfId="675" priority="238" operator="lessThan">
      <formula>$AR$21</formula>
    </cfRule>
    <cfRule type="cellIs" dxfId="674" priority="239" operator="greaterThan">
      <formula>$AR$21</formula>
    </cfRule>
  </conditionalFormatting>
  <conditionalFormatting sqref="AV27">
    <cfRule type="cellIs" dxfId="673" priority="234" operator="equal">
      <formula>$AR$21</formula>
    </cfRule>
    <cfRule type="cellIs" dxfId="672" priority="235" operator="lessThan">
      <formula>$AR$21</formula>
    </cfRule>
    <cfRule type="cellIs" dxfId="671" priority="236" operator="greaterThan">
      <formula>$AR$21</formula>
    </cfRule>
  </conditionalFormatting>
  <conditionalFormatting sqref="AV29">
    <cfRule type="cellIs" dxfId="670" priority="231" operator="equal">
      <formula>$AR$21</formula>
    </cfRule>
    <cfRule type="cellIs" dxfId="669" priority="232" operator="lessThan">
      <formula>$AR$21</formula>
    </cfRule>
    <cfRule type="cellIs" dxfId="668" priority="233" operator="greaterThan">
      <formula>$AR$21</formula>
    </cfRule>
  </conditionalFormatting>
  <conditionalFormatting sqref="AV31">
    <cfRule type="cellIs" dxfId="667" priority="228" operator="equal">
      <formula>$AR$21</formula>
    </cfRule>
    <cfRule type="cellIs" dxfId="666" priority="229" operator="lessThan">
      <formula>$AR$21</formula>
    </cfRule>
    <cfRule type="cellIs" dxfId="665" priority="230" operator="greaterThan">
      <formula>$AR$21</formula>
    </cfRule>
  </conditionalFormatting>
  <conditionalFormatting sqref="BK10">
    <cfRule type="cellIs" dxfId="664" priority="225" operator="equal">
      <formula>1</formula>
    </cfRule>
    <cfRule type="cellIs" dxfId="663" priority="226" operator="lessThan">
      <formula>$BG$8</formula>
    </cfRule>
    <cfRule type="cellIs" dxfId="662" priority="227" operator="greaterThan">
      <formula>$BG$8</formula>
    </cfRule>
  </conditionalFormatting>
  <conditionalFormatting sqref="BK12">
    <cfRule type="cellIs" dxfId="661" priority="222" operator="equal">
      <formula>1</formula>
    </cfRule>
    <cfRule type="cellIs" dxfId="660" priority="223" operator="lessThan">
      <formula>$BG$8</formula>
    </cfRule>
    <cfRule type="cellIs" dxfId="659" priority="224" operator="greaterThan">
      <formula>$BG$8</formula>
    </cfRule>
  </conditionalFormatting>
  <conditionalFormatting sqref="BK14">
    <cfRule type="cellIs" dxfId="658" priority="219" operator="equal">
      <formula>1</formula>
    </cfRule>
    <cfRule type="cellIs" dxfId="657" priority="220" operator="lessThan">
      <formula>$BG$8</formula>
    </cfRule>
    <cfRule type="cellIs" dxfId="656" priority="221" operator="greaterThan">
      <formula>$BG$8</formula>
    </cfRule>
  </conditionalFormatting>
  <conditionalFormatting sqref="BK16">
    <cfRule type="cellIs" dxfId="655" priority="216" operator="equal">
      <formula>1</formula>
    </cfRule>
    <cfRule type="cellIs" dxfId="654" priority="217" operator="lessThan">
      <formula>$BG$8</formula>
    </cfRule>
    <cfRule type="cellIs" dxfId="653" priority="218" operator="greaterThan">
      <formula>$BG$8</formula>
    </cfRule>
  </conditionalFormatting>
  <conditionalFormatting sqref="BK18">
    <cfRule type="cellIs" dxfId="652" priority="213" operator="equal">
      <formula>1</formula>
    </cfRule>
    <cfRule type="cellIs" dxfId="651" priority="214" operator="lessThan">
      <formula>$BG$8</formula>
    </cfRule>
    <cfRule type="cellIs" dxfId="650" priority="215" operator="greaterThan">
      <formula>$BG$8</formula>
    </cfRule>
  </conditionalFormatting>
  <conditionalFormatting sqref="BK23">
    <cfRule type="cellIs" dxfId="649" priority="210" operator="equal">
      <formula>$BG$21</formula>
    </cfRule>
    <cfRule type="cellIs" dxfId="648" priority="211" operator="lessThan">
      <formula>$BG$21</formula>
    </cfRule>
    <cfRule type="cellIs" dxfId="647" priority="212" operator="greaterThan">
      <formula>$BG$21</formula>
    </cfRule>
  </conditionalFormatting>
  <conditionalFormatting sqref="BK25">
    <cfRule type="cellIs" dxfId="646" priority="207" operator="equal">
      <formula>$BG$21</formula>
    </cfRule>
    <cfRule type="cellIs" dxfId="645" priority="208" operator="lessThan">
      <formula>$BG$21</formula>
    </cfRule>
    <cfRule type="cellIs" dxfId="644" priority="209" operator="greaterThan">
      <formula>$BG$21</formula>
    </cfRule>
  </conditionalFormatting>
  <conditionalFormatting sqref="BK27">
    <cfRule type="cellIs" dxfId="643" priority="204" operator="equal">
      <formula>$BG$21</formula>
    </cfRule>
    <cfRule type="cellIs" dxfId="642" priority="205" operator="lessThan">
      <formula>$BG$21</formula>
    </cfRule>
    <cfRule type="cellIs" dxfId="641" priority="206" operator="greaterThan">
      <formula>$BG$21</formula>
    </cfRule>
  </conditionalFormatting>
  <conditionalFormatting sqref="BK29">
    <cfRule type="cellIs" dxfId="640" priority="201" operator="equal">
      <formula>$BG$21</formula>
    </cfRule>
    <cfRule type="cellIs" dxfId="639" priority="202" operator="lessThan">
      <formula>$BG$21</formula>
    </cfRule>
    <cfRule type="cellIs" dxfId="638" priority="203" operator="greaterThan">
      <formula>$BG$21</formula>
    </cfRule>
  </conditionalFormatting>
  <conditionalFormatting sqref="BK31">
    <cfRule type="cellIs" dxfId="637" priority="198" operator="equal">
      <formula>$BG$21</formula>
    </cfRule>
    <cfRule type="cellIs" dxfId="636" priority="199" operator="lessThan">
      <formula>$BG$21</formula>
    </cfRule>
    <cfRule type="cellIs" dxfId="635" priority="200" operator="greaterThan">
      <formula>$BG$21</formula>
    </cfRule>
  </conditionalFormatting>
  <conditionalFormatting sqref="Q41:Q42">
    <cfRule type="cellIs" dxfId="634" priority="195" operator="equal">
      <formula>$M$39</formula>
    </cfRule>
    <cfRule type="cellIs" dxfId="633" priority="196" operator="lessThan">
      <formula>$M$39</formula>
    </cfRule>
    <cfRule type="cellIs" dxfId="632" priority="197" operator="greaterThan">
      <formula>$M$39</formula>
    </cfRule>
  </conditionalFormatting>
  <conditionalFormatting sqref="Q44:Q45">
    <cfRule type="cellIs" dxfId="631" priority="192" operator="equal">
      <formula>$M$39</formula>
    </cfRule>
    <cfRule type="cellIs" dxfId="630" priority="193" operator="lessThan">
      <formula>$M$39</formula>
    </cfRule>
    <cfRule type="cellIs" dxfId="629" priority="194" operator="greaterThan">
      <formula>$M$39</formula>
    </cfRule>
  </conditionalFormatting>
  <conditionalFormatting sqref="Q47:Q48">
    <cfRule type="cellIs" dxfId="628" priority="189" operator="equal">
      <formula>$M$39</formula>
    </cfRule>
    <cfRule type="cellIs" dxfId="627" priority="190" operator="lessThan">
      <formula>$M$39</formula>
    </cfRule>
    <cfRule type="cellIs" dxfId="626" priority="191" operator="greaterThan">
      <formula>$M$39</formula>
    </cfRule>
  </conditionalFormatting>
  <conditionalFormatting sqref="Q50:Q51">
    <cfRule type="cellIs" dxfId="625" priority="186" operator="equal">
      <formula>$M$39</formula>
    </cfRule>
    <cfRule type="cellIs" dxfId="624" priority="187" operator="lessThan">
      <formula>$M$39</formula>
    </cfRule>
    <cfRule type="cellIs" dxfId="623" priority="188" operator="greaterThan">
      <formula>$M$39</formula>
    </cfRule>
  </conditionalFormatting>
  <conditionalFormatting sqref="Q53:Q54">
    <cfRule type="cellIs" dxfId="622" priority="183" operator="equal">
      <formula>$M$39</formula>
    </cfRule>
    <cfRule type="cellIs" dxfId="621" priority="184" operator="lessThan">
      <formula>$M$39</formula>
    </cfRule>
    <cfRule type="cellIs" dxfId="620" priority="185" operator="greaterThan">
      <formula>$M$39</formula>
    </cfRule>
  </conditionalFormatting>
  <conditionalFormatting sqref="AV41">
    <cfRule type="cellIs" dxfId="619" priority="180" operator="equal">
      <formula>$AR$39</formula>
    </cfRule>
    <cfRule type="cellIs" dxfId="618" priority="181" operator="lessThan">
      <formula>$AR$39</formula>
    </cfRule>
    <cfRule type="cellIs" dxfId="617" priority="182" operator="greaterThan">
      <formula>$AR$39</formula>
    </cfRule>
  </conditionalFormatting>
  <conditionalFormatting sqref="AV43">
    <cfRule type="cellIs" dxfId="616" priority="177" operator="equal">
      <formula>$AR$39</formula>
    </cfRule>
    <cfRule type="cellIs" dxfId="615" priority="178" operator="lessThan">
      <formula>$AR$39</formula>
    </cfRule>
    <cfRule type="cellIs" dxfId="614" priority="179" operator="greaterThan">
      <formula>$AR$39</formula>
    </cfRule>
  </conditionalFormatting>
  <conditionalFormatting sqref="AV45">
    <cfRule type="cellIs" dxfId="613" priority="174" operator="equal">
      <formula>$AR$39</formula>
    </cfRule>
    <cfRule type="cellIs" dxfId="612" priority="175" operator="lessThan">
      <formula>$AR$39</formula>
    </cfRule>
    <cfRule type="cellIs" dxfId="611" priority="176" operator="greaterThan">
      <formula>$AR$39</formula>
    </cfRule>
  </conditionalFormatting>
  <conditionalFormatting sqref="AV47">
    <cfRule type="cellIs" dxfId="610" priority="171" operator="equal">
      <formula>$AR$39</formula>
    </cfRule>
    <cfRule type="cellIs" dxfId="609" priority="172" operator="lessThan">
      <formula>$AR$39</formula>
    </cfRule>
    <cfRule type="cellIs" dxfId="608" priority="173" operator="greaterThan">
      <formula>$AR$39</formula>
    </cfRule>
  </conditionalFormatting>
  <conditionalFormatting sqref="AV49">
    <cfRule type="cellIs" dxfId="607" priority="168" operator="equal">
      <formula>$AR$39</formula>
    </cfRule>
    <cfRule type="cellIs" dxfId="606" priority="169" operator="lessThan">
      <formula>$AR$39</formula>
    </cfRule>
    <cfRule type="cellIs" dxfId="605" priority="170" operator="greaterThan">
      <formula>$AR$39</formula>
    </cfRule>
  </conditionalFormatting>
  <conditionalFormatting sqref="AV55">
    <cfRule type="cellIs" dxfId="604" priority="165" operator="equal">
      <formula>$AR$53</formula>
    </cfRule>
    <cfRule type="cellIs" dxfId="603" priority="166" operator="lessThan">
      <formula>$AR$53</formula>
    </cfRule>
    <cfRule type="cellIs" dxfId="602" priority="167" operator="greaterThan">
      <formula>$AR$53</formula>
    </cfRule>
  </conditionalFormatting>
  <conditionalFormatting sqref="AV57">
    <cfRule type="cellIs" dxfId="601" priority="162" operator="equal">
      <formula>$AR$53</formula>
    </cfRule>
    <cfRule type="cellIs" dxfId="600" priority="163" operator="lessThan">
      <formula>$AR$53</formula>
    </cfRule>
    <cfRule type="cellIs" dxfId="599" priority="164" operator="greaterThan">
      <formula>$AR$53</formula>
    </cfRule>
  </conditionalFormatting>
  <conditionalFormatting sqref="AV59">
    <cfRule type="cellIs" dxfId="598" priority="159" operator="equal">
      <formula>$AR$53</formula>
    </cfRule>
    <cfRule type="cellIs" dxfId="597" priority="160" operator="lessThan">
      <formula>$AR$53</formula>
    </cfRule>
    <cfRule type="cellIs" dxfId="596" priority="161" operator="greaterThan">
      <formula>$AR$53</formula>
    </cfRule>
  </conditionalFormatting>
  <conditionalFormatting sqref="AV61">
    <cfRule type="cellIs" dxfId="595" priority="156" operator="equal">
      <formula>$AR$53</formula>
    </cfRule>
    <cfRule type="cellIs" dxfId="594" priority="157" operator="lessThan">
      <formula>$AR$53</formula>
    </cfRule>
    <cfRule type="cellIs" dxfId="593" priority="158" operator="greaterThan">
      <formula>$AR$53</formula>
    </cfRule>
  </conditionalFormatting>
  <conditionalFormatting sqref="AV63">
    <cfRule type="cellIs" dxfId="592" priority="153" operator="equal">
      <formula>$AR$53</formula>
    </cfRule>
    <cfRule type="cellIs" dxfId="591" priority="154" operator="lessThan">
      <formula>$AR$53</formula>
    </cfRule>
    <cfRule type="cellIs" dxfId="590" priority="155" operator="greaterThan">
      <formula>$AR$53</formula>
    </cfRule>
  </conditionalFormatting>
  <conditionalFormatting sqref="AV73">
    <cfRule type="cellIs" dxfId="589" priority="150" operator="equal">
      <formula>$AR$71</formula>
    </cfRule>
    <cfRule type="cellIs" dxfId="588" priority="151" operator="lessThan">
      <formula>$AR$71</formula>
    </cfRule>
    <cfRule type="cellIs" dxfId="587" priority="152" operator="greaterThan">
      <formula>$AR$71</formula>
    </cfRule>
  </conditionalFormatting>
  <conditionalFormatting sqref="AV75">
    <cfRule type="cellIs" dxfId="586" priority="147" operator="equal">
      <formula>$AR$71</formula>
    </cfRule>
    <cfRule type="cellIs" dxfId="585" priority="148" operator="lessThan">
      <formula>$AR$71</formula>
    </cfRule>
    <cfRule type="cellIs" dxfId="584" priority="149" operator="greaterThan">
      <formula>$AR$71</formula>
    </cfRule>
  </conditionalFormatting>
  <conditionalFormatting sqref="AV77">
    <cfRule type="cellIs" dxfId="583" priority="144" operator="equal">
      <formula>$AR$71</formula>
    </cfRule>
    <cfRule type="cellIs" dxfId="582" priority="145" operator="lessThan">
      <formula>$AR$71</formula>
    </cfRule>
    <cfRule type="cellIs" dxfId="581" priority="146" operator="greaterThan">
      <formula>$AR$71</formula>
    </cfRule>
  </conditionalFormatting>
  <conditionalFormatting sqref="AV79">
    <cfRule type="cellIs" dxfId="580" priority="141" operator="equal">
      <formula>$AR$71</formula>
    </cfRule>
    <cfRule type="cellIs" dxfId="579" priority="142" operator="lessThan">
      <formula>$AR$71</formula>
    </cfRule>
    <cfRule type="cellIs" dxfId="578" priority="143" operator="greaterThan">
      <formula>$AR$71</formula>
    </cfRule>
  </conditionalFormatting>
  <conditionalFormatting sqref="AV81">
    <cfRule type="cellIs" dxfId="577" priority="138" operator="equal">
      <formula>$AR$71</formula>
    </cfRule>
    <cfRule type="cellIs" dxfId="576" priority="139" operator="lessThan">
      <formula>$AR$71</formula>
    </cfRule>
    <cfRule type="cellIs" dxfId="575" priority="140" operator="greaterThan">
      <formula>$AR$71</formula>
    </cfRule>
  </conditionalFormatting>
  <conditionalFormatting sqref="AV87">
    <cfRule type="cellIs" dxfId="574" priority="135" operator="equal">
      <formula>$AR$85</formula>
    </cfRule>
    <cfRule type="cellIs" dxfId="573" priority="136" operator="lessThan">
      <formula>$AR$85</formula>
    </cfRule>
    <cfRule type="cellIs" dxfId="572" priority="137" operator="greaterThan">
      <formula>$AR$85</formula>
    </cfRule>
  </conditionalFormatting>
  <conditionalFormatting sqref="AV89">
    <cfRule type="cellIs" dxfId="571" priority="132" operator="equal">
      <formula>$AR$85</formula>
    </cfRule>
    <cfRule type="cellIs" dxfId="570" priority="133" operator="lessThan">
      <formula>$AR$85</formula>
    </cfRule>
    <cfRule type="cellIs" dxfId="569" priority="134" operator="greaterThan">
      <formula>$AR$85</formula>
    </cfRule>
  </conditionalFormatting>
  <conditionalFormatting sqref="AV91">
    <cfRule type="cellIs" dxfId="568" priority="129" operator="equal">
      <formula>$AR$85</formula>
    </cfRule>
    <cfRule type="cellIs" dxfId="567" priority="130" operator="lessThan">
      <formula>$AR$85</formula>
    </cfRule>
    <cfRule type="cellIs" dxfId="566" priority="131" operator="greaterThan">
      <formula>$AR$85</formula>
    </cfRule>
  </conditionalFormatting>
  <conditionalFormatting sqref="AV93">
    <cfRule type="cellIs" dxfId="565" priority="126" operator="equal">
      <formula>$AR$85</formula>
    </cfRule>
    <cfRule type="cellIs" dxfId="564" priority="127" operator="lessThan">
      <formula>$AR$85</formula>
    </cfRule>
    <cfRule type="cellIs" dxfId="563" priority="128" operator="greaterThan">
      <formula>$AR$85</formula>
    </cfRule>
  </conditionalFormatting>
  <conditionalFormatting sqref="AV95">
    <cfRule type="cellIs" dxfId="562" priority="123" operator="equal">
      <formula>$AR$85</formula>
    </cfRule>
    <cfRule type="cellIs" dxfId="561" priority="124" operator="lessThan">
      <formula>$AR$85</formula>
    </cfRule>
    <cfRule type="cellIs" dxfId="560" priority="125" operator="greaterThan">
      <formula>$AR$85</formula>
    </cfRule>
  </conditionalFormatting>
  <conditionalFormatting sqref="BK73">
    <cfRule type="cellIs" dxfId="559" priority="120" operator="equal">
      <formula>$BG$71</formula>
    </cfRule>
    <cfRule type="cellIs" dxfId="558" priority="121" operator="lessThan">
      <formula>$BG$71</formula>
    </cfRule>
    <cfRule type="cellIs" dxfId="557" priority="122" operator="greaterThan">
      <formula>$BG$71</formula>
    </cfRule>
  </conditionalFormatting>
  <conditionalFormatting sqref="BK75">
    <cfRule type="cellIs" dxfId="556" priority="117" operator="equal">
      <formula>$BG$71</formula>
    </cfRule>
    <cfRule type="cellIs" dxfId="555" priority="118" operator="lessThan">
      <formula>$BG$71</formula>
    </cfRule>
    <cfRule type="cellIs" dxfId="554" priority="119" operator="greaterThan">
      <formula>$BG$71</formula>
    </cfRule>
  </conditionalFormatting>
  <conditionalFormatting sqref="BK77">
    <cfRule type="cellIs" dxfId="553" priority="114" operator="equal">
      <formula>$BG$71</formula>
    </cfRule>
    <cfRule type="cellIs" dxfId="552" priority="115" operator="lessThan">
      <formula>$BG$71</formula>
    </cfRule>
    <cfRule type="cellIs" dxfId="551" priority="116" operator="greaterThan">
      <formula>$BG$71</formula>
    </cfRule>
  </conditionalFormatting>
  <conditionalFormatting sqref="BK79">
    <cfRule type="cellIs" dxfId="550" priority="111" operator="equal">
      <formula>$BG$71</formula>
    </cfRule>
    <cfRule type="cellIs" dxfId="549" priority="112" operator="lessThan">
      <formula>$BG$71</formula>
    </cfRule>
    <cfRule type="cellIs" dxfId="548" priority="113" operator="greaterThan">
      <formula>$BG$71</formula>
    </cfRule>
  </conditionalFormatting>
  <conditionalFormatting sqref="BK81">
    <cfRule type="cellIs" dxfId="547" priority="108" operator="equal">
      <formula>$BG$71</formula>
    </cfRule>
    <cfRule type="cellIs" dxfId="546" priority="109" operator="lessThan">
      <formula>$BG$71</formula>
    </cfRule>
    <cfRule type="cellIs" dxfId="545" priority="110" operator="greaterThan">
      <formula>$BG$71</formula>
    </cfRule>
  </conditionalFormatting>
  <conditionalFormatting sqref="BK87">
    <cfRule type="cellIs" dxfId="544" priority="105" operator="equal">
      <formula>$BG$85</formula>
    </cfRule>
    <cfRule type="cellIs" dxfId="543" priority="106" operator="lessThan">
      <formula>$BG$85</formula>
    </cfRule>
    <cfRule type="cellIs" dxfId="542" priority="107" operator="greaterThan">
      <formula>$BG$85</formula>
    </cfRule>
  </conditionalFormatting>
  <conditionalFormatting sqref="BK89">
    <cfRule type="cellIs" dxfId="541" priority="102" operator="equal">
      <formula>$BG$85</formula>
    </cfRule>
    <cfRule type="cellIs" dxfId="540" priority="103" operator="lessThan">
      <formula>$BG$85</formula>
    </cfRule>
    <cfRule type="cellIs" dxfId="539" priority="104" operator="greaterThan">
      <formula>$BG$85</formula>
    </cfRule>
  </conditionalFormatting>
  <conditionalFormatting sqref="BK91">
    <cfRule type="cellIs" dxfId="538" priority="99" operator="equal">
      <formula>$BG$85</formula>
    </cfRule>
    <cfRule type="cellIs" dxfId="537" priority="100" operator="lessThan">
      <formula>$BG$85</formula>
    </cfRule>
    <cfRule type="cellIs" dxfId="536" priority="101" operator="greaterThan">
      <formula>$BG$85</formula>
    </cfRule>
  </conditionalFormatting>
  <conditionalFormatting sqref="BK93">
    <cfRule type="cellIs" dxfId="535" priority="96" operator="equal">
      <formula>$BG$85</formula>
    </cfRule>
    <cfRule type="cellIs" dxfId="534" priority="97" operator="lessThan">
      <formula>$BG$85</formula>
    </cfRule>
    <cfRule type="cellIs" dxfId="533" priority="98" operator="greaterThan">
      <formula>$BG$85</formula>
    </cfRule>
  </conditionalFormatting>
  <conditionalFormatting sqref="BK95">
    <cfRule type="cellIs" dxfId="532" priority="93" operator="equal">
      <formula>$BG$85</formula>
    </cfRule>
    <cfRule type="cellIs" dxfId="531" priority="94" operator="lessThan">
      <formula>$BG$85</formula>
    </cfRule>
    <cfRule type="cellIs" dxfId="530" priority="95" operator="greaterThan">
      <formula>$BG$85</formula>
    </cfRule>
  </conditionalFormatting>
  <conditionalFormatting sqref="AV105">
    <cfRule type="cellIs" dxfId="529" priority="90" operator="equal">
      <formula>$AR$103</formula>
    </cfRule>
    <cfRule type="cellIs" dxfId="528" priority="91" operator="lessThan">
      <formula>$AR$103</formula>
    </cfRule>
    <cfRule type="cellIs" dxfId="527" priority="92" operator="greaterThan">
      <formula>$AR$103</formula>
    </cfRule>
  </conditionalFormatting>
  <conditionalFormatting sqref="AV107">
    <cfRule type="cellIs" dxfId="526" priority="87" operator="equal">
      <formula>$AR$103</formula>
    </cfRule>
    <cfRule type="cellIs" dxfId="525" priority="88" operator="lessThan">
      <formula>$AR$103</formula>
    </cfRule>
    <cfRule type="cellIs" dxfId="524" priority="89" operator="greaterThan">
      <formula>$AR$103</formula>
    </cfRule>
  </conditionalFormatting>
  <conditionalFormatting sqref="AV109">
    <cfRule type="cellIs" dxfId="523" priority="84" operator="equal">
      <formula>$AR$103</formula>
    </cfRule>
    <cfRule type="cellIs" dxfId="522" priority="85" operator="lessThan">
      <formula>$AR$103</formula>
    </cfRule>
    <cfRule type="cellIs" dxfId="521" priority="86" operator="greaterThan">
      <formula>$AR$103</formula>
    </cfRule>
  </conditionalFormatting>
  <conditionalFormatting sqref="AV111">
    <cfRule type="cellIs" dxfId="520" priority="81" operator="equal">
      <formula>$AR$103</formula>
    </cfRule>
    <cfRule type="cellIs" dxfId="519" priority="82" operator="lessThan">
      <formula>$AR$103</formula>
    </cfRule>
    <cfRule type="cellIs" dxfId="518" priority="83" operator="greaterThan">
      <formula>$AR$103</formula>
    </cfRule>
  </conditionalFormatting>
  <conditionalFormatting sqref="AV113">
    <cfRule type="cellIs" dxfId="517" priority="78" operator="equal">
      <formula>$AR$103</formula>
    </cfRule>
    <cfRule type="cellIs" dxfId="516" priority="79" operator="lessThan">
      <formula>$AR$103</formula>
    </cfRule>
    <cfRule type="cellIs" dxfId="515" priority="80" operator="greaterThan">
      <formula>$AR$103</formula>
    </cfRule>
  </conditionalFormatting>
  <conditionalFormatting sqref="AV118">
    <cfRule type="cellIs" dxfId="514" priority="75" operator="equal">
      <formula>$AR$116</formula>
    </cfRule>
    <cfRule type="cellIs" dxfId="513" priority="76" operator="lessThan">
      <formula>$AR$116</formula>
    </cfRule>
    <cfRule type="cellIs" dxfId="512" priority="77" operator="greaterThan">
      <formula>$AR$116</formula>
    </cfRule>
  </conditionalFormatting>
  <conditionalFormatting sqref="AV120">
    <cfRule type="cellIs" dxfId="511" priority="72" operator="equal">
      <formula>$AR$116</formula>
    </cfRule>
    <cfRule type="cellIs" dxfId="510" priority="73" operator="lessThan">
      <formula>$AR$116</formula>
    </cfRule>
    <cfRule type="cellIs" dxfId="509" priority="74" operator="greaterThan">
      <formula>$AR$116</formula>
    </cfRule>
  </conditionalFormatting>
  <conditionalFormatting sqref="AV122">
    <cfRule type="cellIs" dxfId="508" priority="69" operator="equal">
      <formula>$AR$116</formula>
    </cfRule>
    <cfRule type="cellIs" dxfId="507" priority="70" operator="lessThan">
      <formula>$AR$116</formula>
    </cfRule>
    <cfRule type="cellIs" dxfId="506" priority="71" operator="greaterThan">
      <formula>$AR$116</formula>
    </cfRule>
  </conditionalFormatting>
  <conditionalFormatting sqref="AV124">
    <cfRule type="cellIs" dxfId="505" priority="66" operator="equal">
      <formula>$AR$116</formula>
    </cfRule>
    <cfRule type="cellIs" dxfId="504" priority="67" operator="lessThan">
      <formula>$AR$116</formula>
    </cfRule>
    <cfRule type="cellIs" dxfId="503" priority="68" operator="greaterThan">
      <formula>$AR$116</formula>
    </cfRule>
  </conditionalFormatting>
  <conditionalFormatting sqref="AV126">
    <cfRule type="cellIs" dxfId="502" priority="63" operator="equal">
      <formula>$AR$116</formula>
    </cfRule>
    <cfRule type="cellIs" dxfId="501" priority="64" operator="lessThan">
      <formula>$AR$116</formula>
    </cfRule>
    <cfRule type="cellIs" dxfId="500" priority="65" operator="greaterThan">
      <formula>$AR$116</formula>
    </cfRule>
  </conditionalFormatting>
  <conditionalFormatting sqref="BK113">
    <cfRule type="cellIs" dxfId="499" priority="48" operator="equal">
      <formula>$BG$103</formula>
    </cfRule>
    <cfRule type="cellIs" dxfId="498" priority="49" operator="lessThan">
      <formula>$BG$103</formula>
    </cfRule>
    <cfRule type="cellIs" dxfId="497" priority="50" operator="greaterThan">
      <formula>$BG$103</formula>
    </cfRule>
  </conditionalFormatting>
  <conditionalFormatting sqref="BK111">
    <cfRule type="cellIs" dxfId="496" priority="45" operator="equal">
      <formula>$BG$103</formula>
    </cfRule>
    <cfRule type="cellIs" dxfId="495" priority="46" operator="lessThan">
      <formula>$BG$103</formula>
    </cfRule>
    <cfRule type="cellIs" dxfId="494" priority="47" operator="greaterThan">
      <formula>$BG$103</formula>
    </cfRule>
  </conditionalFormatting>
  <conditionalFormatting sqref="BK109">
    <cfRule type="cellIs" dxfId="493" priority="42" operator="equal">
      <formula>$BG$103</formula>
    </cfRule>
    <cfRule type="cellIs" dxfId="492" priority="43" operator="lessThan">
      <formula>$BG$103</formula>
    </cfRule>
    <cfRule type="cellIs" dxfId="491" priority="44" operator="greaterThan">
      <formula>$BG$103</formula>
    </cfRule>
  </conditionalFormatting>
  <conditionalFormatting sqref="BK107">
    <cfRule type="cellIs" dxfId="490" priority="39" operator="equal">
      <formula>$BG$103</formula>
    </cfRule>
    <cfRule type="cellIs" dxfId="489" priority="40" operator="lessThan">
      <formula>$BG$103</formula>
    </cfRule>
    <cfRule type="cellIs" dxfId="488" priority="41" operator="greaterThan">
      <formula>$BG$103</formula>
    </cfRule>
  </conditionalFormatting>
  <conditionalFormatting sqref="BK105">
    <cfRule type="cellIs" dxfId="487" priority="36" operator="equal">
      <formula>$BG$103</formula>
    </cfRule>
    <cfRule type="cellIs" dxfId="486" priority="37" operator="lessThan">
      <formula>$BG$103</formula>
    </cfRule>
    <cfRule type="cellIs" dxfId="485" priority="38" operator="greaterThan">
      <formula>$BG$103</formula>
    </cfRule>
  </conditionalFormatting>
  <conditionalFormatting sqref="BK118">
    <cfRule type="cellIs" dxfId="484" priority="33" operator="equal">
      <formula>1</formula>
    </cfRule>
    <cfRule type="cellIs" dxfId="483" priority="34" operator="lessThan">
      <formula>$BG$116</formula>
    </cfRule>
    <cfRule type="cellIs" dxfId="482" priority="35" operator="greaterThan">
      <formula>$BG$116</formula>
    </cfRule>
  </conditionalFormatting>
  <conditionalFormatting sqref="BK120">
    <cfRule type="cellIs" dxfId="481" priority="30" operator="equal">
      <formula>1</formula>
    </cfRule>
    <cfRule type="cellIs" dxfId="480" priority="31" operator="lessThan">
      <formula>$BG$116</formula>
    </cfRule>
    <cfRule type="cellIs" dxfId="479" priority="32" operator="greaterThan">
      <formula>$BG$116</formula>
    </cfRule>
  </conditionalFormatting>
  <conditionalFormatting sqref="BK122">
    <cfRule type="cellIs" dxfId="478" priority="27" operator="equal">
      <formula>1</formula>
    </cfRule>
    <cfRule type="cellIs" dxfId="477" priority="28" operator="lessThan">
      <formula>$BG$116</formula>
    </cfRule>
    <cfRule type="cellIs" dxfId="476" priority="29" operator="greaterThan">
      <formula>$BG$116</formula>
    </cfRule>
  </conditionalFormatting>
  <conditionalFormatting sqref="BK124">
    <cfRule type="cellIs" dxfId="475" priority="24" operator="equal">
      <formula>1</formula>
    </cfRule>
    <cfRule type="cellIs" dxfId="474" priority="25" operator="lessThan">
      <formula>$BG$116</formula>
    </cfRule>
    <cfRule type="cellIs" dxfId="473" priority="26" operator="greaterThan">
      <formula>$BG$116</formula>
    </cfRule>
  </conditionalFormatting>
  <conditionalFormatting sqref="BK126">
    <cfRule type="cellIs" dxfId="472" priority="21" operator="equal">
      <formula>1</formula>
    </cfRule>
    <cfRule type="cellIs" dxfId="471" priority="22" operator="lessThan">
      <formula>$BG$116</formula>
    </cfRule>
    <cfRule type="cellIs" dxfId="470" priority="23" operator="greaterThan">
      <formula>$BG$116</formula>
    </cfRule>
  </conditionalFormatting>
  <conditionalFormatting sqref="BZ105">
    <cfRule type="cellIs" dxfId="469" priority="18" operator="equal">
      <formula>$BV$103</formula>
    </cfRule>
    <cfRule type="cellIs" dxfId="468" priority="19" operator="lessThan">
      <formula>$BV$103</formula>
    </cfRule>
    <cfRule type="cellIs" dxfId="467" priority="20" operator="greaterThan">
      <formula>$BV$103</formula>
    </cfRule>
  </conditionalFormatting>
  <conditionalFormatting sqref="BZ107">
    <cfRule type="cellIs" dxfId="466" priority="15" operator="equal">
      <formula>$BV$103</formula>
    </cfRule>
    <cfRule type="cellIs" dxfId="465" priority="16" operator="lessThan">
      <formula>$BV$103</formula>
    </cfRule>
    <cfRule type="cellIs" dxfId="464" priority="17" operator="greaterThan">
      <formula>$BV$103</formula>
    </cfRule>
  </conditionalFormatting>
  <conditionalFormatting sqref="BZ109">
    <cfRule type="cellIs" dxfId="463" priority="12" operator="equal">
      <formula>$BV$103</formula>
    </cfRule>
    <cfRule type="cellIs" dxfId="462" priority="13" operator="lessThan">
      <formula>$BV$103</formula>
    </cfRule>
    <cfRule type="cellIs" dxfId="461" priority="14" operator="greaterThan">
      <formula>$BV$103</formula>
    </cfRule>
  </conditionalFormatting>
  <conditionalFormatting sqref="BZ111">
    <cfRule type="cellIs" dxfId="460" priority="9" operator="equal">
      <formula>$BV$103</formula>
    </cfRule>
    <cfRule type="cellIs" dxfId="459" priority="10" operator="lessThan">
      <formula>$BV$103</formula>
    </cfRule>
    <cfRule type="cellIs" dxfId="458" priority="11" operator="greaterThan">
      <formula>$BV$103</formula>
    </cfRule>
  </conditionalFormatting>
  <conditionalFormatting sqref="BZ113">
    <cfRule type="cellIs" dxfId="457" priority="6" operator="equal">
      <formula>$BV$103</formula>
    </cfRule>
    <cfRule type="cellIs" dxfId="456" priority="7" operator="lessThan">
      <formula>$BV$103</formula>
    </cfRule>
    <cfRule type="cellIs" dxfId="455" priority="8" operator="greaterThan">
      <formula>$BV$103</formula>
    </cfRule>
  </conditionalFormatting>
  <conditionalFormatting sqref="AF41:AF42">
    <cfRule type="cellIs" dxfId="454" priority="5" operator="greaterThan">
      <formula>$AF$56</formula>
    </cfRule>
  </conditionalFormatting>
  <conditionalFormatting sqref="AF47:AF48">
    <cfRule type="cellIs" dxfId="453" priority="3" operator="greaterThan">
      <formula>$AF$56</formula>
    </cfRule>
  </conditionalFormatting>
  <conditionalFormatting sqref="AF50:AF51">
    <cfRule type="cellIs" dxfId="452" priority="2" operator="greaterThan">
      <formula>$AF$56</formula>
    </cfRule>
  </conditionalFormatting>
  <conditionalFormatting sqref="AF53:AF54">
    <cfRule type="cellIs" dxfId="451" priority="1" operator="greaterThan">
      <formula>$AF$56</formula>
    </cfRule>
  </conditionalFormatting>
  <pageMargins left="0.7" right="0.7" top="0.75" bottom="0.75" header="0.3" footer="0.3"/>
  <pageSetup paperSize="300" scale="31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CA044-0243-4264-A0A8-F032184FA4A2}">
  <sheetPr>
    <tabColor theme="7" tint="0.59999389629810485"/>
    <pageSetUpPr fitToPage="1"/>
  </sheetPr>
  <dimension ref="A1:ED166"/>
  <sheetViews>
    <sheetView tabSelected="1" zoomScale="90" zoomScaleNormal="90" workbookViewId="0">
      <pane ySplit="5" topLeftCell="A68" activePane="bottomLeft" state="frozen"/>
      <selection activeCell="B1" sqref="B1"/>
      <selection pane="bottomLeft" activeCell="M1" sqref="M1:M5"/>
    </sheetView>
  </sheetViews>
  <sheetFormatPr defaultRowHeight="15" outlineLevelRow="1" outlineLevelCol="1" x14ac:dyDescent="0.25"/>
  <cols>
    <col min="2" max="2" width="27" bestFit="1" customWidth="1"/>
    <col min="3" max="3" width="5.42578125" bestFit="1" customWidth="1"/>
    <col min="4" max="12" width="4.42578125" customWidth="1"/>
    <col min="13" max="13" width="10.28515625" customWidth="1" outlineLevel="1"/>
    <col min="14" max="14" width="8" customWidth="1"/>
    <col min="15" max="16" width="6.42578125" bestFit="1" customWidth="1"/>
    <col min="17" max="17" width="6.42578125" customWidth="1" outlineLevel="1"/>
    <col min="18" max="18" width="8.5703125" customWidth="1"/>
    <col min="19" max="19" width="5.28515625" customWidth="1" outlineLevel="1"/>
    <col min="20" max="20" width="7" customWidth="1" outlineLevel="1"/>
    <col min="21" max="21" width="6.28515625" customWidth="1"/>
    <col min="22" max="22" width="7" style="43" customWidth="1"/>
    <col min="23" max="25" width="4.42578125" bestFit="1" customWidth="1"/>
    <col min="26" max="28" width="4" bestFit="1" customWidth="1"/>
    <col min="29" max="30" width="4.42578125" bestFit="1" customWidth="1"/>
    <col min="31" max="34" width="4" bestFit="1" customWidth="1"/>
    <col min="35" max="35" width="5" customWidth="1"/>
    <col min="36" max="46" width="4" bestFit="1" customWidth="1"/>
    <col min="47" max="47" width="4.85546875" bestFit="1" customWidth="1"/>
    <col min="48" max="58" width="4" bestFit="1" customWidth="1"/>
    <col min="59" max="59" width="4.85546875" bestFit="1" customWidth="1"/>
    <col min="60" max="70" width="4" bestFit="1" customWidth="1"/>
    <col min="71" max="71" width="5.140625" bestFit="1" customWidth="1"/>
    <col min="72" max="82" width="4" bestFit="1" customWidth="1"/>
    <col min="83" max="83" width="5.140625" bestFit="1" customWidth="1"/>
    <col min="84" max="94" width="4" bestFit="1" customWidth="1"/>
    <col min="95" max="95" width="4.85546875" customWidth="1"/>
    <col min="96" max="106" width="4" bestFit="1" customWidth="1"/>
    <col min="107" max="107" width="4.85546875" bestFit="1" customWidth="1"/>
    <col min="108" max="118" width="4" bestFit="1" customWidth="1"/>
    <col min="119" max="119" width="4.85546875" customWidth="1"/>
    <col min="120" max="130" width="4" bestFit="1" customWidth="1"/>
    <col min="131" max="131" width="4" customWidth="1"/>
    <col min="132" max="134" width="4" bestFit="1" customWidth="1"/>
  </cols>
  <sheetData>
    <row r="1" spans="2:134" ht="15" customHeight="1" x14ac:dyDescent="0.25">
      <c r="B1" t="s">
        <v>171</v>
      </c>
      <c r="M1" s="1697" t="s">
        <v>172</v>
      </c>
      <c r="N1" s="1697" t="s">
        <v>172</v>
      </c>
      <c r="O1" s="1667" t="s">
        <v>173</v>
      </c>
      <c r="P1" s="1667" t="s">
        <v>174</v>
      </c>
      <c r="Q1" s="1667" t="s">
        <v>175</v>
      </c>
      <c r="R1" s="1697" t="s">
        <v>176</v>
      </c>
      <c r="S1" s="1667" t="s">
        <v>177</v>
      </c>
      <c r="T1" s="1667" t="s">
        <v>178</v>
      </c>
      <c r="U1" s="1628" t="s">
        <v>179</v>
      </c>
      <c r="V1" s="1628" t="s">
        <v>180</v>
      </c>
      <c r="W1" s="1677" t="s">
        <v>181</v>
      </c>
      <c r="X1" s="1678"/>
      <c r="Y1" s="1678"/>
      <c r="Z1" s="1678"/>
      <c r="AA1" s="1678"/>
      <c r="AB1" s="1678"/>
      <c r="AC1" s="1678"/>
      <c r="AD1" s="1678"/>
      <c r="AE1" s="1678"/>
      <c r="AF1" s="1678"/>
      <c r="AG1" s="1678"/>
      <c r="AH1" s="1678"/>
      <c r="AI1" s="1678"/>
      <c r="AJ1" s="1678"/>
      <c r="AK1" s="1678"/>
      <c r="AL1" s="1678"/>
      <c r="AM1" s="1678"/>
      <c r="AN1" s="1678"/>
      <c r="AO1" s="1678"/>
      <c r="AP1" s="1678"/>
      <c r="AQ1" s="1678"/>
      <c r="AR1" s="1678"/>
      <c r="AS1" s="1678"/>
      <c r="AT1" s="1678"/>
      <c r="AU1" s="1678"/>
      <c r="AV1" s="1678"/>
      <c r="AW1" s="1678"/>
      <c r="AX1" s="1678"/>
      <c r="AY1" s="1678"/>
      <c r="AZ1" s="1678"/>
      <c r="BA1" s="1678"/>
      <c r="BB1" s="1678"/>
      <c r="BC1" s="1678"/>
      <c r="BD1" s="1678"/>
      <c r="BE1" s="1678"/>
      <c r="BF1" s="1678"/>
      <c r="BG1" s="1678"/>
      <c r="BH1" s="1678"/>
      <c r="BI1" s="1678"/>
      <c r="BJ1" s="1678"/>
      <c r="BK1" s="1678"/>
      <c r="BL1" s="1678"/>
      <c r="BM1" s="1678"/>
      <c r="BN1" s="1678"/>
      <c r="BO1" s="1678"/>
      <c r="BP1" s="1678"/>
      <c r="BQ1" s="1678"/>
      <c r="BR1" s="1678"/>
      <c r="BS1" s="1678"/>
      <c r="BT1" s="1678"/>
      <c r="BU1" s="1678"/>
      <c r="BV1" s="1678"/>
      <c r="BW1" s="1678"/>
      <c r="BX1" s="1678"/>
      <c r="BY1" s="1678"/>
      <c r="BZ1" s="1678"/>
      <c r="CA1" s="1678"/>
      <c r="CB1" s="1678"/>
      <c r="CC1" s="1678"/>
      <c r="CD1" s="1678"/>
      <c r="CE1" s="1678"/>
      <c r="CF1" s="1678"/>
      <c r="CG1" s="1678"/>
      <c r="CH1" s="1678"/>
      <c r="CI1" s="1678"/>
      <c r="CJ1" s="1678"/>
      <c r="CK1" s="1678"/>
      <c r="CL1" s="1678"/>
      <c r="CM1" s="1678"/>
      <c r="CN1" s="1678"/>
      <c r="CO1" s="1678"/>
      <c r="CP1" s="1678"/>
      <c r="CQ1" s="1678"/>
      <c r="CR1" s="1678"/>
      <c r="CS1" s="1678"/>
      <c r="CT1" s="1678"/>
      <c r="CU1" s="1678"/>
      <c r="CV1" s="1678"/>
      <c r="CW1" s="1678"/>
      <c r="CX1" s="1678"/>
      <c r="CY1" s="1678"/>
      <c r="CZ1" s="1678"/>
      <c r="DA1" s="1678"/>
      <c r="DB1" s="1678"/>
      <c r="DC1" s="1678"/>
      <c r="DD1" s="1678"/>
      <c r="DE1" s="1678"/>
      <c r="DF1" s="1678"/>
      <c r="DG1" s="1678"/>
      <c r="DH1" s="1678"/>
      <c r="DI1" s="1678"/>
      <c r="DJ1" s="1678"/>
      <c r="DK1" s="1678"/>
      <c r="DL1" s="1678"/>
      <c r="DM1" s="1678"/>
      <c r="DN1" s="1678"/>
      <c r="DO1" s="1678"/>
      <c r="DP1" s="1678"/>
      <c r="DQ1" s="1678"/>
      <c r="DR1" s="1678"/>
      <c r="DS1" s="1678"/>
      <c r="DT1" s="1678"/>
      <c r="DU1" s="1678"/>
      <c r="DV1" s="1678"/>
      <c r="DW1" s="1678"/>
      <c r="DX1" s="1678"/>
      <c r="DY1" s="1678"/>
      <c r="DZ1" s="1678"/>
      <c r="EA1" s="1678"/>
      <c r="EB1" s="1678"/>
      <c r="EC1" s="1678"/>
      <c r="ED1" s="1679"/>
    </row>
    <row r="2" spans="2:134" ht="15" customHeight="1" x14ac:dyDescent="0.25">
      <c r="B2">
        <v>0.9</v>
      </c>
      <c r="C2" s="1668" t="s">
        <v>182</v>
      </c>
      <c r="D2" s="1668"/>
      <c r="E2" s="1668"/>
      <c r="F2" s="1668"/>
      <c r="G2" s="1668"/>
      <c r="H2" s="1668"/>
      <c r="I2" s="1668"/>
      <c r="J2" s="1668"/>
      <c r="K2" s="1668"/>
      <c r="M2" s="1697"/>
      <c r="N2" s="1697"/>
      <c r="O2" s="1667"/>
      <c r="P2" s="1667"/>
      <c r="Q2" s="1667"/>
      <c r="R2" s="1697"/>
      <c r="S2" s="1667"/>
      <c r="T2" s="1667"/>
      <c r="U2" s="1628"/>
      <c r="V2" s="1628"/>
      <c r="W2" s="1680"/>
      <c r="X2" s="1681"/>
      <c r="Y2" s="1681"/>
      <c r="Z2" s="1681"/>
      <c r="AA2" s="1681"/>
      <c r="AB2" s="1681"/>
      <c r="AC2" s="1681"/>
      <c r="AD2" s="1681"/>
      <c r="AE2" s="1681"/>
      <c r="AF2" s="1681"/>
      <c r="AG2" s="1681"/>
      <c r="AH2" s="1681"/>
      <c r="AI2" s="1681"/>
      <c r="AJ2" s="1681"/>
      <c r="AK2" s="1681"/>
      <c r="AL2" s="1681"/>
      <c r="AM2" s="1681"/>
      <c r="AN2" s="1681"/>
      <c r="AO2" s="1681"/>
      <c r="AP2" s="1681"/>
      <c r="AQ2" s="1681"/>
      <c r="AR2" s="1681"/>
      <c r="AS2" s="1681"/>
      <c r="AT2" s="1681"/>
      <c r="AU2" s="1681"/>
      <c r="AV2" s="1681"/>
      <c r="AW2" s="1681"/>
      <c r="AX2" s="1681"/>
      <c r="AY2" s="1681"/>
      <c r="AZ2" s="1681"/>
      <c r="BA2" s="1681"/>
      <c r="BB2" s="1681"/>
      <c r="BC2" s="1681"/>
      <c r="BD2" s="1681"/>
      <c r="BE2" s="1681"/>
      <c r="BF2" s="1681"/>
      <c r="BG2" s="1681"/>
      <c r="BH2" s="1681"/>
      <c r="BI2" s="1681"/>
      <c r="BJ2" s="1681"/>
      <c r="BK2" s="1681"/>
      <c r="BL2" s="1681"/>
      <c r="BM2" s="1681"/>
      <c r="BN2" s="1681"/>
      <c r="BO2" s="1681"/>
      <c r="BP2" s="1681"/>
      <c r="BQ2" s="1681"/>
      <c r="BR2" s="1681"/>
      <c r="BS2" s="1681"/>
      <c r="BT2" s="1681"/>
      <c r="BU2" s="1681"/>
      <c r="BV2" s="1681"/>
      <c r="BW2" s="1681"/>
      <c r="BX2" s="1681"/>
      <c r="BY2" s="1681"/>
      <c r="BZ2" s="1681"/>
      <c r="CA2" s="1681"/>
      <c r="CB2" s="1681"/>
      <c r="CC2" s="1681"/>
      <c r="CD2" s="1681"/>
      <c r="CE2" s="1681"/>
      <c r="CF2" s="1681"/>
      <c r="CG2" s="1681"/>
      <c r="CH2" s="1681"/>
      <c r="CI2" s="1681"/>
      <c r="CJ2" s="1681"/>
      <c r="CK2" s="1681"/>
      <c r="CL2" s="1681"/>
      <c r="CM2" s="1681"/>
      <c r="CN2" s="1681"/>
      <c r="CO2" s="1681"/>
      <c r="CP2" s="1681"/>
      <c r="CQ2" s="1681"/>
      <c r="CR2" s="1681"/>
      <c r="CS2" s="1681"/>
      <c r="CT2" s="1681"/>
      <c r="CU2" s="1681"/>
      <c r="CV2" s="1681"/>
      <c r="CW2" s="1681"/>
      <c r="CX2" s="1681"/>
      <c r="CY2" s="1681"/>
      <c r="CZ2" s="1681"/>
      <c r="DA2" s="1681"/>
      <c r="DB2" s="1681"/>
      <c r="DC2" s="1681"/>
      <c r="DD2" s="1681"/>
      <c r="DE2" s="1681"/>
      <c r="DF2" s="1681"/>
      <c r="DG2" s="1681"/>
      <c r="DH2" s="1681"/>
      <c r="DI2" s="1681"/>
      <c r="DJ2" s="1681"/>
      <c r="DK2" s="1681"/>
      <c r="DL2" s="1681"/>
      <c r="DM2" s="1681"/>
      <c r="DN2" s="1681"/>
      <c r="DO2" s="1681"/>
      <c r="DP2" s="1681"/>
      <c r="DQ2" s="1681"/>
      <c r="DR2" s="1681"/>
      <c r="DS2" s="1681"/>
      <c r="DT2" s="1681"/>
      <c r="DU2" s="1681"/>
      <c r="DV2" s="1681"/>
      <c r="DW2" s="1681"/>
      <c r="DX2" s="1681"/>
      <c r="DY2" s="1681"/>
      <c r="DZ2" s="1681"/>
      <c r="EA2" s="1681"/>
      <c r="EB2" s="1681"/>
      <c r="EC2" s="1681"/>
      <c r="ED2" s="1682"/>
    </row>
    <row r="3" spans="2:134" x14ac:dyDescent="0.25">
      <c r="B3" t="s">
        <v>183</v>
      </c>
      <c r="C3" s="1669" t="s">
        <v>184</v>
      </c>
      <c r="D3" s="1669"/>
      <c r="E3" s="1669"/>
      <c r="F3" s="1669"/>
      <c r="G3" s="1669"/>
      <c r="H3" s="1669"/>
      <c r="I3" s="1669"/>
      <c r="J3" s="1669"/>
      <c r="K3" s="1669"/>
      <c r="M3" s="1697"/>
      <c r="N3" s="1697"/>
      <c r="O3" s="1667"/>
      <c r="P3" s="1667"/>
      <c r="Q3" s="1667"/>
      <c r="R3" s="1697"/>
      <c r="S3" s="1667"/>
      <c r="T3" s="1667"/>
      <c r="U3" s="1628"/>
      <c r="V3" s="1628"/>
      <c r="W3" s="1557">
        <f>W4</f>
        <v>2023</v>
      </c>
      <c r="X3" s="1557"/>
      <c r="Y3" s="1557"/>
      <c r="Z3" s="1557">
        <f>Z4</f>
        <v>2023</v>
      </c>
      <c r="AA3" s="1557"/>
      <c r="AB3" s="1557"/>
      <c r="AC3" s="1557">
        <f>AC4</f>
        <v>2023</v>
      </c>
      <c r="AD3" s="1557"/>
      <c r="AE3" s="1557"/>
      <c r="AF3" s="1615">
        <f>AF4</f>
        <v>2024</v>
      </c>
      <c r="AG3" s="1615"/>
      <c r="AH3" s="1615"/>
      <c r="AI3" s="1676">
        <f>AI4</f>
        <v>2024</v>
      </c>
      <c r="AJ3" s="1615"/>
      <c r="AK3" s="1615"/>
      <c r="AL3" s="1557">
        <f>AL4</f>
        <v>2024</v>
      </c>
      <c r="AM3" s="1557"/>
      <c r="AN3" s="1557"/>
      <c r="AO3" s="1557">
        <f>AO4</f>
        <v>2024</v>
      </c>
      <c r="AP3" s="1557"/>
      <c r="AQ3" s="1557"/>
      <c r="AR3" s="1615">
        <f>AR4</f>
        <v>2025</v>
      </c>
      <c r="AS3" s="1615"/>
      <c r="AT3" s="1615"/>
      <c r="AU3" s="1676">
        <f>AU4</f>
        <v>2025</v>
      </c>
      <c r="AV3" s="1615"/>
      <c r="AW3" s="1615"/>
      <c r="AX3" s="1557">
        <f>AX4</f>
        <v>2025</v>
      </c>
      <c r="AY3" s="1557"/>
      <c r="AZ3" s="1557"/>
      <c r="BA3" s="1557">
        <f>BA4</f>
        <v>2025</v>
      </c>
      <c r="BB3" s="1557"/>
      <c r="BC3" s="1557"/>
      <c r="BD3" s="1615">
        <f>BD4</f>
        <v>2026</v>
      </c>
      <c r="BE3" s="1615"/>
      <c r="BF3" s="1615"/>
      <c r="BG3" s="1676">
        <f>BG4</f>
        <v>2026</v>
      </c>
      <c r="BH3" s="1615"/>
      <c r="BI3" s="1615"/>
      <c r="BJ3" s="1557">
        <f>BJ4</f>
        <v>2026</v>
      </c>
      <c r="BK3" s="1557"/>
      <c r="BL3" s="1557"/>
      <c r="BM3" s="1557">
        <f>BM4</f>
        <v>2026</v>
      </c>
      <c r="BN3" s="1557"/>
      <c r="BO3" s="1557"/>
      <c r="BP3" s="1615">
        <f>BP4</f>
        <v>2027</v>
      </c>
      <c r="BQ3" s="1615"/>
      <c r="BR3" s="1615"/>
      <c r="BS3" s="1676">
        <f>BS4</f>
        <v>2027</v>
      </c>
      <c r="BT3" s="1615"/>
      <c r="BU3" s="1615"/>
      <c r="BV3" s="1557">
        <f>BV4</f>
        <v>2027</v>
      </c>
      <c r="BW3" s="1557"/>
      <c r="BX3" s="1557"/>
      <c r="BY3" s="1557">
        <f>BY4</f>
        <v>2027</v>
      </c>
      <c r="BZ3" s="1557"/>
      <c r="CA3" s="1557"/>
      <c r="CB3" s="1615">
        <f>CB4</f>
        <v>2028</v>
      </c>
      <c r="CC3" s="1615"/>
      <c r="CD3" s="1615"/>
      <c r="CE3" s="1676">
        <f>CE4</f>
        <v>2028</v>
      </c>
      <c r="CF3" s="1615"/>
      <c r="CG3" s="1615"/>
      <c r="CH3" s="1557">
        <f>CH4</f>
        <v>2028</v>
      </c>
      <c r="CI3" s="1557"/>
      <c r="CJ3" s="1557"/>
      <c r="CK3" s="1557">
        <f>CK4</f>
        <v>2028</v>
      </c>
      <c r="CL3" s="1557"/>
      <c r="CM3" s="1557"/>
      <c r="CN3" s="1615">
        <f>CN4</f>
        <v>2029</v>
      </c>
      <c r="CO3" s="1615"/>
      <c r="CP3" s="1615"/>
      <c r="CQ3" s="1676">
        <f>CQ4</f>
        <v>2029</v>
      </c>
      <c r="CR3" s="1615"/>
      <c r="CS3" s="1615"/>
      <c r="CT3" s="1557">
        <f>CT4</f>
        <v>2029</v>
      </c>
      <c r="CU3" s="1557"/>
      <c r="CV3" s="1557"/>
      <c r="CW3" s="1557">
        <f>CW4</f>
        <v>2029</v>
      </c>
      <c r="CX3" s="1557"/>
      <c r="CY3" s="1557"/>
      <c r="CZ3" s="1615">
        <f>CZ4</f>
        <v>2030</v>
      </c>
      <c r="DA3" s="1615"/>
      <c r="DB3" s="1615"/>
      <c r="DC3" s="1676">
        <f>DC4</f>
        <v>2030</v>
      </c>
      <c r="DD3" s="1615"/>
      <c r="DE3" s="1615"/>
      <c r="DF3" s="1557">
        <f>DF4</f>
        <v>2030</v>
      </c>
      <c r="DG3" s="1557"/>
      <c r="DH3" s="1557"/>
      <c r="DI3" s="1557">
        <f>DI4</f>
        <v>2030</v>
      </c>
      <c r="DJ3" s="1557"/>
      <c r="DK3" s="1557"/>
      <c r="DL3" s="1615">
        <f>DL4</f>
        <v>2031</v>
      </c>
      <c r="DM3" s="1615"/>
      <c r="DN3" s="1615"/>
      <c r="DO3" s="1676">
        <f>DO4</f>
        <v>2031</v>
      </c>
      <c r="DP3" s="1615"/>
      <c r="DQ3" s="1615"/>
      <c r="DR3" s="1557">
        <f>DR4</f>
        <v>2031</v>
      </c>
      <c r="DS3" s="1557"/>
      <c r="DT3" s="1557"/>
      <c r="DU3" s="1557">
        <f>DU4</f>
        <v>2031</v>
      </c>
      <c r="DV3" s="1557"/>
      <c r="DW3" s="1557"/>
      <c r="DX3" s="1615">
        <f>DX4</f>
        <v>2032</v>
      </c>
      <c r="DY3" s="1615"/>
      <c r="DZ3" s="1615"/>
      <c r="EA3" s="1676">
        <f>EA4</f>
        <v>2032</v>
      </c>
      <c r="EB3" s="1615"/>
      <c r="EC3" s="1615"/>
    </row>
    <row r="4" spans="2:134" x14ac:dyDescent="0.25">
      <c r="B4">
        <v>0.9</v>
      </c>
      <c r="C4" s="1666" t="s">
        <v>185</v>
      </c>
      <c r="D4" s="1666"/>
      <c r="E4" s="1666"/>
      <c r="F4" s="1666"/>
      <c r="G4" s="1666"/>
      <c r="H4" s="1666"/>
      <c r="I4" s="1666"/>
      <c r="J4" s="1666"/>
      <c r="K4" s="1666"/>
      <c r="M4" s="1697"/>
      <c r="N4" s="1697"/>
      <c r="O4" s="1667"/>
      <c r="P4" s="1667"/>
      <c r="Q4" s="1667"/>
      <c r="R4" s="1697"/>
      <c r="S4" s="1667"/>
      <c r="T4" s="1667"/>
      <c r="U4" s="1628"/>
      <c r="V4" s="1628"/>
      <c r="W4" s="164">
        <f>YEAR(W5)</f>
        <v>2023</v>
      </c>
      <c r="X4" s="164">
        <f t="shared" ref="X4:CI4" si="0">YEAR(X5)</f>
        <v>2023</v>
      </c>
      <c r="Y4" s="164">
        <f t="shared" si="0"/>
        <v>2023</v>
      </c>
      <c r="Z4" s="164">
        <f t="shared" si="0"/>
        <v>2023</v>
      </c>
      <c r="AA4" s="164">
        <f t="shared" si="0"/>
        <v>2023</v>
      </c>
      <c r="AB4" s="164">
        <f t="shared" si="0"/>
        <v>2023</v>
      </c>
      <c r="AC4" s="164">
        <f t="shared" si="0"/>
        <v>2023</v>
      </c>
      <c r="AD4" s="164">
        <f t="shared" si="0"/>
        <v>2023</v>
      </c>
      <c r="AE4" s="164">
        <f t="shared" si="0"/>
        <v>2024</v>
      </c>
      <c r="AF4" s="164">
        <f t="shared" si="0"/>
        <v>2024</v>
      </c>
      <c r="AG4" s="164">
        <f t="shared" si="0"/>
        <v>2024</v>
      </c>
      <c r="AH4" s="164">
        <f t="shared" si="0"/>
        <v>2024</v>
      </c>
      <c r="AI4" s="935">
        <f t="shared" si="0"/>
        <v>2024</v>
      </c>
      <c r="AJ4" s="164">
        <f t="shared" si="0"/>
        <v>2024</v>
      </c>
      <c r="AK4" s="164">
        <f t="shared" si="0"/>
        <v>2024</v>
      </c>
      <c r="AL4" s="164">
        <f t="shared" si="0"/>
        <v>2024</v>
      </c>
      <c r="AM4" s="164">
        <f t="shared" si="0"/>
        <v>2024</v>
      </c>
      <c r="AN4" s="164">
        <f t="shared" si="0"/>
        <v>2024</v>
      </c>
      <c r="AO4" s="164">
        <f t="shared" si="0"/>
        <v>2024</v>
      </c>
      <c r="AP4" s="164">
        <f t="shared" si="0"/>
        <v>2024</v>
      </c>
      <c r="AQ4" s="164">
        <f t="shared" si="0"/>
        <v>2025</v>
      </c>
      <c r="AR4" s="164">
        <f t="shared" si="0"/>
        <v>2025</v>
      </c>
      <c r="AS4" s="164">
        <f t="shared" si="0"/>
        <v>2025</v>
      </c>
      <c r="AT4" s="164">
        <f t="shared" si="0"/>
        <v>2025</v>
      </c>
      <c r="AU4" s="935">
        <f t="shared" si="0"/>
        <v>2025</v>
      </c>
      <c r="AV4" s="164">
        <f t="shared" si="0"/>
        <v>2025</v>
      </c>
      <c r="AW4" s="164">
        <f t="shared" si="0"/>
        <v>2025</v>
      </c>
      <c r="AX4" s="164">
        <f t="shared" si="0"/>
        <v>2025</v>
      </c>
      <c r="AY4" s="164">
        <f t="shared" si="0"/>
        <v>2025</v>
      </c>
      <c r="AZ4" s="164">
        <f t="shared" si="0"/>
        <v>2025</v>
      </c>
      <c r="BA4" s="164">
        <f t="shared" si="0"/>
        <v>2025</v>
      </c>
      <c r="BB4" s="164">
        <f t="shared" si="0"/>
        <v>2025</v>
      </c>
      <c r="BC4" s="164">
        <f t="shared" si="0"/>
        <v>2026</v>
      </c>
      <c r="BD4" s="164">
        <f t="shared" si="0"/>
        <v>2026</v>
      </c>
      <c r="BE4" s="164">
        <f t="shared" si="0"/>
        <v>2026</v>
      </c>
      <c r="BF4" s="164">
        <f t="shared" si="0"/>
        <v>2026</v>
      </c>
      <c r="BG4" s="935">
        <f t="shared" si="0"/>
        <v>2026</v>
      </c>
      <c r="BH4" s="164">
        <f t="shared" si="0"/>
        <v>2026</v>
      </c>
      <c r="BI4" s="164">
        <f t="shared" si="0"/>
        <v>2026</v>
      </c>
      <c r="BJ4" s="164">
        <f t="shared" si="0"/>
        <v>2026</v>
      </c>
      <c r="BK4" s="164">
        <f t="shared" si="0"/>
        <v>2026</v>
      </c>
      <c r="BL4" s="164">
        <f t="shared" si="0"/>
        <v>2026</v>
      </c>
      <c r="BM4" s="164">
        <f t="shared" si="0"/>
        <v>2026</v>
      </c>
      <c r="BN4" s="164">
        <f t="shared" si="0"/>
        <v>2026</v>
      </c>
      <c r="BO4" s="164">
        <f t="shared" si="0"/>
        <v>2027</v>
      </c>
      <c r="BP4" s="164">
        <f t="shared" si="0"/>
        <v>2027</v>
      </c>
      <c r="BQ4" s="164">
        <f t="shared" si="0"/>
        <v>2027</v>
      </c>
      <c r="BR4" s="164">
        <f t="shared" si="0"/>
        <v>2027</v>
      </c>
      <c r="BS4" s="935">
        <f t="shared" si="0"/>
        <v>2027</v>
      </c>
      <c r="BT4" s="164">
        <f t="shared" si="0"/>
        <v>2027</v>
      </c>
      <c r="BU4" s="164">
        <f t="shared" si="0"/>
        <v>2027</v>
      </c>
      <c r="BV4" s="164">
        <f t="shared" si="0"/>
        <v>2027</v>
      </c>
      <c r="BW4" s="164">
        <f t="shared" si="0"/>
        <v>2027</v>
      </c>
      <c r="BX4" s="164">
        <f t="shared" si="0"/>
        <v>2027</v>
      </c>
      <c r="BY4" s="164">
        <f t="shared" si="0"/>
        <v>2027</v>
      </c>
      <c r="BZ4" s="164">
        <f t="shared" si="0"/>
        <v>2027</v>
      </c>
      <c r="CA4" s="164">
        <f t="shared" si="0"/>
        <v>2028</v>
      </c>
      <c r="CB4" s="164">
        <f t="shared" si="0"/>
        <v>2028</v>
      </c>
      <c r="CC4" s="164">
        <f t="shared" si="0"/>
        <v>2028</v>
      </c>
      <c r="CD4" s="164">
        <f t="shared" si="0"/>
        <v>2028</v>
      </c>
      <c r="CE4" s="935">
        <f t="shared" si="0"/>
        <v>2028</v>
      </c>
      <c r="CF4" s="164">
        <f t="shared" si="0"/>
        <v>2028</v>
      </c>
      <c r="CG4" s="164">
        <f t="shared" si="0"/>
        <v>2028</v>
      </c>
      <c r="CH4" s="164">
        <f t="shared" si="0"/>
        <v>2028</v>
      </c>
      <c r="CI4" s="164">
        <f t="shared" si="0"/>
        <v>2028</v>
      </c>
      <c r="CJ4" s="164">
        <f t="shared" ref="CJ4:ED4" si="1">YEAR(CJ5)</f>
        <v>2028</v>
      </c>
      <c r="CK4" s="164">
        <f t="shared" si="1"/>
        <v>2028</v>
      </c>
      <c r="CL4" s="164">
        <f t="shared" si="1"/>
        <v>2028</v>
      </c>
      <c r="CM4" s="164">
        <f t="shared" si="1"/>
        <v>2029</v>
      </c>
      <c r="CN4" s="164">
        <f t="shared" si="1"/>
        <v>2029</v>
      </c>
      <c r="CO4" s="164">
        <f t="shared" si="1"/>
        <v>2029</v>
      </c>
      <c r="CP4" s="164">
        <f t="shared" si="1"/>
        <v>2029</v>
      </c>
      <c r="CQ4" s="935">
        <f t="shared" si="1"/>
        <v>2029</v>
      </c>
      <c r="CR4" s="164">
        <f t="shared" si="1"/>
        <v>2029</v>
      </c>
      <c r="CS4" s="164">
        <f t="shared" si="1"/>
        <v>2029</v>
      </c>
      <c r="CT4" s="164">
        <f t="shared" si="1"/>
        <v>2029</v>
      </c>
      <c r="CU4" s="164">
        <f t="shared" si="1"/>
        <v>2029</v>
      </c>
      <c r="CV4" s="164">
        <f t="shared" si="1"/>
        <v>2029</v>
      </c>
      <c r="CW4" s="164">
        <f t="shared" si="1"/>
        <v>2029</v>
      </c>
      <c r="CX4" s="164">
        <f t="shared" si="1"/>
        <v>2029</v>
      </c>
      <c r="CY4" s="164">
        <f t="shared" si="1"/>
        <v>2030</v>
      </c>
      <c r="CZ4" s="164">
        <f t="shared" si="1"/>
        <v>2030</v>
      </c>
      <c r="DA4" s="164">
        <f t="shared" si="1"/>
        <v>2030</v>
      </c>
      <c r="DB4" s="164">
        <f t="shared" si="1"/>
        <v>2030</v>
      </c>
      <c r="DC4" s="935">
        <f t="shared" si="1"/>
        <v>2030</v>
      </c>
      <c r="DD4" s="164">
        <f t="shared" si="1"/>
        <v>2030</v>
      </c>
      <c r="DE4" s="164">
        <f t="shared" si="1"/>
        <v>2030</v>
      </c>
      <c r="DF4" s="164">
        <f t="shared" si="1"/>
        <v>2030</v>
      </c>
      <c r="DG4" s="164">
        <f t="shared" si="1"/>
        <v>2030</v>
      </c>
      <c r="DH4" s="164">
        <f t="shared" si="1"/>
        <v>2030</v>
      </c>
      <c r="DI4" s="164">
        <f t="shared" si="1"/>
        <v>2030</v>
      </c>
      <c r="DJ4" s="164">
        <f t="shared" si="1"/>
        <v>2030</v>
      </c>
      <c r="DK4" s="164">
        <f t="shared" si="1"/>
        <v>2031</v>
      </c>
      <c r="DL4" s="164">
        <f t="shared" si="1"/>
        <v>2031</v>
      </c>
      <c r="DM4" s="164">
        <f t="shared" si="1"/>
        <v>2031</v>
      </c>
      <c r="DN4" s="164">
        <f t="shared" si="1"/>
        <v>2031</v>
      </c>
      <c r="DO4" s="935">
        <f t="shared" si="1"/>
        <v>2031</v>
      </c>
      <c r="DP4" s="164">
        <f t="shared" si="1"/>
        <v>2031</v>
      </c>
      <c r="DQ4" s="164">
        <f t="shared" si="1"/>
        <v>2031</v>
      </c>
      <c r="DR4" s="164">
        <f t="shared" si="1"/>
        <v>2031</v>
      </c>
      <c r="DS4" s="164">
        <f t="shared" si="1"/>
        <v>2031</v>
      </c>
      <c r="DT4" s="164">
        <f t="shared" si="1"/>
        <v>2031</v>
      </c>
      <c r="DU4" s="164">
        <f t="shared" si="1"/>
        <v>2031</v>
      </c>
      <c r="DV4" s="164">
        <f t="shared" si="1"/>
        <v>2031</v>
      </c>
      <c r="DW4" s="164">
        <f t="shared" si="1"/>
        <v>2032</v>
      </c>
      <c r="DX4" s="164">
        <f t="shared" si="1"/>
        <v>2032</v>
      </c>
      <c r="DY4" s="164">
        <f t="shared" si="1"/>
        <v>2032</v>
      </c>
      <c r="DZ4" s="164">
        <f t="shared" si="1"/>
        <v>2032</v>
      </c>
      <c r="EA4" s="935">
        <f t="shared" si="1"/>
        <v>2032</v>
      </c>
      <c r="EB4" s="164">
        <f t="shared" si="1"/>
        <v>2032</v>
      </c>
      <c r="EC4" s="164">
        <f t="shared" si="1"/>
        <v>2032</v>
      </c>
      <c r="ED4" s="164">
        <f t="shared" si="1"/>
        <v>2032</v>
      </c>
    </row>
    <row r="5" spans="2:134" ht="24.75" customHeight="1" x14ac:dyDescent="0.25">
      <c r="M5" s="1697"/>
      <c r="N5" s="1697"/>
      <c r="O5" s="1667"/>
      <c r="P5" s="1667"/>
      <c r="Q5" s="1667"/>
      <c r="R5" s="1697"/>
      <c r="S5" s="1667"/>
      <c r="T5" s="1667"/>
      <c r="U5" s="1628"/>
      <c r="V5" s="1628"/>
      <c r="W5" s="165">
        <v>45047</v>
      </c>
      <c r="X5" s="162">
        <f>DATE(YEAR(W5),MONTH(W5)+1,DAY(W5))</f>
        <v>45078</v>
      </c>
      <c r="Y5" s="162">
        <f t="shared" ref="Y5:CJ5" si="2">DATE(YEAR(X5),MONTH(X5)+1,DAY(X5))</f>
        <v>45108</v>
      </c>
      <c r="Z5" s="162">
        <f t="shared" si="2"/>
        <v>45139</v>
      </c>
      <c r="AA5" s="162">
        <f t="shared" si="2"/>
        <v>45170</v>
      </c>
      <c r="AB5" s="162">
        <f t="shared" si="2"/>
        <v>45200</v>
      </c>
      <c r="AC5" s="162">
        <f t="shared" si="2"/>
        <v>45231</v>
      </c>
      <c r="AD5" s="162">
        <f t="shared" si="2"/>
        <v>45261</v>
      </c>
      <c r="AE5" s="162">
        <f t="shared" si="2"/>
        <v>45292</v>
      </c>
      <c r="AF5" s="162">
        <f t="shared" si="2"/>
        <v>45323</v>
      </c>
      <c r="AG5" s="162">
        <f t="shared" si="2"/>
        <v>45352</v>
      </c>
      <c r="AH5" s="162">
        <f t="shared" si="2"/>
        <v>45383</v>
      </c>
      <c r="AI5" s="936">
        <f t="shared" si="2"/>
        <v>45413</v>
      </c>
      <c r="AJ5" s="162">
        <f t="shared" si="2"/>
        <v>45444</v>
      </c>
      <c r="AK5" s="162">
        <f t="shared" si="2"/>
        <v>45474</v>
      </c>
      <c r="AL5" s="162">
        <f t="shared" si="2"/>
        <v>45505</v>
      </c>
      <c r="AM5" s="162">
        <f t="shared" si="2"/>
        <v>45536</v>
      </c>
      <c r="AN5" s="162">
        <f t="shared" si="2"/>
        <v>45566</v>
      </c>
      <c r="AO5" s="162">
        <f t="shared" si="2"/>
        <v>45597</v>
      </c>
      <c r="AP5" s="162">
        <f t="shared" si="2"/>
        <v>45627</v>
      </c>
      <c r="AQ5" s="162">
        <f t="shared" si="2"/>
        <v>45658</v>
      </c>
      <c r="AR5" s="162">
        <f t="shared" si="2"/>
        <v>45689</v>
      </c>
      <c r="AS5" s="162">
        <f t="shared" si="2"/>
        <v>45717</v>
      </c>
      <c r="AT5" s="162">
        <f t="shared" si="2"/>
        <v>45748</v>
      </c>
      <c r="AU5" s="936">
        <f t="shared" si="2"/>
        <v>45778</v>
      </c>
      <c r="AV5" s="162">
        <f t="shared" si="2"/>
        <v>45809</v>
      </c>
      <c r="AW5" s="162">
        <f t="shared" si="2"/>
        <v>45839</v>
      </c>
      <c r="AX5" s="162">
        <f t="shared" si="2"/>
        <v>45870</v>
      </c>
      <c r="AY5" s="162">
        <f t="shared" si="2"/>
        <v>45901</v>
      </c>
      <c r="AZ5" s="162">
        <f t="shared" si="2"/>
        <v>45931</v>
      </c>
      <c r="BA5" s="162">
        <f t="shared" si="2"/>
        <v>45962</v>
      </c>
      <c r="BB5" s="162">
        <f t="shared" si="2"/>
        <v>45992</v>
      </c>
      <c r="BC5" s="162">
        <f t="shared" si="2"/>
        <v>46023</v>
      </c>
      <c r="BD5" s="162">
        <f t="shared" si="2"/>
        <v>46054</v>
      </c>
      <c r="BE5" s="162">
        <f t="shared" si="2"/>
        <v>46082</v>
      </c>
      <c r="BF5" s="162">
        <f t="shared" si="2"/>
        <v>46113</v>
      </c>
      <c r="BG5" s="936">
        <f t="shared" si="2"/>
        <v>46143</v>
      </c>
      <c r="BH5" s="162">
        <f t="shared" si="2"/>
        <v>46174</v>
      </c>
      <c r="BI5" s="162">
        <f t="shared" si="2"/>
        <v>46204</v>
      </c>
      <c r="BJ5" s="162">
        <f t="shared" si="2"/>
        <v>46235</v>
      </c>
      <c r="BK5" s="162">
        <f t="shared" si="2"/>
        <v>46266</v>
      </c>
      <c r="BL5" s="162">
        <f t="shared" si="2"/>
        <v>46296</v>
      </c>
      <c r="BM5" s="162">
        <f>DATE(YEAR(BL5),MONTH(BL5)+1,DAY(BL5))</f>
        <v>46327</v>
      </c>
      <c r="BN5" s="162">
        <f t="shared" si="2"/>
        <v>46357</v>
      </c>
      <c r="BO5" s="162">
        <f t="shared" si="2"/>
        <v>46388</v>
      </c>
      <c r="BP5" s="162">
        <f t="shared" si="2"/>
        <v>46419</v>
      </c>
      <c r="BQ5" s="162">
        <f t="shared" si="2"/>
        <v>46447</v>
      </c>
      <c r="BR5" s="162">
        <f t="shared" si="2"/>
        <v>46478</v>
      </c>
      <c r="BS5" s="936">
        <f t="shared" si="2"/>
        <v>46508</v>
      </c>
      <c r="BT5" s="162">
        <f t="shared" si="2"/>
        <v>46539</v>
      </c>
      <c r="BU5" s="162">
        <f t="shared" si="2"/>
        <v>46569</v>
      </c>
      <c r="BV5" s="162">
        <f t="shared" si="2"/>
        <v>46600</v>
      </c>
      <c r="BW5" s="162">
        <f t="shared" si="2"/>
        <v>46631</v>
      </c>
      <c r="BX5" s="162">
        <f t="shared" si="2"/>
        <v>46661</v>
      </c>
      <c r="BY5" s="162">
        <f t="shared" si="2"/>
        <v>46692</v>
      </c>
      <c r="BZ5" s="162">
        <f t="shared" si="2"/>
        <v>46722</v>
      </c>
      <c r="CA5" s="162">
        <f t="shared" si="2"/>
        <v>46753</v>
      </c>
      <c r="CB5" s="162">
        <f t="shared" si="2"/>
        <v>46784</v>
      </c>
      <c r="CC5" s="162">
        <f t="shared" si="2"/>
        <v>46813</v>
      </c>
      <c r="CD5" s="162">
        <f t="shared" si="2"/>
        <v>46844</v>
      </c>
      <c r="CE5" s="936">
        <f t="shared" si="2"/>
        <v>46874</v>
      </c>
      <c r="CF5" s="162">
        <f t="shared" si="2"/>
        <v>46905</v>
      </c>
      <c r="CG5" s="162">
        <f t="shared" si="2"/>
        <v>46935</v>
      </c>
      <c r="CH5" s="162">
        <f t="shared" si="2"/>
        <v>46966</v>
      </c>
      <c r="CI5" s="162">
        <f t="shared" si="2"/>
        <v>46997</v>
      </c>
      <c r="CJ5" s="162">
        <f t="shared" si="2"/>
        <v>47027</v>
      </c>
      <c r="CK5" s="162">
        <f t="shared" ref="CK5:ED5" si="3">DATE(YEAR(CJ5),MONTH(CJ5)+1,DAY(CJ5))</f>
        <v>47058</v>
      </c>
      <c r="CL5" s="162">
        <f t="shared" si="3"/>
        <v>47088</v>
      </c>
      <c r="CM5" s="162">
        <f t="shared" si="3"/>
        <v>47119</v>
      </c>
      <c r="CN5" s="162">
        <f t="shared" si="3"/>
        <v>47150</v>
      </c>
      <c r="CO5" s="162">
        <f t="shared" si="3"/>
        <v>47178</v>
      </c>
      <c r="CP5" s="162">
        <f t="shared" si="3"/>
        <v>47209</v>
      </c>
      <c r="CQ5" s="936">
        <f t="shared" si="3"/>
        <v>47239</v>
      </c>
      <c r="CR5" s="162">
        <f t="shared" si="3"/>
        <v>47270</v>
      </c>
      <c r="CS5" s="162">
        <f t="shared" si="3"/>
        <v>47300</v>
      </c>
      <c r="CT5" s="162">
        <f t="shared" si="3"/>
        <v>47331</v>
      </c>
      <c r="CU5" s="162">
        <f t="shared" si="3"/>
        <v>47362</v>
      </c>
      <c r="CV5" s="162">
        <f t="shared" si="3"/>
        <v>47392</v>
      </c>
      <c r="CW5" s="162">
        <f t="shared" si="3"/>
        <v>47423</v>
      </c>
      <c r="CX5" s="162">
        <f t="shared" si="3"/>
        <v>47453</v>
      </c>
      <c r="CY5" s="162">
        <f t="shared" si="3"/>
        <v>47484</v>
      </c>
      <c r="CZ5" s="162">
        <f t="shared" si="3"/>
        <v>47515</v>
      </c>
      <c r="DA5" s="162">
        <f t="shared" si="3"/>
        <v>47543</v>
      </c>
      <c r="DB5" s="162">
        <f t="shared" si="3"/>
        <v>47574</v>
      </c>
      <c r="DC5" s="936">
        <f t="shared" si="3"/>
        <v>47604</v>
      </c>
      <c r="DD5" s="162">
        <f t="shared" si="3"/>
        <v>47635</v>
      </c>
      <c r="DE5" s="162">
        <f t="shared" si="3"/>
        <v>47665</v>
      </c>
      <c r="DF5" s="162">
        <f t="shared" si="3"/>
        <v>47696</v>
      </c>
      <c r="DG5" s="162">
        <f t="shared" si="3"/>
        <v>47727</v>
      </c>
      <c r="DH5" s="162">
        <f t="shared" si="3"/>
        <v>47757</v>
      </c>
      <c r="DI5" s="162">
        <f t="shared" si="3"/>
        <v>47788</v>
      </c>
      <c r="DJ5" s="162">
        <f t="shared" si="3"/>
        <v>47818</v>
      </c>
      <c r="DK5" s="162">
        <f t="shared" si="3"/>
        <v>47849</v>
      </c>
      <c r="DL5" s="162">
        <f t="shared" si="3"/>
        <v>47880</v>
      </c>
      <c r="DM5" s="162">
        <f t="shared" si="3"/>
        <v>47908</v>
      </c>
      <c r="DN5" s="162">
        <f t="shared" si="3"/>
        <v>47939</v>
      </c>
      <c r="DO5" s="936">
        <f t="shared" si="3"/>
        <v>47969</v>
      </c>
      <c r="DP5" s="162">
        <f t="shared" si="3"/>
        <v>48000</v>
      </c>
      <c r="DQ5" s="162">
        <f t="shared" si="3"/>
        <v>48030</v>
      </c>
      <c r="DR5" s="162">
        <f t="shared" si="3"/>
        <v>48061</v>
      </c>
      <c r="DS5" s="162">
        <f t="shared" si="3"/>
        <v>48092</v>
      </c>
      <c r="DT5" s="162">
        <f t="shared" si="3"/>
        <v>48122</v>
      </c>
      <c r="DU5" s="162">
        <f t="shared" si="3"/>
        <v>48153</v>
      </c>
      <c r="DV5" s="162">
        <f t="shared" si="3"/>
        <v>48183</v>
      </c>
      <c r="DW5" s="162">
        <f t="shared" si="3"/>
        <v>48214</v>
      </c>
      <c r="DX5" s="162">
        <f t="shared" si="3"/>
        <v>48245</v>
      </c>
      <c r="DY5" s="162">
        <f t="shared" si="3"/>
        <v>48274</v>
      </c>
      <c r="DZ5" s="162">
        <f t="shared" si="3"/>
        <v>48305</v>
      </c>
      <c r="EA5" s="936">
        <f t="shared" si="3"/>
        <v>48335</v>
      </c>
      <c r="EB5" s="162">
        <f t="shared" si="3"/>
        <v>48366</v>
      </c>
      <c r="EC5" s="162">
        <f t="shared" si="3"/>
        <v>48396</v>
      </c>
      <c r="ED5" s="162">
        <f t="shared" si="3"/>
        <v>48427</v>
      </c>
    </row>
    <row r="6" spans="2:134" s="11" customFormat="1" x14ac:dyDescent="0.25">
      <c r="M6" s="938"/>
      <c r="N6" s="938"/>
      <c r="O6" s="938"/>
      <c r="P6" s="938"/>
      <c r="Q6" s="938"/>
      <c r="R6" s="938"/>
      <c r="S6" s="938"/>
      <c r="T6" s="938"/>
      <c r="U6" s="1003"/>
      <c r="V6" s="939"/>
      <c r="AI6" s="1002"/>
      <c r="AU6" s="1002"/>
      <c r="BG6" s="1002"/>
      <c r="BS6" s="1002"/>
      <c r="CE6" s="1002"/>
      <c r="CQ6" s="1002"/>
      <c r="DC6" s="1002"/>
      <c r="DO6" s="1002"/>
      <c r="EA6" s="1002"/>
    </row>
    <row r="7" spans="2:134" s="208" customFormat="1" hidden="1" outlineLevel="1" x14ac:dyDescent="0.25">
      <c r="N7" s="208" t="s">
        <v>186</v>
      </c>
      <c r="V7" s="43">
        <f>SUM(V44,V58,V72,V96)</f>
        <v>78</v>
      </c>
      <c r="W7" s="43">
        <f t="shared" ref="W7:CH7" si="4">SUM(W44,W58,W72,W96)</f>
        <v>75.049591036414569</v>
      </c>
      <c r="X7" s="43">
        <f t="shared" si="4"/>
        <v>75.049591036414569</v>
      </c>
      <c r="Y7" s="43">
        <f t="shared" si="4"/>
        <v>75.049591036414569</v>
      </c>
      <c r="Z7" s="43">
        <f t="shared" si="4"/>
        <v>81.857389355742285</v>
      </c>
      <c r="AA7" s="43">
        <f t="shared" si="4"/>
        <v>81.857389355742285</v>
      </c>
      <c r="AB7" s="43">
        <f t="shared" si="4"/>
        <v>81.857389355742285</v>
      </c>
      <c r="AC7" s="43">
        <f t="shared" si="4"/>
        <v>86.694633053221295</v>
      </c>
      <c r="AD7" s="43">
        <f t="shared" si="4"/>
        <v>86.694633053221295</v>
      </c>
      <c r="AE7" s="7">
        <f>SUM(AE44,AE58,AE72,AE96)</f>
        <v>86.694633053221295</v>
      </c>
      <c r="AF7" s="43">
        <f t="shared" si="4"/>
        <v>86.694633053221295</v>
      </c>
      <c r="AG7" s="43">
        <f t="shared" si="4"/>
        <v>86.694633053221295</v>
      </c>
      <c r="AH7" s="43">
        <f t="shared" si="4"/>
        <v>86.694633053221295</v>
      </c>
      <c r="AI7" s="1005">
        <f t="shared" si="4"/>
        <v>86.758800851540627</v>
      </c>
      <c r="AJ7" s="43">
        <f t="shared" si="4"/>
        <v>86.823353656649857</v>
      </c>
      <c r="AK7" s="43">
        <f t="shared" si="4"/>
        <v>90.88829377858977</v>
      </c>
      <c r="AL7" s="43">
        <f t="shared" si="4"/>
        <v>90.953623541261294</v>
      </c>
      <c r="AM7" s="43">
        <f t="shared" si="4"/>
        <v>91.019345282508866</v>
      </c>
      <c r="AN7" s="43">
        <f t="shared" si="4"/>
        <v>91.085461354203929</v>
      </c>
      <c r="AO7" s="43">
        <f t="shared" si="4"/>
        <v>91.151974122329136</v>
      </c>
      <c r="AP7" s="43">
        <f t="shared" si="4"/>
        <v>91.218885967063116</v>
      </c>
      <c r="AQ7" s="43">
        <f t="shared" si="4"/>
        <v>92.286199282865482</v>
      </c>
      <c r="AR7" s="43">
        <f t="shared" si="4"/>
        <v>93.353916478562681</v>
      </c>
      <c r="AS7" s="43">
        <f t="shared" si="4"/>
        <v>93.422039977434082</v>
      </c>
      <c r="AT7" s="43">
        <f t="shared" si="4"/>
        <v>94.490572217298663</v>
      </c>
      <c r="AU7" s="1005">
        <f t="shared" si="4"/>
        <v>94.559515650602464</v>
      </c>
      <c r="AV7" s="43">
        <f t="shared" si="4"/>
        <v>94.628872744506069</v>
      </c>
      <c r="AW7" s="43">
        <f t="shared" si="4"/>
        <v>95.698645980973112</v>
      </c>
      <c r="AX7" s="43">
        <f t="shared" si="4"/>
        <v>96.768837856858937</v>
      </c>
      <c r="AY7" s="43">
        <f t="shared" si="4"/>
        <v>96.839450884000115</v>
      </c>
      <c r="AZ7" s="43">
        <f t="shared" si="4"/>
        <v>96.910487589304111</v>
      </c>
      <c r="BA7" s="43">
        <f t="shared" si="4"/>
        <v>96.981950514839937</v>
      </c>
      <c r="BB7" s="43">
        <f t="shared" si="4"/>
        <v>97.053842217928974</v>
      </c>
      <c r="BC7" s="43">
        <f t="shared" si="4"/>
        <v>99.126165271236545</v>
      </c>
      <c r="BD7" s="43">
        <f t="shared" si="4"/>
        <v>99.19892226286396</v>
      </c>
      <c r="BE7" s="43">
        <f t="shared" si="4"/>
        <v>100.27211579644114</v>
      </c>
      <c r="BF7" s="43">
        <f t="shared" si="4"/>
        <v>100.34574849121978</v>
      </c>
      <c r="BG7" s="1005">
        <f t="shared" si="4"/>
        <v>101.4198229821671</v>
      </c>
      <c r="BH7" s="43">
        <f t="shared" si="4"/>
        <v>102.49434192006011</v>
      </c>
      <c r="BI7" s="43">
        <f t="shared" si="4"/>
        <v>102.56930797158049</v>
      </c>
      <c r="BJ7" s="43">
        <f t="shared" si="4"/>
        <v>102.64472381940996</v>
      </c>
      <c r="BK7" s="43">
        <f t="shared" si="4"/>
        <v>104.72059216232643</v>
      </c>
      <c r="BL7" s="43">
        <f t="shared" si="4"/>
        <v>104.79691571530037</v>
      </c>
      <c r="BM7" s="43">
        <f t="shared" si="4"/>
        <v>105.87369720959217</v>
      </c>
      <c r="BN7" s="43">
        <f t="shared" si="4"/>
        <v>105.95093939284973</v>
      </c>
      <c r="BO7" s="43">
        <f t="shared" si="4"/>
        <v>106.02864502920683</v>
      </c>
      <c r="BP7" s="43">
        <f t="shared" si="4"/>
        <v>107.10681689938207</v>
      </c>
      <c r="BQ7" s="43">
        <f t="shared" si="4"/>
        <v>107.18545780077837</v>
      </c>
      <c r="BR7" s="43">
        <f t="shared" si="4"/>
        <v>107.26457054758303</v>
      </c>
      <c r="BS7" s="1005">
        <f t="shared" si="4"/>
        <v>109.34415797086852</v>
      </c>
      <c r="BT7" s="43">
        <f t="shared" si="4"/>
        <v>109.42422291869373</v>
      </c>
      <c r="BU7" s="43">
        <f t="shared" si="4"/>
        <v>109.50476825620591</v>
      </c>
      <c r="BV7" s="43">
        <f t="shared" si="4"/>
        <v>110.58579686574313</v>
      </c>
      <c r="BW7" s="43">
        <f t="shared" si="4"/>
        <v>111.66731164693761</v>
      </c>
      <c r="BX7" s="43">
        <f t="shared" si="4"/>
        <v>111.74931551681924</v>
      </c>
      <c r="BY7" s="43">
        <f t="shared" si="4"/>
        <v>111.83181140992014</v>
      </c>
      <c r="BZ7" s="43">
        <f t="shared" si="4"/>
        <v>112.91480227837965</v>
      </c>
      <c r="CA7" s="43">
        <f t="shared" si="4"/>
        <v>113.99829109204994</v>
      </c>
      <c r="CB7" s="43">
        <f t="shared" si="4"/>
        <v>116.08228083860224</v>
      </c>
      <c r="CC7" s="43">
        <f t="shared" si="4"/>
        <v>116.16677452363385</v>
      </c>
      <c r="CD7" s="43">
        <f t="shared" si="4"/>
        <v>116.25177517077566</v>
      </c>
      <c r="CE7" s="1005">
        <f t="shared" si="4"/>
        <v>116.33728582180031</v>
      </c>
      <c r="CF7" s="43">
        <f t="shared" si="4"/>
        <v>116.42330953673111</v>
      </c>
      <c r="CG7" s="43">
        <f t="shared" si="4"/>
        <v>119.5098493939515</v>
      </c>
      <c r="CH7" s="43">
        <f t="shared" si="4"/>
        <v>119.59690849031522</v>
      </c>
      <c r="CI7" s="43">
        <f t="shared" ref="CI7:ED7" si="5">SUM(CI44,CI58,CI72,CI96)</f>
        <v>119.6844899412571</v>
      </c>
      <c r="CJ7" s="43">
        <f t="shared" si="5"/>
        <v>119.77259688090463</v>
      </c>
      <c r="CK7" s="43">
        <f t="shared" si="5"/>
        <v>119.86123246219007</v>
      </c>
      <c r="CL7" s="43">
        <f t="shared" si="5"/>
        <v>121.9503998569632</v>
      </c>
      <c r="CM7" s="43">
        <f t="shared" si="5"/>
        <v>122.04010225610499</v>
      </c>
      <c r="CN7" s="43">
        <f t="shared" si="5"/>
        <v>123.13034286964162</v>
      </c>
      <c r="CO7" s="43">
        <f t="shared" si="5"/>
        <v>123.22112492685947</v>
      </c>
      <c r="CP7" s="43">
        <f t="shared" si="5"/>
        <v>124.31245167642062</v>
      </c>
      <c r="CQ7" s="1005">
        <f t="shared" si="5"/>
        <v>125.40432638647914</v>
      </c>
      <c r="CR7" s="43">
        <f t="shared" si="5"/>
        <v>125.49675234479804</v>
      </c>
      <c r="CS7" s="43">
        <f t="shared" si="5"/>
        <v>126.5897328588668</v>
      </c>
      <c r="CT7" s="43">
        <f t="shared" si="5"/>
        <v>127.68327125602002</v>
      </c>
      <c r="CU7" s="43">
        <f t="shared" si="5"/>
        <v>128.77737088355613</v>
      </c>
      <c r="CV7" s="43">
        <f t="shared" si="5"/>
        <v>129.87203510885746</v>
      </c>
      <c r="CW7" s="43">
        <f t="shared" si="5"/>
        <v>129.96726731951063</v>
      </c>
      <c r="CX7" s="43">
        <f t="shared" si="5"/>
        <v>130.06307092342769</v>
      </c>
      <c r="CY7" s="43">
        <f t="shared" si="5"/>
        <v>131.15944934896825</v>
      </c>
      <c r="CZ7" s="43">
        <f t="shared" si="5"/>
        <v>131.25640604506205</v>
      </c>
      <c r="DA7" s="43">
        <f t="shared" si="5"/>
        <v>133.35394448133243</v>
      </c>
      <c r="DB7" s="43">
        <f t="shared" si="5"/>
        <v>133.45206814822041</v>
      </c>
      <c r="DC7" s="1005">
        <f t="shared" si="5"/>
        <v>134.55078055710976</v>
      </c>
      <c r="DD7" s="43">
        <f t="shared" si="5"/>
        <v>134.6500852404524</v>
      </c>
      <c r="DE7" s="43">
        <f t="shared" si="5"/>
        <v>135.74998575189511</v>
      </c>
      <c r="DF7" s="43">
        <f t="shared" si="5"/>
        <v>135.85048566640648</v>
      </c>
      <c r="DG7" s="43">
        <f t="shared" si="5"/>
        <v>137.95158858040494</v>
      </c>
      <c r="DH7" s="43">
        <f t="shared" si="5"/>
        <v>138.05329811188736</v>
      </c>
      <c r="DI7" s="43">
        <f t="shared" si="5"/>
        <v>139.15561790055867</v>
      </c>
      <c r="DJ7" s="43">
        <f t="shared" si="5"/>
        <v>140.25855160796203</v>
      </c>
      <c r="DK7" s="43">
        <f t="shared" si="5"/>
        <v>141.3621029176098</v>
      </c>
      <c r="DL7" s="43">
        <f t="shared" si="5"/>
        <v>141.46627553511547</v>
      </c>
      <c r="DM7" s="43">
        <f t="shared" si="5"/>
        <v>142.57107318832615</v>
      </c>
      <c r="DN7" s="43">
        <f t="shared" si="5"/>
        <v>143.67649962745611</v>
      </c>
      <c r="DO7" s="1005">
        <f t="shared" si="5"/>
        <v>144.78255862522084</v>
      </c>
      <c r="DP7" s="43">
        <f t="shared" si="5"/>
        <v>144.88925397697219</v>
      </c>
      <c r="DQ7" s="43">
        <f t="shared" si="5"/>
        <v>144.99658950083401</v>
      </c>
      <c r="DR7" s="43">
        <f t="shared" si="5"/>
        <v>147.10456903783901</v>
      </c>
      <c r="DS7" s="43">
        <f t="shared" si="5"/>
        <v>148.21319645206603</v>
      </c>
      <c r="DT7" s="43">
        <f t="shared" si="5"/>
        <v>148.32247563077846</v>
      </c>
      <c r="DU7" s="43">
        <f t="shared" si="5"/>
        <v>148.43241048456312</v>
      </c>
      <c r="DV7" s="43">
        <f t="shared" si="5"/>
        <v>150.54300494747048</v>
      </c>
      <c r="DW7" s="43">
        <f t="shared" si="5"/>
        <v>151.65426297715533</v>
      </c>
      <c r="DX7" s="43">
        <f t="shared" si="5"/>
        <v>152.76618855501823</v>
      </c>
      <c r="DY7" s="43">
        <f t="shared" si="5"/>
        <v>152.87878568634835</v>
      </c>
      <c r="DZ7" s="43">
        <f t="shared" si="5"/>
        <v>154.99205840046642</v>
      </c>
      <c r="EA7" s="1005">
        <f t="shared" si="5"/>
        <v>155.10601075086925</v>
      </c>
      <c r="EB7" s="43">
        <f t="shared" si="5"/>
        <v>155.22064681537444</v>
      </c>
      <c r="EC7" s="43">
        <f t="shared" si="5"/>
        <v>157.33597069626671</v>
      </c>
      <c r="ED7" s="43">
        <f t="shared" si="5"/>
        <v>158.45198652044431</v>
      </c>
    </row>
    <row r="8" spans="2:134" s="208" customFormat="1" hidden="1" outlineLevel="1" x14ac:dyDescent="0.25">
      <c r="N8" s="208" t="s">
        <v>187</v>
      </c>
      <c r="V8" s="43">
        <f>V124</f>
        <v>10</v>
      </c>
      <c r="W8">
        <f>W124</f>
        <v>9.0073725490196086</v>
      </c>
      <c r="X8">
        <f t="shared" ref="X8:CI8" si="6">X124</f>
        <v>9.0073725490196086</v>
      </c>
      <c r="Y8">
        <f t="shared" si="6"/>
        <v>9.0073725490196086</v>
      </c>
      <c r="Z8">
        <f t="shared" si="6"/>
        <v>9.091182072829131</v>
      </c>
      <c r="AA8">
        <f t="shared" si="6"/>
        <v>9.091182072829131</v>
      </c>
      <c r="AB8">
        <f t="shared" si="6"/>
        <v>9.091182072829131</v>
      </c>
      <c r="AC8">
        <f t="shared" si="6"/>
        <v>7.9842016806722693</v>
      </c>
      <c r="AD8">
        <f t="shared" si="6"/>
        <v>7.9842016806722693</v>
      </c>
      <c r="AE8">
        <f t="shared" si="6"/>
        <v>7.9842016806722693</v>
      </c>
      <c r="AF8">
        <f t="shared" si="6"/>
        <v>7.9842016806722693</v>
      </c>
      <c r="AG8">
        <f t="shared" si="6"/>
        <v>7.9842016806722693</v>
      </c>
      <c r="AH8">
        <f t="shared" si="6"/>
        <v>7.9842016806722693</v>
      </c>
      <c r="AI8" s="937">
        <f t="shared" si="6"/>
        <v>7.9901068907563024</v>
      </c>
      <c r="AJ8">
        <f t="shared" si="6"/>
        <v>7.9960475321008406</v>
      </c>
      <c r="AK8">
        <f t="shared" si="6"/>
        <v>9.0020238172934448</v>
      </c>
      <c r="AL8">
        <f t="shared" si="6"/>
        <v>9.0080359601972066</v>
      </c>
      <c r="AM8">
        <f t="shared" si="6"/>
        <v>9.0140841759583896</v>
      </c>
      <c r="AN8">
        <f t="shared" si="6"/>
        <v>9.0201686810141393</v>
      </c>
      <c r="AO8">
        <f t="shared" si="6"/>
        <v>9.0262896931002246</v>
      </c>
      <c r="AP8">
        <f t="shared" si="6"/>
        <v>9.0324474312588254</v>
      </c>
      <c r="AQ8">
        <f t="shared" si="6"/>
        <v>9.038642115846379</v>
      </c>
      <c r="AR8">
        <f t="shared" si="6"/>
        <v>9.0448739685414576</v>
      </c>
      <c r="AS8">
        <f t="shared" si="6"/>
        <v>9.0511432123527058</v>
      </c>
      <c r="AT8">
        <f t="shared" si="6"/>
        <v>9.0574500716268229</v>
      </c>
      <c r="AU8" s="937">
        <f t="shared" si="6"/>
        <v>9.0637947720565837</v>
      </c>
      <c r="AV8">
        <f t="shared" si="6"/>
        <v>9.0701775406889222</v>
      </c>
      <c r="AW8">
        <f t="shared" si="6"/>
        <v>9.0765986059330555</v>
      </c>
      <c r="AX8">
        <f t="shared" si="6"/>
        <v>9.0830581975686542</v>
      </c>
      <c r="AY8">
        <f t="shared" si="6"/>
        <v>9.089556546754066</v>
      </c>
      <c r="AZ8">
        <f t="shared" si="6"/>
        <v>9.0960938860345912</v>
      </c>
      <c r="BA8">
        <f t="shared" si="6"/>
        <v>9.1026704493507982</v>
      </c>
      <c r="BB8">
        <f t="shared" si="6"/>
        <v>9.1092864720469038</v>
      </c>
      <c r="BC8">
        <f t="shared" si="6"/>
        <v>9.1159421908791849</v>
      </c>
      <c r="BD8">
        <f t="shared" si="6"/>
        <v>9.1226378440244602</v>
      </c>
      <c r="BE8">
        <f t="shared" si="6"/>
        <v>9.1293736710886062</v>
      </c>
      <c r="BF8">
        <f t="shared" si="6"/>
        <v>9.1361499131151369</v>
      </c>
      <c r="BG8" s="937">
        <f t="shared" si="6"/>
        <v>10.142966812593828</v>
      </c>
      <c r="BH8">
        <f t="shared" si="6"/>
        <v>10.149824613469391</v>
      </c>
      <c r="BI8">
        <f t="shared" si="6"/>
        <v>10.156723561150208</v>
      </c>
      <c r="BJ8">
        <f t="shared" si="6"/>
        <v>10.16366390251711</v>
      </c>
      <c r="BK8">
        <f t="shared" si="6"/>
        <v>10.170645885932212</v>
      </c>
      <c r="BL8">
        <f t="shared" si="6"/>
        <v>10.177669761247806</v>
      </c>
      <c r="BM8">
        <f t="shared" si="6"/>
        <v>10.184735779815291</v>
      </c>
      <c r="BN8">
        <f t="shared" si="6"/>
        <v>10.191844194494184</v>
      </c>
      <c r="BO8">
        <f t="shared" si="6"/>
        <v>10.19899525966115</v>
      </c>
      <c r="BP8">
        <f t="shared" si="6"/>
        <v>10.206189231219115</v>
      </c>
      <c r="BQ8">
        <f t="shared" si="6"/>
        <v>10.213426366606431</v>
      </c>
      <c r="BR8">
        <f t="shared" si="6"/>
        <v>10.22070692480607</v>
      </c>
      <c r="BS8" s="937">
        <f t="shared" si="6"/>
        <v>10.228031166354905</v>
      </c>
      <c r="BT8">
        <f t="shared" si="6"/>
        <v>10.235399353353035</v>
      </c>
      <c r="BU8">
        <f t="shared" si="6"/>
        <v>10.242811749473153</v>
      </c>
      <c r="BV8">
        <f t="shared" si="6"/>
        <v>10.250268619969992</v>
      </c>
      <c r="BW8">
        <f t="shared" si="6"/>
        <v>10.257770231689811</v>
      </c>
      <c r="BX8">
        <f t="shared" si="6"/>
        <v>10.26531685307995</v>
      </c>
      <c r="BY8">
        <f t="shared" si="6"/>
        <v>10.272908754198431</v>
      </c>
      <c r="BZ8">
        <f t="shared" si="6"/>
        <v>10.280546206723621</v>
      </c>
      <c r="CA8">
        <f t="shared" si="6"/>
        <v>11.288229483963963</v>
      </c>
      <c r="CB8">
        <f t="shared" si="6"/>
        <v>11.295958860867747</v>
      </c>
      <c r="CC8">
        <f t="shared" si="6"/>
        <v>11.303734614032953</v>
      </c>
      <c r="CD8">
        <f t="shared" si="6"/>
        <v>11.311557021717151</v>
      </c>
      <c r="CE8" s="937">
        <f t="shared" si="6"/>
        <v>11.319426363847453</v>
      </c>
      <c r="CF8">
        <f t="shared" si="6"/>
        <v>11.327342922030539</v>
      </c>
      <c r="CG8">
        <f t="shared" si="6"/>
        <v>11.335306979562722</v>
      </c>
      <c r="CH8">
        <f t="shared" si="6"/>
        <v>11.343318821440098</v>
      </c>
      <c r="CI8">
        <f t="shared" si="6"/>
        <v>11.351378734368739</v>
      </c>
      <c r="CJ8">
        <f t="shared" ref="CJ8:ED8" si="7">CJ124</f>
        <v>11.359487006774952</v>
      </c>
      <c r="CK8">
        <f t="shared" si="7"/>
        <v>11.367643928815601</v>
      </c>
      <c r="CL8">
        <f t="shared" si="7"/>
        <v>11.375849792388495</v>
      </c>
      <c r="CM8">
        <f t="shared" si="7"/>
        <v>11.384104891142826</v>
      </c>
      <c r="CN8">
        <f t="shared" si="7"/>
        <v>11.392409520489682</v>
      </c>
      <c r="CO8">
        <f t="shared" si="7"/>
        <v>11.400763977612622</v>
      </c>
      <c r="CP8">
        <f t="shared" si="7"/>
        <v>11.409168561478296</v>
      </c>
      <c r="CQ8" s="937">
        <f t="shared" si="7"/>
        <v>11.417623572847166</v>
      </c>
      <c r="CR8">
        <f t="shared" si="7"/>
        <v>11.42612931428425</v>
      </c>
      <c r="CS8">
        <f t="shared" si="7"/>
        <v>12.434686090169954</v>
      </c>
      <c r="CT8">
        <f t="shared" si="7"/>
        <v>12.443294206710975</v>
      </c>
      <c r="CU8">
        <f t="shared" si="7"/>
        <v>12.451953971951241</v>
      </c>
      <c r="CV8">
        <f t="shared" si="7"/>
        <v>12.460665695782948</v>
      </c>
      <c r="CW8">
        <f t="shared" si="7"/>
        <v>12.469429689957645</v>
      </c>
      <c r="CX8">
        <f t="shared" si="7"/>
        <v>12.478246268097392</v>
      </c>
      <c r="CY8">
        <f t="shared" si="7"/>
        <v>12.487115745705976</v>
      </c>
      <c r="CZ8">
        <f t="shared" si="7"/>
        <v>12.496038440180211</v>
      </c>
      <c r="DA8">
        <f t="shared" si="7"/>
        <v>12.505014670821293</v>
      </c>
      <c r="DB8">
        <f t="shared" si="7"/>
        <v>12.51404475884622</v>
      </c>
      <c r="DC8" s="937">
        <f t="shared" si="7"/>
        <v>12.523129027399298</v>
      </c>
      <c r="DD8">
        <f t="shared" si="7"/>
        <v>12.532267801563693</v>
      </c>
      <c r="DE8">
        <f t="shared" si="7"/>
        <v>12.541461408373076</v>
      </c>
      <c r="DF8">
        <f t="shared" si="7"/>
        <v>12.550710176823314</v>
      </c>
      <c r="DG8">
        <f t="shared" si="7"/>
        <v>12.560014437884254</v>
      </c>
      <c r="DH8">
        <f t="shared" si="7"/>
        <v>12.569374524511559</v>
      </c>
      <c r="DI8">
        <f t="shared" si="7"/>
        <v>13.57879077165863</v>
      </c>
      <c r="DJ8">
        <f t="shared" si="7"/>
        <v>13.588263516288581</v>
      </c>
      <c r="DK8">
        <f t="shared" si="7"/>
        <v>13.597793097386312</v>
      </c>
      <c r="DL8">
        <f t="shared" si="7"/>
        <v>13.607379855970631</v>
      </c>
      <c r="DM8">
        <f t="shared" si="7"/>
        <v>13.617024135106455</v>
      </c>
      <c r="DN8">
        <f t="shared" si="7"/>
        <v>13.626726279917094</v>
      </c>
      <c r="DO8" s="937">
        <f t="shared" si="7"/>
        <v>13.636486637596596</v>
      </c>
      <c r="DP8">
        <f t="shared" si="7"/>
        <v>13.646305557422174</v>
      </c>
      <c r="DQ8">
        <f t="shared" si="7"/>
        <v>13.656183390766708</v>
      </c>
      <c r="DR8">
        <f t="shared" si="7"/>
        <v>13.666120491111307</v>
      </c>
      <c r="DS8">
        <f t="shared" si="7"/>
        <v>13.676117214057976</v>
      </c>
      <c r="DT8">
        <f t="shared" si="7"/>
        <v>13.686173917342323</v>
      </c>
      <c r="DU8">
        <f t="shared" si="7"/>
        <v>13.696290960846378</v>
      </c>
      <c r="DV8">
        <f t="shared" si="7"/>
        <v>13.706468706611457</v>
      </c>
      <c r="DW8">
        <f t="shared" si="7"/>
        <v>14.716707518851125</v>
      </c>
      <c r="DX8">
        <f t="shared" si="7"/>
        <v>14.727007763964231</v>
      </c>
      <c r="DY8">
        <f t="shared" si="7"/>
        <v>14.737369810548017</v>
      </c>
      <c r="DZ8">
        <f t="shared" si="7"/>
        <v>14.747794029411304</v>
      </c>
      <c r="EA8" s="937">
        <f t="shared" si="7"/>
        <v>14.758280793587772</v>
      </c>
      <c r="EB8">
        <f t="shared" si="7"/>
        <v>14.768830478349299</v>
      </c>
      <c r="EC8">
        <f t="shared" si="7"/>
        <v>14.779443461219396</v>
      </c>
      <c r="ED8">
        <f t="shared" si="7"/>
        <v>14.790120121986712</v>
      </c>
    </row>
    <row r="9" spans="2:134" s="43" customFormat="1" hidden="1" outlineLevel="1" x14ac:dyDescent="0.25">
      <c r="N9" s="208" t="s">
        <v>188</v>
      </c>
      <c r="V9" s="43">
        <f>SUM(V34,V48)</f>
        <v>10</v>
      </c>
      <c r="W9">
        <f>SUM(W34,W48)</f>
        <v>7</v>
      </c>
      <c r="X9">
        <f t="shared" ref="X9:CI9" si="8">SUM(X34,X48)</f>
        <v>7</v>
      </c>
      <c r="Y9">
        <f t="shared" si="8"/>
        <v>7</v>
      </c>
      <c r="Z9">
        <f t="shared" si="8"/>
        <v>7</v>
      </c>
      <c r="AA9">
        <f t="shared" si="8"/>
        <v>7</v>
      </c>
      <c r="AB9">
        <f t="shared" si="8"/>
        <v>7</v>
      </c>
      <c r="AC9">
        <f t="shared" si="8"/>
        <v>8</v>
      </c>
      <c r="AD9">
        <f t="shared" si="8"/>
        <v>8</v>
      </c>
      <c r="AE9">
        <f t="shared" si="8"/>
        <v>8</v>
      </c>
      <c r="AF9">
        <f t="shared" si="8"/>
        <v>8</v>
      </c>
      <c r="AG9">
        <f t="shared" si="8"/>
        <v>8</v>
      </c>
      <c r="AH9">
        <f t="shared" si="8"/>
        <v>8</v>
      </c>
      <c r="AI9" s="937">
        <f t="shared" si="8"/>
        <v>8</v>
      </c>
      <c r="AJ9">
        <f t="shared" si="8"/>
        <v>8</v>
      </c>
      <c r="AK9">
        <f t="shared" si="8"/>
        <v>8</v>
      </c>
      <c r="AL9">
        <f t="shared" si="8"/>
        <v>8</v>
      </c>
      <c r="AM9">
        <f t="shared" si="8"/>
        <v>8</v>
      </c>
      <c r="AN9">
        <f t="shared" si="8"/>
        <v>8</v>
      </c>
      <c r="AO9">
        <f t="shared" si="8"/>
        <v>8</v>
      </c>
      <c r="AP9">
        <f t="shared" si="8"/>
        <v>8</v>
      </c>
      <c r="AQ9">
        <f t="shared" si="8"/>
        <v>8</v>
      </c>
      <c r="AR9">
        <f t="shared" si="8"/>
        <v>8</v>
      </c>
      <c r="AS9">
        <f t="shared" si="8"/>
        <v>8</v>
      </c>
      <c r="AT9">
        <f t="shared" si="8"/>
        <v>8</v>
      </c>
      <c r="AU9" s="937">
        <f t="shared" si="8"/>
        <v>8</v>
      </c>
      <c r="AV9">
        <f t="shared" si="8"/>
        <v>8</v>
      </c>
      <c r="AW9">
        <f t="shared" si="8"/>
        <v>8</v>
      </c>
      <c r="AX9">
        <f t="shared" si="8"/>
        <v>8</v>
      </c>
      <c r="AY9">
        <f t="shared" si="8"/>
        <v>8</v>
      </c>
      <c r="AZ9">
        <f t="shared" si="8"/>
        <v>9</v>
      </c>
      <c r="BA9">
        <f t="shared" si="8"/>
        <v>9</v>
      </c>
      <c r="BB9">
        <f t="shared" si="8"/>
        <v>9</v>
      </c>
      <c r="BC9">
        <f t="shared" si="8"/>
        <v>9</v>
      </c>
      <c r="BD9">
        <f t="shared" si="8"/>
        <v>9</v>
      </c>
      <c r="BE9">
        <f t="shared" si="8"/>
        <v>9</v>
      </c>
      <c r="BF9">
        <f t="shared" si="8"/>
        <v>10</v>
      </c>
      <c r="BG9" s="937">
        <f t="shared" si="8"/>
        <v>10</v>
      </c>
      <c r="BH9">
        <f t="shared" si="8"/>
        <v>10</v>
      </c>
      <c r="BI9">
        <f t="shared" si="8"/>
        <v>10</v>
      </c>
      <c r="BJ9">
        <f t="shared" si="8"/>
        <v>10</v>
      </c>
      <c r="BK9">
        <f t="shared" si="8"/>
        <v>10</v>
      </c>
      <c r="BL9">
        <f t="shared" si="8"/>
        <v>10</v>
      </c>
      <c r="BM9">
        <f t="shared" si="8"/>
        <v>10</v>
      </c>
      <c r="BN9">
        <f t="shared" si="8"/>
        <v>10</v>
      </c>
      <c r="BO9">
        <f t="shared" si="8"/>
        <v>10</v>
      </c>
      <c r="BP9">
        <f t="shared" si="8"/>
        <v>10</v>
      </c>
      <c r="BQ9">
        <f t="shared" si="8"/>
        <v>10</v>
      </c>
      <c r="BR9">
        <f t="shared" si="8"/>
        <v>10</v>
      </c>
      <c r="BS9" s="937">
        <f t="shared" si="8"/>
        <v>11</v>
      </c>
      <c r="BT9">
        <f t="shared" si="8"/>
        <v>11</v>
      </c>
      <c r="BU9">
        <f t="shared" si="8"/>
        <v>11</v>
      </c>
      <c r="BV9">
        <f t="shared" si="8"/>
        <v>11</v>
      </c>
      <c r="BW9">
        <f t="shared" si="8"/>
        <v>11</v>
      </c>
      <c r="BX9">
        <f t="shared" si="8"/>
        <v>11</v>
      </c>
      <c r="BY9">
        <f t="shared" si="8"/>
        <v>11</v>
      </c>
      <c r="BZ9">
        <f t="shared" si="8"/>
        <v>11</v>
      </c>
      <c r="CA9">
        <f t="shared" si="8"/>
        <v>11</v>
      </c>
      <c r="CB9">
        <f t="shared" si="8"/>
        <v>11</v>
      </c>
      <c r="CC9">
        <f t="shared" si="8"/>
        <v>11</v>
      </c>
      <c r="CD9">
        <f t="shared" si="8"/>
        <v>11</v>
      </c>
      <c r="CE9" s="937">
        <f t="shared" si="8"/>
        <v>12</v>
      </c>
      <c r="CF9">
        <f t="shared" si="8"/>
        <v>12</v>
      </c>
      <c r="CG9">
        <f t="shared" si="8"/>
        <v>13</v>
      </c>
      <c r="CH9">
        <f t="shared" si="8"/>
        <v>13</v>
      </c>
      <c r="CI9">
        <f t="shared" si="8"/>
        <v>13</v>
      </c>
      <c r="CJ9">
        <f t="shared" ref="CJ9:ED9" si="9">SUM(CJ34,CJ48)</f>
        <v>13</v>
      </c>
      <c r="CK9">
        <f t="shared" si="9"/>
        <v>13</v>
      </c>
      <c r="CL9">
        <f t="shared" si="9"/>
        <v>13</v>
      </c>
      <c r="CM9">
        <f t="shared" si="9"/>
        <v>13</v>
      </c>
      <c r="CN9">
        <f t="shared" si="9"/>
        <v>13</v>
      </c>
      <c r="CO9">
        <f t="shared" si="9"/>
        <v>13</v>
      </c>
      <c r="CP9">
        <f t="shared" si="9"/>
        <v>13</v>
      </c>
      <c r="CQ9" s="937">
        <f t="shared" si="9"/>
        <v>13</v>
      </c>
      <c r="CR9">
        <f t="shared" si="9"/>
        <v>13</v>
      </c>
      <c r="CS9">
        <f t="shared" si="9"/>
        <v>13</v>
      </c>
      <c r="CT9">
        <f t="shared" si="9"/>
        <v>14</v>
      </c>
      <c r="CU9">
        <f t="shared" si="9"/>
        <v>14</v>
      </c>
      <c r="CV9">
        <f t="shared" si="9"/>
        <v>14</v>
      </c>
      <c r="CW9">
        <f t="shared" si="9"/>
        <v>14</v>
      </c>
      <c r="CX9">
        <f t="shared" si="9"/>
        <v>14</v>
      </c>
      <c r="CY9">
        <f t="shared" si="9"/>
        <v>14</v>
      </c>
      <c r="CZ9">
        <f t="shared" si="9"/>
        <v>15</v>
      </c>
      <c r="DA9">
        <f t="shared" si="9"/>
        <v>15</v>
      </c>
      <c r="DB9">
        <f t="shared" si="9"/>
        <v>15</v>
      </c>
      <c r="DC9" s="937">
        <f t="shared" si="9"/>
        <v>15</v>
      </c>
      <c r="DD9">
        <f t="shared" si="9"/>
        <v>15</v>
      </c>
      <c r="DE9">
        <f t="shared" si="9"/>
        <v>15</v>
      </c>
      <c r="DF9">
        <f t="shared" si="9"/>
        <v>15</v>
      </c>
      <c r="DG9">
        <f t="shared" si="9"/>
        <v>15</v>
      </c>
      <c r="DH9">
        <f t="shared" si="9"/>
        <v>15</v>
      </c>
      <c r="DI9">
        <f t="shared" si="9"/>
        <v>15</v>
      </c>
      <c r="DJ9">
        <f t="shared" si="9"/>
        <v>15</v>
      </c>
      <c r="DK9">
        <f t="shared" si="9"/>
        <v>15</v>
      </c>
      <c r="DL9">
        <f t="shared" si="9"/>
        <v>15</v>
      </c>
      <c r="DM9">
        <f t="shared" si="9"/>
        <v>15</v>
      </c>
      <c r="DN9">
        <f t="shared" si="9"/>
        <v>15</v>
      </c>
      <c r="DO9" s="937">
        <f t="shared" si="9"/>
        <v>15</v>
      </c>
      <c r="DP9">
        <f t="shared" si="9"/>
        <v>16</v>
      </c>
      <c r="DQ9">
        <f t="shared" si="9"/>
        <v>16</v>
      </c>
      <c r="DR9">
        <f t="shared" si="9"/>
        <v>16</v>
      </c>
      <c r="DS9">
        <f t="shared" si="9"/>
        <v>16</v>
      </c>
      <c r="DT9">
        <f t="shared" si="9"/>
        <v>16</v>
      </c>
      <c r="DU9">
        <f t="shared" si="9"/>
        <v>16</v>
      </c>
      <c r="DV9">
        <f t="shared" si="9"/>
        <v>16</v>
      </c>
      <c r="DW9">
        <f t="shared" si="9"/>
        <v>16</v>
      </c>
      <c r="DX9">
        <f t="shared" si="9"/>
        <v>16</v>
      </c>
      <c r="DY9">
        <f t="shared" si="9"/>
        <v>16</v>
      </c>
      <c r="DZ9">
        <f t="shared" si="9"/>
        <v>17</v>
      </c>
      <c r="EA9" s="937">
        <f t="shared" si="9"/>
        <v>17</v>
      </c>
      <c r="EB9">
        <f t="shared" si="9"/>
        <v>17</v>
      </c>
      <c r="EC9">
        <f t="shared" si="9"/>
        <v>17</v>
      </c>
      <c r="ED9">
        <f t="shared" si="9"/>
        <v>17</v>
      </c>
    </row>
    <row r="10" spans="2:134" s="43" customFormat="1" hidden="1" outlineLevel="1" x14ac:dyDescent="0.25">
      <c r="N10" s="208" t="s">
        <v>189</v>
      </c>
      <c r="V10" s="43">
        <f>V9*$A$78</f>
        <v>825</v>
      </c>
      <c r="W10"/>
      <c r="X10"/>
      <c r="Y10"/>
      <c r="Z10"/>
      <c r="AA10"/>
      <c r="AB10"/>
      <c r="AC10"/>
      <c r="AD10"/>
      <c r="AE10"/>
      <c r="AF10"/>
      <c r="AG10"/>
      <c r="AH10"/>
      <c r="AI10" s="1005">
        <f>AI9*$A$78</f>
        <v>660</v>
      </c>
      <c r="AJ10"/>
      <c r="AK10"/>
      <c r="AL10"/>
      <c r="AM10"/>
      <c r="AN10"/>
      <c r="AO10"/>
      <c r="AP10"/>
      <c r="AQ10"/>
      <c r="AR10"/>
      <c r="AS10"/>
      <c r="AT10"/>
      <c r="AU10" s="1005">
        <f>AU9*$A$78</f>
        <v>660</v>
      </c>
      <c r="AV10"/>
      <c r="AW10"/>
      <c r="AX10"/>
      <c r="AY10"/>
      <c r="AZ10"/>
      <c r="BA10"/>
      <c r="BB10"/>
      <c r="BC10"/>
      <c r="BD10"/>
      <c r="BE10"/>
      <c r="BF10"/>
      <c r="BG10" s="1005">
        <f>BG9*$A$78</f>
        <v>825</v>
      </c>
      <c r="BH10"/>
      <c r="BI10"/>
      <c r="BJ10"/>
      <c r="BK10"/>
      <c r="BL10"/>
      <c r="BM10"/>
      <c r="BN10"/>
      <c r="BO10"/>
      <c r="BP10"/>
      <c r="BQ10"/>
      <c r="BR10"/>
      <c r="BS10" s="1005">
        <f>BS9*$A$78</f>
        <v>907.5</v>
      </c>
      <c r="BT10"/>
      <c r="BU10"/>
      <c r="BV10"/>
      <c r="BW10"/>
      <c r="BX10"/>
      <c r="BY10"/>
      <c r="BZ10"/>
      <c r="CA10"/>
      <c r="CB10"/>
      <c r="CC10"/>
      <c r="CD10"/>
      <c r="CE10" s="1005">
        <f>CE9*$A$78</f>
        <v>990</v>
      </c>
      <c r="CF10"/>
      <c r="CG10"/>
      <c r="CH10"/>
      <c r="CI10"/>
      <c r="CJ10"/>
      <c r="CK10"/>
      <c r="CL10"/>
      <c r="CM10"/>
      <c r="CN10"/>
      <c r="CO10"/>
      <c r="CP10"/>
      <c r="CQ10" s="1005">
        <f>CQ9*$A$78</f>
        <v>1072.5</v>
      </c>
      <c r="CR10"/>
      <c r="CS10"/>
      <c r="CT10"/>
      <c r="CU10"/>
      <c r="CV10"/>
      <c r="CW10"/>
      <c r="CX10"/>
      <c r="CY10"/>
      <c r="CZ10"/>
      <c r="DA10"/>
      <c r="DB10"/>
      <c r="DC10" s="1005">
        <f>DC9*$A$78</f>
        <v>1237.5</v>
      </c>
      <c r="DD10"/>
      <c r="DE10"/>
      <c r="DF10"/>
      <c r="DG10"/>
      <c r="DH10"/>
      <c r="DI10"/>
      <c r="DJ10"/>
      <c r="DK10"/>
      <c r="DL10"/>
      <c r="DM10"/>
      <c r="DN10"/>
      <c r="DO10" s="1005">
        <f>DO9*$A$78</f>
        <v>1237.5</v>
      </c>
      <c r="DP10"/>
      <c r="DQ10"/>
      <c r="DR10"/>
      <c r="DS10"/>
      <c r="DT10"/>
      <c r="DU10"/>
      <c r="DV10"/>
      <c r="DW10"/>
      <c r="DX10"/>
      <c r="DY10"/>
      <c r="DZ10"/>
      <c r="EA10" s="1005">
        <f>EA9*$A$78</f>
        <v>1402.5</v>
      </c>
      <c r="EB10"/>
      <c r="EC10"/>
      <c r="ED10"/>
    </row>
    <row r="11" spans="2:134" s="1323" customFormat="1" hidden="1" outlineLevel="1" x14ac:dyDescent="0.25">
      <c r="N11" s="1324" t="s">
        <v>190</v>
      </c>
      <c r="V11" s="1323">
        <f>V64*$A$79</f>
        <v>717</v>
      </c>
      <c r="W11" s="1325"/>
      <c r="X11" s="1325"/>
      <c r="Y11" s="1325"/>
      <c r="Z11" s="1325"/>
      <c r="AA11" s="1325"/>
      <c r="AB11" s="1325"/>
      <c r="AC11" s="1325"/>
      <c r="AD11" s="1325"/>
      <c r="AE11" s="1325"/>
      <c r="AF11" s="1325"/>
      <c r="AG11" s="1325"/>
      <c r="AH11" s="1325"/>
      <c r="AI11" s="1326">
        <f>AI64*$A$79</f>
        <v>478</v>
      </c>
      <c r="AJ11" s="1325"/>
      <c r="AK11" s="1325"/>
      <c r="AL11" s="1325"/>
      <c r="AM11" s="1325"/>
      <c r="AN11" s="1325"/>
      <c r="AO11" s="1325"/>
      <c r="AP11" s="1325"/>
      <c r="AQ11" s="1325"/>
      <c r="AR11" s="1325"/>
      <c r="AS11" s="1325"/>
      <c r="AT11" s="1325"/>
      <c r="AU11" s="1326">
        <f>AU64*$A$79</f>
        <v>478</v>
      </c>
      <c r="AV11" s="1325"/>
      <c r="AW11" s="1325"/>
      <c r="AX11" s="1325"/>
      <c r="AY11" s="1325"/>
      <c r="AZ11" s="1325"/>
      <c r="BA11" s="1325"/>
      <c r="BB11" s="1325"/>
      <c r="BC11" s="1325"/>
      <c r="BD11" s="1325"/>
      <c r="BE11" s="1325"/>
      <c r="BF11" s="1325"/>
      <c r="BG11" s="1326">
        <f>BG64*$A$79</f>
        <v>717</v>
      </c>
      <c r="BH11" s="1325"/>
      <c r="BI11" s="1325"/>
      <c r="BJ11" s="1325"/>
      <c r="BK11" s="1325"/>
      <c r="BL11" s="1325"/>
      <c r="BM11" s="1325"/>
      <c r="BN11" s="1325"/>
      <c r="BO11" s="1325"/>
      <c r="BP11" s="1325"/>
      <c r="BQ11" s="1325"/>
      <c r="BR11" s="1325"/>
      <c r="BS11" s="1326">
        <f>BS64*$A$79</f>
        <v>717</v>
      </c>
      <c r="BT11" s="1325"/>
      <c r="BU11" s="1325"/>
      <c r="BV11" s="1325"/>
      <c r="BW11" s="1325"/>
      <c r="BX11" s="1325"/>
      <c r="BY11" s="1325"/>
      <c r="BZ11" s="1325"/>
      <c r="CA11" s="1325"/>
      <c r="CB11" s="1325"/>
      <c r="CC11" s="1325"/>
      <c r="CD11" s="1325"/>
      <c r="CE11" s="1326">
        <f>CE64*$A$79</f>
        <v>717</v>
      </c>
      <c r="CF11" s="1325"/>
      <c r="CG11" s="1325"/>
      <c r="CH11" s="1325"/>
      <c r="CI11" s="1325"/>
      <c r="CJ11" s="1325"/>
      <c r="CK11" s="1325"/>
      <c r="CL11" s="1325"/>
      <c r="CM11" s="1325"/>
      <c r="CN11" s="1325"/>
      <c r="CO11" s="1325"/>
      <c r="CP11" s="1325"/>
      <c r="CQ11" s="1326">
        <f>CQ64*$A$79</f>
        <v>717</v>
      </c>
      <c r="CR11" s="1325"/>
      <c r="CS11" s="1325"/>
      <c r="CT11" s="1325"/>
      <c r="CU11" s="1325"/>
      <c r="CV11" s="1325"/>
      <c r="CW11" s="1325"/>
      <c r="CX11" s="1325"/>
      <c r="CY11" s="1325"/>
      <c r="CZ11" s="1325"/>
      <c r="DA11" s="1325"/>
      <c r="DB11" s="1325"/>
      <c r="DC11" s="1326">
        <f>DC64*$A$79</f>
        <v>956</v>
      </c>
      <c r="DD11" s="1325"/>
      <c r="DE11" s="1325"/>
      <c r="DF11" s="1325"/>
      <c r="DG11" s="1325"/>
      <c r="DH11" s="1325"/>
      <c r="DI11" s="1325"/>
      <c r="DJ11" s="1325"/>
      <c r="DK11" s="1325"/>
      <c r="DL11" s="1325"/>
      <c r="DM11" s="1325"/>
      <c r="DN11" s="1325"/>
      <c r="DO11" s="1326">
        <f>DO64*$A$79</f>
        <v>956</v>
      </c>
      <c r="DP11" s="1325"/>
      <c r="DQ11" s="1325"/>
      <c r="DR11" s="1325"/>
      <c r="DS11" s="1325"/>
      <c r="DT11" s="1325"/>
      <c r="DU11" s="1325"/>
      <c r="DV11" s="1325"/>
      <c r="DW11" s="1325"/>
      <c r="DX11" s="1325"/>
      <c r="DY11" s="1325"/>
      <c r="DZ11" s="1325"/>
      <c r="EA11" s="1326">
        <f>EA64*$A$79</f>
        <v>1195</v>
      </c>
      <c r="EB11" s="1325"/>
      <c r="EC11" s="1325"/>
      <c r="ED11" s="1325"/>
    </row>
    <row r="12" spans="2:134" s="43" customFormat="1" hidden="1" outlineLevel="1" x14ac:dyDescent="0.25">
      <c r="N12" s="208" t="s">
        <v>191</v>
      </c>
      <c r="V12" s="43">
        <f>SUM(V66,V70)*$A$80</f>
        <v>640</v>
      </c>
      <c r="W12"/>
      <c r="X12"/>
      <c r="Y12"/>
      <c r="Z12"/>
      <c r="AA12"/>
      <c r="AB12"/>
      <c r="AC12"/>
      <c r="AD12"/>
      <c r="AE12"/>
      <c r="AF12"/>
      <c r="AG12"/>
      <c r="AH12"/>
      <c r="AI12" s="1005">
        <f>SUM(AI66,AI70)*$A$80</f>
        <v>480</v>
      </c>
      <c r="AJ12"/>
      <c r="AK12"/>
      <c r="AL12"/>
      <c r="AM12"/>
      <c r="AN12"/>
      <c r="AO12"/>
      <c r="AP12"/>
      <c r="AQ12"/>
      <c r="AR12"/>
      <c r="AS12"/>
      <c r="AT12"/>
      <c r="AU12" s="1005">
        <f>SUM(AU66,AU70)*$A$80</f>
        <v>560</v>
      </c>
      <c r="AV12"/>
      <c r="AW12"/>
      <c r="AX12"/>
      <c r="AY12"/>
      <c r="AZ12"/>
      <c r="BA12"/>
      <c r="BB12"/>
      <c r="BC12"/>
      <c r="BD12"/>
      <c r="BE12"/>
      <c r="BF12"/>
      <c r="BG12" s="1005">
        <f>SUM(BG66,BG70)*$A$80</f>
        <v>560</v>
      </c>
      <c r="BH12"/>
      <c r="BI12"/>
      <c r="BJ12"/>
      <c r="BK12"/>
      <c r="BL12"/>
      <c r="BM12"/>
      <c r="BN12"/>
      <c r="BO12"/>
      <c r="BP12"/>
      <c r="BQ12"/>
      <c r="BR12"/>
      <c r="BS12" s="1005">
        <f>SUM(BS66,BS70)*$A$80</f>
        <v>640</v>
      </c>
      <c r="BT12"/>
      <c r="BU12"/>
      <c r="BV12"/>
      <c r="BW12"/>
      <c r="BX12"/>
      <c r="BY12"/>
      <c r="BZ12"/>
      <c r="CA12"/>
      <c r="CB12"/>
      <c r="CC12"/>
      <c r="CD12"/>
      <c r="CE12" s="1005">
        <f>SUM(CE66,CE70)*$A$80</f>
        <v>800</v>
      </c>
      <c r="CF12"/>
      <c r="CG12"/>
      <c r="CH12"/>
      <c r="CI12"/>
      <c r="CJ12"/>
      <c r="CK12"/>
      <c r="CL12"/>
      <c r="CM12"/>
      <c r="CN12"/>
      <c r="CO12"/>
      <c r="CP12"/>
      <c r="CQ12" s="1005">
        <f>SUM(CQ66,CQ70)*$A$80</f>
        <v>880</v>
      </c>
      <c r="CR12"/>
      <c r="CS12"/>
      <c r="CT12"/>
      <c r="CU12"/>
      <c r="CV12"/>
      <c r="CW12"/>
      <c r="CX12"/>
      <c r="CY12"/>
      <c r="CZ12"/>
      <c r="DA12"/>
      <c r="DB12"/>
      <c r="DC12" s="1005">
        <f>SUM(DC66,DC70)*$A$80</f>
        <v>960</v>
      </c>
      <c r="DD12"/>
      <c r="DE12"/>
      <c r="DF12"/>
      <c r="DG12"/>
      <c r="DH12"/>
      <c r="DI12"/>
      <c r="DJ12"/>
      <c r="DK12"/>
      <c r="DL12"/>
      <c r="DM12"/>
      <c r="DN12"/>
      <c r="DO12" s="1005">
        <f>SUM(DO66,DO70)*$A$80</f>
        <v>1040</v>
      </c>
      <c r="DP12"/>
      <c r="DQ12"/>
      <c r="DR12"/>
      <c r="DS12"/>
      <c r="DT12"/>
      <c r="DU12"/>
      <c r="DV12"/>
      <c r="DW12"/>
      <c r="DX12"/>
      <c r="DY12"/>
      <c r="DZ12"/>
      <c r="EA12" s="1005">
        <f>SUM(EA66,EA70)*$A$80</f>
        <v>1120</v>
      </c>
      <c r="EB12"/>
      <c r="EC12"/>
      <c r="ED12"/>
    </row>
    <row r="13" spans="2:134" s="1323" customFormat="1" hidden="1" outlineLevel="1" x14ac:dyDescent="0.25">
      <c r="N13" s="1324" t="s">
        <v>192</v>
      </c>
      <c r="V13" s="1323">
        <f>SUM(V10:V12)</f>
        <v>2182</v>
      </c>
      <c r="W13" s="1325"/>
      <c r="X13" s="1325"/>
      <c r="Y13" s="1325"/>
      <c r="Z13" s="1325"/>
      <c r="AA13" s="1325"/>
      <c r="AB13" s="1325"/>
      <c r="AC13" s="1325"/>
      <c r="AD13" s="1325"/>
      <c r="AE13" s="1325"/>
      <c r="AF13" s="1325"/>
      <c r="AG13" s="1325"/>
      <c r="AH13" s="1325"/>
      <c r="AI13" s="1326">
        <f>SUM(AI10:AI12)</f>
        <v>1618</v>
      </c>
      <c r="AJ13" s="1325"/>
      <c r="AK13" s="1325"/>
      <c r="AL13" s="1325"/>
      <c r="AM13" s="1325"/>
      <c r="AN13" s="1325"/>
      <c r="AO13" s="1325"/>
      <c r="AP13" s="1325"/>
      <c r="AQ13" s="1325"/>
      <c r="AR13" s="1325"/>
      <c r="AS13" s="1325"/>
      <c r="AT13" s="1325"/>
      <c r="AU13" s="1326">
        <f>SUM(AU10:AU12)</f>
        <v>1698</v>
      </c>
      <c r="AV13" s="1325"/>
      <c r="AW13" s="1325"/>
      <c r="AX13" s="1325"/>
      <c r="AY13" s="1325"/>
      <c r="AZ13" s="1325"/>
      <c r="BA13" s="1325"/>
      <c r="BB13" s="1325"/>
      <c r="BC13" s="1325"/>
      <c r="BD13" s="1325"/>
      <c r="BE13" s="1325"/>
      <c r="BF13" s="1325"/>
      <c r="BG13" s="1326">
        <f>SUM(BG10:BG12)</f>
        <v>2102</v>
      </c>
      <c r="BH13" s="1325"/>
      <c r="BI13" s="1325"/>
      <c r="BJ13" s="1325"/>
      <c r="BK13" s="1325"/>
      <c r="BL13" s="1325"/>
      <c r="BM13" s="1325"/>
      <c r="BN13" s="1325"/>
      <c r="BO13" s="1325"/>
      <c r="BP13" s="1325"/>
      <c r="BQ13" s="1325"/>
      <c r="BR13" s="1325"/>
      <c r="BS13" s="1326">
        <f>SUM(BS10:BS12)</f>
        <v>2264.5</v>
      </c>
      <c r="BT13" s="1325"/>
      <c r="BU13" s="1325"/>
      <c r="BV13" s="1325"/>
      <c r="BW13" s="1325"/>
      <c r="BX13" s="1325"/>
      <c r="BY13" s="1325"/>
      <c r="BZ13" s="1325"/>
      <c r="CA13" s="1325"/>
      <c r="CB13" s="1325"/>
      <c r="CC13" s="1325"/>
      <c r="CD13" s="1325"/>
      <c r="CE13" s="1326">
        <f>SUM(CE10:CE12)</f>
        <v>2507</v>
      </c>
      <c r="CF13" s="1325"/>
      <c r="CG13" s="1325"/>
      <c r="CH13" s="1325"/>
      <c r="CI13" s="1325"/>
      <c r="CJ13" s="1325"/>
      <c r="CK13" s="1325"/>
      <c r="CL13" s="1325"/>
      <c r="CM13" s="1325"/>
      <c r="CN13" s="1325"/>
      <c r="CO13" s="1325"/>
      <c r="CP13" s="1325"/>
      <c r="CQ13" s="1326">
        <f>SUM(CQ10:CQ12)</f>
        <v>2669.5</v>
      </c>
      <c r="CR13" s="1325"/>
      <c r="CS13" s="1325"/>
      <c r="CT13" s="1325"/>
      <c r="CU13" s="1325"/>
      <c r="CV13" s="1325"/>
      <c r="CW13" s="1325"/>
      <c r="CX13" s="1325"/>
      <c r="CY13" s="1325"/>
      <c r="CZ13" s="1325"/>
      <c r="DA13" s="1325"/>
      <c r="DB13" s="1325"/>
      <c r="DC13" s="1326">
        <f>SUM(DC10:DC12)</f>
        <v>3153.5</v>
      </c>
      <c r="DD13" s="1325"/>
      <c r="DE13" s="1325"/>
      <c r="DF13" s="1325"/>
      <c r="DG13" s="1325"/>
      <c r="DH13" s="1325"/>
      <c r="DI13" s="1325"/>
      <c r="DJ13" s="1325"/>
      <c r="DK13" s="1325"/>
      <c r="DL13" s="1325"/>
      <c r="DM13" s="1325"/>
      <c r="DN13" s="1325"/>
      <c r="DO13" s="1326">
        <f>SUM(DO10:DO12)</f>
        <v>3233.5</v>
      </c>
      <c r="DP13" s="1325"/>
      <c r="DQ13" s="1325"/>
      <c r="DR13" s="1325"/>
      <c r="DS13" s="1325"/>
      <c r="DT13" s="1325"/>
      <c r="DU13" s="1325"/>
      <c r="DV13" s="1325"/>
      <c r="DW13" s="1325"/>
      <c r="DX13" s="1325"/>
      <c r="DY13" s="1325"/>
      <c r="DZ13" s="1325"/>
      <c r="EA13" s="1326">
        <f>SUM(EA10:EA12)</f>
        <v>3717.5</v>
      </c>
      <c r="EB13" s="1325"/>
      <c r="EC13" s="1325"/>
      <c r="ED13" s="1325"/>
    </row>
    <row r="14" spans="2:134" s="43" customFormat="1" hidden="1" outlineLevel="1" x14ac:dyDescent="0.25">
      <c r="N14" s="208" t="s">
        <v>193</v>
      </c>
      <c r="V14" s="43">
        <f>V100</f>
        <v>8</v>
      </c>
      <c r="W14"/>
      <c r="X14"/>
      <c r="Y14"/>
      <c r="Z14"/>
      <c r="AA14"/>
      <c r="AB14"/>
      <c r="AC14"/>
      <c r="AD14"/>
      <c r="AE14"/>
      <c r="AF14"/>
      <c r="AG14"/>
      <c r="AH14"/>
      <c r="AI14" s="1005">
        <f>AI100</f>
        <v>0</v>
      </c>
      <c r="AJ14"/>
      <c r="AK14"/>
      <c r="AL14"/>
      <c r="AM14"/>
      <c r="AN14"/>
      <c r="AO14"/>
      <c r="AP14"/>
      <c r="AQ14"/>
      <c r="AR14"/>
      <c r="AS14"/>
      <c r="AT14"/>
      <c r="AU14" s="1005">
        <f>AU100</f>
        <v>0</v>
      </c>
      <c r="AV14"/>
      <c r="AW14"/>
      <c r="AX14"/>
      <c r="AY14"/>
      <c r="AZ14"/>
      <c r="BA14"/>
      <c r="BB14"/>
      <c r="BC14"/>
      <c r="BD14"/>
      <c r="BE14"/>
      <c r="BF14"/>
      <c r="BG14" s="1005">
        <f>BG100</f>
        <v>0</v>
      </c>
      <c r="BH14"/>
      <c r="BI14"/>
      <c r="BJ14"/>
      <c r="BK14"/>
      <c r="BL14"/>
      <c r="BM14"/>
      <c r="BN14"/>
      <c r="BO14"/>
      <c r="BP14"/>
      <c r="BQ14"/>
      <c r="BR14"/>
      <c r="BS14" s="1005">
        <f>BS100</f>
        <v>0</v>
      </c>
      <c r="BT14"/>
      <c r="BU14"/>
      <c r="BV14"/>
      <c r="BW14"/>
      <c r="BX14"/>
      <c r="BY14"/>
      <c r="BZ14"/>
      <c r="CA14"/>
      <c r="CB14"/>
      <c r="CC14"/>
      <c r="CD14"/>
      <c r="CE14" s="1005">
        <f>CE100</f>
        <v>0</v>
      </c>
      <c r="CF14"/>
      <c r="CG14"/>
      <c r="CH14"/>
      <c r="CI14"/>
      <c r="CJ14"/>
      <c r="CK14"/>
      <c r="CL14"/>
      <c r="CM14"/>
      <c r="CN14"/>
      <c r="CO14"/>
      <c r="CP14"/>
      <c r="CQ14" s="1005">
        <f>CQ100</f>
        <v>0</v>
      </c>
      <c r="CR14"/>
      <c r="CS14"/>
      <c r="CT14"/>
      <c r="CU14"/>
      <c r="CV14"/>
      <c r="CW14"/>
      <c r="CX14"/>
      <c r="CY14"/>
      <c r="CZ14"/>
      <c r="DA14"/>
      <c r="DB14"/>
      <c r="DC14" s="1005">
        <f>DC100</f>
        <v>0</v>
      </c>
      <c r="DD14"/>
      <c r="DE14"/>
      <c r="DF14"/>
      <c r="DG14"/>
      <c r="DH14"/>
      <c r="DI14"/>
      <c r="DJ14"/>
      <c r="DK14"/>
      <c r="DL14"/>
      <c r="DM14"/>
      <c r="DN14"/>
      <c r="DO14" s="1005">
        <f>DO100</f>
        <v>0</v>
      </c>
      <c r="DP14"/>
      <c r="DQ14"/>
      <c r="DR14"/>
      <c r="DS14"/>
      <c r="DT14"/>
      <c r="DU14"/>
      <c r="DV14"/>
      <c r="DW14"/>
      <c r="DX14"/>
      <c r="DY14"/>
      <c r="DZ14"/>
      <c r="EA14" s="1005">
        <f>EA100</f>
        <v>0</v>
      </c>
      <c r="EB14"/>
      <c r="EC14"/>
      <c r="ED14"/>
    </row>
    <row r="15" spans="2:134" s="1323" customFormat="1" hidden="1" outlineLevel="1" x14ac:dyDescent="0.25">
      <c r="N15" s="1324" t="s">
        <v>194</v>
      </c>
      <c r="V15" s="1323">
        <f>V14*$A$78</f>
        <v>660</v>
      </c>
      <c r="W15" s="1325"/>
      <c r="X15" s="1325"/>
      <c r="Y15" s="1325"/>
      <c r="Z15" s="1325"/>
      <c r="AA15" s="1325"/>
      <c r="AB15" s="1325"/>
      <c r="AC15" s="1325"/>
      <c r="AD15" s="1325"/>
      <c r="AE15" s="1325"/>
      <c r="AF15" s="1325"/>
      <c r="AG15" s="1325"/>
      <c r="AH15" s="1325"/>
      <c r="AI15" s="1326">
        <f>AI14*$A$78</f>
        <v>0</v>
      </c>
      <c r="AJ15" s="1325"/>
      <c r="AK15" s="1325"/>
      <c r="AL15" s="1325"/>
      <c r="AM15" s="1325"/>
      <c r="AN15" s="1325"/>
      <c r="AO15" s="1325"/>
      <c r="AP15" s="1325"/>
      <c r="AQ15" s="1325"/>
      <c r="AR15" s="1325"/>
      <c r="AS15" s="1325"/>
      <c r="AT15" s="1325"/>
      <c r="AU15" s="1326">
        <f>AU14*$A$78</f>
        <v>0</v>
      </c>
      <c r="AV15" s="1325"/>
      <c r="AW15" s="1325"/>
      <c r="AX15" s="1325"/>
      <c r="AY15" s="1325"/>
      <c r="AZ15" s="1325"/>
      <c r="BA15" s="1325"/>
      <c r="BB15" s="1325"/>
      <c r="BC15" s="1325"/>
      <c r="BD15" s="1325"/>
      <c r="BE15" s="1325"/>
      <c r="BF15" s="1325"/>
      <c r="BG15" s="1326">
        <f>BG14*$A$78</f>
        <v>0</v>
      </c>
      <c r="BH15" s="1325"/>
      <c r="BI15" s="1325"/>
      <c r="BJ15" s="1325"/>
      <c r="BK15" s="1325"/>
      <c r="BL15" s="1325"/>
      <c r="BM15" s="1325"/>
      <c r="BN15" s="1325"/>
      <c r="BO15" s="1325"/>
      <c r="BP15" s="1325"/>
      <c r="BQ15" s="1325"/>
      <c r="BR15" s="1325"/>
      <c r="BS15" s="1326">
        <f>BS14*$A$78</f>
        <v>0</v>
      </c>
      <c r="BT15" s="1325"/>
      <c r="BU15" s="1325"/>
      <c r="BV15" s="1325"/>
      <c r="BW15" s="1325"/>
      <c r="BX15" s="1325"/>
      <c r="BY15" s="1325"/>
      <c r="BZ15" s="1325"/>
      <c r="CA15" s="1325"/>
      <c r="CB15" s="1325"/>
      <c r="CC15" s="1325"/>
      <c r="CD15" s="1325"/>
      <c r="CE15" s="1326">
        <f>CE14*$A$78</f>
        <v>0</v>
      </c>
      <c r="CF15" s="1325"/>
      <c r="CG15" s="1325"/>
      <c r="CH15" s="1325"/>
      <c r="CI15" s="1325"/>
      <c r="CJ15" s="1325"/>
      <c r="CK15" s="1325"/>
      <c r="CL15" s="1325"/>
      <c r="CM15" s="1325"/>
      <c r="CN15" s="1325"/>
      <c r="CO15" s="1325"/>
      <c r="CP15" s="1325"/>
      <c r="CQ15" s="1326">
        <f>CQ14*$A$78</f>
        <v>0</v>
      </c>
      <c r="CR15" s="1325"/>
      <c r="CS15" s="1325"/>
      <c r="CT15" s="1325"/>
      <c r="CU15" s="1325"/>
      <c r="CV15" s="1325"/>
      <c r="CW15" s="1325"/>
      <c r="CX15" s="1325"/>
      <c r="CY15" s="1325"/>
      <c r="CZ15" s="1325"/>
      <c r="DA15" s="1325"/>
      <c r="DB15" s="1325"/>
      <c r="DC15" s="1326">
        <f>DC14*$A$78</f>
        <v>0</v>
      </c>
      <c r="DD15" s="1325"/>
      <c r="DE15" s="1325"/>
      <c r="DF15" s="1325"/>
      <c r="DG15" s="1325"/>
      <c r="DH15" s="1325"/>
      <c r="DI15" s="1325"/>
      <c r="DJ15" s="1325"/>
      <c r="DK15" s="1325"/>
      <c r="DL15" s="1325"/>
      <c r="DM15" s="1325"/>
      <c r="DN15" s="1325"/>
      <c r="DO15" s="1326">
        <f>DO14*$A$78</f>
        <v>0</v>
      </c>
      <c r="DP15" s="1325"/>
      <c r="DQ15" s="1325"/>
      <c r="DR15" s="1325"/>
      <c r="DS15" s="1325"/>
      <c r="DT15" s="1325"/>
      <c r="DU15" s="1325"/>
      <c r="DV15" s="1325"/>
      <c r="DW15" s="1325"/>
      <c r="DX15" s="1325"/>
      <c r="DY15" s="1325"/>
      <c r="DZ15" s="1325"/>
      <c r="EA15" s="1326">
        <f>EA14*$A$78</f>
        <v>0</v>
      </c>
      <c r="EB15" s="1325"/>
      <c r="EC15" s="1325"/>
      <c r="ED15" s="1325"/>
    </row>
    <row r="16" spans="2:134" s="1323" customFormat="1" hidden="1" outlineLevel="1" x14ac:dyDescent="0.25">
      <c r="N16" s="1324" t="s">
        <v>195</v>
      </c>
      <c r="V16" s="1323">
        <v>42</v>
      </c>
      <c r="W16" s="1325"/>
      <c r="X16" s="1325"/>
      <c r="Y16" s="1325"/>
      <c r="Z16" s="1325"/>
      <c r="AA16" s="1325"/>
      <c r="AB16" s="1325"/>
      <c r="AC16" s="1325"/>
      <c r="AD16" s="1325"/>
      <c r="AE16" s="1325"/>
      <c r="AF16" s="1325"/>
      <c r="AG16" s="1325"/>
      <c r="AH16" s="1325"/>
      <c r="AI16" s="1326">
        <f>$V$16</f>
        <v>42</v>
      </c>
      <c r="AJ16" s="1325"/>
      <c r="AK16" s="1325"/>
      <c r="AL16" s="1325"/>
      <c r="AM16" s="1325"/>
      <c r="AN16" s="1325"/>
      <c r="AO16" s="1325"/>
      <c r="AP16" s="1325"/>
      <c r="AQ16" s="1325"/>
      <c r="AR16" s="1325"/>
      <c r="AS16" s="1325"/>
      <c r="AT16" s="1325"/>
      <c r="AU16" s="1326">
        <f>$V$16</f>
        <v>42</v>
      </c>
      <c r="AV16" s="1325"/>
      <c r="AW16" s="1325"/>
      <c r="AX16" s="1325"/>
      <c r="AY16" s="1325"/>
      <c r="AZ16" s="1325"/>
      <c r="BA16" s="1325"/>
      <c r="BB16" s="1325"/>
      <c r="BC16" s="1325"/>
      <c r="BD16" s="1325"/>
      <c r="BE16" s="1325"/>
      <c r="BF16" s="1325"/>
      <c r="BG16" s="1326">
        <f>$V$16</f>
        <v>42</v>
      </c>
      <c r="BH16" s="1325"/>
      <c r="BI16" s="1325"/>
      <c r="BJ16" s="1325"/>
      <c r="BK16" s="1325"/>
      <c r="BL16" s="1325"/>
      <c r="BM16" s="1325"/>
      <c r="BN16" s="1325"/>
      <c r="BO16" s="1325"/>
      <c r="BP16" s="1325"/>
      <c r="BQ16" s="1325"/>
      <c r="BR16" s="1325"/>
      <c r="BS16" s="1326">
        <f>$V$16</f>
        <v>42</v>
      </c>
      <c r="BT16" s="1325"/>
      <c r="BU16" s="1325"/>
      <c r="BV16" s="1325"/>
      <c r="BW16" s="1325"/>
      <c r="BX16" s="1325"/>
      <c r="BY16" s="1325"/>
      <c r="BZ16" s="1325"/>
      <c r="CA16" s="1325"/>
      <c r="CB16" s="1325"/>
      <c r="CC16" s="1325"/>
      <c r="CD16" s="1325"/>
      <c r="CE16" s="1326">
        <f>$V$16</f>
        <v>42</v>
      </c>
      <c r="CF16" s="1325"/>
      <c r="CG16" s="1325"/>
      <c r="CH16" s="1325"/>
      <c r="CI16" s="1325"/>
      <c r="CJ16" s="1325"/>
      <c r="CK16" s="1325"/>
      <c r="CL16" s="1325"/>
      <c r="CM16" s="1325"/>
      <c r="CN16" s="1325"/>
      <c r="CO16" s="1325"/>
      <c r="CP16" s="1325"/>
      <c r="CQ16" s="1326">
        <f>$V$16</f>
        <v>42</v>
      </c>
      <c r="CR16" s="1325"/>
      <c r="CS16" s="1325"/>
      <c r="CT16" s="1325"/>
      <c r="CU16" s="1325"/>
      <c r="CV16" s="1325"/>
      <c r="CW16" s="1325"/>
      <c r="CX16" s="1325"/>
      <c r="CY16" s="1325"/>
      <c r="CZ16" s="1325"/>
      <c r="DA16" s="1325"/>
      <c r="DB16" s="1325"/>
      <c r="DC16" s="1326">
        <f>$V$16</f>
        <v>42</v>
      </c>
      <c r="DD16" s="1325"/>
      <c r="DE16" s="1325"/>
      <c r="DF16" s="1325"/>
      <c r="DG16" s="1325"/>
      <c r="DH16" s="1325"/>
      <c r="DI16" s="1325"/>
      <c r="DJ16" s="1325"/>
      <c r="DK16" s="1325"/>
      <c r="DL16" s="1325"/>
      <c r="DM16" s="1325"/>
      <c r="DN16" s="1325"/>
      <c r="DO16" s="1326">
        <f>$V$16</f>
        <v>42</v>
      </c>
      <c r="DP16" s="1325"/>
      <c r="DQ16" s="1325"/>
      <c r="DR16" s="1325"/>
      <c r="DS16" s="1325"/>
      <c r="DT16" s="1325"/>
      <c r="DU16" s="1325"/>
      <c r="DV16" s="1325"/>
      <c r="DW16" s="1325"/>
      <c r="DX16" s="1325"/>
      <c r="DY16" s="1325"/>
      <c r="DZ16" s="1325"/>
      <c r="EA16" s="1326">
        <f>$V$16</f>
        <v>42</v>
      </c>
      <c r="EB16" s="1325"/>
      <c r="EC16" s="1325"/>
      <c r="ED16" s="1325"/>
    </row>
    <row r="17" spans="10:134" s="1323" customFormat="1" hidden="1" outlineLevel="1" x14ac:dyDescent="0.25">
      <c r="J17" s="1323">
        <v>110</v>
      </c>
      <c r="N17" s="1324" t="s">
        <v>196</v>
      </c>
      <c r="V17" s="1323">
        <v>118</v>
      </c>
      <c r="W17" s="1325"/>
      <c r="X17" s="1325"/>
      <c r="Y17" s="1325"/>
      <c r="Z17" s="1325"/>
      <c r="AA17" s="1325"/>
      <c r="AB17" s="1325"/>
      <c r="AC17" s="1325"/>
      <c r="AD17" s="1325"/>
      <c r="AE17" s="1325"/>
      <c r="AF17" s="1325"/>
      <c r="AG17" s="1325"/>
      <c r="AH17" s="1325"/>
      <c r="AI17" s="1326">
        <f>$V$17</f>
        <v>118</v>
      </c>
      <c r="AJ17" s="1325"/>
      <c r="AK17" s="1325"/>
      <c r="AL17" s="1325"/>
      <c r="AM17" s="1325"/>
      <c r="AN17" s="1325"/>
      <c r="AO17" s="1325"/>
      <c r="AP17" s="1325"/>
      <c r="AQ17" s="1325"/>
      <c r="AR17" s="1325"/>
      <c r="AS17" s="1325"/>
      <c r="AT17" s="1325"/>
      <c r="AU17" s="1326">
        <f>$V$17</f>
        <v>118</v>
      </c>
      <c r="AV17" s="1325"/>
      <c r="AW17" s="1325"/>
      <c r="AX17" s="1325"/>
      <c r="AY17" s="1325"/>
      <c r="AZ17" s="1325"/>
      <c r="BA17" s="1325"/>
      <c r="BB17" s="1325"/>
      <c r="BC17" s="1325"/>
      <c r="BD17" s="1325"/>
      <c r="BE17" s="1325"/>
      <c r="BF17" s="1325"/>
      <c r="BG17" s="1326">
        <f>$V$17</f>
        <v>118</v>
      </c>
      <c r="BH17" s="1325"/>
      <c r="BI17" s="1325"/>
      <c r="BJ17" s="1325"/>
      <c r="BK17" s="1325"/>
      <c r="BL17" s="1325"/>
      <c r="BM17" s="1325"/>
      <c r="BN17" s="1325"/>
      <c r="BO17" s="1325"/>
      <c r="BP17" s="1325"/>
      <c r="BQ17" s="1325"/>
      <c r="BR17" s="1325"/>
      <c r="BS17" s="1326">
        <f>$V$17</f>
        <v>118</v>
      </c>
      <c r="BT17" s="1325"/>
      <c r="BU17" s="1325"/>
      <c r="BV17" s="1325"/>
      <c r="BW17" s="1325"/>
      <c r="BX17" s="1325"/>
      <c r="BY17" s="1325"/>
      <c r="BZ17" s="1325"/>
      <c r="CA17" s="1325"/>
      <c r="CB17" s="1325"/>
      <c r="CC17" s="1325"/>
      <c r="CD17" s="1325"/>
      <c r="CE17" s="1326">
        <f>$V$17</f>
        <v>118</v>
      </c>
      <c r="CF17" s="1325"/>
      <c r="CG17" s="1325"/>
      <c r="CH17" s="1325"/>
      <c r="CI17" s="1325"/>
      <c r="CJ17" s="1325"/>
      <c r="CK17" s="1325"/>
      <c r="CL17" s="1325"/>
      <c r="CM17" s="1325"/>
      <c r="CN17" s="1325"/>
      <c r="CO17" s="1325"/>
      <c r="CP17" s="1325"/>
      <c r="CQ17" s="1326">
        <f>$V$17</f>
        <v>118</v>
      </c>
      <c r="CR17" s="1325"/>
      <c r="CS17" s="1325"/>
      <c r="CT17" s="1325"/>
      <c r="CU17" s="1325"/>
      <c r="CV17" s="1325"/>
      <c r="CW17" s="1325"/>
      <c r="CX17" s="1325"/>
      <c r="CY17" s="1325"/>
      <c r="CZ17" s="1325"/>
      <c r="DA17" s="1325"/>
      <c r="DB17" s="1325"/>
      <c r="DC17" s="1326">
        <f>$V$17</f>
        <v>118</v>
      </c>
      <c r="DD17" s="1325"/>
      <c r="DE17" s="1325"/>
      <c r="DF17" s="1325"/>
      <c r="DG17" s="1325"/>
      <c r="DH17" s="1325"/>
      <c r="DI17" s="1325"/>
      <c r="DJ17" s="1325"/>
      <c r="DK17" s="1325"/>
      <c r="DL17" s="1325"/>
      <c r="DM17" s="1325"/>
      <c r="DN17" s="1325"/>
      <c r="DO17" s="1326">
        <f>$V$17</f>
        <v>118</v>
      </c>
      <c r="DP17" s="1325"/>
      <c r="DQ17" s="1325"/>
      <c r="DR17" s="1325"/>
      <c r="DS17" s="1325"/>
      <c r="DT17" s="1325"/>
      <c r="DU17" s="1325"/>
      <c r="DV17" s="1325"/>
      <c r="DW17" s="1325"/>
      <c r="DX17" s="1325"/>
      <c r="DY17" s="1325"/>
      <c r="DZ17" s="1325"/>
      <c r="EA17" s="1326">
        <f>$V$17</f>
        <v>118</v>
      </c>
      <c r="EB17" s="1325"/>
      <c r="EC17" s="1325"/>
      <c r="ED17" s="1325"/>
    </row>
    <row r="18" spans="10:134" s="1323" customFormat="1" hidden="1" outlineLevel="1" x14ac:dyDescent="0.25">
      <c r="N18" s="1324" t="s">
        <v>197</v>
      </c>
      <c r="V18" s="1323">
        <v>42</v>
      </c>
      <c r="W18" s="1325"/>
      <c r="X18" s="1325"/>
      <c r="Y18" s="1325"/>
      <c r="Z18" s="1325"/>
      <c r="AA18" s="1325"/>
      <c r="AB18" s="1325"/>
      <c r="AC18" s="1325"/>
      <c r="AD18" s="1325"/>
      <c r="AE18" s="1325"/>
      <c r="AF18" s="1325"/>
      <c r="AG18" s="1325"/>
      <c r="AH18" s="1325"/>
      <c r="AI18" s="1326">
        <f>$V$18</f>
        <v>42</v>
      </c>
      <c r="AJ18" s="1325"/>
      <c r="AK18" s="1325"/>
      <c r="AL18" s="1325"/>
      <c r="AM18" s="1325"/>
      <c r="AN18" s="1325"/>
      <c r="AO18" s="1325"/>
      <c r="AP18" s="1325"/>
      <c r="AQ18" s="1325"/>
      <c r="AR18" s="1325"/>
      <c r="AS18" s="1325"/>
      <c r="AT18" s="1325"/>
      <c r="AU18" s="1326">
        <f>$V$18</f>
        <v>42</v>
      </c>
      <c r="AV18" s="1325"/>
      <c r="AW18" s="1325"/>
      <c r="AX18" s="1325"/>
      <c r="AY18" s="1325"/>
      <c r="AZ18" s="1325"/>
      <c r="BA18" s="1325"/>
      <c r="BB18" s="1325"/>
      <c r="BC18" s="1325"/>
      <c r="BD18" s="1325"/>
      <c r="BE18" s="1325"/>
      <c r="BF18" s="1325"/>
      <c r="BG18" s="1326">
        <f>$V$18</f>
        <v>42</v>
      </c>
      <c r="BH18" s="1325"/>
      <c r="BI18" s="1325"/>
      <c r="BJ18" s="1325"/>
      <c r="BK18" s="1325"/>
      <c r="BL18" s="1325"/>
      <c r="BM18" s="1325"/>
      <c r="BN18" s="1325"/>
      <c r="BO18" s="1325"/>
      <c r="BP18" s="1325"/>
      <c r="BQ18" s="1325"/>
      <c r="BR18" s="1325"/>
      <c r="BS18" s="1326">
        <f>$V$18</f>
        <v>42</v>
      </c>
      <c r="BT18" s="1325"/>
      <c r="BU18" s="1325"/>
      <c r="BV18" s="1325"/>
      <c r="BW18" s="1325"/>
      <c r="BX18" s="1325"/>
      <c r="BY18" s="1325"/>
      <c r="BZ18" s="1325"/>
      <c r="CA18" s="1325"/>
      <c r="CB18" s="1325"/>
      <c r="CC18" s="1325"/>
      <c r="CD18" s="1325"/>
      <c r="CE18" s="1326">
        <f>$V$18</f>
        <v>42</v>
      </c>
      <c r="CF18" s="1325"/>
      <c r="CG18" s="1325"/>
      <c r="CH18" s="1325"/>
      <c r="CI18" s="1325"/>
      <c r="CJ18" s="1325"/>
      <c r="CK18" s="1325"/>
      <c r="CL18" s="1325"/>
      <c r="CM18" s="1325"/>
      <c r="CN18" s="1325"/>
      <c r="CO18" s="1325"/>
      <c r="CP18" s="1325"/>
      <c r="CQ18" s="1326">
        <f>$V$18</f>
        <v>42</v>
      </c>
      <c r="CR18" s="1325"/>
      <c r="CS18" s="1325"/>
      <c r="CT18" s="1325"/>
      <c r="CU18" s="1325"/>
      <c r="CV18" s="1325"/>
      <c r="CW18" s="1325"/>
      <c r="CX18" s="1325"/>
      <c r="CY18" s="1325"/>
      <c r="CZ18" s="1325"/>
      <c r="DA18" s="1325"/>
      <c r="DB18" s="1325"/>
      <c r="DC18" s="1326">
        <f>$V$18</f>
        <v>42</v>
      </c>
      <c r="DD18" s="1325"/>
      <c r="DE18" s="1325"/>
      <c r="DF18" s="1325"/>
      <c r="DG18" s="1325"/>
      <c r="DH18" s="1325"/>
      <c r="DI18" s="1325"/>
      <c r="DJ18" s="1325"/>
      <c r="DK18" s="1325"/>
      <c r="DL18" s="1325"/>
      <c r="DM18" s="1325"/>
      <c r="DN18" s="1325"/>
      <c r="DO18" s="1326">
        <f>$V$18</f>
        <v>42</v>
      </c>
      <c r="DP18" s="1325"/>
      <c r="DQ18" s="1325"/>
      <c r="DR18" s="1325"/>
      <c r="DS18" s="1325"/>
      <c r="DT18" s="1325"/>
      <c r="DU18" s="1325"/>
      <c r="DV18" s="1325"/>
      <c r="DW18" s="1325"/>
      <c r="DX18" s="1325"/>
      <c r="DY18" s="1325"/>
      <c r="DZ18" s="1325"/>
      <c r="EA18" s="1326">
        <f>$V$18</f>
        <v>42</v>
      </c>
      <c r="EB18" s="1325"/>
      <c r="EC18" s="1325"/>
      <c r="ED18" s="1325"/>
    </row>
    <row r="19" spans="10:134" s="1323" customFormat="1" hidden="1" outlineLevel="1" x14ac:dyDescent="0.25">
      <c r="J19" s="1323">
        <v>261</v>
      </c>
      <c r="N19" s="1324" t="s">
        <v>198</v>
      </c>
      <c r="V19" s="1323">
        <v>280</v>
      </c>
      <c r="W19" s="1325"/>
      <c r="X19" s="1325"/>
      <c r="Y19" s="1325"/>
      <c r="Z19" s="1325"/>
      <c r="AA19" s="1325"/>
      <c r="AB19" s="1325"/>
      <c r="AC19" s="1325"/>
      <c r="AD19" s="1325"/>
      <c r="AE19" s="1325"/>
      <c r="AF19" s="1325"/>
      <c r="AG19" s="1325"/>
      <c r="AH19" s="1325"/>
      <c r="AI19" s="1326">
        <f>$V$19</f>
        <v>280</v>
      </c>
      <c r="AJ19" s="1325"/>
      <c r="AK19" s="1325"/>
      <c r="AL19" s="1325"/>
      <c r="AM19" s="1325"/>
      <c r="AN19" s="1325"/>
      <c r="AO19" s="1325"/>
      <c r="AP19" s="1325"/>
      <c r="AQ19" s="1325"/>
      <c r="AR19" s="1325"/>
      <c r="AS19" s="1325"/>
      <c r="AT19" s="1325"/>
      <c r="AU19" s="1326">
        <f>$V$19</f>
        <v>280</v>
      </c>
      <c r="AV19" s="1325"/>
      <c r="AW19" s="1325"/>
      <c r="AX19" s="1325"/>
      <c r="AY19" s="1325"/>
      <c r="AZ19" s="1325"/>
      <c r="BA19" s="1325"/>
      <c r="BB19" s="1325"/>
      <c r="BC19" s="1325"/>
      <c r="BD19" s="1325"/>
      <c r="BE19" s="1325"/>
      <c r="BF19" s="1325"/>
      <c r="BG19" s="1326">
        <f>$V$19</f>
        <v>280</v>
      </c>
      <c r="BH19" s="1325"/>
      <c r="BI19" s="1325"/>
      <c r="BJ19" s="1325"/>
      <c r="BK19" s="1325"/>
      <c r="BL19" s="1325"/>
      <c r="BM19" s="1325"/>
      <c r="BN19" s="1325"/>
      <c r="BO19" s="1325"/>
      <c r="BP19" s="1325"/>
      <c r="BQ19" s="1325"/>
      <c r="BR19" s="1325"/>
      <c r="BS19" s="1326">
        <f>$V$19</f>
        <v>280</v>
      </c>
      <c r="BT19" s="1325"/>
      <c r="BU19" s="1325"/>
      <c r="BV19" s="1325"/>
      <c r="BW19" s="1325"/>
      <c r="BX19" s="1325"/>
      <c r="BY19" s="1325"/>
      <c r="BZ19" s="1325"/>
      <c r="CA19" s="1325"/>
      <c r="CB19" s="1325"/>
      <c r="CC19" s="1325"/>
      <c r="CD19" s="1325"/>
      <c r="CE19" s="1326">
        <f>$V$19</f>
        <v>280</v>
      </c>
      <c r="CF19" s="1325"/>
      <c r="CG19" s="1325"/>
      <c r="CH19" s="1325"/>
      <c r="CI19" s="1325"/>
      <c r="CJ19" s="1325"/>
      <c r="CK19" s="1325"/>
      <c r="CL19" s="1325"/>
      <c r="CM19" s="1325"/>
      <c r="CN19" s="1325"/>
      <c r="CO19" s="1325"/>
      <c r="CP19" s="1325"/>
      <c r="CQ19" s="1326">
        <f>$V$19</f>
        <v>280</v>
      </c>
      <c r="CR19" s="1325"/>
      <c r="CS19" s="1325"/>
      <c r="CT19" s="1325"/>
      <c r="CU19" s="1325"/>
      <c r="CV19" s="1325"/>
      <c r="CW19" s="1325"/>
      <c r="CX19" s="1325"/>
      <c r="CY19" s="1325"/>
      <c r="CZ19" s="1325"/>
      <c r="DA19" s="1325"/>
      <c r="DB19" s="1325"/>
      <c r="DC19" s="1326">
        <f>$V$19</f>
        <v>280</v>
      </c>
      <c r="DD19" s="1325"/>
      <c r="DE19" s="1325"/>
      <c r="DF19" s="1325"/>
      <c r="DG19" s="1325"/>
      <c r="DH19" s="1325"/>
      <c r="DI19" s="1325"/>
      <c r="DJ19" s="1325"/>
      <c r="DK19" s="1325"/>
      <c r="DL19" s="1325"/>
      <c r="DM19" s="1325"/>
      <c r="DN19" s="1325"/>
      <c r="DO19" s="1326">
        <f>$V$19</f>
        <v>280</v>
      </c>
      <c r="DP19" s="1325"/>
      <c r="DQ19" s="1325"/>
      <c r="DR19" s="1325"/>
      <c r="DS19" s="1325"/>
      <c r="DT19" s="1325"/>
      <c r="DU19" s="1325"/>
      <c r="DV19" s="1325"/>
      <c r="DW19" s="1325"/>
      <c r="DX19" s="1325"/>
      <c r="DY19" s="1325"/>
      <c r="DZ19" s="1325"/>
      <c r="EA19" s="1326">
        <f>$V$19</f>
        <v>280</v>
      </c>
      <c r="EB19" s="1325"/>
      <c r="EC19" s="1325"/>
      <c r="ED19" s="1325"/>
    </row>
    <row r="20" spans="10:134" s="1323" customFormat="1" hidden="1" outlineLevel="1" x14ac:dyDescent="0.25">
      <c r="J20" s="1670">
        <v>263</v>
      </c>
      <c r="N20" s="1324" t="s">
        <v>199</v>
      </c>
      <c r="V20" s="1323">
        <f>A84</f>
        <v>200</v>
      </c>
      <c r="W20" s="1325"/>
      <c r="X20" s="1325"/>
      <c r="Y20" s="1325"/>
      <c r="Z20" s="1325"/>
      <c r="AA20" s="1325"/>
      <c r="AB20" s="1325"/>
      <c r="AC20" s="1325"/>
      <c r="AD20" s="1325"/>
      <c r="AE20" s="1325"/>
      <c r="AF20" s="1325"/>
      <c r="AG20" s="1325"/>
      <c r="AH20" s="1325"/>
      <c r="AI20" s="1326">
        <f>$V$20</f>
        <v>200</v>
      </c>
      <c r="AJ20" s="1325"/>
      <c r="AK20" s="1325"/>
      <c r="AL20" s="1325"/>
      <c r="AM20" s="1325"/>
      <c r="AN20" s="1325"/>
      <c r="AO20" s="1325"/>
      <c r="AP20" s="1325"/>
      <c r="AQ20" s="1325"/>
      <c r="AR20" s="1325"/>
      <c r="AS20" s="1325"/>
      <c r="AT20" s="1325"/>
      <c r="AU20" s="1326">
        <f>$V$20</f>
        <v>200</v>
      </c>
      <c r="AV20" s="1325"/>
      <c r="AW20" s="1325"/>
      <c r="AX20" s="1325"/>
      <c r="AY20" s="1325"/>
      <c r="AZ20" s="1325"/>
      <c r="BA20" s="1325"/>
      <c r="BB20" s="1325"/>
      <c r="BC20" s="1325"/>
      <c r="BD20" s="1325"/>
      <c r="BE20" s="1325"/>
      <c r="BF20" s="1325"/>
      <c r="BG20" s="1326">
        <f>$V$20</f>
        <v>200</v>
      </c>
      <c r="BH20" s="1325"/>
      <c r="BI20" s="1325"/>
      <c r="BJ20" s="1325"/>
      <c r="BK20" s="1325"/>
      <c r="BL20" s="1325"/>
      <c r="BM20" s="1325"/>
      <c r="BN20" s="1325"/>
      <c r="BO20" s="1325"/>
      <c r="BP20" s="1325"/>
      <c r="BQ20" s="1325"/>
      <c r="BR20" s="1325"/>
      <c r="BS20" s="1326">
        <f>$V$20</f>
        <v>200</v>
      </c>
      <c r="BT20" s="1325"/>
      <c r="BU20" s="1325"/>
      <c r="BV20" s="1325"/>
      <c r="BW20" s="1325"/>
      <c r="BX20" s="1325"/>
      <c r="BY20" s="1325"/>
      <c r="BZ20" s="1325"/>
      <c r="CA20" s="1325"/>
      <c r="CB20" s="1325"/>
      <c r="CC20" s="1325"/>
      <c r="CD20" s="1325"/>
      <c r="CE20" s="1326">
        <f>$V$20</f>
        <v>200</v>
      </c>
      <c r="CF20" s="1325"/>
      <c r="CG20" s="1325"/>
      <c r="CH20" s="1325"/>
      <c r="CI20" s="1325"/>
      <c r="CJ20" s="1325"/>
      <c r="CK20" s="1325"/>
      <c r="CL20" s="1325"/>
      <c r="CM20" s="1325"/>
      <c r="CN20" s="1325"/>
      <c r="CO20" s="1325"/>
      <c r="CP20" s="1325"/>
      <c r="CQ20" s="1326">
        <f>$V$20</f>
        <v>200</v>
      </c>
      <c r="CR20" s="1325"/>
      <c r="CS20" s="1325"/>
      <c r="CT20" s="1325"/>
      <c r="CU20" s="1325"/>
      <c r="CV20" s="1325"/>
      <c r="CW20" s="1325"/>
      <c r="CX20" s="1325"/>
      <c r="CY20" s="1325"/>
      <c r="CZ20" s="1325"/>
      <c r="DA20" s="1325"/>
      <c r="DB20" s="1325"/>
      <c r="DC20" s="1326">
        <f>$V$20</f>
        <v>200</v>
      </c>
      <c r="DD20" s="1325"/>
      <c r="DE20" s="1325"/>
      <c r="DF20" s="1325"/>
      <c r="DG20" s="1325"/>
      <c r="DH20" s="1325"/>
      <c r="DI20" s="1325"/>
      <c r="DJ20" s="1325"/>
      <c r="DK20" s="1325"/>
      <c r="DL20" s="1325"/>
      <c r="DM20" s="1325"/>
      <c r="DN20" s="1325"/>
      <c r="DO20" s="1326">
        <f>$V$20</f>
        <v>200</v>
      </c>
      <c r="DP20" s="1325"/>
      <c r="DQ20" s="1325"/>
      <c r="DR20" s="1325"/>
      <c r="DS20" s="1325"/>
      <c r="DT20" s="1325"/>
      <c r="DU20" s="1325"/>
      <c r="DV20" s="1325"/>
      <c r="DW20" s="1325"/>
      <c r="DX20" s="1325"/>
      <c r="DY20" s="1325"/>
      <c r="DZ20" s="1325"/>
      <c r="EA20" s="1326">
        <f>$V$20</f>
        <v>200</v>
      </c>
      <c r="EB20" s="1325"/>
      <c r="EC20" s="1325"/>
      <c r="ED20" s="1325"/>
    </row>
    <row r="21" spans="10:134" s="1323" customFormat="1" hidden="1" outlineLevel="1" x14ac:dyDescent="0.25">
      <c r="J21" s="1670"/>
      <c r="N21" s="1324" t="s">
        <v>200</v>
      </c>
      <c r="V21" s="1323">
        <f>A83</f>
        <v>100</v>
      </c>
      <c r="W21" s="1325"/>
      <c r="X21" s="1325"/>
      <c r="Y21" s="1325"/>
      <c r="Z21" s="1325"/>
      <c r="AA21" s="1325"/>
      <c r="AB21" s="1325"/>
      <c r="AC21" s="1325"/>
      <c r="AD21" s="1325"/>
      <c r="AE21" s="1325"/>
      <c r="AF21" s="1325"/>
      <c r="AG21" s="1325"/>
      <c r="AH21" s="1325"/>
      <c r="AI21" s="1326">
        <f>$V$21</f>
        <v>100</v>
      </c>
      <c r="AJ21" s="1325"/>
      <c r="AK21" s="1325"/>
      <c r="AL21" s="1325"/>
      <c r="AM21" s="1325"/>
      <c r="AN21" s="1325"/>
      <c r="AO21" s="1325"/>
      <c r="AP21" s="1325"/>
      <c r="AQ21" s="1325"/>
      <c r="AR21" s="1325"/>
      <c r="AS21" s="1325"/>
      <c r="AT21" s="1325"/>
      <c r="AU21" s="1326">
        <f>$V$21</f>
        <v>100</v>
      </c>
      <c r="AV21" s="1325"/>
      <c r="AW21" s="1325"/>
      <c r="AX21" s="1325"/>
      <c r="AY21" s="1325"/>
      <c r="AZ21" s="1325"/>
      <c r="BA21" s="1325"/>
      <c r="BB21" s="1325"/>
      <c r="BC21" s="1325"/>
      <c r="BD21" s="1325"/>
      <c r="BE21" s="1325"/>
      <c r="BF21" s="1325"/>
      <c r="BG21" s="1326">
        <f>$V$21</f>
        <v>100</v>
      </c>
      <c r="BH21" s="1325"/>
      <c r="BI21" s="1325"/>
      <c r="BJ21" s="1325"/>
      <c r="BK21" s="1325"/>
      <c r="BL21" s="1325"/>
      <c r="BM21" s="1325"/>
      <c r="BN21" s="1325"/>
      <c r="BO21" s="1325"/>
      <c r="BP21" s="1325"/>
      <c r="BQ21" s="1325"/>
      <c r="BR21" s="1325"/>
      <c r="BS21" s="1326">
        <f>$V$21</f>
        <v>100</v>
      </c>
      <c r="BT21" s="1325"/>
      <c r="BU21" s="1325"/>
      <c r="BV21" s="1325"/>
      <c r="BW21" s="1325"/>
      <c r="BX21" s="1325"/>
      <c r="BY21" s="1325"/>
      <c r="BZ21" s="1325"/>
      <c r="CA21" s="1325"/>
      <c r="CB21" s="1325"/>
      <c r="CC21" s="1325"/>
      <c r="CD21" s="1325"/>
      <c r="CE21" s="1326">
        <f>$V$21</f>
        <v>100</v>
      </c>
      <c r="CF21" s="1325"/>
      <c r="CG21" s="1325"/>
      <c r="CH21" s="1325"/>
      <c r="CI21" s="1325"/>
      <c r="CJ21" s="1325"/>
      <c r="CK21" s="1325"/>
      <c r="CL21" s="1325"/>
      <c r="CM21" s="1325"/>
      <c r="CN21" s="1325"/>
      <c r="CO21" s="1325"/>
      <c r="CP21" s="1325"/>
      <c r="CQ21" s="1326">
        <f>$V$21</f>
        <v>100</v>
      </c>
      <c r="CR21" s="1325"/>
      <c r="CS21" s="1325"/>
      <c r="CT21" s="1325"/>
      <c r="CU21" s="1325"/>
      <c r="CV21" s="1325"/>
      <c r="CW21" s="1325"/>
      <c r="CX21" s="1325"/>
      <c r="CY21" s="1325"/>
      <c r="CZ21" s="1325"/>
      <c r="DA21" s="1325"/>
      <c r="DB21" s="1325"/>
      <c r="DC21" s="1326">
        <f>$V$21</f>
        <v>100</v>
      </c>
      <c r="DD21" s="1325"/>
      <c r="DE21" s="1325"/>
      <c r="DF21" s="1325"/>
      <c r="DG21" s="1325"/>
      <c r="DH21" s="1325"/>
      <c r="DI21" s="1325"/>
      <c r="DJ21" s="1325"/>
      <c r="DK21" s="1325"/>
      <c r="DL21" s="1325"/>
      <c r="DM21" s="1325"/>
      <c r="DN21" s="1325"/>
      <c r="DO21" s="1326">
        <f>$V$21</f>
        <v>100</v>
      </c>
      <c r="DP21" s="1325"/>
      <c r="DQ21" s="1325"/>
      <c r="DR21" s="1325"/>
      <c r="DS21" s="1325"/>
      <c r="DT21" s="1325"/>
      <c r="DU21" s="1325"/>
      <c r="DV21" s="1325"/>
      <c r="DW21" s="1325"/>
      <c r="DX21" s="1325"/>
      <c r="DY21" s="1325"/>
      <c r="DZ21" s="1325"/>
      <c r="EA21" s="1326">
        <f>$V$21</f>
        <v>100</v>
      </c>
      <c r="EB21" s="1325"/>
      <c r="EC21" s="1325"/>
      <c r="ED21" s="1325"/>
    </row>
    <row r="22" spans="10:134" s="1323" customFormat="1" hidden="1" outlineLevel="1" x14ac:dyDescent="0.25">
      <c r="N22" s="1324" t="s">
        <v>201</v>
      </c>
      <c r="V22" s="1323">
        <f>V114*$A$82</f>
        <v>28</v>
      </c>
      <c r="W22" s="1325"/>
      <c r="X22" s="1325"/>
      <c r="Y22" s="1325"/>
      <c r="Z22" s="1325"/>
      <c r="AA22" s="1325"/>
      <c r="AB22" s="1325"/>
      <c r="AC22" s="1325"/>
      <c r="AD22" s="1325"/>
      <c r="AE22" s="1325"/>
      <c r="AF22" s="1325"/>
      <c r="AG22" s="1325"/>
      <c r="AH22" s="1325"/>
      <c r="AI22" s="1326">
        <f>AI114*$A$82</f>
        <v>0</v>
      </c>
      <c r="AJ22" s="1325"/>
      <c r="AK22" s="1325"/>
      <c r="AL22" s="1325"/>
      <c r="AM22" s="1325"/>
      <c r="AN22" s="1325"/>
      <c r="AO22" s="1325"/>
      <c r="AP22" s="1325"/>
      <c r="AQ22" s="1325"/>
      <c r="AR22" s="1325"/>
      <c r="AS22" s="1325"/>
      <c r="AT22" s="1325"/>
      <c r="AU22" s="1326">
        <f>AU114*$A$82</f>
        <v>0</v>
      </c>
      <c r="AV22" s="1325"/>
      <c r="AW22" s="1325"/>
      <c r="AX22" s="1325"/>
      <c r="AY22" s="1325"/>
      <c r="AZ22" s="1325"/>
      <c r="BA22" s="1325"/>
      <c r="BB22" s="1325"/>
      <c r="BC22" s="1325"/>
      <c r="BD22" s="1325"/>
      <c r="BE22" s="1325"/>
      <c r="BF22" s="1325"/>
      <c r="BG22" s="1326">
        <f>BG114*$A$82</f>
        <v>0</v>
      </c>
      <c r="BH22" s="1325"/>
      <c r="BI22" s="1325"/>
      <c r="BJ22" s="1325"/>
      <c r="BK22" s="1325"/>
      <c r="BL22" s="1325"/>
      <c r="BM22" s="1325"/>
      <c r="BN22" s="1325"/>
      <c r="BO22" s="1325"/>
      <c r="BP22" s="1325"/>
      <c r="BQ22" s="1325"/>
      <c r="BR22" s="1325"/>
      <c r="BS22" s="1326">
        <f>BS114*$A$82</f>
        <v>0</v>
      </c>
      <c r="BT22" s="1325"/>
      <c r="BU22" s="1325"/>
      <c r="BV22" s="1325"/>
      <c r="BW22" s="1325"/>
      <c r="BX22" s="1325"/>
      <c r="BY22" s="1325"/>
      <c r="BZ22" s="1325"/>
      <c r="CA22" s="1325"/>
      <c r="CB22" s="1325"/>
      <c r="CC22" s="1325"/>
      <c r="CD22" s="1325"/>
      <c r="CE22" s="1326">
        <f>CE114*$A$82</f>
        <v>0</v>
      </c>
      <c r="CF22" s="1325"/>
      <c r="CG22" s="1325"/>
      <c r="CH22" s="1325"/>
      <c r="CI22" s="1325"/>
      <c r="CJ22" s="1325"/>
      <c r="CK22" s="1325"/>
      <c r="CL22" s="1325"/>
      <c r="CM22" s="1325"/>
      <c r="CN22" s="1325"/>
      <c r="CO22" s="1325"/>
      <c r="CP22" s="1325"/>
      <c r="CQ22" s="1326">
        <f>CQ114*$A$82</f>
        <v>0</v>
      </c>
      <c r="CR22" s="1325"/>
      <c r="CS22" s="1325"/>
      <c r="CT22" s="1325"/>
      <c r="CU22" s="1325"/>
      <c r="CV22" s="1325"/>
      <c r="CW22" s="1325"/>
      <c r="CX22" s="1325"/>
      <c r="CY22" s="1325"/>
      <c r="CZ22" s="1325"/>
      <c r="DA22" s="1325"/>
      <c r="DB22" s="1325"/>
      <c r="DC22" s="1326">
        <f>DC114*$A$82</f>
        <v>0</v>
      </c>
      <c r="DD22" s="1325"/>
      <c r="DE22" s="1325"/>
      <c r="DF22" s="1325"/>
      <c r="DG22" s="1325"/>
      <c r="DH22" s="1325"/>
      <c r="DI22" s="1325"/>
      <c r="DJ22" s="1325"/>
      <c r="DK22" s="1325"/>
      <c r="DL22" s="1325"/>
      <c r="DM22" s="1325"/>
      <c r="DN22" s="1325"/>
      <c r="DO22" s="1326">
        <f>DO114*$A$82</f>
        <v>0</v>
      </c>
      <c r="DP22" s="1325"/>
      <c r="DQ22" s="1325"/>
      <c r="DR22" s="1325"/>
      <c r="DS22" s="1325"/>
      <c r="DT22" s="1325"/>
      <c r="DU22" s="1325"/>
      <c r="DV22" s="1325"/>
      <c r="DW22" s="1325"/>
      <c r="DX22" s="1325"/>
      <c r="DY22" s="1325"/>
      <c r="DZ22" s="1325"/>
      <c r="EA22" s="1326">
        <f>EA114*$A$82</f>
        <v>0</v>
      </c>
      <c r="EB22" s="1325"/>
      <c r="EC22" s="1325"/>
      <c r="ED22" s="1325"/>
    </row>
    <row r="23" spans="10:134" s="1323" customFormat="1" hidden="1" outlineLevel="1" x14ac:dyDescent="0.25">
      <c r="N23" s="1324" t="s">
        <v>202</v>
      </c>
      <c r="V23" s="1323">
        <v>529</v>
      </c>
      <c r="W23" s="1325"/>
      <c r="X23" s="1325"/>
      <c r="Y23" s="1325"/>
      <c r="Z23" s="1325"/>
      <c r="AA23" s="1325"/>
      <c r="AB23" s="1325"/>
      <c r="AC23" s="1325"/>
      <c r="AD23" s="1325"/>
      <c r="AE23" s="1325"/>
      <c r="AF23" s="1325"/>
      <c r="AG23" s="1325"/>
      <c r="AH23" s="1325"/>
      <c r="AI23" s="1326">
        <f>$V$23</f>
        <v>529</v>
      </c>
      <c r="AJ23" s="1325"/>
      <c r="AK23" s="1325"/>
      <c r="AL23" s="1325"/>
      <c r="AM23" s="1325"/>
      <c r="AN23" s="1325"/>
      <c r="AO23" s="1325"/>
      <c r="AP23" s="1325"/>
      <c r="AQ23" s="1325"/>
      <c r="AR23" s="1325"/>
      <c r="AS23" s="1325"/>
      <c r="AT23" s="1325"/>
      <c r="AU23" s="1326">
        <f>$V$23</f>
        <v>529</v>
      </c>
      <c r="AV23" s="1325"/>
      <c r="AW23" s="1325"/>
      <c r="AX23" s="1325"/>
      <c r="AY23" s="1325"/>
      <c r="AZ23" s="1325"/>
      <c r="BA23" s="1325"/>
      <c r="BB23" s="1325"/>
      <c r="BC23" s="1325"/>
      <c r="BD23" s="1325"/>
      <c r="BE23" s="1325"/>
      <c r="BF23" s="1325"/>
      <c r="BG23" s="1326">
        <f>$V$23</f>
        <v>529</v>
      </c>
      <c r="BH23" s="1325"/>
      <c r="BI23" s="1325"/>
      <c r="BJ23" s="1325"/>
      <c r="BK23" s="1325"/>
      <c r="BL23" s="1325"/>
      <c r="BM23" s="1325"/>
      <c r="BN23" s="1325"/>
      <c r="BO23" s="1325"/>
      <c r="BP23" s="1325"/>
      <c r="BQ23" s="1325"/>
      <c r="BR23" s="1325"/>
      <c r="BS23" s="1326">
        <f>$V$23</f>
        <v>529</v>
      </c>
      <c r="BT23" s="1325"/>
      <c r="BU23" s="1325"/>
      <c r="BV23" s="1325"/>
      <c r="BW23" s="1325"/>
      <c r="BX23" s="1325"/>
      <c r="BY23" s="1325"/>
      <c r="BZ23" s="1325"/>
      <c r="CA23" s="1325"/>
      <c r="CB23" s="1325"/>
      <c r="CC23" s="1325"/>
      <c r="CD23" s="1325"/>
      <c r="CE23" s="1326">
        <f>$V$23</f>
        <v>529</v>
      </c>
      <c r="CF23" s="1325"/>
      <c r="CG23" s="1325"/>
      <c r="CH23" s="1325"/>
      <c r="CI23" s="1325"/>
      <c r="CJ23" s="1325"/>
      <c r="CK23" s="1325"/>
      <c r="CL23" s="1325"/>
      <c r="CM23" s="1325"/>
      <c r="CN23" s="1325"/>
      <c r="CO23" s="1325"/>
      <c r="CP23" s="1325"/>
      <c r="CQ23" s="1326">
        <f>$V$23</f>
        <v>529</v>
      </c>
      <c r="CR23" s="1325"/>
      <c r="CS23" s="1325"/>
      <c r="CT23" s="1325"/>
      <c r="CU23" s="1325"/>
      <c r="CV23" s="1325"/>
      <c r="CW23" s="1325"/>
      <c r="CX23" s="1325"/>
      <c r="CY23" s="1325"/>
      <c r="CZ23" s="1325"/>
      <c r="DA23" s="1325"/>
      <c r="DB23" s="1325"/>
      <c r="DC23" s="1326">
        <f>$V$23</f>
        <v>529</v>
      </c>
      <c r="DD23" s="1325"/>
      <c r="DE23" s="1325"/>
      <c r="DF23" s="1325"/>
      <c r="DG23" s="1325"/>
      <c r="DH23" s="1325"/>
      <c r="DI23" s="1325"/>
      <c r="DJ23" s="1325"/>
      <c r="DK23" s="1325"/>
      <c r="DL23" s="1325"/>
      <c r="DM23" s="1325"/>
      <c r="DN23" s="1325"/>
      <c r="DO23" s="1326">
        <f>$V$23</f>
        <v>529</v>
      </c>
      <c r="DP23" s="1325"/>
      <c r="DQ23" s="1325"/>
      <c r="DR23" s="1325"/>
      <c r="DS23" s="1325"/>
      <c r="DT23" s="1325"/>
      <c r="DU23" s="1325"/>
      <c r="DV23" s="1325"/>
      <c r="DW23" s="1325"/>
      <c r="DX23" s="1325"/>
      <c r="DY23" s="1325"/>
      <c r="DZ23" s="1325"/>
      <c r="EA23" s="1326">
        <f>$V$23</f>
        <v>529</v>
      </c>
      <c r="EB23" s="1325"/>
      <c r="EC23" s="1325"/>
      <c r="ED23" s="1325"/>
    </row>
    <row r="24" spans="10:134" s="1323" customFormat="1" hidden="1" outlineLevel="1" x14ac:dyDescent="0.25">
      <c r="J24" s="1323">
        <v>266</v>
      </c>
      <c r="N24" s="1324" t="s">
        <v>203</v>
      </c>
      <c r="V24" s="1323">
        <f>A81</f>
        <v>400</v>
      </c>
      <c r="W24" s="1325"/>
      <c r="X24" s="1325"/>
      <c r="Y24" s="1325"/>
      <c r="Z24" s="1325"/>
      <c r="AA24" s="1325"/>
      <c r="AB24" s="1325"/>
      <c r="AC24" s="1325"/>
      <c r="AD24" s="1325"/>
      <c r="AE24" s="1325"/>
      <c r="AF24" s="1325"/>
      <c r="AG24" s="1325"/>
      <c r="AH24" s="1325"/>
      <c r="AI24" s="1326">
        <f>$V$24</f>
        <v>400</v>
      </c>
      <c r="AJ24" s="1325"/>
      <c r="AK24" s="1325"/>
      <c r="AL24" s="1325"/>
      <c r="AM24" s="1325"/>
      <c r="AN24" s="1325"/>
      <c r="AO24" s="1325"/>
      <c r="AP24" s="1325"/>
      <c r="AQ24" s="1325"/>
      <c r="AR24" s="1325"/>
      <c r="AS24" s="1325"/>
      <c r="AT24" s="1325"/>
      <c r="AU24" s="1326">
        <f>$V$24</f>
        <v>400</v>
      </c>
      <c r="AV24" s="1325"/>
      <c r="AW24" s="1325"/>
      <c r="AX24" s="1325"/>
      <c r="AY24" s="1325"/>
      <c r="AZ24" s="1325"/>
      <c r="BA24" s="1325"/>
      <c r="BB24" s="1325"/>
      <c r="BC24" s="1325"/>
      <c r="BD24" s="1325"/>
      <c r="BE24" s="1325"/>
      <c r="BF24" s="1325"/>
      <c r="BG24" s="1326">
        <f>$V$24</f>
        <v>400</v>
      </c>
      <c r="BH24" s="1325"/>
      <c r="BI24" s="1325"/>
      <c r="BJ24" s="1325"/>
      <c r="BK24" s="1325"/>
      <c r="BL24" s="1325"/>
      <c r="BM24" s="1325"/>
      <c r="BN24" s="1325"/>
      <c r="BO24" s="1325"/>
      <c r="BP24" s="1325"/>
      <c r="BQ24" s="1325"/>
      <c r="BR24" s="1325"/>
      <c r="BS24" s="1326">
        <f>$V$24</f>
        <v>400</v>
      </c>
      <c r="BT24" s="1325"/>
      <c r="BU24" s="1325"/>
      <c r="BV24" s="1325"/>
      <c r="BW24" s="1325"/>
      <c r="BX24" s="1325"/>
      <c r="BY24" s="1325"/>
      <c r="BZ24" s="1325"/>
      <c r="CA24" s="1325"/>
      <c r="CB24" s="1325"/>
      <c r="CC24" s="1325"/>
      <c r="CD24" s="1325"/>
      <c r="CE24" s="1326">
        <f>$V$24</f>
        <v>400</v>
      </c>
      <c r="CF24" s="1325"/>
      <c r="CG24" s="1325"/>
      <c r="CH24" s="1325"/>
      <c r="CI24" s="1325"/>
      <c r="CJ24" s="1325"/>
      <c r="CK24" s="1325"/>
      <c r="CL24" s="1325"/>
      <c r="CM24" s="1325"/>
      <c r="CN24" s="1325"/>
      <c r="CO24" s="1325"/>
      <c r="CP24" s="1325"/>
      <c r="CQ24" s="1326">
        <f>$V$24</f>
        <v>400</v>
      </c>
      <c r="CR24" s="1325"/>
      <c r="CS24" s="1325"/>
      <c r="CT24" s="1325"/>
      <c r="CU24" s="1325"/>
      <c r="CV24" s="1325"/>
      <c r="CW24" s="1325"/>
      <c r="CX24" s="1325"/>
      <c r="CY24" s="1325"/>
      <c r="CZ24" s="1325"/>
      <c r="DA24" s="1325"/>
      <c r="DB24" s="1325"/>
      <c r="DC24" s="1326">
        <f>$V$24</f>
        <v>400</v>
      </c>
      <c r="DD24" s="1325"/>
      <c r="DE24" s="1325"/>
      <c r="DF24" s="1325"/>
      <c r="DG24" s="1325"/>
      <c r="DH24" s="1325"/>
      <c r="DI24" s="1325"/>
      <c r="DJ24" s="1325"/>
      <c r="DK24" s="1325"/>
      <c r="DL24" s="1325"/>
      <c r="DM24" s="1325"/>
      <c r="DN24" s="1325"/>
      <c r="DO24" s="1326">
        <f>$V$24</f>
        <v>400</v>
      </c>
      <c r="DP24" s="1325"/>
      <c r="DQ24" s="1325"/>
      <c r="DR24" s="1325"/>
      <c r="DS24" s="1325"/>
      <c r="DT24" s="1325"/>
      <c r="DU24" s="1325"/>
      <c r="DV24" s="1325"/>
      <c r="DW24" s="1325"/>
      <c r="DX24" s="1325"/>
      <c r="DY24" s="1325"/>
      <c r="DZ24" s="1325"/>
      <c r="EA24" s="1326">
        <f>$V$24</f>
        <v>400</v>
      </c>
      <c r="EB24" s="1325"/>
      <c r="EC24" s="1325"/>
      <c r="ED24" s="1325"/>
    </row>
    <row r="25" spans="10:134" s="66" customFormat="1" hidden="1" outlineLevel="1" x14ac:dyDescent="0.25">
      <c r="N25" s="1285" t="s">
        <v>204</v>
      </c>
      <c r="V25" s="66">
        <v>4213</v>
      </c>
      <c r="W25" s="1168"/>
      <c r="X25" s="1168"/>
      <c r="Y25" s="1168"/>
      <c r="Z25" s="1168"/>
      <c r="AA25" s="1168"/>
      <c r="AB25" s="1168"/>
      <c r="AC25" s="1168"/>
      <c r="AD25" s="1168"/>
      <c r="AE25" s="1168"/>
      <c r="AF25" s="1168"/>
      <c r="AG25" s="1168"/>
      <c r="AH25" s="1168"/>
      <c r="AI25" s="1286"/>
      <c r="AJ25" s="1168"/>
      <c r="AK25" s="1168"/>
      <c r="AL25" s="1168"/>
      <c r="AM25" s="1168"/>
      <c r="AN25" s="1168"/>
      <c r="AO25" s="1168"/>
      <c r="AP25" s="1168"/>
      <c r="AQ25" s="1168"/>
      <c r="AR25" s="1168"/>
      <c r="AS25" s="1168"/>
      <c r="AT25" s="1168"/>
      <c r="AU25" s="1286"/>
      <c r="AV25" s="1168"/>
      <c r="AW25" s="1168"/>
      <c r="AX25" s="1168"/>
      <c r="AY25" s="1168"/>
      <c r="AZ25" s="1168"/>
      <c r="BA25" s="1168"/>
      <c r="BB25" s="1168"/>
      <c r="BC25" s="1168"/>
      <c r="BD25" s="1168"/>
      <c r="BE25" s="1168"/>
      <c r="BF25" s="1168"/>
      <c r="BG25" s="1286"/>
      <c r="BH25" s="1168"/>
      <c r="BI25" s="1168"/>
      <c r="BJ25" s="1168"/>
      <c r="BK25" s="1168"/>
      <c r="BL25" s="1168"/>
      <c r="BM25" s="1168"/>
      <c r="BN25" s="1168"/>
      <c r="BO25" s="1168"/>
      <c r="BP25" s="1168"/>
      <c r="BQ25" s="1168"/>
      <c r="BR25" s="1168"/>
      <c r="BS25" s="1286"/>
      <c r="BT25" s="1168"/>
      <c r="BU25" s="1168"/>
      <c r="BV25" s="1168"/>
      <c r="BW25" s="1168"/>
      <c r="BX25" s="1168"/>
      <c r="BY25" s="1168"/>
      <c r="BZ25" s="1168"/>
      <c r="CA25" s="1168"/>
      <c r="CB25" s="1168"/>
      <c r="CC25" s="1168"/>
      <c r="CD25" s="1168"/>
      <c r="CE25" s="1286"/>
      <c r="CF25" s="1168"/>
      <c r="CG25" s="1168"/>
      <c r="CH25" s="1168"/>
      <c r="CI25" s="1168"/>
      <c r="CJ25" s="1168"/>
      <c r="CK25" s="1168"/>
      <c r="CL25" s="1168"/>
      <c r="CM25" s="1168"/>
      <c r="CN25" s="1168"/>
      <c r="CO25" s="1168"/>
      <c r="CP25" s="1168"/>
      <c r="CQ25" s="1286"/>
      <c r="CR25" s="1168"/>
      <c r="CS25" s="1168"/>
      <c r="CT25" s="1168"/>
      <c r="CU25" s="1168"/>
      <c r="CV25" s="1168"/>
      <c r="CW25" s="1168"/>
      <c r="CX25" s="1168"/>
      <c r="CY25" s="1168"/>
      <c r="CZ25" s="1168"/>
      <c r="DA25" s="1168"/>
      <c r="DB25" s="1168"/>
      <c r="DC25" s="1286"/>
      <c r="DD25" s="1168"/>
      <c r="DE25" s="1168"/>
      <c r="DF25" s="1168"/>
      <c r="DG25" s="1168"/>
      <c r="DH25" s="1168"/>
      <c r="DI25" s="1168"/>
      <c r="DJ25" s="1168"/>
      <c r="DK25" s="1168"/>
      <c r="DL25" s="1168"/>
      <c r="DM25" s="1168"/>
      <c r="DN25" s="1168"/>
      <c r="DO25" s="1286"/>
      <c r="DP25" s="1168"/>
      <c r="DQ25" s="1168"/>
      <c r="DR25" s="1168"/>
      <c r="DS25" s="1168"/>
      <c r="DT25" s="1168"/>
      <c r="DU25" s="1168"/>
      <c r="DV25" s="1168"/>
      <c r="DW25" s="1168"/>
      <c r="DX25" s="1168"/>
      <c r="DY25" s="1168"/>
      <c r="DZ25" s="1168"/>
      <c r="EA25" s="1286"/>
      <c r="EB25" s="1168"/>
      <c r="EC25" s="1168"/>
      <c r="ED25" s="1168"/>
    </row>
    <row r="26" spans="10:134" s="66" customFormat="1" hidden="1" outlineLevel="1" x14ac:dyDescent="0.25">
      <c r="N26" s="1285" t="s">
        <v>205</v>
      </c>
      <c r="V26" s="1287">
        <f>$A$85*SUM(V9,V14)</f>
        <v>4213</v>
      </c>
      <c r="W26" s="1168"/>
      <c r="X26" s="1168"/>
      <c r="Y26" s="1168"/>
      <c r="Z26" s="1168"/>
      <c r="AA26" s="1168"/>
      <c r="AB26" s="1168"/>
      <c r="AC26" s="1168"/>
      <c r="AD26" s="1168"/>
      <c r="AE26" s="1168"/>
      <c r="AF26" s="1168"/>
      <c r="AG26" s="1168"/>
      <c r="AH26" s="1168"/>
      <c r="AI26" s="1288">
        <f>$A$85*SUM(AI9,AI14)</f>
        <v>1872.4444444444443</v>
      </c>
      <c r="AJ26" s="1168"/>
      <c r="AK26" s="1168"/>
      <c r="AL26" s="1168"/>
      <c r="AM26" s="1168"/>
      <c r="AN26" s="1168"/>
      <c r="AO26" s="1168"/>
      <c r="AP26" s="1168"/>
      <c r="AQ26" s="1168"/>
      <c r="AR26" s="1168"/>
      <c r="AS26" s="1168"/>
      <c r="AT26" s="1168"/>
      <c r="AU26" s="1288">
        <f>$A$85*SUM(AU9,AU14)</f>
        <v>1872.4444444444443</v>
      </c>
      <c r="AV26" s="1168"/>
      <c r="AW26" s="1168"/>
      <c r="AX26" s="1168"/>
      <c r="AY26" s="1168"/>
      <c r="AZ26" s="1168"/>
      <c r="BA26" s="1168"/>
      <c r="BB26" s="1168"/>
      <c r="BC26" s="1168"/>
      <c r="BD26" s="1168"/>
      <c r="BE26" s="1168"/>
      <c r="BF26" s="1168"/>
      <c r="BG26" s="1288">
        <f>$A$85*SUM(BG9,BG14)</f>
        <v>2340.5555555555557</v>
      </c>
      <c r="BH26" s="1168"/>
      <c r="BI26" s="1168"/>
      <c r="BJ26" s="1168"/>
      <c r="BK26" s="1168"/>
      <c r="BL26" s="1168"/>
      <c r="BM26" s="1168"/>
      <c r="BN26" s="1168"/>
      <c r="BO26" s="1168"/>
      <c r="BP26" s="1168"/>
      <c r="BQ26" s="1168"/>
      <c r="BR26" s="1168"/>
      <c r="BS26" s="1288">
        <f>$A$85*SUM(BS9,BS14)</f>
        <v>2574.6111111111109</v>
      </c>
      <c r="BT26" s="1168"/>
      <c r="BU26" s="1168"/>
      <c r="BV26" s="1168"/>
      <c r="BW26" s="1168"/>
      <c r="BX26" s="1168"/>
      <c r="BY26" s="1168"/>
      <c r="BZ26" s="1168"/>
      <c r="CA26" s="1168"/>
      <c r="CB26" s="1168"/>
      <c r="CC26" s="1168"/>
      <c r="CD26" s="1168"/>
      <c r="CE26" s="1288">
        <f>$A$85*SUM(CE9,CE14)</f>
        <v>2808.6666666666665</v>
      </c>
      <c r="CF26" s="1168"/>
      <c r="CG26" s="1168"/>
      <c r="CH26" s="1168"/>
      <c r="CI26" s="1168"/>
      <c r="CJ26" s="1168"/>
      <c r="CK26" s="1168"/>
      <c r="CL26" s="1168"/>
      <c r="CM26" s="1168"/>
      <c r="CN26" s="1168"/>
      <c r="CO26" s="1168"/>
      <c r="CP26" s="1168"/>
      <c r="CQ26" s="1288">
        <f>$A$85*SUM(CQ9,CQ14)</f>
        <v>3042.7222222222222</v>
      </c>
      <c r="CR26" s="1168"/>
      <c r="CS26" s="1168"/>
      <c r="CT26" s="1168"/>
      <c r="CU26" s="1168"/>
      <c r="CV26" s="1168"/>
      <c r="CW26" s="1168"/>
      <c r="CX26" s="1168"/>
      <c r="CY26" s="1168"/>
      <c r="CZ26" s="1168"/>
      <c r="DA26" s="1168"/>
      <c r="DB26" s="1168"/>
      <c r="DC26" s="1288">
        <f>$A$85*SUM(DC9,DC14)</f>
        <v>3510.833333333333</v>
      </c>
      <c r="DD26" s="1168"/>
      <c r="DE26" s="1168"/>
      <c r="DF26" s="1168"/>
      <c r="DG26" s="1168"/>
      <c r="DH26" s="1168"/>
      <c r="DI26" s="1168"/>
      <c r="DJ26" s="1168"/>
      <c r="DK26" s="1168"/>
      <c r="DL26" s="1168"/>
      <c r="DM26" s="1168"/>
      <c r="DN26" s="1168"/>
      <c r="DO26" s="1288">
        <f>$A$85*SUM(DO9,DO14)</f>
        <v>3510.833333333333</v>
      </c>
      <c r="DP26" s="1168"/>
      <c r="DQ26" s="1168"/>
      <c r="DR26" s="1168"/>
      <c r="DS26" s="1168"/>
      <c r="DT26" s="1168"/>
      <c r="DU26" s="1168"/>
      <c r="DV26" s="1168"/>
      <c r="DW26" s="1168"/>
      <c r="DX26" s="1168"/>
      <c r="DY26" s="1168"/>
      <c r="DZ26" s="1168"/>
      <c r="EA26" s="1288">
        <f>$A$85*SUM(EA9,EA14)</f>
        <v>3978.9444444444443</v>
      </c>
      <c r="EB26" s="1168"/>
      <c r="EC26" s="1168"/>
      <c r="ED26" s="1168"/>
    </row>
    <row r="27" spans="10:134" s="43" customFormat="1" hidden="1" outlineLevel="1" x14ac:dyDescent="0.25">
      <c r="N27" s="208" t="s">
        <v>206</v>
      </c>
      <c r="V27" s="43">
        <f>SUM(V13,V15,V16:V24)</f>
        <v>4581</v>
      </c>
      <c r="W27"/>
      <c r="X27"/>
      <c r="Y27"/>
      <c r="Z27"/>
      <c r="AA27"/>
      <c r="AB27"/>
      <c r="AC27"/>
      <c r="AD27"/>
      <c r="AE27"/>
      <c r="AF27"/>
      <c r="AG27"/>
      <c r="AH27"/>
      <c r="AI27" s="1005">
        <f>SUM(AI13,AI15,AI16:AI24)</f>
        <v>3329</v>
      </c>
      <c r="AJ27"/>
      <c r="AK27"/>
      <c r="AL27"/>
      <c r="AM27"/>
      <c r="AN27"/>
      <c r="AO27"/>
      <c r="AP27"/>
      <c r="AQ27"/>
      <c r="AR27"/>
      <c r="AS27"/>
      <c r="AT27"/>
      <c r="AU27" s="1005">
        <f>SUM(AU13,AU15,AU16:AU24)</f>
        <v>3409</v>
      </c>
      <c r="AV27"/>
      <c r="AW27"/>
      <c r="AX27"/>
      <c r="AY27"/>
      <c r="AZ27"/>
      <c r="BA27"/>
      <c r="BB27"/>
      <c r="BC27"/>
      <c r="BD27"/>
      <c r="BE27"/>
      <c r="BF27"/>
      <c r="BG27" s="1005">
        <f>SUM(BG13,BG15,BG16:BG24)</f>
        <v>3813</v>
      </c>
      <c r="BH27"/>
      <c r="BI27"/>
      <c r="BJ27"/>
      <c r="BK27"/>
      <c r="BL27"/>
      <c r="BM27"/>
      <c r="BN27"/>
      <c r="BO27"/>
      <c r="BP27"/>
      <c r="BQ27"/>
      <c r="BR27"/>
      <c r="BS27" s="1005">
        <f>SUM(BS13,BS15,BS16:BS24)</f>
        <v>3975.5</v>
      </c>
      <c r="BT27"/>
      <c r="BU27"/>
      <c r="BV27"/>
      <c r="BW27"/>
      <c r="BX27"/>
      <c r="BY27"/>
      <c r="BZ27"/>
      <c r="CA27"/>
      <c r="CB27"/>
      <c r="CC27"/>
      <c r="CD27"/>
      <c r="CE27" s="1005">
        <f>SUM(CE13,CE15,CE16:CE24)</f>
        <v>4218</v>
      </c>
      <c r="CF27"/>
      <c r="CG27"/>
      <c r="CH27"/>
      <c r="CI27"/>
      <c r="CJ27"/>
      <c r="CK27"/>
      <c r="CL27"/>
      <c r="CM27"/>
      <c r="CN27"/>
      <c r="CO27"/>
      <c r="CP27"/>
      <c r="CQ27" s="1005">
        <f>SUM(CQ13,CQ15,CQ16:CQ24)</f>
        <v>4380.5</v>
      </c>
      <c r="CR27"/>
      <c r="CS27"/>
      <c r="CT27"/>
      <c r="CU27"/>
      <c r="CV27"/>
      <c r="CW27"/>
      <c r="CX27"/>
      <c r="CY27"/>
      <c r="CZ27"/>
      <c r="DA27"/>
      <c r="DB27"/>
      <c r="DC27" s="1005">
        <f>SUM(DC13,DC15,DC16:DC24)</f>
        <v>4864.5</v>
      </c>
      <c r="DD27"/>
      <c r="DE27"/>
      <c r="DF27"/>
      <c r="DG27"/>
      <c r="DH27"/>
      <c r="DI27"/>
      <c r="DJ27"/>
      <c r="DK27"/>
      <c r="DL27"/>
      <c r="DM27"/>
      <c r="DN27"/>
      <c r="DO27" s="1005">
        <f>SUM(DO13,DO15,DO16:DO24)</f>
        <v>4944.5</v>
      </c>
      <c r="DP27"/>
      <c r="DQ27"/>
      <c r="DR27"/>
      <c r="DS27"/>
      <c r="DT27"/>
      <c r="DU27"/>
      <c r="DV27"/>
      <c r="DW27"/>
      <c r="DX27"/>
      <c r="DY27"/>
      <c r="DZ27"/>
      <c r="EA27" s="1005">
        <f>SUM(EA13,EA15,EA16:EA24)</f>
        <v>5428.5</v>
      </c>
      <c r="EB27"/>
      <c r="EC27"/>
      <c r="ED27"/>
    </row>
    <row r="28" spans="10:134" s="43" customFormat="1" hidden="1" outlineLevel="1" x14ac:dyDescent="0.25">
      <c r="N28" s="208" t="s">
        <v>207</v>
      </c>
      <c r="V28" s="7">
        <f>SUM(V26:V27)</f>
        <v>8794</v>
      </c>
      <c r="W28"/>
      <c r="X28"/>
      <c r="Y28"/>
      <c r="Z28"/>
      <c r="AA28"/>
      <c r="AB28"/>
      <c r="AC28"/>
      <c r="AD28"/>
      <c r="AE28"/>
      <c r="AF28"/>
      <c r="AG28"/>
      <c r="AH28"/>
      <c r="AI28" s="1192">
        <f>SUM(AI26:AI27)</f>
        <v>5201.4444444444443</v>
      </c>
      <c r="AJ28"/>
      <c r="AK28"/>
      <c r="AL28"/>
      <c r="AM28"/>
      <c r="AN28"/>
      <c r="AO28"/>
      <c r="AP28"/>
      <c r="AQ28"/>
      <c r="AR28"/>
      <c r="AS28"/>
      <c r="AT28"/>
      <c r="AU28" s="1192">
        <f>SUM(AU26:AU27)</f>
        <v>5281.4444444444443</v>
      </c>
      <c r="AV28"/>
      <c r="AW28"/>
      <c r="AX28"/>
      <c r="AY28"/>
      <c r="AZ28"/>
      <c r="BA28"/>
      <c r="BB28"/>
      <c r="BC28"/>
      <c r="BD28"/>
      <c r="BE28"/>
      <c r="BF28"/>
      <c r="BG28" s="1192">
        <f>SUM(BG26:BG27)</f>
        <v>6153.5555555555557</v>
      </c>
      <c r="BH28"/>
      <c r="BI28"/>
      <c r="BJ28"/>
      <c r="BK28"/>
      <c r="BL28"/>
      <c r="BM28"/>
      <c r="BN28"/>
      <c r="BO28"/>
      <c r="BP28"/>
      <c r="BQ28"/>
      <c r="BR28"/>
      <c r="BS28" s="1192">
        <f>SUM(BS26:BS27)</f>
        <v>6550.1111111111113</v>
      </c>
      <c r="BT28"/>
      <c r="BU28"/>
      <c r="BV28"/>
      <c r="BW28"/>
      <c r="BX28"/>
      <c r="BY28"/>
      <c r="BZ28"/>
      <c r="CA28"/>
      <c r="CB28"/>
      <c r="CC28"/>
      <c r="CD28"/>
      <c r="CE28" s="1192">
        <f>SUM(CE26:CE27)</f>
        <v>7026.6666666666661</v>
      </c>
      <c r="CF28"/>
      <c r="CG28"/>
      <c r="CH28"/>
      <c r="CI28"/>
      <c r="CJ28"/>
      <c r="CK28"/>
      <c r="CL28"/>
      <c r="CM28"/>
      <c r="CN28"/>
      <c r="CO28"/>
      <c r="CP28"/>
      <c r="CQ28" s="1192">
        <f>SUM(CQ26:CQ27)</f>
        <v>7423.2222222222226</v>
      </c>
      <c r="CR28"/>
      <c r="CS28"/>
      <c r="CT28"/>
      <c r="CU28"/>
      <c r="CV28"/>
      <c r="CW28"/>
      <c r="CX28"/>
      <c r="CY28"/>
      <c r="CZ28"/>
      <c r="DA28"/>
      <c r="DB28"/>
      <c r="DC28" s="1192">
        <f>SUM(DC26:DC27)</f>
        <v>8375.3333333333321</v>
      </c>
      <c r="DD28"/>
      <c r="DE28"/>
      <c r="DF28"/>
      <c r="DG28"/>
      <c r="DH28"/>
      <c r="DI28"/>
      <c r="DJ28"/>
      <c r="DK28"/>
      <c r="DL28"/>
      <c r="DM28"/>
      <c r="DN28"/>
      <c r="DO28" s="1192">
        <f>SUM(DO26:DO27)</f>
        <v>8455.3333333333321</v>
      </c>
      <c r="DP28"/>
      <c r="DQ28"/>
      <c r="DR28"/>
      <c r="DS28"/>
      <c r="DT28"/>
      <c r="DU28"/>
      <c r="DV28"/>
      <c r="DW28"/>
      <c r="DX28"/>
      <c r="DY28"/>
      <c r="DZ28"/>
      <c r="EA28" s="1192">
        <f>SUM(EA26:EA27)</f>
        <v>9407.4444444444453</v>
      </c>
      <c r="EB28"/>
      <c r="EC28"/>
      <c r="ED28"/>
    </row>
    <row r="29" spans="10:134" s="43" customFormat="1" hidden="1" outlineLevel="1" x14ac:dyDescent="0.25">
      <c r="N29" s="208"/>
      <c r="W29"/>
      <c r="X29"/>
      <c r="Y29"/>
      <c r="Z29"/>
      <c r="AA29"/>
      <c r="AB29"/>
      <c r="AC29"/>
      <c r="AD29"/>
      <c r="AE29"/>
      <c r="AF29"/>
      <c r="AG29"/>
      <c r="AH29"/>
      <c r="AI29" s="1005"/>
      <c r="AJ29"/>
      <c r="AK29"/>
      <c r="AL29"/>
      <c r="AM29"/>
      <c r="AN29"/>
      <c r="AO29"/>
      <c r="AP29"/>
      <c r="AQ29"/>
      <c r="AR29"/>
      <c r="AS29"/>
      <c r="AT29"/>
      <c r="AU29" s="1005"/>
      <c r="AV29"/>
      <c r="AW29"/>
      <c r="AX29"/>
      <c r="AY29"/>
      <c r="AZ29"/>
      <c r="BA29"/>
      <c r="BB29"/>
      <c r="BC29"/>
      <c r="BD29"/>
      <c r="BE29"/>
      <c r="BF29"/>
      <c r="BG29" s="1005"/>
      <c r="BH29"/>
      <c r="BI29"/>
      <c r="BJ29"/>
      <c r="BK29"/>
      <c r="BL29"/>
      <c r="BM29"/>
      <c r="BN29"/>
      <c r="BO29"/>
      <c r="BP29"/>
      <c r="BQ29"/>
      <c r="BR29"/>
      <c r="BS29" s="1005"/>
      <c r="BT29"/>
      <c r="BU29"/>
      <c r="BV29"/>
      <c r="BW29"/>
      <c r="BX29"/>
      <c r="BY29"/>
      <c r="BZ29"/>
      <c r="CA29"/>
      <c r="CB29"/>
      <c r="CC29"/>
      <c r="CD29"/>
      <c r="CE29" s="1005"/>
      <c r="CF29"/>
      <c r="CG29"/>
      <c r="CH29"/>
      <c r="CI29"/>
      <c r="CJ29"/>
      <c r="CK29"/>
      <c r="CL29"/>
      <c r="CM29"/>
      <c r="CN29"/>
      <c r="CO29"/>
      <c r="CP29"/>
      <c r="CQ29" s="1005"/>
      <c r="CR29"/>
      <c r="CS29"/>
      <c r="CT29"/>
      <c r="CU29"/>
      <c r="CV29"/>
      <c r="CW29"/>
      <c r="CX29"/>
      <c r="CY29"/>
      <c r="CZ29"/>
      <c r="DA29"/>
      <c r="DB29"/>
      <c r="DC29" s="1005"/>
      <c r="DD29"/>
      <c r="DE29"/>
      <c r="DF29"/>
      <c r="DG29"/>
      <c r="DH29"/>
      <c r="DI29"/>
      <c r="DJ29"/>
      <c r="DK29"/>
      <c r="DL29"/>
      <c r="DM29"/>
      <c r="DN29"/>
      <c r="DO29" s="1005"/>
      <c r="DP29"/>
      <c r="DQ29"/>
      <c r="DR29"/>
      <c r="DS29"/>
      <c r="DT29"/>
      <c r="DU29"/>
      <c r="DV29"/>
      <c r="DW29"/>
      <c r="DX29"/>
      <c r="DY29"/>
      <c r="DZ29"/>
      <c r="EA29" s="1005"/>
      <c r="EB29"/>
      <c r="EC29"/>
      <c r="ED29"/>
    </row>
    <row r="30" spans="10:134" s="43" customFormat="1" hidden="1" outlineLevel="1" x14ac:dyDescent="0.25">
      <c r="N30" s="208" t="s">
        <v>208</v>
      </c>
      <c r="V30" s="1007">
        <v>217</v>
      </c>
      <c r="W30"/>
      <c r="X30"/>
      <c r="Y30"/>
      <c r="Z30"/>
      <c r="AA30"/>
      <c r="AB30"/>
      <c r="AC30"/>
      <c r="AD30"/>
      <c r="AE30"/>
      <c r="AF30"/>
      <c r="AG30"/>
      <c r="AH30"/>
      <c r="AI30" s="1006">
        <f>V30*B35+V30</f>
        <v>234.36</v>
      </c>
      <c r="AJ30"/>
      <c r="AK30"/>
      <c r="AL30"/>
      <c r="AM30"/>
      <c r="AN30"/>
      <c r="AO30"/>
      <c r="AP30"/>
      <c r="AQ30"/>
      <c r="AR30"/>
      <c r="AS30"/>
      <c r="AT30"/>
      <c r="AU30" s="1006">
        <f>AI30*B36+AI30</f>
        <v>253.10880000000003</v>
      </c>
      <c r="AV30"/>
      <c r="AW30"/>
      <c r="AX30"/>
      <c r="AY30"/>
      <c r="AZ30"/>
      <c r="BA30"/>
      <c r="BB30"/>
      <c r="BC30"/>
      <c r="BD30"/>
      <c r="BE30"/>
      <c r="BF30"/>
      <c r="BG30" s="1006">
        <f>AU30*B37+AU30</f>
        <v>273.35750400000006</v>
      </c>
      <c r="BH30"/>
      <c r="BI30"/>
      <c r="BJ30"/>
      <c r="BK30"/>
      <c r="BL30"/>
      <c r="BM30"/>
      <c r="BN30"/>
      <c r="BO30"/>
      <c r="BP30"/>
      <c r="BQ30"/>
      <c r="BR30"/>
      <c r="BS30" s="1006">
        <f>BG30*B38+BG30</f>
        <v>295.22610432000005</v>
      </c>
      <c r="BT30"/>
      <c r="BU30"/>
      <c r="BV30"/>
      <c r="BW30"/>
      <c r="BX30"/>
      <c r="BY30"/>
      <c r="BZ30"/>
      <c r="CA30"/>
      <c r="CB30"/>
      <c r="CC30"/>
      <c r="CD30"/>
      <c r="CE30" s="1006">
        <f>BS30*B39+BS30</f>
        <v>318.84419266560008</v>
      </c>
      <c r="CF30"/>
      <c r="CG30"/>
      <c r="CH30"/>
      <c r="CI30"/>
      <c r="CJ30"/>
      <c r="CK30"/>
      <c r="CL30"/>
      <c r="CM30"/>
      <c r="CN30"/>
      <c r="CO30"/>
      <c r="CP30"/>
      <c r="CQ30" s="1006">
        <f>CE30*B40+CE30</f>
        <v>344.35172807884805</v>
      </c>
      <c r="CR30"/>
      <c r="CS30"/>
      <c r="CT30"/>
      <c r="CU30"/>
      <c r="CV30"/>
      <c r="CW30"/>
      <c r="CX30"/>
      <c r="CY30"/>
      <c r="CZ30"/>
      <c r="DA30"/>
      <c r="DB30"/>
      <c r="DC30" s="1006">
        <f>CQ30*B41+CQ30</f>
        <v>371.89986632515593</v>
      </c>
      <c r="DD30"/>
      <c r="DE30"/>
      <c r="DF30"/>
      <c r="DG30"/>
      <c r="DH30"/>
      <c r="DI30"/>
      <c r="DJ30"/>
      <c r="DK30"/>
      <c r="DL30"/>
      <c r="DM30"/>
      <c r="DN30"/>
      <c r="DO30" s="1006">
        <f>DC30*B42+DC30</f>
        <v>401.65185563116842</v>
      </c>
      <c r="DP30"/>
      <c r="DQ30"/>
      <c r="DR30"/>
      <c r="DS30"/>
      <c r="DT30"/>
      <c r="DU30"/>
      <c r="DV30"/>
      <c r="DW30"/>
      <c r="DX30"/>
      <c r="DY30"/>
      <c r="DZ30"/>
      <c r="EA30" s="1006">
        <f>DO30*B43+DO30</f>
        <v>433.78400408166192</v>
      </c>
      <c r="EB30"/>
      <c r="EC30"/>
      <c r="ED30"/>
    </row>
    <row r="31" spans="10:134" s="43" customFormat="1" hidden="1" outlineLevel="1" x14ac:dyDescent="0.25">
      <c r="N31" s="208" t="s">
        <v>209</v>
      </c>
      <c r="V31" s="1007">
        <v>184</v>
      </c>
      <c r="W31"/>
      <c r="X31"/>
      <c r="Y31"/>
      <c r="Z31"/>
      <c r="AA31"/>
      <c r="AB31"/>
      <c r="AC31"/>
      <c r="AD31"/>
      <c r="AE31"/>
      <c r="AF31"/>
      <c r="AG31"/>
      <c r="AH31"/>
      <c r="AI31" s="1006">
        <f>V31*B49+V31</f>
        <v>212.52</v>
      </c>
      <c r="AJ31"/>
      <c r="AK31"/>
      <c r="AL31"/>
      <c r="AM31"/>
      <c r="AN31"/>
      <c r="AO31"/>
      <c r="AP31"/>
      <c r="AQ31"/>
      <c r="AR31"/>
      <c r="AS31"/>
      <c r="AT31"/>
      <c r="AU31" s="1006">
        <f>AI31*B50+AI31</f>
        <v>260.12448000000001</v>
      </c>
      <c r="AV31"/>
      <c r="AW31"/>
      <c r="AX31"/>
      <c r="AY31"/>
      <c r="AZ31"/>
      <c r="BA31"/>
      <c r="BB31"/>
      <c r="BC31"/>
      <c r="BD31"/>
      <c r="BE31"/>
      <c r="BF31"/>
      <c r="BG31" s="1006">
        <f>AU31*B51+AU31</f>
        <v>316.31136767999999</v>
      </c>
      <c r="BH31"/>
      <c r="BI31"/>
      <c r="BJ31"/>
      <c r="BK31"/>
      <c r="BL31"/>
      <c r="BM31"/>
      <c r="BN31"/>
      <c r="BO31"/>
      <c r="BP31"/>
      <c r="BQ31"/>
      <c r="BR31"/>
      <c r="BS31" s="1006">
        <f>BG31*B52+BG31</f>
        <v>379.573641216</v>
      </c>
      <c r="BT31"/>
      <c r="BU31"/>
      <c r="BV31"/>
      <c r="BW31"/>
      <c r="BX31"/>
      <c r="BY31"/>
      <c r="BZ31"/>
      <c r="CA31"/>
      <c r="CB31"/>
      <c r="CC31"/>
      <c r="CD31"/>
      <c r="CE31" s="1006">
        <f>BS31*B53+BS31</f>
        <v>455.48836945919999</v>
      </c>
      <c r="CF31"/>
      <c r="CG31"/>
      <c r="CH31"/>
      <c r="CI31"/>
      <c r="CJ31"/>
      <c r="CK31"/>
      <c r="CL31"/>
      <c r="CM31"/>
      <c r="CN31"/>
      <c r="CO31"/>
      <c r="CP31"/>
      <c r="CQ31" s="1006">
        <f>CE31*B54+CE31</f>
        <v>546.58604335103996</v>
      </c>
      <c r="CR31"/>
      <c r="CS31"/>
      <c r="CT31"/>
      <c r="CU31"/>
      <c r="CV31"/>
      <c r="CW31"/>
      <c r="CX31"/>
      <c r="CY31"/>
      <c r="CZ31"/>
      <c r="DA31"/>
      <c r="DB31"/>
      <c r="DC31" s="1006">
        <f>CQ31*B55+CQ31</f>
        <v>655.90325202124791</v>
      </c>
      <c r="DD31"/>
      <c r="DE31"/>
      <c r="DF31"/>
      <c r="DG31"/>
      <c r="DH31"/>
      <c r="DI31"/>
      <c r="DJ31"/>
      <c r="DK31"/>
      <c r="DL31"/>
      <c r="DM31"/>
      <c r="DN31"/>
      <c r="DO31" s="1006">
        <f>DC31*B56+DC31</f>
        <v>787.08390242549751</v>
      </c>
      <c r="DP31"/>
      <c r="DQ31"/>
      <c r="DR31"/>
      <c r="DS31"/>
      <c r="DT31"/>
      <c r="DU31"/>
      <c r="DV31"/>
      <c r="DW31"/>
      <c r="DX31"/>
      <c r="DY31"/>
      <c r="DZ31"/>
      <c r="EA31" s="1006">
        <f>DO31*B61+DO31</f>
        <v>881.53397071655718</v>
      </c>
      <c r="EB31"/>
      <c r="EC31"/>
      <c r="ED31"/>
    </row>
    <row r="32" spans="10:134" s="87" customFormat="1" hidden="1" outlineLevel="1" x14ac:dyDescent="0.25">
      <c r="N32" s="1008" t="s">
        <v>210</v>
      </c>
      <c r="V32" s="1009">
        <f>SUM(V30:V31)</f>
        <v>401</v>
      </c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1010">
        <f>SUM(AI30:AI31)</f>
        <v>446.88</v>
      </c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1010">
        <f>SUM(AU30:AU31)</f>
        <v>513.23328000000004</v>
      </c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1010">
        <f>SUM(BG30:BG31)</f>
        <v>589.66887168000005</v>
      </c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1010">
        <f>SUM(BS30:BS31)</f>
        <v>674.79974553600005</v>
      </c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1010">
        <f>SUM(CE30:CE31)</f>
        <v>774.33256212480001</v>
      </c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1010">
        <f>SUM(CQ30:CQ31)</f>
        <v>890.93777142988802</v>
      </c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1010">
        <f>SUM(DC30:DC31)</f>
        <v>1027.8031183464038</v>
      </c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1010">
        <f>SUM(DO30:DO31)</f>
        <v>1188.7357580566659</v>
      </c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1010">
        <f>SUM(EA30:EA31)</f>
        <v>1315.317974798219</v>
      </c>
      <c r="EB32" s="35"/>
      <c r="EC32" s="35"/>
      <c r="ED32" s="35"/>
    </row>
    <row r="33" spans="1:134" s="11" customFormat="1" ht="15.75" collapsed="1" thickBot="1" x14ac:dyDescent="0.3">
      <c r="M33" s="938"/>
      <c r="N33" s="938"/>
      <c r="O33" s="938"/>
      <c r="P33" s="938"/>
      <c r="Q33" s="938"/>
      <c r="R33" s="938"/>
      <c r="S33" s="938"/>
      <c r="T33" s="938"/>
      <c r="U33" s="1003"/>
      <c r="V33" s="939"/>
      <c r="AI33" s="1002"/>
      <c r="AU33" s="1002"/>
      <c r="BG33" s="1002"/>
      <c r="BS33" s="1002"/>
      <c r="CE33" s="1002"/>
      <c r="CQ33" s="1002"/>
      <c r="DC33" s="1002"/>
      <c r="DO33" s="1002"/>
      <c r="EA33" s="1002"/>
    </row>
    <row r="34" spans="1:134" ht="18.75" customHeight="1" outlineLevel="1" x14ac:dyDescent="0.3">
      <c r="A34" s="1671" t="s">
        <v>211</v>
      </c>
      <c r="B34" s="1671"/>
      <c r="C34" s="1674" t="s">
        <v>212</v>
      </c>
      <c r="D34" s="998" t="s">
        <v>213</v>
      </c>
      <c r="E34" s="946"/>
      <c r="F34" s="947"/>
      <c r="G34" s="947"/>
      <c r="H34" s="947"/>
      <c r="I34" s="947"/>
      <c r="J34" s="947"/>
      <c r="K34" s="947"/>
      <c r="L34" s="948"/>
      <c r="M34" s="947"/>
      <c r="N34" s="946" t="s">
        <v>214</v>
      </c>
      <c r="O34" s="947"/>
      <c r="P34" s="947"/>
      <c r="Q34" s="947"/>
      <c r="R34" s="948"/>
      <c r="S34" s="947"/>
      <c r="T34" s="947"/>
      <c r="U34" s="947"/>
      <c r="V34" s="1123">
        <f>SUM(V38,V40)</f>
        <v>4</v>
      </c>
      <c r="W34" s="1126">
        <f>SUM(W38,W40)</f>
        <v>2</v>
      </c>
      <c r="X34" s="1127">
        <f t="shared" ref="X34:CI34" si="10">SUM(X38,X40)</f>
        <v>2</v>
      </c>
      <c r="Y34" s="1127">
        <f t="shared" si="10"/>
        <v>2</v>
      </c>
      <c r="Z34" s="1127">
        <f t="shared" si="10"/>
        <v>2</v>
      </c>
      <c r="AA34" s="1127">
        <f t="shared" si="10"/>
        <v>2</v>
      </c>
      <c r="AB34" s="1127">
        <f t="shared" si="10"/>
        <v>2</v>
      </c>
      <c r="AC34" s="1127">
        <f t="shared" si="10"/>
        <v>3</v>
      </c>
      <c r="AD34" s="1127">
        <f t="shared" si="10"/>
        <v>3</v>
      </c>
      <c r="AE34" s="1127">
        <f t="shared" si="10"/>
        <v>3</v>
      </c>
      <c r="AF34" s="1127">
        <f t="shared" si="10"/>
        <v>3</v>
      </c>
      <c r="AG34" s="1127">
        <f t="shared" si="10"/>
        <v>3</v>
      </c>
      <c r="AH34" s="1127">
        <f t="shared" si="10"/>
        <v>3</v>
      </c>
      <c r="AI34" s="1128">
        <f t="shared" si="10"/>
        <v>3</v>
      </c>
      <c r="AJ34" s="1127">
        <f t="shared" si="10"/>
        <v>3</v>
      </c>
      <c r="AK34" s="1127">
        <f t="shared" si="10"/>
        <v>3</v>
      </c>
      <c r="AL34" s="1127">
        <f t="shared" si="10"/>
        <v>3</v>
      </c>
      <c r="AM34" s="1127">
        <f t="shared" si="10"/>
        <v>3</v>
      </c>
      <c r="AN34" s="1127">
        <f t="shared" si="10"/>
        <v>3</v>
      </c>
      <c r="AO34" s="1127">
        <f t="shared" si="10"/>
        <v>3</v>
      </c>
      <c r="AP34" s="1127">
        <f t="shared" si="10"/>
        <v>3</v>
      </c>
      <c r="AQ34" s="1127">
        <f t="shared" si="10"/>
        <v>3</v>
      </c>
      <c r="AR34" s="1127">
        <f t="shared" si="10"/>
        <v>3</v>
      </c>
      <c r="AS34" s="1127">
        <f t="shared" si="10"/>
        <v>3</v>
      </c>
      <c r="AT34" s="1127">
        <f t="shared" si="10"/>
        <v>3</v>
      </c>
      <c r="AU34" s="1128">
        <f t="shared" si="10"/>
        <v>3</v>
      </c>
      <c r="AV34" s="1127">
        <f t="shared" si="10"/>
        <v>3</v>
      </c>
      <c r="AW34" s="1127">
        <f t="shared" si="10"/>
        <v>3</v>
      </c>
      <c r="AX34" s="1127">
        <f t="shared" si="10"/>
        <v>3</v>
      </c>
      <c r="AY34" s="1127">
        <f t="shared" si="10"/>
        <v>3</v>
      </c>
      <c r="AZ34" s="1127">
        <f t="shared" si="10"/>
        <v>4</v>
      </c>
      <c r="BA34" s="1127">
        <f t="shared" si="10"/>
        <v>4</v>
      </c>
      <c r="BB34" s="1127">
        <f t="shared" si="10"/>
        <v>4</v>
      </c>
      <c r="BC34" s="1127">
        <f t="shared" si="10"/>
        <v>4</v>
      </c>
      <c r="BD34" s="1127">
        <f t="shared" si="10"/>
        <v>4</v>
      </c>
      <c r="BE34" s="1127">
        <f t="shared" si="10"/>
        <v>4</v>
      </c>
      <c r="BF34" s="1127">
        <f t="shared" si="10"/>
        <v>5</v>
      </c>
      <c r="BG34" s="1128">
        <f t="shared" si="10"/>
        <v>5</v>
      </c>
      <c r="BH34" s="1127">
        <f t="shared" si="10"/>
        <v>5</v>
      </c>
      <c r="BI34" s="1127">
        <f t="shared" si="10"/>
        <v>5</v>
      </c>
      <c r="BJ34" s="1127">
        <f t="shared" si="10"/>
        <v>5</v>
      </c>
      <c r="BK34" s="1127">
        <f t="shared" si="10"/>
        <v>5</v>
      </c>
      <c r="BL34" s="1127">
        <f t="shared" si="10"/>
        <v>5</v>
      </c>
      <c r="BM34" s="1127">
        <f t="shared" si="10"/>
        <v>5</v>
      </c>
      <c r="BN34" s="1127">
        <f t="shared" si="10"/>
        <v>5</v>
      </c>
      <c r="BO34" s="1127">
        <f t="shared" si="10"/>
        <v>5</v>
      </c>
      <c r="BP34" s="1127">
        <f t="shared" si="10"/>
        <v>5</v>
      </c>
      <c r="BQ34" s="1127">
        <f t="shared" si="10"/>
        <v>5</v>
      </c>
      <c r="BR34" s="1127">
        <f t="shared" si="10"/>
        <v>5</v>
      </c>
      <c r="BS34" s="1128">
        <f t="shared" si="10"/>
        <v>5</v>
      </c>
      <c r="BT34" s="1127">
        <f t="shared" si="10"/>
        <v>5</v>
      </c>
      <c r="BU34" s="1127">
        <f t="shared" si="10"/>
        <v>5</v>
      </c>
      <c r="BV34" s="1127">
        <f t="shared" si="10"/>
        <v>5</v>
      </c>
      <c r="BW34" s="1127">
        <f t="shared" si="10"/>
        <v>5</v>
      </c>
      <c r="BX34" s="1127">
        <f t="shared" si="10"/>
        <v>5</v>
      </c>
      <c r="BY34" s="1127">
        <f t="shared" si="10"/>
        <v>5</v>
      </c>
      <c r="BZ34" s="1127">
        <f t="shared" si="10"/>
        <v>5</v>
      </c>
      <c r="CA34" s="1127">
        <f t="shared" si="10"/>
        <v>5</v>
      </c>
      <c r="CB34" s="1127">
        <f t="shared" si="10"/>
        <v>5</v>
      </c>
      <c r="CC34" s="1127">
        <f t="shared" si="10"/>
        <v>5</v>
      </c>
      <c r="CD34" s="1127">
        <f t="shared" si="10"/>
        <v>5</v>
      </c>
      <c r="CE34" s="1128">
        <f t="shared" si="10"/>
        <v>5</v>
      </c>
      <c r="CF34" s="1127">
        <f t="shared" si="10"/>
        <v>5</v>
      </c>
      <c r="CG34" s="1127">
        <f t="shared" si="10"/>
        <v>6</v>
      </c>
      <c r="CH34" s="1127">
        <f t="shared" si="10"/>
        <v>6</v>
      </c>
      <c r="CI34" s="1127">
        <f t="shared" si="10"/>
        <v>6</v>
      </c>
      <c r="CJ34" s="1127">
        <f t="shared" ref="CJ34:ED34" si="11">SUM(CJ38,CJ40)</f>
        <v>6</v>
      </c>
      <c r="CK34" s="1127">
        <f t="shared" si="11"/>
        <v>6</v>
      </c>
      <c r="CL34" s="1127">
        <f t="shared" si="11"/>
        <v>6</v>
      </c>
      <c r="CM34" s="1127">
        <f t="shared" si="11"/>
        <v>6</v>
      </c>
      <c r="CN34" s="1127">
        <f t="shared" si="11"/>
        <v>6</v>
      </c>
      <c r="CO34" s="1127">
        <f t="shared" si="11"/>
        <v>6</v>
      </c>
      <c r="CP34" s="1127">
        <f t="shared" si="11"/>
        <v>6</v>
      </c>
      <c r="CQ34" s="1128">
        <f t="shared" si="11"/>
        <v>6</v>
      </c>
      <c r="CR34" s="1127">
        <f t="shared" si="11"/>
        <v>6</v>
      </c>
      <c r="CS34" s="1127">
        <f t="shared" si="11"/>
        <v>6</v>
      </c>
      <c r="CT34" s="1127">
        <f t="shared" si="11"/>
        <v>7</v>
      </c>
      <c r="CU34" s="1127">
        <f t="shared" si="11"/>
        <v>7</v>
      </c>
      <c r="CV34" s="1127">
        <f t="shared" si="11"/>
        <v>7</v>
      </c>
      <c r="CW34" s="1127">
        <f t="shared" si="11"/>
        <v>7</v>
      </c>
      <c r="CX34" s="1127">
        <f t="shared" si="11"/>
        <v>7</v>
      </c>
      <c r="CY34" s="1127">
        <f t="shared" si="11"/>
        <v>7</v>
      </c>
      <c r="CZ34" s="1127">
        <f t="shared" si="11"/>
        <v>8</v>
      </c>
      <c r="DA34" s="1127">
        <f t="shared" si="11"/>
        <v>8</v>
      </c>
      <c r="DB34" s="1127">
        <f t="shared" si="11"/>
        <v>8</v>
      </c>
      <c r="DC34" s="1128">
        <f t="shared" si="11"/>
        <v>8</v>
      </c>
      <c r="DD34" s="1127">
        <f t="shared" si="11"/>
        <v>8</v>
      </c>
      <c r="DE34" s="1127">
        <f t="shared" si="11"/>
        <v>8</v>
      </c>
      <c r="DF34" s="1127">
        <f t="shared" si="11"/>
        <v>8</v>
      </c>
      <c r="DG34" s="1127">
        <f t="shared" si="11"/>
        <v>8</v>
      </c>
      <c r="DH34" s="1127">
        <f t="shared" si="11"/>
        <v>8</v>
      </c>
      <c r="DI34" s="1127">
        <f t="shared" si="11"/>
        <v>8</v>
      </c>
      <c r="DJ34" s="1127">
        <f t="shared" si="11"/>
        <v>8</v>
      </c>
      <c r="DK34" s="1127">
        <f t="shared" si="11"/>
        <v>8</v>
      </c>
      <c r="DL34" s="1127">
        <f t="shared" si="11"/>
        <v>8</v>
      </c>
      <c r="DM34" s="1127">
        <f t="shared" si="11"/>
        <v>8</v>
      </c>
      <c r="DN34" s="1127">
        <f t="shared" si="11"/>
        <v>8</v>
      </c>
      <c r="DO34" s="1128">
        <f t="shared" si="11"/>
        <v>8</v>
      </c>
      <c r="DP34" s="1127">
        <f t="shared" si="11"/>
        <v>9</v>
      </c>
      <c r="DQ34" s="1127">
        <f t="shared" si="11"/>
        <v>9</v>
      </c>
      <c r="DR34" s="1127">
        <f t="shared" si="11"/>
        <v>9</v>
      </c>
      <c r="DS34" s="1127">
        <f t="shared" si="11"/>
        <v>9</v>
      </c>
      <c r="DT34" s="1127">
        <f t="shared" si="11"/>
        <v>9</v>
      </c>
      <c r="DU34" s="1127">
        <f t="shared" si="11"/>
        <v>9</v>
      </c>
      <c r="DV34" s="1127">
        <f t="shared" si="11"/>
        <v>9</v>
      </c>
      <c r="DW34" s="1127">
        <f t="shared" si="11"/>
        <v>9</v>
      </c>
      <c r="DX34" s="1127">
        <f t="shared" si="11"/>
        <v>9</v>
      </c>
      <c r="DY34" s="1127">
        <f t="shared" si="11"/>
        <v>9</v>
      </c>
      <c r="DZ34" s="1127">
        <f t="shared" si="11"/>
        <v>10</v>
      </c>
      <c r="EA34" s="1128">
        <f t="shared" si="11"/>
        <v>10</v>
      </c>
      <c r="EB34" s="1127">
        <f t="shared" si="11"/>
        <v>10</v>
      </c>
      <c r="EC34" s="1127">
        <f t="shared" si="11"/>
        <v>10</v>
      </c>
      <c r="ED34" s="1129">
        <f t="shared" si="11"/>
        <v>10</v>
      </c>
    </row>
    <row r="35" spans="1:134" ht="18.75" outlineLevel="1" x14ac:dyDescent="0.3">
      <c r="A35" t="s">
        <v>215</v>
      </c>
      <c r="B35" s="170">
        <f>'Growth Prediction Exec Summary'!C5</f>
        <v>0.08</v>
      </c>
      <c r="C35" s="1675"/>
      <c r="D35" s="1633" t="s">
        <v>216</v>
      </c>
      <c r="E35" s="1633"/>
      <c r="F35" s="1633"/>
      <c r="G35" s="1633"/>
      <c r="H35" s="1633"/>
      <c r="I35" s="1633"/>
      <c r="J35" s="1633"/>
      <c r="K35" s="1633"/>
      <c r="L35" s="962"/>
      <c r="M35" s="1327">
        <f>N35*100</f>
        <v>8</v>
      </c>
      <c r="N35" s="1391">
        <f>'SEC Benches Data'!B4/100</f>
        <v>0.08</v>
      </c>
      <c r="O35" s="1392">
        <f>'SEC Benches Data'!N4/100</f>
        <v>0.12</v>
      </c>
      <c r="P35" s="1392">
        <f>'SEC Benches Data'!Z4/100</f>
        <v>0.16</v>
      </c>
      <c r="Q35" s="941"/>
      <c r="R35" s="949">
        <f>P35-N35</f>
        <v>0.08</v>
      </c>
      <c r="S35" s="942">
        <v>1</v>
      </c>
      <c r="T35" s="942">
        <v>2</v>
      </c>
      <c r="U35" s="940"/>
      <c r="V35" s="1124"/>
      <c r="W35" s="1138">
        <f>M35</f>
        <v>8</v>
      </c>
      <c r="X35" s="1139">
        <f>W35</f>
        <v>8</v>
      </c>
      <c r="Y35" s="1139">
        <f>X35</f>
        <v>8</v>
      </c>
      <c r="Z35" s="1139">
        <f>O35*100</f>
        <v>12</v>
      </c>
      <c r="AA35" s="1139">
        <f>Z35</f>
        <v>12</v>
      </c>
      <c r="AB35" s="1139">
        <f>AA35</f>
        <v>12</v>
      </c>
      <c r="AC35" s="1139">
        <f>P35*100</f>
        <v>16</v>
      </c>
      <c r="AD35" s="1139">
        <f>AC35</f>
        <v>16</v>
      </c>
      <c r="AE35" s="1139">
        <f>AD35</f>
        <v>16</v>
      </c>
      <c r="AF35" s="1139">
        <f>AE35</f>
        <v>16</v>
      </c>
      <c r="AG35" s="1139">
        <f>AF35</f>
        <v>16</v>
      </c>
      <c r="AH35" s="1139">
        <f>AG35</f>
        <v>16</v>
      </c>
      <c r="AI35" s="1140">
        <f t="shared" ref="AI35:AT35" si="12">(((AH35*(1+($B$50*$B$4)))-AH35)/12)+AH35</f>
        <v>16.268799999999999</v>
      </c>
      <c r="AJ35" s="1139">
        <f t="shared" si="12"/>
        <v>16.542115839999997</v>
      </c>
      <c r="AK35" s="1139">
        <f t="shared" si="12"/>
        <v>16.820023386111998</v>
      </c>
      <c r="AL35" s="1139">
        <f t="shared" si="12"/>
        <v>17.10259977899868</v>
      </c>
      <c r="AM35" s="1139">
        <f t="shared" si="12"/>
        <v>17.389923455285857</v>
      </c>
      <c r="AN35" s="1139">
        <f t="shared" si="12"/>
        <v>17.682074169334658</v>
      </c>
      <c r="AO35" s="1139">
        <f t="shared" si="12"/>
        <v>17.979133015379482</v>
      </c>
      <c r="AP35" s="1139">
        <f t="shared" si="12"/>
        <v>18.281182450037857</v>
      </c>
      <c r="AQ35" s="1139">
        <f t="shared" si="12"/>
        <v>18.588306315198494</v>
      </c>
      <c r="AR35" s="1139">
        <f t="shared" si="12"/>
        <v>18.900589861293827</v>
      </c>
      <c r="AS35" s="1139">
        <f t="shared" si="12"/>
        <v>19.218119770963565</v>
      </c>
      <c r="AT35" s="1139">
        <f t="shared" si="12"/>
        <v>19.540984183115754</v>
      </c>
      <c r="AU35" s="1140">
        <f t="shared" ref="AU35:BF35" si="13">(((AT35*(1+($B$51*$B$4)))-AT35)/12)+AT35</f>
        <v>19.857548126882229</v>
      </c>
      <c r="AV35" s="1139">
        <f t="shared" si="13"/>
        <v>20.179240406537719</v>
      </c>
      <c r="AW35" s="1139">
        <f t="shared" si="13"/>
        <v>20.506144101123631</v>
      </c>
      <c r="AX35" s="1139">
        <f t="shared" si="13"/>
        <v>20.838343635561834</v>
      </c>
      <c r="AY35" s="1139">
        <f t="shared" si="13"/>
        <v>21.175924802457935</v>
      </c>
      <c r="AZ35" s="1139">
        <f t="shared" si="13"/>
        <v>21.518974784257754</v>
      </c>
      <c r="BA35" s="1139">
        <f t="shared" si="13"/>
        <v>21.867582175762728</v>
      </c>
      <c r="BB35" s="1139">
        <f t="shared" si="13"/>
        <v>22.221837007010084</v>
      </c>
      <c r="BC35" s="1139">
        <f t="shared" si="13"/>
        <v>22.581830766523648</v>
      </c>
      <c r="BD35" s="1139">
        <f t="shared" si="13"/>
        <v>22.947656424941332</v>
      </c>
      <c r="BE35" s="1139">
        <f t="shared" si="13"/>
        <v>23.319408459025382</v>
      </c>
      <c r="BF35" s="1139">
        <f t="shared" si="13"/>
        <v>23.697182876061593</v>
      </c>
      <c r="BG35" s="1140">
        <f t="shared" ref="BG35:BR35" si="14">(((BF35*(1+($B$52*$B$4)))-BF35)/12)+BF35</f>
        <v>24.052640619202517</v>
      </c>
      <c r="BH35" s="1139">
        <f t="shared" si="14"/>
        <v>24.413430228490554</v>
      </c>
      <c r="BI35" s="1139">
        <f t="shared" si="14"/>
        <v>24.779631681917913</v>
      </c>
      <c r="BJ35" s="1139">
        <f t="shared" si="14"/>
        <v>25.151326157146681</v>
      </c>
      <c r="BK35" s="1139">
        <f t="shared" si="14"/>
        <v>25.528596049503882</v>
      </c>
      <c r="BL35" s="1139">
        <f t="shared" si="14"/>
        <v>25.911524990246441</v>
      </c>
      <c r="BM35" s="1139">
        <f t="shared" si="14"/>
        <v>26.300197865100138</v>
      </c>
      <c r="BN35" s="1139">
        <f t="shared" si="14"/>
        <v>26.694700833076642</v>
      </c>
      <c r="BO35" s="1139">
        <f t="shared" si="14"/>
        <v>27.095121345572792</v>
      </c>
      <c r="BP35" s="1139">
        <f t="shared" si="14"/>
        <v>27.501548165756383</v>
      </c>
      <c r="BQ35" s="1139">
        <f t="shared" si="14"/>
        <v>27.914071388242728</v>
      </c>
      <c r="BR35" s="1139">
        <f t="shared" si="14"/>
        <v>28.332782459066369</v>
      </c>
      <c r="BS35" s="1140">
        <f t="shared" ref="BS35:CD35" si="15">(((BR35*(1+($B$53*$B$4)))-BR35)/12)+BR35</f>
        <v>28.757774195952365</v>
      </c>
      <c r="BT35" s="1139">
        <f t="shared" si="15"/>
        <v>29.189140808891651</v>
      </c>
      <c r="BU35" s="1139">
        <f t="shared" si="15"/>
        <v>29.626977921025023</v>
      </c>
      <c r="BV35" s="1139">
        <f t="shared" si="15"/>
        <v>30.071382589840397</v>
      </c>
      <c r="BW35" s="1139">
        <f t="shared" si="15"/>
        <v>30.522453328688002</v>
      </c>
      <c r="BX35" s="1139">
        <f t="shared" si="15"/>
        <v>30.980290128618321</v>
      </c>
      <c r="BY35" s="1139">
        <f t="shared" si="15"/>
        <v>31.444994480547596</v>
      </c>
      <c r="BZ35" s="1139">
        <f t="shared" si="15"/>
        <v>31.916669397755811</v>
      </c>
      <c r="CA35" s="1139">
        <f t="shared" si="15"/>
        <v>32.395419438722151</v>
      </c>
      <c r="CB35" s="1139">
        <f t="shared" si="15"/>
        <v>32.881350730302984</v>
      </c>
      <c r="CC35" s="1139">
        <f t="shared" si="15"/>
        <v>33.374570991257528</v>
      </c>
      <c r="CD35" s="1139">
        <f t="shared" si="15"/>
        <v>33.875189556126394</v>
      </c>
      <c r="CE35" s="1140">
        <f t="shared" ref="CE35:CP35" si="16">(((CD35*(1+($B$54*$B$4)))-CD35)/12)+CD35</f>
        <v>34.383317399468289</v>
      </c>
      <c r="CF35" s="1139">
        <f t="shared" si="16"/>
        <v>34.899067160460312</v>
      </c>
      <c r="CG35" s="1139">
        <f t="shared" si="16"/>
        <v>35.422553167867214</v>
      </c>
      <c r="CH35" s="1139">
        <f t="shared" si="16"/>
        <v>35.953891465385226</v>
      </c>
      <c r="CI35" s="1139">
        <f t="shared" si="16"/>
        <v>36.493199837366006</v>
      </c>
      <c r="CJ35" s="1139">
        <f t="shared" si="16"/>
        <v>37.040597834926494</v>
      </c>
      <c r="CK35" s="1139">
        <f t="shared" si="16"/>
        <v>37.596206802450389</v>
      </c>
      <c r="CL35" s="1139">
        <f t="shared" si="16"/>
        <v>38.160149904487142</v>
      </c>
      <c r="CM35" s="1139">
        <f t="shared" si="16"/>
        <v>38.732552153054449</v>
      </c>
      <c r="CN35" s="1139">
        <f t="shared" si="16"/>
        <v>39.313540435350262</v>
      </c>
      <c r="CO35" s="1139">
        <f t="shared" si="16"/>
        <v>39.903243541880514</v>
      </c>
      <c r="CP35" s="1139">
        <f t="shared" si="16"/>
        <v>40.501792195008719</v>
      </c>
      <c r="CQ35" s="1140">
        <f t="shared" ref="CQ35:DB35" si="17">(((CP35*(1+($B$55*$B$4)))-CP35)/12)+CP35</f>
        <v>41.109319077933847</v>
      </c>
      <c r="CR35" s="1139">
        <f t="shared" si="17"/>
        <v>41.725958864102857</v>
      </c>
      <c r="CS35" s="1139">
        <f t="shared" si="17"/>
        <v>42.351848247064396</v>
      </c>
      <c r="CT35" s="1139">
        <f t="shared" si="17"/>
        <v>42.987125970770364</v>
      </c>
      <c r="CU35" s="1139">
        <f t="shared" si="17"/>
        <v>43.631932860331922</v>
      </c>
      <c r="CV35" s="1139">
        <f t="shared" si="17"/>
        <v>44.286411853236899</v>
      </c>
      <c r="CW35" s="1139">
        <f t="shared" si="17"/>
        <v>44.950708031035454</v>
      </c>
      <c r="CX35" s="1139">
        <f t="shared" si="17"/>
        <v>45.624968651500986</v>
      </c>
      <c r="CY35" s="1139">
        <f t="shared" si="17"/>
        <v>46.309343181273498</v>
      </c>
      <c r="CZ35" s="1139">
        <f t="shared" si="17"/>
        <v>47.003983328992604</v>
      </c>
      <c r="DA35" s="1139">
        <f t="shared" si="17"/>
        <v>47.709043078927493</v>
      </c>
      <c r="DB35" s="1139">
        <f t="shared" si="17"/>
        <v>48.424678725111406</v>
      </c>
      <c r="DC35" s="1140">
        <f t="shared" ref="DC35:DN35" si="18">(((DB35*(1+($B$56*$B$4)))-DB35)/12)+DB35</f>
        <v>49.151048905988077</v>
      </c>
      <c r="DD35" s="1139">
        <f t="shared" si="18"/>
        <v>49.888314639577899</v>
      </c>
      <c r="DE35" s="1139">
        <f t="shared" si="18"/>
        <v>50.636639359171568</v>
      </c>
      <c r="DF35" s="1139">
        <f t="shared" si="18"/>
        <v>51.396188949559139</v>
      </c>
      <c r="DG35" s="1139">
        <f t="shared" si="18"/>
        <v>52.167131783802525</v>
      </c>
      <c r="DH35" s="1139">
        <f t="shared" si="18"/>
        <v>52.949638760559566</v>
      </c>
      <c r="DI35" s="1139">
        <f t="shared" si="18"/>
        <v>53.743883341967958</v>
      </c>
      <c r="DJ35" s="1139">
        <f t="shared" si="18"/>
        <v>54.550041592097479</v>
      </c>
      <c r="DK35" s="1139">
        <f t="shared" si="18"/>
        <v>55.36829221597894</v>
      </c>
      <c r="DL35" s="1139">
        <f t="shared" si="18"/>
        <v>56.198816599218624</v>
      </c>
      <c r="DM35" s="1139">
        <f t="shared" si="18"/>
        <v>57.041798848206902</v>
      </c>
      <c r="DN35" s="1139">
        <f t="shared" si="18"/>
        <v>57.897425830930004</v>
      </c>
      <c r="DO35" s="1140">
        <f t="shared" ref="DO35:DZ35" si="19">(((DN35*(1+($B$61*$B$4)))-DN35)/12)+DN35</f>
        <v>58.418502663408375</v>
      </c>
      <c r="DP35" s="1139">
        <f t="shared" si="19"/>
        <v>58.944269187379049</v>
      </c>
      <c r="DQ35" s="1139">
        <f t="shared" si="19"/>
        <v>59.474767610065463</v>
      </c>
      <c r="DR35" s="1139">
        <f t="shared" si="19"/>
        <v>60.010040518556053</v>
      </c>
      <c r="DS35" s="1139">
        <f t="shared" si="19"/>
        <v>60.550130883223062</v>
      </c>
      <c r="DT35" s="1139">
        <f t="shared" si="19"/>
        <v>61.095082061172072</v>
      </c>
      <c r="DU35" s="1139">
        <f t="shared" si="19"/>
        <v>61.644937799722619</v>
      </c>
      <c r="DV35" s="1139">
        <f t="shared" si="19"/>
        <v>62.19974223992012</v>
      </c>
      <c r="DW35" s="1139">
        <f t="shared" si="19"/>
        <v>62.759539920079405</v>
      </c>
      <c r="DX35" s="1139">
        <f t="shared" si="19"/>
        <v>63.324375779360118</v>
      </c>
      <c r="DY35" s="1139">
        <f t="shared" si="19"/>
        <v>63.894295161374359</v>
      </c>
      <c r="DZ35" s="1139">
        <f t="shared" si="19"/>
        <v>64.469343817826726</v>
      </c>
      <c r="EA35" s="1140">
        <f>(((DZ35*(1+($B$62*$B$4)))-DZ35)/12)+DZ35</f>
        <v>64.952863896460428</v>
      </c>
      <c r="EB35" s="1139">
        <f>(((EA35*(1+($B$62*$B$4)))-EA35)/12)+EA35</f>
        <v>65.440010375683883</v>
      </c>
      <c r="EC35" s="1139">
        <f>(((EB35*(1+($B$62*$B$4)))-EB35)/12)+EB35</f>
        <v>65.930810453501508</v>
      </c>
      <c r="ED35" s="1141">
        <f>(((EC35*(1+($B$62*$B$4)))-EC35)/12)+EC35</f>
        <v>66.425291531902772</v>
      </c>
    </row>
    <row r="36" spans="1:134" ht="18.75" outlineLevel="1" x14ac:dyDescent="0.3">
      <c r="A36" t="s">
        <v>217</v>
      </c>
      <c r="B36" s="170">
        <f>'Growth Prediction Exec Summary'!D5</f>
        <v>0.08</v>
      </c>
      <c r="C36" s="1675"/>
      <c r="D36" s="1636"/>
      <c r="E36" s="1636"/>
      <c r="F36" s="1636"/>
      <c r="G36" s="1636"/>
      <c r="H36" s="1636"/>
      <c r="I36" s="1636"/>
      <c r="J36" s="1636"/>
      <c r="K36" s="1636"/>
      <c r="L36" s="950"/>
      <c r="M36" s="943"/>
      <c r="N36" s="1393"/>
      <c r="O36" s="1125"/>
      <c r="P36" s="1125"/>
      <c r="Q36" s="943"/>
      <c r="R36" s="950"/>
      <c r="S36" s="943"/>
      <c r="T36" s="943"/>
      <c r="U36" s="943"/>
      <c r="V36" s="1081">
        <v>1</v>
      </c>
      <c r="W36" s="1134">
        <f t="shared" ref="W36:BB36" si="20">ROUNDUP($V$36*(W35/100)/0.8,0)</f>
        <v>1</v>
      </c>
      <c r="X36" s="1135">
        <f t="shared" si="20"/>
        <v>1</v>
      </c>
      <c r="Y36" s="1135">
        <f t="shared" si="20"/>
        <v>1</v>
      </c>
      <c r="Z36" s="1135">
        <f t="shared" si="20"/>
        <v>1</v>
      </c>
      <c r="AA36" s="1135">
        <f t="shared" si="20"/>
        <v>1</v>
      </c>
      <c r="AB36" s="1135">
        <f t="shared" si="20"/>
        <v>1</v>
      </c>
      <c r="AC36" s="1135">
        <f t="shared" si="20"/>
        <v>1</v>
      </c>
      <c r="AD36" s="1135">
        <f t="shared" si="20"/>
        <v>1</v>
      </c>
      <c r="AE36" s="1135">
        <f t="shared" si="20"/>
        <v>1</v>
      </c>
      <c r="AF36" s="1135">
        <f t="shared" si="20"/>
        <v>1</v>
      </c>
      <c r="AG36" s="1135">
        <f t="shared" si="20"/>
        <v>1</v>
      </c>
      <c r="AH36" s="1135">
        <f t="shared" si="20"/>
        <v>1</v>
      </c>
      <c r="AI36" s="1136">
        <f t="shared" si="20"/>
        <v>1</v>
      </c>
      <c r="AJ36" s="1135">
        <f t="shared" si="20"/>
        <v>1</v>
      </c>
      <c r="AK36" s="1135">
        <f t="shared" si="20"/>
        <v>1</v>
      </c>
      <c r="AL36" s="1135">
        <f t="shared" si="20"/>
        <v>1</v>
      </c>
      <c r="AM36" s="1135">
        <f t="shared" si="20"/>
        <v>1</v>
      </c>
      <c r="AN36" s="1135">
        <f t="shared" si="20"/>
        <v>1</v>
      </c>
      <c r="AO36" s="1135">
        <f t="shared" si="20"/>
        <v>1</v>
      </c>
      <c r="AP36" s="1135">
        <f t="shared" si="20"/>
        <v>1</v>
      </c>
      <c r="AQ36" s="1135">
        <f t="shared" si="20"/>
        <v>1</v>
      </c>
      <c r="AR36" s="1135">
        <f t="shared" si="20"/>
        <v>1</v>
      </c>
      <c r="AS36" s="1135">
        <f t="shared" si="20"/>
        <v>1</v>
      </c>
      <c r="AT36" s="1135">
        <f t="shared" si="20"/>
        <v>1</v>
      </c>
      <c r="AU36" s="1136">
        <f t="shared" si="20"/>
        <v>1</v>
      </c>
      <c r="AV36" s="1135">
        <f t="shared" si="20"/>
        <v>1</v>
      </c>
      <c r="AW36" s="1135">
        <f t="shared" si="20"/>
        <v>1</v>
      </c>
      <c r="AX36" s="1135">
        <f t="shared" si="20"/>
        <v>1</v>
      </c>
      <c r="AY36" s="1135">
        <f t="shared" si="20"/>
        <v>1</v>
      </c>
      <c r="AZ36" s="1135">
        <f t="shared" si="20"/>
        <v>1</v>
      </c>
      <c r="BA36" s="1135">
        <f t="shared" si="20"/>
        <v>1</v>
      </c>
      <c r="BB36" s="1135">
        <f t="shared" si="20"/>
        <v>1</v>
      </c>
      <c r="BC36" s="1135">
        <f t="shared" ref="BC36:CH36" si="21">ROUNDUP($V$36*(BC35/100)/0.8,0)</f>
        <v>1</v>
      </c>
      <c r="BD36" s="1135">
        <f t="shared" si="21"/>
        <v>1</v>
      </c>
      <c r="BE36" s="1135">
        <f t="shared" si="21"/>
        <v>1</v>
      </c>
      <c r="BF36" s="1135">
        <f t="shared" si="21"/>
        <v>1</v>
      </c>
      <c r="BG36" s="1136">
        <f t="shared" si="21"/>
        <v>1</v>
      </c>
      <c r="BH36" s="1135">
        <f t="shared" si="21"/>
        <v>1</v>
      </c>
      <c r="BI36" s="1135">
        <f t="shared" si="21"/>
        <v>1</v>
      </c>
      <c r="BJ36" s="1135">
        <f t="shared" si="21"/>
        <v>1</v>
      </c>
      <c r="BK36" s="1135">
        <f t="shared" si="21"/>
        <v>1</v>
      </c>
      <c r="BL36" s="1135">
        <f t="shared" si="21"/>
        <v>1</v>
      </c>
      <c r="BM36" s="1135">
        <f t="shared" si="21"/>
        <v>1</v>
      </c>
      <c r="BN36" s="1135">
        <f t="shared" si="21"/>
        <v>1</v>
      </c>
      <c r="BO36" s="1135">
        <f t="shared" si="21"/>
        <v>1</v>
      </c>
      <c r="BP36" s="1135">
        <f t="shared" si="21"/>
        <v>1</v>
      </c>
      <c r="BQ36" s="1135">
        <f t="shared" si="21"/>
        <v>1</v>
      </c>
      <c r="BR36" s="1135">
        <f t="shared" si="21"/>
        <v>1</v>
      </c>
      <c r="BS36" s="1136">
        <f t="shared" si="21"/>
        <v>1</v>
      </c>
      <c r="BT36" s="1135">
        <f t="shared" si="21"/>
        <v>1</v>
      </c>
      <c r="BU36" s="1135">
        <f t="shared" si="21"/>
        <v>1</v>
      </c>
      <c r="BV36" s="1135">
        <f t="shared" si="21"/>
        <v>1</v>
      </c>
      <c r="BW36" s="1135">
        <f t="shared" si="21"/>
        <v>1</v>
      </c>
      <c r="BX36" s="1135">
        <f t="shared" si="21"/>
        <v>1</v>
      </c>
      <c r="BY36" s="1135">
        <f t="shared" si="21"/>
        <v>1</v>
      </c>
      <c r="BZ36" s="1135">
        <f t="shared" si="21"/>
        <v>1</v>
      </c>
      <c r="CA36" s="1135">
        <f t="shared" si="21"/>
        <v>1</v>
      </c>
      <c r="CB36" s="1135">
        <f t="shared" si="21"/>
        <v>1</v>
      </c>
      <c r="CC36" s="1135">
        <f t="shared" si="21"/>
        <v>1</v>
      </c>
      <c r="CD36" s="1135">
        <f t="shared" si="21"/>
        <v>1</v>
      </c>
      <c r="CE36" s="1136">
        <f t="shared" si="21"/>
        <v>1</v>
      </c>
      <c r="CF36" s="1135">
        <f t="shared" si="21"/>
        <v>1</v>
      </c>
      <c r="CG36" s="1135">
        <f t="shared" si="21"/>
        <v>1</v>
      </c>
      <c r="CH36" s="1135">
        <f t="shared" si="21"/>
        <v>1</v>
      </c>
      <c r="CI36" s="1135">
        <f t="shared" ref="CI36:DN36" si="22">ROUNDUP($V$36*(CI35/100)/0.8,0)</f>
        <v>1</v>
      </c>
      <c r="CJ36" s="1135">
        <f t="shared" si="22"/>
        <v>1</v>
      </c>
      <c r="CK36" s="1135">
        <f t="shared" si="22"/>
        <v>1</v>
      </c>
      <c r="CL36" s="1135">
        <f t="shared" si="22"/>
        <v>1</v>
      </c>
      <c r="CM36" s="1135">
        <f t="shared" si="22"/>
        <v>1</v>
      </c>
      <c r="CN36" s="1135">
        <f t="shared" si="22"/>
        <v>1</v>
      </c>
      <c r="CO36" s="1135">
        <f t="shared" si="22"/>
        <v>1</v>
      </c>
      <c r="CP36" s="1135">
        <f t="shared" si="22"/>
        <v>1</v>
      </c>
      <c r="CQ36" s="1136">
        <f t="shared" si="22"/>
        <v>1</v>
      </c>
      <c r="CR36" s="1135">
        <f t="shared" si="22"/>
        <v>1</v>
      </c>
      <c r="CS36" s="1135">
        <f t="shared" si="22"/>
        <v>1</v>
      </c>
      <c r="CT36" s="1135">
        <f t="shared" si="22"/>
        <v>1</v>
      </c>
      <c r="CU36" s="1135">
        <f t="shared" si="22"/>
        <v>1</v>
      </c>
      <c r="CV36" s="1135">
        <f t="shared" si="22"/>
        <v>1</v>
      </c>
      <c r="CW36" s="1135">
        <f t="shared" si="22"/>
        <v>1</v>
      </c>
      <c r="CX36" s="1135">
        <f t="shared" si="22"/>
        <v>1</v>
      </c>
      <c r="CY36" s="1135">
        <f t="shared" si="22"/>
        <v>1</v>
      </c>
      <c r="CZ36" s="1135">
        <f t="shared" si="22"/>
        <v>1</v>
      </c>
      <c r="DA36" s="1135">
        <f t="shared" si="22"/>
        <v>1</v>
      </c>
      <c r="DB36" s="1135">
        <f t="shared" si="22"/>
        <v>1</v>
      </c>
      <c r="DC36" s="1136">
        <f t="shared" si="22"/>
        <v>1</v>
      </c>
      <c r="DD36" s="1135">
        <f t="shared" si="22"/>
        <v>1</v>
      </c>
      <c r="DE36" s="1135">
        <f t="shared" si="22"/>
        <v>1</v>
      </c>
      <c r="DF36" s="1135">
        <f t="shared" si="22"/>
        <v>1</v>
      </c>
      <c r="DG36" s="1135">
        <f t="shared" si="22"/>
        <v>1</v>
      </c>
      <c r="DH36" s="1135">
        <f t="shared" si="22"/>
        <v>1</v>
      </c>
      <c r="DI36" s="1135">
        <f t="shared" si="22"/>
        <v>1</v>
      </c>
      <c r="DJ36" s="1135">
        <f t="shared" si="22"/>
        <v>1</v>
      </c>
      <c r="DK36" s="1135">
        <f t="shared" si="22"/>
        <v>1</v>
      </c>
      <c r="DL36" s="1135">
        <f t="shared" si="22"/>
        <v>1</v>
      </c>
      <c r="DM36" s="1135">
        <f t="shared" si="22"/>
        <v>1</v>
      </c>
      <c r="DN36" s="1135">
        <f t="shared" si="22"/>
        <v>1</v>
      </c>
      <c r="DO36" s="1136">
        <f t="shared" ref="DO36:ED36" si="23">ROUNDUP($V$36*(DO35/100)/0.8,0)</f>
        <v>1</v>
      </c>
      <c r="DP36" s="1135">
        <f t="shared" si="23"/>
        <v>1</v>
      </c>
      <c r="DQ36" s="1135">
        <f t="shared" si="23"/>
        <v>1</v>
      </c>
      <c r="DR36" s="1135">
        <f t="shared" si="23"/>
        <v>1</v>
      </c>
      <c r="DS36" s="1135">
        <f t="shared" si="23"/>
        <v>1</v>
      </c>
      <c r="DT36" s="1135">
        <f t="shared" si="23"/>
        <v>1</v>
      </c>
      <c r="DU36" s="1135">
        <f t="shared" si="23"/>
        <v>1</v>
      </c>
      <c r="DV36" s="1135">
        <f t="shared" si="23"/>
        <v>1</v>
      </c>
      <c r="DW36" s="1135">
        <f t="shared" si="23"/>
        <v>1</v>
      </c>
      <c r="DX36" s="1135">
        <f t="shared" si="23"/>
        <v>1</v>
      </c>
      <c r="DY36" s="1135">
        <f t="shared" si="23"/>
        <v>1</v>
      </c>
      <c r="DZ36" s="1135">
        <f t="shared" si="23"/>
        <v>1</v>
      </c>
      <c r="EA36" s="1136">
        <f t="shared" si="23"/>
        <v>1</v>
      </c>
      <c r="EB36" s="1135">
        <f t="shared" si="23"/>
        <v>1</v>
      </c>
      <c r="EC36" s="1135">
        <f t="shared" si="23"/>
        <v>1</v>
      </c>
      <c r="ED36" s="1137">
        <f t="shared" si="23"/>
        <v>1</v>
      </c>
    </row>
    <row r="37" spans="1:134" ht="18.75" outlineLevel="1" x14ac:dyDescent="0.3">
      <c r="A37" t="s">
        <v>218</v>
      </c>
      <c r="B37" s="170">
        <f>'Growth Prediction Exec Summary'!E5</f>
        <v>0.08</v>
      </c>
      <c r="C37" s="1675"/>
      <c r="D37" s="1633" t="s">
        <v>219</v>
      </c>
      <c r="E37" s="1633"/>
      <c r="F37" s="1633"/>
      <c r="G37" s="1633"/>
      <c r="H37" s="1633"/>
      <c r="I37" s="1633"/>
      <c r="J37" s="1633"/>
      <c r="K37" s="1633"/>
      <c r="L37" s="962"/>
      <c r="M37" s="1327">
        <f>N37*100</f>
        <v>23</v>
      </c>
      <c r="N37" s="1391">
        <f>'SEC Benches Data'!M62/100</f>
        <v>0.23</v>
      </c>
      <c r="O37" s="1392">
        <f>'SEC Benches Data'!Y4/100</f>
        <v>0.21</v>
      </c>
      <c r="P37" s="1392">
        <f>'SEC Benches Data'!AK4/100</f>
        <v>0.3</v>
      </c>
      <c r="Q37" s="941"/>
      <c r="R37" s="949">
        <f t="shared" ref="R37:R41" si="24">P37-N37</f>
        <v>6.9999999999999979E-2</v>
      </c>
      <c r="S37" s="942">
        <v>12</v>
      </c>
      <c r="T37" s="942">
        <v>2</v>
      </c>
      <c r="U37" s="940"/>
      <c r="V37" s="1124"/>
      <c r="W37" s="1130">
        <f>M37</f>
        <v>23</v>
      </c>
      <c r="X37" s="1013">
        <f>W37</f>
        <v>23</v>
      </c>
      <c r="Y37" s="1013">
        <f>X37</f>
        <v>23</v>
      </c>
      <c r="Z37" s="1013">
        <f>O37*100</f>
        <v>21</v>
      </c>
      <c r="AA37" s="1013">
        <f>Z37</f>
        <v>21</v>
      </c>
      <c r="AB37" s="1013">
        <f>AA37</f>
        <v>21</v>
      </c>
      <c r="AC37" s="1013">
        <f>P37*100</f>
        <v>30</v>
      </c>
      <c r="AD37" s="1013">
        <f>AC37</f>
        <v>30</v>
      </c>
      <c r="AE37" s="1013">
        <f>AD37</f>
        <v>30</v>
      </c>
      <c r="AF37" s="1013">
        <f>AE37</f>
        <v>30</v>
      </c>
      <c r="AG37" s="1013">
        <f>AF37</f>
        <v>30</v>
      </c>
      <c r="AH37" s="1013">
        <f>AG37</f>
        <v>30</v>
      </c>
      <c r="AI37" s="1014">
        <f t="shared" ref="AI37:AT37" si="25">(((AH37*(1+($B$50*$B$4)))-AH37)/12)+AH37</f>
        <v>30.504000000000001</v>
      </c>
      <c r="AJ37" s="1013">
        <f t="shared" si="25"/>
        <v>31.016467200000001</v>
      </c>
      <c r="AK37" s="1013">
        <f t="shared" si="25"/>
        <v>31.537543848960002</v>
      </c>
      <c r="AL37" s="1013">
        <f t="shared" si="25"/>
        <v>32.067374585622531</v>
      </c>
      <c r="AM37" s="1013">
        <f t="shared" si="25"/>
        <v>32.60610647866099</v>
      </c>
      <c r="AN37" s="1013">
        <f t="shared" si="25"/>
        <v>33.153889067502497</v>
      </c>
      <c r="AO37" s="1013">
        <f t="shared" si="25"/>
        <v>33.710874403836542</v>
      </c>
      <c r="AP37" s="1013">
        <f t="shared" si="25"/>
        <v>34.277217093820994</v>
      </c>
      <c r="AQ37" s="1013">
        <f t="shared" si="25"/>
        <v>34.853074340997189</v>
      </c>
      <c r="AR37" s="1013">
        <f t="shared" si="25"/>
        <v>35.438605989925939</v>
      </c>
      <c r="AS37" s="1013">
        <f t="shared" si="25"/>
        <v>36.033974570556694</v>
      </c>
      <c r="AT37" s="1013">
        <f t="shared" si="25"/>
        <v>36.639345343342043</v>
      </c>
      <c r="AU37" s="1014">
        <f t="shared" ref="AU37:BF37" si="26">(((AT37*(1+($B$51*$B$4)))-AT37)/12)+AT37</f>
        <v>37.232902737904183</v>
      </c>
      <c r="AV37" s="1013">
        <f t="shared" si="26"/>
        <v>37.836075762258233</v>
      </c>
      <c r="AW37" s="1013">
        <f t="shared" si="26"/>
        <v>38.449020189606813</v>
      </c>
      <c r="AX37" s="1013">
        <f t="shared" si="26"/>
        <v>39.071894316678446</v>
      </c>
      <c r="AY37" s="1013">
        <f t="shared" si="26"/>
        <v>39.704859004608636</v>
      </c>
      <c r="AZ37" s="1013">
        <f t="shared" si="26"/>
        <v>40.348077720483296</v>
      </c>
      <c r="BA37" s="1013">
        <f t="shared" si="26"/>
        <v>41.001716579555122</v>
      </c>
      <c r="BB37" s="1013">
        <f t="shared" si="26"/>
        <v>41.665944388143913</v>
      </c>
      <c r="BC37" s="1013">
        <f t="shared" si="26"/>
        <v>42.340932687231842</v>
      </c>
      <c r="BD37" s="1013">
        <f t="shared" si="26"/>
        <v>43.026855796764998</v>
      </c>
      <c r="BE37" s="1013">
        <f t="shared" si="26"/>
        <v>43.72389086067259</v>
      </c>
      <c r="BF37" s="1013">
        <f t="shared" si="26"/>
        <v>44.432217892615483</v>
      </c>
      <c r="BG37" s="1014">
        <f t="shared" ref="BG37:BR37" si="27">(((BF37*(1+($B$52*$B$4)))-BF37)/12)+BF37</f>
        <v>45.098701161004712</v>
      </c>
      <c r="BH37" s="1013">
        <f t="shared" si="27"/>
        <v>45.775181678419784</v>
      </c>
      <c r="BI37" s="1013">
        <f t="shared" si="27"/>
        <v>46.461809403596078</v>
      </c>
      <c r="BJ37" s="1013">
        <f t="shared" si="27"/>
        <v>47.158736544650019</v>
      </c>
      <c r="BK37" s="1013">
        <f t="shared" si="27"/>
        <v>47.866117592819769</v>
      </c>
      <c r="BL37" s="1013">
        <f t="shared" si="27"/>
        <v>48.584109356712062</v>
      </c>
      <c r="BM37" s="1013">
        <f t="shared" si="27"/>
        <v>49.312870997062745</v>
      </c>
      <c r="BN37" s="1013">
        <f t="shared" si="27"/>
        <v>50.052564062018689</v>
      </c>
      <c r="BO37" s="1013">
        <f t="shared" si="27"/>
        <v>50.80335252294897</v>
      </c>
      <c r="BP37" s="1013">
        <f t="shared" si="27"/>
        <v>51.565402810793202</v>
      </c>
      <c r="BQ37" s="1013">
        <f t="shared" si="27"/>
        <v>52.338883852955099</v>
      </c>
      <c r="BR37" s="1013">
        <f t="shared" si="27"/>
        <v>53.123967110749426</v>
      </c>
      <c r="BS37" s="1014">
        <f t="shared" ref="BS37:CD37" si="28">(((BR37*(1+($B$53*$B$4)))-BR37)/12)+BR37</f>
        <v>53.920826617410668</v>
      </c>
      <c r="BT37" s="1013">
        <f t="shared" si="28"/>
        <v>54.729639016671825</v>
      </c>
      <c r="BU37" s="1013">
        <f t="shared" si="28"/>
        <v>55.5505836019219</v>
      </c>
      <c r="BV37" s="1013">
        <f t="shared" si="28"/>
        <v>56.383842355950726</v>
      </c>
      <c r="BW37" s="1013">
        <f t="shared" si="28"/>
        <v>57.229599991289987</v>
      </c>
      <c r="BX37" s="1013">
        <f t="shared" si="28"/>
        <v>58.088043991159338</v>
      </c>
      <c r="BY37" s="1013">
        <f t="shared" si="28"/>
        <v>58.959364651026732</v>
      </c>
      <c r="BZ37" s="1013">
        <f t="shared" si="28"/>
        <v>59.843755120792132</v>
      </c>
      <c r="CA37" s="1013">
        <f t="shared" si="28"/>
        <v>60.741411447604015</v>
      </c>
      <c r="CB37" s="1013">
        <f t="shared" si="28"/>
        <v>61.652532619318073</v>
      </c>
      <c r="CC37" s="1013">
        <f t="shared" si="28"/>
        <v>62.577320608607842</v>
      </c>
      <c r="CD37" s="1013">
        <f t="shared" si="28"/>
        <v>63.515980417736962</v>
      </c>
      <c r="CE37" s="1014">
        <f t="shared" ref="CE37:CP37" si="29">(((CD37*(1+($B$54*$B$4)))-CD37)/12)+CD37</f>
        <v>64.468720124003013</v>
      </c>
      <c r="CF37" s="1013">
        <f t="shared" si="29"/>
        <v>65.435750925863061</v>
      </c>
      <c r="CG37" s="1013">
        <f t="shared" si="29"/>
        <v>66.417287189751008</v>
      </c>
      <c r="CH37" s="1013">
        <f t="shared" si="29"/>
        <v>67.413546497597267</v>
      </c>
      <c r="CI37" s="1013">
        <f t="shared" si="29"/>
        <v>68.424749695061223</v>
      </c>
      <c r="CJ37" s="1013">
        <f t="shared" si="29"/>
        <v>69.451120940487144</v>
      </c>
      <c r="CK37" s="1013">
        <f t="shared" si="29"/>
        <v>70.492887754594449</v>
      </c>
      <c r="CL37" s="1013">
        <f t="shared" si="29"/>
        <v>71.550281070913371</v>
      </c>
      <c r="CM37" s="1013">
        <f t="shared" si="29"/>
        <v>72.623535286977074</v>
      </c>
      <c r="CN37" s="1013">
        <f t="shared" si="29"/>
        <v>73.712888316281735</v>
      </c>
      <c r="CO37" s="1013">
        <f t="shared" si="29"/>
        <v>74.818581641025958</v>
      </c>
      <c r="CP37" s="1013">
        <f t="shared" si="29"/>
        <v>75.940860365641342</v>
      </c>
      <c r="CQ37" s="1014">
        <f t="shared" ref="CQ37:DB37" si="30">(((CP37*(1+($B$55*$B$4)))-CP37)/12)+CP37</f>
        <v>77.079973271125965</v>
      </c>
      <c r="CR37" s="1013">
        <f t="shared" si="30"/>
        <v>78.23617287019286</v>
      </c>
      <c r="CS37" s="1013">
        <f t="shared" si="30"/>
        <v>79.409715463245746</v>
      </c>
      <c r="CT37" s="1013">
        <f t="shared" si="30"/>
        <v>80.600861195194426</v>
      </c>
      <c r="CU37" s="1013">
        <f t="shared" si="30"/>
        <v>81.809874113122348</v>
      </c>
      <c r="CV37" s="1013">
        <f t="shared" si="30"/>
        <v>83.037022224819182</v>
      </c>
      <c r="CW37" s="1013">
        <f t="shared" si="30"/>
        <v>84.282577558191463</v>
      </c>
      <c r="CX37" s="1013">
        <f t="shared" si="30"/>
        <v>85.546816221564342</v>
      </c>
      <c r="CY37" s="1013">
        <f t="shared" si="30"/>
        <v>86.8300184648878</v>
      </c>
      <c r="CZ37" s="1013">
        <f t="shared" si="30"/>
        <v>88.132468741861118</v>
      </c>
      <c r="DA37" s="1013">
        <f t="shared" si="30"/>
        <v>89.454455772989036</v>
      </c>
      <c r="DB37" s="1013">
        <f t="shared" si="30"/>
        <v>90.796272609583866</v>
      </c>
      <c r="DC37" s="1014">
        <f t="shared" ref="DC37:DN37" si="31">(((DB37*(1+($B$56*$B$4)))-DB37)/12)+DB37</f>
        <v>92.158216698727628</v>
      </c>
      <c r="DD37" s="1013">
        <f t="shared" si="31"/>
        <v>93.540589949208538</v>
      </c>
      <c r="DE37" s="1013">
        <f t="shared" si="31"/>
        <v>94.943698798446661</v>
      </c>
      <c r="DF37" s="1013">
        <f t="shared" si="31"/>
        <v>96.367854280423359</v>
      </c>
      <c r="DG37" s="1013">
        <f t="shared" si="31"/>
        <v>97.813372094629713</v>
      </c>
      <c r="DH37" s="1013">
        <f t="shared" si="31"/>
        <v>99.280572676049161</v>
      </c>
      <c r="DI37" s="1013">
        <f t="shared" si="31"/>
        <v>100.7697812661899</v>
      </c>
      <c r="DJ37" s="1013">
        <f t="shared" si="31"/>
        <v>102.28132798518274</v>
      </c>
      <c r="DK37" s="1013">
        <f t="shared" si="31"/>
        <v>103.81554790496048</v>
      </c>
      <c r="DL37" s="1013">
        <f t="shared" si="31"/>
        <v>105.37278112353489</v>
      </c>
      <c r="DM37" s="1013">
        <f t="shared" si="31"/>
        <v>106.95337284038791</v>
      </c>
      <c r="DN37" s="1013">
        <f t="shared" si="31"/>
        <v>108.55767343299374</v>
      </c>
      <c r="DO37" s="1014">
        <f t="shared" ref="DO37:DZ37" si="32">(((DN37*(1+($B$61*$B$4)))-DN37)/12)+DN37</f>
        <v>109.53469249389069</v>
      </c>
      <c r="DP37" s="1013">
        <f t="shared" si="32"/>
        <v>110.5205047263357</v>
      </c>
      <c r="DQ37" s="1013">
        <f t="shared" si="32"/>
        <v>111.51518926887272</v>
      </c>
      <c r="DR37" s="1013">
        <f t="shared" si="32"/>
        <v>112.51882597229257</v>
      </c>
      <c r="DS37" s="1013">
        <f t="shared" si="32"/>
        <v>113.53149540604321</v>
      </c>
      <c r="DT37" s="1013">
        <f t="shared" si="32"/>
        <v>114.5532788646976</v>
      </c>
      <c r="DU37" s="1013">
        <f t="shared" si="32"/>
        <v>115.58425837447989</v>
      </c>
      <c r="DV37" s="1013">
        <f t="shared" si="32"/>
        <v>116.6245166998502</v>
      </c>
      <c r="DW37" s="1013">
        <f t="shared" si="32"/>
        <v>117.67413735014885</v>
      </c>
      <c r="DX37" s="1013">
        <f t="shared" si="32"/>
        <v>118.73320458630019</v>
      </c>
      <c r="DY37" s="1013">
        <f t="shared" si="32"/>
        <v>119.80180342757689</v>
      </c>
      <c r="DZ37" s="1013">
        <f t="shared" si="32"/>
        <v>120.88001965842508</v>
      </c>
      <c r="EA37" s="1014">
        <f>(((DZ37*(1+($B$62*$B$4)))-DZ37)/12)+DZ37</f>
        <v>121.78661980586327</v>
      </c>
      <c r="EB37" s="1013">
        <f>(((EA37*(1+($B$62*$B$4)))-EA37)/12)+EA37</f>
        <v>122.70001945440724</v>
      </c>
      <c r="EC37" s="1013">
        <f>(((EB37*(1+($B$62*$B$4)))-EB37)/12)+EB37</f>
        <v>123.6202696003153</v>
      </c>
      <c r="ED37" s="1131">
        <f>(((EC37*(1+($B$62*$B$4)))-EC37)/12)+EC37</f>
        <v>124.54742162231766</v>
      </c>
    </row>
    <row r="38" spans="1:134" ht="18.75" outlineLevel="1" x14ac:dyDescent="0.3">
      <c r="A38" t="s">
        <v>220</v>
      </c>
      <c r="B38" s="170">
        <f>'Growth Prediction Exec Summary'!F5</f>
        <v>0.08</v>
      </c>
      <c r="C38" s="1675"/>
      <c r="D38" s="1636"/>
      <c r="E38" s="1636"/>
      <c r="F38" s="1636"/>
      <c r="G38" s="1636"/>
      <c r="H38" s="1636"/>
      <c r="I38" s="1636"/>
      <c r="J38" s="1636"/>
      <c r="K38" s="1636"/>
      <c r="L38" s="950"/>
      <c r="M38" s="943"/>
      <c r="N38" s="1394"/>
      <c r="O38" s="1395"/>
      <c r="P38" s="1395"/>
      <c r="Q38" s="944"/>
      <c r="R38" s="951"/>
      <c r="S38" s="945"/>
      <c r="T38" s="945"/>
      <c r="U38" s="943"/>
      <c r="V38" s="1081">
        <v>2</v>
      </c>
      <c r="W38" s="1132">
        <f t="shared" ref="W38:BB38" si="33">ROUNDUP($V$38*(W37/100)/0.8,0)</f>
        <v>1</v>
      </c>
      <c r="X38" s="1011">
        <f t="shared" si="33"/>
        <v>1</v>
      </c>
      <c r="Y38" s="1011">
        <f t="shared" si="33"/>
        <v>1</v>
      </c>
      <c r="Z38" s="1011">
        <f t="shared" si="33"/>
        <v>1</v>
      </c>
      <c r="AA38" s="1011">
        <f t="shared" si="33"/>
        <v>1</v>
      </c>
      <c r="AB38" s="1011">
        <f t="shared" si="33"/>
        <v>1</v>
      </c>
      <c r="AC38" s="1011">
        <f t="shared" si="33"/>
        <v>1</v>
      </c>
      <c r="AD38" s="1011">
        <f t="shared" si="33"/>
        <v>1</v>
      </c>
      <c r="AE38" s="1011">
        <f t="shared" si="33"/>
        <v>1</v>
      </c>
      <c r="AF38" s="1011">
        <f t="shared" si="33"/>
        <v>1</v>
      </c>
      <c r="AG38" s="1011">
        <f t="shared" si="33"/>
        <v>1</v>
      </c>
      <c r="AH38" s="1011">
        <f t="shared" si="33"/>
        <v>1</v>
      </c>
      <c r="AI38" s="1012">
        <f t="shared" si="33"/>
        <v>1</v>
      </c>
      <c r="AJ38" s="1011">
        <f t="shared" si="33"/>
        <v>1</v>
      </c>
      <c r="AK38" s="1011">
        <f t="shared" si="33"/>
        <v>1</v>
      </c>
      <c r="AL38" s="1011">
        <f t="shared" si="33"/>
        <v>1</v>
      </c>
      <c r="AM38" s="1011">
        <f t="shared" si="33"/>
        <v>1</v>
      </c>
      <c r="AN38" s="1011">
        <f t="shared" si="33"/>
        <v>1</v>
      </c>
      <c r="AO38" s="1011">
        <f t="shared" si="33"/>
        <v>1</v>
      </c>
      <c r="AP38" s="1011">
        <f t="shared" si="33"/>
        <v>1</v>
      </c>
      <c r="AQ38" s="1011">
        <f t="shared" si="33"/>
        <v>1</v>
      </c>
      <c r="AR38" s="1011">
        <f t="shared" si="33"/>
        <v>1</v>
      </c>
      <c r="AS38" s="1011">
        <f t="shared" si="33"/>
        <v>1</v>
      </c>
      <c r="AT38" s="1011">
        <f t="shared" si="33"/>
        <v>1</v>
      </c>
      <c r="AU38" s="1012">
        <f t="shared" si="33"/>
        <v>1</v>
      </c>
      <c r="AV38" s="1011">
        <f t="shared" si="33"/>
        <v>1</v>
      </c>
      <c r="AW38" s="1011">
        <f t="shared" si="33"/>
        <v>1</v>
      </c>
      <c r="AX38" s="1011">
        <f t="shared" si="33"/>
        <v>1</v>
      </c>
      <c r="AY38" s="1011">
        <f t="shared" si="33"/>
        <v>1</v>
      </c>
      <c r="AZ38" s="1011">
        <f t="shared" si="33"/>
        <v>2</v>
      </c>
      <c r="BA38" s="1011">
        <f t="shared" si="33"/>
        <v>2</v>
      </c>
      <c r="BB38" s="1011">
        <f t="shared" si="33"/>
        <v>2</v>
      </c>
      <c r="BC38" s="1011">
        <f t="shared" ref="BC38:CH38" si="34">ROUNDUP($V$38*(BC37/100)/0.8,0)</f>
        <v>2</v>
      </c>
      <c r="BD38" s="1011">
        <f t="shared" si="34"/>
        <v>2</v>
      </c>
      <c r="BE38" s="1011">
        <f t="shared" si="34"/>
        <v>2</v>
      </c>
      <c r="BF38" s="1011">
        <f t="shared" si="34"/>
        <v>2</v>
      </c>
      <c r="BG38" s="1012">
        <f t="shared" si="34"/>
        <v>2</v>
      </c>
      <c r="BH38" s="1011">
        <f t="shared" si="34"/>
        <v>2</v>
      </c>
      <c r="BI38" s="1011">
        <f t="shared" si="34"/>
        <v>2</v>
      </c>
      <c r="BJ38" s="1011">
        <f t="shared" si="34"/>
        <v>2</v>
      </c>
      <c r="BK38" s="1011">
        <f t="shared" si="34"/>
        <v>2</v>
      </c>
      <c r="BL38" s="1011">
        <f t="shared" si="34"/>
        <v>2</v>
      </c>
      <c r="BM38" s="1011">
        <f t="shared" si="34"/>
        <v>2</v>
      </c>
      <c r="BN38" s="1011">
        <f t="shared" si="34"/>
        <v>2</v>
      </c>
      <c r="BO38" s="1011">
        <f t="shared" si="34"/>
        <v>2</v>
      </c>
      <c r="BP38" s="1011">
        <f t="shared" si="34"/>
        <v>2</v>
      </c>
      <c r="BQ38" s="1011">
        <f t="shared" si="34"/>
        <v>2</v>
      </c>
      <c r="BR38" s="1011">
        <f t="shared" si="34"/>
        <v>2</v>
      </c>
      <c r="BS38" s="1012">
        <f t="shared" si="34"/>
        <v>2</v>
      </c>
      <c r="BT38" s="1011">
        <f t="shared" si="34"/>
        <v>2</v>
      </c>
      <c r="BU38" s="1011">
        <f t="shared" si="34"/>
        <v>2</v>
      </c>
      <c r="BV38" s="1011">
        <f t="shared" si="34"/>
        <v>2</v>
      </c>
      <c r="BW38" s="1011">
        <f t="shared" si="34"/>
        <v>2</v>
      </c>
      <c r="BX38" s="1011">
        <f t="shared" si="34"/>
        <v>2</v>
      </c>
      <c r="BY38" s="1011">
        <f t="shared" si="34"/>
        <v>2</v>
      </c>
      <c r="BZ38" s="1011">
        <f t="shared" si="34"/>
        <v>2</v>
      </c>
      <c r="CA38" s="1011">
        <f t="shared" si="34"/>
        <v>2</v>
      </c>
      <c r="CB38" s="1011">
        <f t="shared" si="34"/>
        <v>2</v>
      </c>
      <c r="CC38" s="1011">
        <f t="shared" si="34"/>
        <v>2</v>
      </c>
      <c r="CD38" s="1011">
        <f t="shared" si="34"/>
        <v>2</v>
      </c>
      <c r="CE38" s="1012">
        <f t="shared" si="34"/>
        <v>2</v>
      </c>
      <c r="CF38" s="1011">
        <f t="shared" si="34"/>
        <v>2</v>
      </c>
      <c r="CG38" s="1011">
        <f t="shared" si="34"/>
        <v>2</v>
      </c>
      <c r="CH38" s="1011">
        <f t="shared" si="34"/>
        <v>2</v>
      </c>
      <c r="CI38" s="1011">
        <f t="shared" ref="CI38:DN38" si="35">ROUNDUP($V$38*(CI37/100)/0.8,0)</f>
        <v>2</v>
      </c>
      <c r="CJ38" s="1011">
        <f t="shared" si="35"/>
        <v>2</v>
      </c>
      <c r="CK38" s="1011">
        <f t="shared" si="35"/>
        <v>2</v>
      </c>
      <c r="CL38" s="1011">
        <f t="shared" si="35"/>
        <v>2</v>
      </c>
      <c r="CM38" s="1011">
        <f t="shared" si="35"/>
        <v>2</v>
      </c>
      <c r="CN38" s="1011">
        <f t="shared" si="35"/>
        <v>2</v>
      </c>
      <c r="CO38" s="1011">
        <f t="shared" si="35"/>
        <v>2</v>
      </c>
      <c r="CP38" s="1011">
        <f t="shared" si="35"/>
        <v>2</v>
      </c>
      <c r="CQ38" s="1012">
        <f t="shared" si="35"/>
        <v>2</v>
      </c>
      <c r="CR38" s="1011">
        <f t="shared" si="35"/>
        <v>2</v>
      </c>
      <c r="CS38" s="1011">
        <f t="shared" si="35"/>
        <v>2</v>
      </c>
      <c r="CT38" s="1011">
        <f t="shared" si="35"/>
        <v>3</v>
      </c>
      <c r="CU38" s="1011">
        <f t="shared" si="35"/>
        <v>3</v>
      </c>
      <c r="CV38" s="1011">
        <f t="shared" si="35"/>
        <v>3</v>
      </c>
      <c r="CW38" s="1011">
        <f t="shared" si="35"/>
        <v>3</v>
      </c>
      <c r="CX38" s="1011">
        <f t="shared" si="35"/>
        <v>3</v>
      </c>
      <c r="CY38" s="1011">
        <f t="shared" si="35"/>
        <v>3</v>
      </c>
      <c r="CZ38" s="1011">
        <f t="shared" si="35"/>
        <v>3</v>
      </c>
      <c r="DA38" s="1011">
        <f t="shared" si="35"/>
        <v>3</v>
      </c>
      <c r="DB38" s="1011">
        <f t="shared" si="35"/>
        <v>3</v>
      </c>
      <c r="DC38" s="1012">
        <f t="shared" si="35"/>
        <v>3</v>
      </c>
      <c r="DD38" s="1011">
        <f t="shared" si="35"/>
        <v>3</v>
      </c>
      <c r="DE38" s="1011">
        <f t="shared" si="35"/>
        <v>3</v>
      </c>
      <c r="DF38" s="1011">
        <f t="shared" si="35"/>
        <v>3</v>
      </c>
      <c r="DG38" s="1011">
        <f t="shared" si="35"/>
        <v>3</v>
      </c>
      <c r="DH38" s="1011">
        <f t="shared" si="35"/>
        <v>3</v>
      </c>
      <c r="DI38" s="1011">
        <f t="shared" si="35"/>
        <v>3</v>
      </c>
      <c r="DJ38" s="1011">
        <f t="shared" si="35"/>
        <v>3</v>
      </c>
      <c r="DK38" s="1011">
        <f t="shared" si="35"/>
        <v>3</v>
      </c>
      <c r="DL38" s="1011">
        <f t="shared" si="35"/>
        <v>3</v>
      </c>
      <c r="DM38" s="1011">
        <f t="shared" si="35"/>
        <v>3</v>
      </c>
      <c r="DN38" s="1011">
        <f t="shared" si="35"/>
        <v>3</v>
      </c>
      <c r="DO38" s="1012">
        <f t="shared" ref="DO38:ED38" si="36">ROUNDUP($V$38*(DO37/100)/0.8,0)</f>
        <v>3</v>
      </c>
      <c r="DP38" s="1011">
        <f t="shared" si="36"/>
        <v>3</v>
      </c>
      <c r="DQ38" s="1011">
        <f t="shared" si="36"/>
        <v>3</v>
      </c>
      <c r="DR38" s="1011">
        <f t="shared" si="36"/>
        <v>3</v>
      </c>
      <c r="DS38" s="1011">
        <f t="shared" si="36"/>
        <v>3</v>
      </c>
      <c r="DT38" s="1011">
        <f t="shared" si="36"/>
        <v>3</v>
      </c>
      <c r="DU38" s="1011">
        <f t="shared" si="36"/>
        <v>3</v>
      </c>
      <c r="DV38" s="1011">
        <f t="shared" si="36"/>
        <v>3</v>
      </c>
      <c r="DW38" s="1011">
        <f t="shared" si="36"/>
        <v>3</v>
      </c>
      <c r="DX38" s="1011">
        <f t="shared" si="36"/>
        <v>3</v>
      </c>
      <c r="DY38" s="1011">
        <f t="shared" si="36"/>
        <v>3</v>
      </c>
      <c r="DZ38" s="1011">
        <f t="shared" si="36"/>
        <v>4</v>
      </c>
      <c r="EA38" s="1012">
        <f t="shared" si="36"/>
        <v>4</v>
      </c>
      <c r="EB38" s="1011">
        <f t="shared" si="36"/>
        <v>4</v>
      </c>
      <c r="EC38" s="1011">
        <f t="shared" si="36"/>
        <v>4</v>
      </c>
      <c r="ED38" s="1133">
        <f t="shared" si="36"/>
        <v>4</v>
      </c>
    </row>
    <row r="39" spans="1:134" ht="18.600000000000001" customHeight="1" outlineLevel="1" x14ac:dyDescent="0.3">
      <c r="A39" t="s">
        <v>221</v>
      </c>
      <c r="B39" s="170">
        <f>'Growth Prediction Exec Summary'!G5</f>
        <v>0.08</v>
      </c>
      <c r="C39" s="1675"/>
      <c r="D39" s="1633" t="s">
        <v>222</v>
      </c>
      <c r="E39" s="1633"/>
      <c r="F39" s="1633"/>
      <c r="G39" s="1633"/>
      <c r="H39" s="1633"/>
      <c r="I39" s="1633"/>
      <c r="J39" s="1633"/>
      <c r="K39" s="1633"/>
      <c r="L39" s="962"/>
      <c r="M39" s="1327">
        <f>N39*100</f>
        <v>25.25</v>
      </c>
      <c r="N39" s="1391">
        <f>'SEC Benches Data'!I4/100</f>
        <v>0.2525</v>
      </c>
      <c r="O39" s="1392">
        <f>'SEC Benches Data'!U4/100</f>
        <v>0.35</v>
      </c>
      <c r="P39" s="1392">
        <f>'SEC Benches Data'!AG4/100</f>
        <v>0.54749999999999999</v>
      </c>
      <c r="Q39" s="941"/>
      <c r="R39" s="949">
        <f t="shared" si="24"/>
        <v>0.29499999999999998</v>
      </c>
      <c r="S39" s="942">
        <v>8</v>
      </c>
      <c r="T39" s="942">
        <v>2</v>
      </c>
      <c r="U39" s="940"/>
      <c r="V39" s="1124"/>
      <c r="W39" s="1138">
        <f>M39</f>
        <v>25.25</v>
      </c>
      <c r="X39" s="1139">
        <f>W39</f>
        <v>25.25</v>
      </c>
      <c r="Y39" s="1139">
        <f>X39</f>
        <v>25.25</v>
      </c>
      <c r="Z39" s="1139">
        <f>O39*100</f>
        <v>35</v>
      </c>
      <c r="AA39" s="1139">
        <f>Z39</f>
        <v>35</v>
      </c>
      <c r="AB39" s="1139">
        <f>AA39</f>
        <v>35</v>
      </c>
      <c r="AC39" s="1139">
        <f>P39*100</f>
        <v>54.75</v>
      </c>
      <c r="AD39" s="1139">
        <f>AC39</f>
        <v>54.75</v>
      </c>
      <c r="AE39" s="1139">
        <f>AD39</f>
        <v>54.75</v>
      </c>
      <c r="AF39" s="1139">
        <f>AE39</f>
        <v>54.75</v>
      </c>
      <c r="AG39" s="1139">
        <f>AF39</f>
        <v>54.75</v>
      </c>
      <c r="AH39" s="1139">
        <f>AG39</f>
        <v>54.75</v>
      </c>
      <c r="AI39" s="1140">
        <f t="shared" ref="AI39:AT39" si="37">(((AH39*(1+($B$50*$B$4)))-AH39)/12)+AH39</f>
        <v>55.669800000000002</v>
      </c>
      <c r="AJ39" s="1139">
        <f t="shared" si="37"/>
        <v>56.605052640000004</v>
      </c>
      <c r="AK39" s="1139">
        <f t="shared" si="37"/>
        <v>57.556017524352001</v>
      </c>
      <c r="AL39" s="1139">
        <f t="shared" si="37"/>
        <v>58.522958618761116</v>
      </c>
      <c r="AM39" s="1139">
        <f t="shared" si="37"/>
        <v>59.506144323556306</v>
      </c>
      <c r="AN39" s="1139">
        <f t="shared" si="37"/>
        <v>60.505847548192051</v>
      </c>
      <c r="AO39" s="1139">
        <f t="shared" si="37"/>
        <v>61.522345787001676</v>
      </c>
      <c r="AP39" s="1139">
        <f t="shared" si="37"/>
        <v>62.555921196223302</v>
      </c>
      <c r="AQ39" s="1139">
        <f t="shared" si="37"/>
        <v>63.606860672319854</v>
      </c>
      <c r="AR39" s="1139">
        <f t="shared" si="37"/>
        <v>64.675455931614835</v>
      </c>
      <c r="AS39" s="1139">
        <f t="shared" si="37"/>
        <v>65.762003591265966</v>
      </c>
      <c r="AT39" s="1139">
        <f t="shared" si="37"/>
        <v>66.866805251599231</v>
      </c>
      <c r="AU39" s="1140">
        <f t="shared" ref="AU39:BF39" si="38">(((AT39*(1+($B$51*$B$4)))-AT39)/12)+AT39</f>
        <v>67.95004749667514</v>
      </c>
      <c r="AV39" s="1139">
        <f t="shared" si="38"/>
        <v>69.050838266121275</v>
      </c>
      <c r="AW39" s="1139">
        <f t="shared" si="38"/>
        <v>70.169461846032434</v>
      </c>
      <c r="AX39" s="1139">
        <f t="shared" si="38"/>
        <v>71.306207127938166</v>
      </c>
      <c r="AY39" s="1139">
        <f t="shared" si="38"/>
        <v>72.461367683410771</v>
      </c>
      <c r="AZ39" s="1139">
        <f t="shared" si="38"/>
        <v>73.635241839882028</v>
      </c>
      <c r="BA39" s="1139">
        <f t="shared" si="38"/>
        <v>74.82813275768811</v>
      </c>
      <c r="BB39" s="1139">
        <f t="shared" si="38"/>
        <v>76.040348508362655</v>
      </c>
      <c r="BC39" s="1139">
        <f t="shared" si="38"/>
        <v>77.272202154198126</v>
      </c>
      <c r="BD39" s="1139">
        <f t="shared" si="38"/>
        <v>78.524011829096139</v>
      </c>
      <c r="BE39" s="1139">
        <f t="shared" si="38"/>
        <v>79.796100820727503</v>
      </c>
      <c r="BF39" s="1139">
        <f t="shared" si="38"/>
        <v>81.088797654023281</v>
      </c>
      <c r="BG39" s="1140">
        <f t="shared" ref="BG39:BR39" si="39">(((BF39*(1+($B$52*$B$4)))-BF39)/12)+BF39</f>
        <v>82.305129618833632</v>
      </c>
      <c r="BH39" s="1139">
        <f t="shared" si="39"/>
        <v>83.539706563116141</v>
      </c>
      <c r="BI39" s="1139">
        <f t="shared" si="39"/>
        <v>84.792802161562889</v>
      </c>
      <c r="BJ39" s="1139">
        <f t="shared" si="39"/>
        <v>86.064694193986327</v>
      </c>
      <c r="BK39" s="1139">
        <f t="shared" si="39"/>
        <v>87.355664606896127</v>
      </c>
      <c r="BL39" s="1139">
        <f t="shared" si="39"/>
        <v>88.665999575999564</v>
      </c>
      <c r="BM39" s="1139">
        <f t="shared" si="39"/>
        <v>89.995989569639562</v>
      </c>
      <c r="BN39" s="1139">
        <f t="shared" si="39"/>
        <v>91.345929413184152</v>
      </c>
      <c r="BO39" s="1139">
        <f t="shared" si="39"/>
        <v>92.716118354381919</v>
      </c>
      <c r="BP39" s="1139">
        <f t="shared" si="39"/>
        <v>94.106860129697651</v>
      </c>
      <c r="BQ39" s="1139">
        <f t="shared" si="39"/>
        <v>95.518463031643108</v>
      </c>
      <c r="BR39" s="1139">
        <f t="shared" si="39"/>
        <v>96.951239977117751</v>
      </c>
      <c r="BS39" s="1140">
        <f t="shared" ref="BS39:CD39" si="40">(((BR39*(1+($B$53*$B$4)))-BR39)/12)+BR39</f>
        <v>98.405508576774523</v>
      </c>
      <c r="BT39" s="1139">
        <f t="shared" si="40"/>
        <v>99.881591205426133</v>
      </c>
      <c r="BU39" s="1139">
        <f t="shared" si="40"/>
        <v>101.37981507350753</v>
      </c>
      <c r="BV39" s="1139">
        <f t="shared" si="40"/>
        <v>102.90051229961014</v>
      </c>
      <c r="BW39" s="1139">
        <f t="shared" si="40"/>
        <v>104.4440199841043</v>
      </c>
      <c r="BX39" s="1139">
        <f t="shared" si="40"/>
        <v>106.01068028386587</v>
      </c>
      <c r="BY39" s="1139">
        <f t="shared" si="40"/>
        <v>107.60084048812385</v>
      </c>
      <c r="BZ39" s="1139">
        <f t="shared" si="40"/>
        <v>109.2148530954457</v>
      </c>
      <c r="CA39" s="1139">
        <f t="shared" si="40"/>
        <v>110.85307589187738</v>
      </c>
      <c r="CB39" s="1139">
        <f t="shared" si="40"/>
        <v>112.51587203025554</v>
      </c>
      <c r="CC39" s="1139">
        <f t="shared" si="40"/>
        <v>114.20361011070938</v>
      </c>
      <c r="CD39" s="1139">
        <f t="shared" si="40"/>
        <v>115.91666426237002</v>
      </c>
      <c r="CE39" s="1140">
        <f t="shared" ref="CE39:CP39" si="41">(((CD39*(1+($B$54*$B$4)))-CD39)/12)+CD39</f>
        <v>117.65541422630557</v>
      </c>
      <c r="CF39" s="1139">
        <f t="shared" si="41"/>
        <v>119.42024543970015</v>
      </c>
      <c r="CG39" s="1139">
        <f t="shared" si="41"/>
        <v>121.21154912129566</v>
      </c>
      <c r="CH39" s="1139">
        <f t="shared" si="41"/>
        <v>123.02972235811509</v>
      </c>
      <c r="CI39" s="1139">
        <f t="shared" si="41"/>
        <v>124.87516819348681</v>
      </c>
      <c r="CJ39" s="1139">
        <f t="shared" si="41"/>
        <v>126.74829571638912</v>
      </c>
      <c r="CK39" s="1139">
        <f t="shared" si="41"/>
        <v>128.64952015213495</v>
      </c>
      <c r="CL39" s="1139">
        <f t="shared" si="41"/>
        <v>130.57926295441698</v>
      </c>
      <c r="CM39" s="1139">
        <f t="shared" si="41"/>
        <v>132.53795189873324</v>
      </c>
      <c r="CN39" s="1139">
        <f t="shared" si="41"/>
        <v>134.52602117721423</v>
      </c>
      <c r="CO39" s="1139">
        <f t="shared" si="41"/>
        <v>136.54391149487245</v>
      </c>
      <c r="CP39" s="1139">
        <f t="shared" si="41"/>
        <v>138.59207016729553</v>
      </c>
      <c r="CQ39" s="1140">
        <f t="shared" ref="CQ39:DB39" si="42">(((CP39*(1+($B$55*$B$4)))-CP39)/12)+CP39</f>
        <v>140.67095121980498</v>
      </c>
      <c r="CR39" s="1139">
        <f t="shared" si="42"/>
        <v>142.78101548810204</v>
      </c>
      <c r="CS39" s="1139">
        <f t="shared" si="42"/>
        <v>144.92273072042357</v>
      </c>
      <c r="CT39" s="1139">
        <f t="shared" si="42"/>
        <v>147.09657168122993</v>
      </c>
      <c r="CU39" s="1139">
        <f t="shared" si="42"/>
        <v>149.30302025644838</v>
      </c>
      <c r="CV39" s="1139">
        <f t="shared" si="42"/>
        <v>151.54256556029509</v>
      </c>
      <c r="CW39" s="1139">
        <f t="shared" si="42"/>
        <v>153.81570404369953</v>
      </c>
      <c r="CX39" s="1139">
        <f t="shared" si="42"/>
        <v>156.12293960435503</v>
      </c>
      <c r="CY39" s="1139">
        <f t="shared" si="42"/>
        <v>158.46478369842035</v>
      </c>
      <c r="CZ39" s="1139">
        <f t="shared" si="42"/>
        <v>160.84175545389667</v>
      </c>
      <c r="DA39" s="1139">
        <f t="shared" si="42"/>
        <v>163.25438178570511</v>
      </c>
      <c r="DB39" s="1139">
        <f t="shared" si="42"/>
        <v>165.70319751249068</v>
      </c>
      <c r="DC39" s="1140">
        <f t="shared" ref="DC39:DN39" si="43">(((DB39*(1+($B$56*$B$4)))-DB39)/12)+DB39</f>
        <v>168.18874547517802</v>
      </c>
      <c r="DD39" s="1139">
        <f t="shared" si="43"/>
        <v>170.7115766573057</v>
      </c>
      <c r="DE39" s="1139">
        <f t="shared" si="43"/>
        <v>173.27225030716528</v>
      </c>
      <c r="DF39" s="1139">
        <f t="shared" si="43"/>
        <v>175.87133406177276</v>
      </c>
      <c r="DG39" s="1139">
        <f t="shared" si="43"/>
        <v>178.50940407269934</v>
      </c>
      <c r="DH39" s="1139">
        <f t="shared" si="43"/>
        <v>181.18704513378984</v>
      </c>
      <c r="DI39" s="1139">
        <f t="shared" si="43"/>
        <v>183.90485081079669</v>
      </c>
      <c r="DJ39" s="1139">
        <f t="shared" si="43"/>
        <v>186.66342357295864</v>
      </c>
      <c r="DK39" s="1139">
        <f t="shared" si="43"/>
        <v>189.463374926553</v>
      </c>
      <c r="DL39" s="1139">
        <f t="shared" si="43"/>
        <v>192.3053255504513</v>
      </c>
      <c r="DM39" s="1139">
        <f t="shared" si="43"/>
        <v>195.18990543370808</v>
      </c>
      <c r="DN39" s="1139">
        <f t="shared" si="43"/>
        <v>198.11775401521371</v>
      </c>
      <c r="DO39" s="1140">
        <f t="shared" ref="DO39:DZ39" si="44">(((DN39*(1+($B$61*$B$4)))-DN39)/12)+DN39</f>
        <v>199.90081380135064</v>
      </c>
      <c r="DP39" s="1139">
        <f t="shared" si="44"/>
        <v>201.69992112556278</v>
      </c>
      <c r="DQ39" s="1139">
        <f t="shared" si="44"/>
        <v>203.51522041569285</v>
      </c>
      <c r="DR39" s="1139">
        <f t="shared" si="44"/>
        <v>205.3468573994341</v>
      </c>
      <c r="DS39" s="1139">
        <f t="shared" si="44"/>
        <v>207.194979116029</v>
      </c>
      <c r="DT39" s="1139">
        <f t="shared" si="44"/>
        <v>209.05973392807326</v>
      </c>
      <c r="DU39" s="1139">
        <f t="shared" si="44"/>
        <v>210.94127153342592</v>
      </c>
      <c r="DV39" s="1139">
        <f t="shared" si="44"/>
        <v>212.83974297722676</v>
      </c>
      <c r="DW39" s="1139">
        <f t="shared" si="44"/>
        <v>214.7553006640218</v>
      </c>
      <c r="DX39" s="1139">
        <f t="shared" si="44"/>
        <v>216.68809836999799</v>
      </c>
      <c r="DY39" s="1139">
        <f t="shared" si="44"/>
        <v>218.63829125532797</v>
      </c>
      <c r="DZ39" s="1139">
        <f t="shared" si="44"/>
        <v>220.60603587662592</v>
      </c>
      <c r="EA39" s="1140">
        <f>(((DZ39*(1+($B$62*$B$4)))-DZ39)/12)+DZ39</f>
        <v>222.26058114570063</v>
      </c>
      <c r="EB39" s="1139">
        <f>(((EA39*(1+($B$62*$B$4)))-EA39)/12)+EA39</f>
        <v>223.92753550429339</v>
      </c>
      <c r="EC39" s="1139">
        <f>(((EB39*(1+($B$62*$B$4)))-EB39)/12)+EB39</f>
        <v>225.6069920205756</v>
      </c>
      <c r="ED39" s="1141">
        <f>(((EC39*(1+($B$62*$B$4)))-EC39)/12)+EC39</f>
        <v>227.29904446072993</v>
      </c>
    </row>
    <row r="40" spans="1:134" ht="18.600000000000001" customHeight="1" outlineLevel="1" x14ac:dyDescent="0.3">
      <c r="A40" t="s">
        <v>223</v>
      </c>
      <c r="B40" s="170">
        <f>'Growth Prediction Exec Summary'!H5</f>
        <v>0.08</v>
      </c>
      <c r="C40" s="1675"/>
      <c r="D40" s="1636"/>
      <c r="E40" s="1636"/>
      <c r="F40" s="1636"/>
      <c r="G40" s="1636"/>
      <c r="H40" s="1636"/>
      <c r="I40" s="1636"/>
      <c r="J40" s="1636"/>
      <c r="K40" s="1636"/>
      <c r="L40" s="950"/>
      <c r="M40" s="943"/>
      <c r="N40" s="1394"/>
      <c r="O40" s="1395"/>
      <c r="P40" s="1395"/>
      <c r="Q40" s="944"/>
      <c r="R40" s="951"/>
      <c r="S40" s="945"/>
      <c r="T40" s="945"/>
      <c r="U40" s="943"/>
      <c r="V40" s="1081">
        <v>2</v>
      </c>
      <c r="W40" s="1134">
        <f t="shared" ref="W40:BB40" si="45">ROUNDUP($V$40*(W39/100)/0.8,0)</f>
        <v>1</v>
      </c>
      <c r="X40" s="1135">
        <f t="shared" si="45"/>
        <v>1</v>
      </c>
      <c r="Y40" s="1135">
        <f t="shared" si="45"/>
        <v>1</v>
      </c>
      <c r="Z40" s="1135">
        <f t="shared" si="45"/>
        <v>1</v>
      </c>
      <c r="AA40" s="1135">
        <f t="shared" si="45"/>
        <v>1</v>
      </c>
      <c r="AB40" s="1135">
        <f t="shared" si="45"/>
        <v>1</v>
      </c>
      <c r="AC40" s="1135">
        <f t="shared" si="45"/>
        <v>2</v>
      </c>
      <c r="AD40" s="1135">
        <f t="shared" si="45"/>
        <v>2</v>
      </c>
      <c r="AE40" s="1135">
        <f t="shared" si="45"/>
        <v>2</v>
      </c>
      <c r="AF40" s="1135">
        <f t="shared" si="45"/>
        <v>2</v>
      </c>
      <c r="AG40" s="1135">
        <f t="shared" si="45"/>
        <v>2</v>
      </c>
      <c r="AH40" s="1135">
        <f t="shared" si="45"/>
        <v>2</v>
      </c>
      <c r="AI40" s="1136">
        <f t="shared" si="45"/>
        <v>2</v>
      </c>
      <c r="AJ40" s="1135">
        <f t="shared" si="45"/>
        <v>2</v>
      </c>
      <c r="AK40" s="1135">
        <f t="shared" si="45"/>
        <v>2</v>
      </c>
      <c r="AL40" s="1135">
        <f t="shared" si="45"/>
        <v>2</v>
      </c>
      <c r="AM40" s="1135">
        <f t="shared" si="45"/>
        <v>2</v>
      </c>
      <c r="AN40" s="1135">
        <f t="shared" si="45"/>
        <v>2</v>
      </c>
      <c r="AO40" s="1135">
        <f t="shared" si="45"/>
        <v>2</v>
      </c>
      <c r="AP40" s="1135">
        <f t="shared" si="45"/>
        <v>2</v>
      </c>
      <c r="AQ40" s="1135">
        <f t="shared" si="45"/>
        <v>2</v>
      </c>
      <c r="AR40" s="1135">
        <f t="shared" si="45"/>
        <v>2</v>
      </c>
      <c r="AS40" s="1135">
        <f t="shared" si="45"/>
        <v>2</v>
      </c>
      <c r="AT40" s="1135">
        <f t="shared" si="45"/>
        <v>2</v>
      </c>
      <c r="AU40" s="1136">
        <f t="shared" si="45"/>
        <v>2</v>
      </c>
      <c r="AV40" s="1135">
        <f t="shared" si="45"/>
        <v>2</v>
      </c>
      <c r="AW40" s="1135">
        <f t="shared" si="45"/>
        <v>2</v>
      </c>
      <c r="AX40" s="1135">
        <f t="shared" si="45"/>
        <v>2</v>
      </c>
      <c r="AY40" s="1135">
        <f t="shared" si="45"/>
        <v>2</v>
      </c>
      <c r="AZ40" s="1135">
        <f t="shared" si="45"/>
        <v>2</v>
      </c>
      <c r="BA40" s="1135">
        <f t="shared" si="45"/>
        <v>2</v>
      </c>
      <c r="BB40" s="1135">
        <f t="shared" si="45"/>
        <v>2</v>
      </c>
      <c r="BC40" s="1135">
        <f t="shared" ref="BC40:CH40" si="46">ROUNDUP($V$40*(BC39/100)/0.8,0)</f>
        <v>2</v>
      </c>
      <c r="BD40" s="1135">
        <f t="shared" si="46"/>
        <v>2</v>
      </c>
      <c r="BE40" s="1135">
        <f t="shared" si="46"/>
        <v>2</v>
      </c>
      <c r="BF40" s="1135">
        <f t="shared" si="46"/>
        <v>3</v>
      </c>
      <c r="BG40" s="1136">
        <f t="shared" si="46"/>
        <v>3</v>
      </c>
      <c r="BH40" s="1135">
        <f t="shared" si="46"/>
        <v>3</v>
      </c>
      <c r="BI40" s="1135">
        <f t="shared" si="46"/>
        <v>3</v>
      </c>
      <c r="BJ40" s="1135">
        <f t="shared" si="46"/>
        <v>3</v>
      </c>
      <c r="BK40" s="1135">
        <f t="shared" si="46"/>
        <v>3</v>
      </c>
      <c r="BL40" s="1135">
        <f t="shared" si="46"/>
        <v>3</v>
      </c>
      <c r="BM40" s="1135">
        <f t="shared" si="46"/>
        <v>3</v>
      </c>
      <c r="BN40" s="1135">
        <f t="shared" si="46"/>
        <v>3</v>
      </c>
      <c r="BO40" s="1135">
        <f t="shared" si="46"/>
        <v>3</v>
      </c>
      <c r="BP40" s="1135">
        <f t="shared" si="46"/>
        <v>3</v>
      </c>
      <c r="BQ40" s="1135">
        <f t="shared" si="46"/>
        <v>3</v>
      </c>
      <c r="BR40" s="1135">
        <f t="shared" si="46"/>
        <v>3</v>
      </c>
      <c r="BS40" s="1136">
        <f t="shared" si="46"/>
        <v>3</v>
      </c>
      <c r="BT40" s="1135">
        <f t="shared" si="46"/>
        <v>3</v>
      </c>
      <c r="BU40" s="1135">
        <f t="shared" si="46"/>
        <v>3</v>
      </c>
      <c r="BV40" s="1135">
        <f t="shared" si="46"/>
        <v>3</v>
      </c>
      <c r="BW40" s="1135">
        <f t="shared" si="46"/>
        <v>3</v>
      </c>
      <c r="BX40" s="1135">
        <f t="shared" si="46"/>
        <v>3</v>
      </c>
      <c r="BY40" s="1135">
        <f t="shared" si="46"/>
        <v>3</v>
      </c>
      <c r="BZ40" s="1135">
        <f t="shared" si="46"/>
        <v>3</v>
      </c>
      <c r="CA40" s="1135">
        <f t="shared" si="46"/>
        <v>3</v>
      </c>
      <c r="CB40" s="1135">
        <f t="shared" si="46"/>
        <v>3</v>
      </c>
      <c r="CC40" s="1135">
        <f t="shared" si="46"/>
        <v>3</v>
      </c>
      <c r="CD40" s="1135">
        <f t="shared" si="46"/>
        <v>3</v>
      </c>
      <c r="CE40" s="1136">
        <f t="shared" si="46"/>
        <v>3</v>
      </c>
      <c r="CF40" s="1135">
        <f t="shared" si="46"/>
        <v>3</v>
      </c>
      <c r="CG40" s="1135">
        <f t="shared" si="46"/>
        <v>4</v>
      </c>
      <c r="CH40" s="1135">
        <f t="shared" si="46"/>
        <v>4</v>
      </c>
      <c r="CI40" s="1135">
        <f t="shared" ref="CI40:DN40" si="47">ROUNDUP($V$40*(CI39/100)/0.8,0)</f>
        <v>4</v>
      </c>
      <c r="CJ40" s="1135">
        <f t="shared" si="47"/>
        <v>4</v>
      </c>
      <c r="CK40" s="1135">
        <f t="shared" si="47"/>
        <v>4</v>
      </c>
      <c r="CL40" s="1135">
        <f t="shared" si="47"/>
        <v>4</v>
      </c>
      <c r="CM40" s="1135">
        <f t="shared" si="47"/>
        <v>4</v>
      </c>
      <c r="CN40" s="1135">
        <f t="shared" si="47"/>
        <v>4</v>
      </c>
      <c r="CO40" s="1135">
        <f t="shared" si="47"/>
        <v>4</v>
      </c>
      <c r="CP40" s="1135">
        <f t="shared" si="47"/>
        <v>4</v>
      </c>
      <c r="CQ40" s="1136">
        <f t="shared" si="47"/>
        <v>4</v>
      </c>
      <c r="CR40" s="1135">
        <f t="shared" si="47"/>
        <v>4</v>
      </c>
      <c r="CS40" s="1135">
        <f t="shared" si="47"/>
        <v>4</v>
      </c>
      <c r="CT40" s="1135">
        <f t="shared" si="47"/>
        <v>4</v>
      </c>
      <c r="CU40" s="1135">
        <f t="shared" si="47"/>
        <v>4</v>
      </c>
      <c r="CV40" s="1135">
        <f t="shared" si="47"/>
        <v>4</v>
      </c>
      <c r="CW40" s="1135">
        <f t="shared" si="47"/>
        <v>4</v>
      </c>
      <c r="CX40" s="1135">
        <f t="shared" si="47"/>
        <v>4</v>
      </c>
      <c r="CY40" s="1135">
        <f t="shared" si="47"/>
        <v>4</v>
      </c>
      <c r="CZ40" s="1135">
        <f t="shared" si="47"/>
        <v>5</v>
      </c>
      <c r="DA40" s="1135">
        <f t="shared" si="47"/>
        <v>5</v>
      </c>
      <c r="DB40" s="1135">
        <f t="shared" si="47"/>
        <v>5</v>
      </c>
      <c r="DC40" s="1136">
        <f t="shared" si="47"/>
        <v>5</v>
      </c>
      <c r="DD40" s="1135">
        <f t="shared" si="47"/>
        <v>5</v>
      </c>
      <c r="DE40" s="1135">
        <f t="shared" si="47"/>
        <v>5</v>
      </c>
      <c r="DF40" s="1135">
        <f t="shared" si="47"/>
        <v>5</v>
      </c>
      <c r="DG40" s="1135">
        <f t="shared" si="47"/>
        <v>5</v>
      </c>
      <c r="DH40" s="1135">
        <f t="shared" si="47"/>
        <v>5</v>
      </c>
      <c r="DI40" s="1135">
        <f t="shared" si="47"/>
        <v>5</v>
      </c>
      <c r="DJ40" s="1135">
        <f t="shared" si="47"/>
        <v>5</v>
      </c>
      <c r="DK40" s="1135">
        <f t="shared" si="47"/>
        <v>5</v>
      </c>
      <c r="DL40" s="1135">
        <f t="shared" si="47"/>
        <v>5</v>
      </c>
      <c r="DM40" s="1135">
        <f t="shared" si="47"/>
        <v>5</v>
      </c>
      <c r="DN40" s="1135">
        <f t="shared" si="47"/>
        <v>5</v>
      </c>
      <c r="DO40" s="1136">
        <f t="shared" ref="DO40:ED40" si="48">ROUNDUP($V$40*(DO39/100)/0.8,0)</f>
        <v>5</v>
      </c>
      <c r="DP40" s="1135">
        <f t="shared" si="48"/>
        <v>6</v>
      </c>
      <c r="DQ40" s="1135">
        <f t="shared" si="48"/>
        <v>6</v>
      </c>
      <c r="DR40" s="1135">
        <f t="shared" si="48"/>
        <v>6</v>
      </c>
      <c r="DS40" s="1135">
        <f t="shared" si="48"/>
        <v>6</v>
      </c>
      <c r="DT40" s="1135">
        <f t="shared" si="48"/>
        <v>6</v>
      </c>
      <c r="DU40" s="1135">
        <f t="shared" si="48"/>
        <v>6</v>
      </c>
      <c r="DV40" s="1135">
        <f t="shared" si="48"/>
        <v>6</v>
      </c>
      <c r="DW40" s="1135">
        <f t="shared" si="48"/>
        <v>6</v>
      </c>
      <c r="DX40" s="1135">
        <f t="shared" si="48"/>
        <v>6</v>
      </c>
      <c r="DY40" s="1135">
        <f t="shared" si="48"/>
        <v>6</v>
      </c>
      <c r="DZ40" s="1135">
        <f t="shared" si="48"/>
        <v>6</v>
      </c>
      <c r="EA40" s="1136">
        <f t="shared" si="48"/>
        <v>6</v>
      </c>
      <c r="EB40" s="1135">
        <f t="shared" si="48"/>
        <v>6</v>
      </c>
      <c r="EC40" s="1135">
        <f t="shared" si="48"/>
        <v>6</v>
      </c>
      <c r="ED40" s="1137">
        <f t="shared" si="48"/>
        <v>6</v>
      </c>
    </row>
    <row r="41" spans="1:134" ht="18.600000000000001" customHeight="1" outlineLevel="1" x14ac:dyDescent="0.3">
      <c r="A41" t="s">
        <v>224</v>
      </c>
      <c r="B41" s="170">
        <f>'Growth Prediction Exec Summary'!I5</f>
        <v>0.08</v>
      </c>
      <c r="C41" s="1675"/>
      <c r="D41" s="1633" t="s">
        <v>225</v>
      </c>
      <c r="E41" s="1633"/>
      <c r="F41" s="1633"/>
      <c r="G41" s="1633"/>
      <c r="H41" s="1633"/>
      <c r="I41" s="1633"/>
      <c r="J41" s="1633"/>
      <c r="K41" s="1633"/>
      <c r="L41" s="962"/>
      <c r="M41" s="1327">
        <f>N41*100</f>
        <v>30</v>
      </c>
      <c r="N41" s="1391">
        <f>'SEC Benches Data'!C4/100</f>
        <v>0.3</v>
      </c>
      <c r="O41" s="1392">
        <f>'SEC Benches Data'!O4/100</f>
        <v>0.37</v>
      </c>
      <c r="P41" s="1392">
        <f>'SEC Benches Data'!AA4/100</f>
        <v>0.53</v>
      </c>
      <c r="Q41" s="941"/>
      <c r="R41" s="949">
        <f t="shared" si="24"/>
        <v>0.23000000000000004</v>
      </c>
      <c r="S41" s="942">
        <v>3</v>
      </c>
      <c r="T41" s="942">
        <v>2</v>
      </c>
      <c r="U41" s="940"/>
      <c r="V41" s="1124"/>
      <c r="W41" s="1130">
        <f>M41</f>
        <v>30</v>
      </c>
      <c r="X41" s="1013">
        <f>W41</f>
        <v>30</v>
      </c>
      <c r="Y41" s="1013">
        <f>X41</f>
        <v>30</v>
      </c>
      <c r="Z41" s="1013">
        <f>O41*100</f>
        <v>37</v>
      </c>
      <c r="AA41" s="1013">
        <f>Z41</f>
        <v>37</v>
      </c>
      <c r="AB41" s="1013">
        <f>AA41</f>
        <v>37</v>
      </c>
      <c r="AC41" s="1013">
        <f>P41*100</f>
        <v>53</v>
      </c>
      <c r="AD41" s="1013">
        <f>AC41</f>
        <v>53</v>
      </c>
      <c r="AE41" s="1013">
        <f>AD41</f>
        <v>53</v>
      </c>
      <c r="AF41" s="1013">
        <f>AE41</f>
        <v>53</v>
      </c>
      <c r="AG41" s="1013">
        <f>AF41</f>
        <v>53</v>
      </c>
      <c r="AH41" s="1013">
        <f>AG41</f>
        <v>53</v>
      </c>
      <c r="AI41" s="1014">
        <f t="shared" ref="AI41:AT41" si="49">(((AH41*(1+($B$50*$B$4)))-AH41)/12)+AH41</f>
        <v>53.8904</v>
      </c>
      <c r="AJ41" s="1013">
        <f t="shared" si="49"/>
        <v>54.795758720000002</v>
      </c>
      <c r="AK41" s="1013">
        <f t="shared" si="49"/>
        <v>55.716327466496004</v>
      </c>
      <c r="AL41" s="1013">
        <f t="shared" si="49"/>
        <v>56.652361767933137</v>
      </c>
      <c r="AM41" s="1013">
        <f t="shared" si="49"/>
        <v>57.604121445634412</v>
      </c>
      <c r="AN41" s="1013">
        <f t="shared" si="49"/>
        <v>58.57187068592107</v>
      </c>
      <c r="AO41" s="1013">
        <f t="shared" si="49"/>
        <v>59.555878113444543</v>
      </c>
      <c r="AP41" s="1013">
        <f t="shared" si="49"/>
        <v>60.556416865750414</v>
      </c>
      <c r="AQ41" s="1013">
        <f t="shared" si="49"/>
        <v>61.57376466909502</v>
      </c>
      <c r="AR41" s="1013">
        <f t="shared" si="49"/>
        <v>62.608203915535817</v>
      </c>
      <c r="AS41" s="1013">
        <f t="shared" si="49"/>
        <v>63.660021741316818</v>
      </c>
      <c r="AT41" s="1013">
        <f t="shared" si="49"/>
        <v>64.729510106570942</v>
      </c>
      <c r="AU41" s="1014">
        <f t="shared" ref="AU41:BF41" si="50">(((AT41*(1+($B$51*$B$4)))-AT41)/12)+AT41</f>
        <v>65.778128170297393</v>
      </c>
      <c r="AV41" s="1013">
        <f t="shared" si="50"/>
        <v>66.843733846656207</v>
      </c>
      <c r="AW41" s="1013">
        <f t="shared" si="50"/>
        <v>67.926602334972031</v>
      </c>
      <c r="AX41" s="1013">
        <f t="shared" si="50"/>
        <v>69.027013292798571</v>
      </c>
      <c r="AY41" s="1013">
        <f t="shared" si="50"/>
        <v>70.145250908141904</v>
      </c>
      <c r="AZ41" s="1013">
        <f t="shared" si="50"/>
        <v>71.281603972853802</v>
      </c>
      <c r="BA41" s="1013">
        <f t="shared" si="50"/>
        <v>72.436365957214036</v>
      </c>
      <c r="BB41" s="1013">
        <f t="shared" si="50"/>
        <v>73.609835085720903</v>
      </c>
      <c r="BC41" s="1013">
        <f t="shared" si="50"/>
        <v>74.802314414109588</v>
      </c>
      <c r="BD41" s="1013">
        <f t="shared" si="50"/>
        <v>76.014111907618158</v>
      </c>
      <c r="BE41" s="1013">
        <f t="shared" si="50"/>
        <v>77.245540520521573</v>
      </c>
      <c r="BF41" s="1013">
        <f t="shared" si="50"/>
        <v>78.49691827695402</v>
      </c>
      <c r="BG41" s="1014">
        <f t="shared" ref="BG41:BR41" si="51">(((BF41*(1+($B$52*$B$4)))-BF41)/12)+BF41</f>
        <v>79.674372051108335</v>
      </c>
      <c r="BH41" s="1013">
        <f t="shared" si="51"/>
        <v>80.869487631874961</v>
      </c>
      <c r="BI41" s="1013">
        <f t="shared" si="51"/>
        <v>82.082529946353091</v>
      </c>
      <c r="BJ41" s="1013">
        <f t="shared" si="51"/>
        <v>83.313767895548381</v>
      </c>
      <c r="BK41" s="1013">
        <f t="shared" si="51"/>
        <v>84.563474413981609</v>
      </c>
      <c r="BL41" s="1013">
        <f t="shared" si="51"/>
        <v>85.831926530191339</v>
      </c>
      <c r="BM41" s="1013">
        <f t="shared" si="51"/>
        <v>87.119405428144205</v>
      </c>
      <c r="BN41" s="1013">
        <f t="shared" si="51"/>
        <v>88.426196509566367</v>
      </c>
      <c r="BO41" s="1013">
        <f t="shared" si="51"/>
        <v>89.752589457209865</v>
      </c>
      <c r="BP41" s="1013">
        <f t="shared" si="51"/>
        <v>91.098878299068019</v>
      </c>
      <c r="BQ41" s="1013">
        <f t="shared" si="51"/>
        <v>92.46536147355404</v>
      </c>
      <c r="BR41" s="1013">
        <f t="shared" si="51"/>
        <v>93.852341895657347</v>
      </c>
      <c r="BS41" s="1014">
        <f t="shared" ref="BS41:CD41" si="52">(((BR41*(1+($B$53*$B$4)))-BR41)/12)+BR41</f>
        <v>95.260127024092213</v>
      </c>
      <c r="BT41" s="1013">
        <f t="shared" si="52"/>
        <v>96.689028929453599</v>
      </c>
      <c r="BU41" s="1013">
        <f t="shared" si="52"/>
        <v>98.139364363395401</v>
      </c>
      <c r="BV41" s="1013">
        <f t="shared" si="52"/>
        <v>99.611454828846334</v>
      </c>
      <c r="BW41" s="1013">
        <f t="shared" si="52"/>
        <v>101.10562665127902</v>
      </c>
      <c r="BX41" s="1013">
        <f t="shared" si="52"/>
        <v>102.62221105104821</v>
      </c>
      <c r="BY41" s="1013">
        <f t="shared" si="52"/>
        <v>104.16154421681394</v>
      </c>
      <c r="BZ41" s="1013">
        <f t="shared" si="52"/>
        <v>105.72396738006614</v>
      </c>
      <c r="CA41" s="1013">
        <f t="shared" si="52"/>
        <v>107.30982689076714</v>
      </c>
      <c r="CB41" s="1013">
        <f t="shared" si="52"/>
        <v>108.91947429412865</v>
      </c>
      <c r="CC41" s="1013">
        <f t="shared" si="52"/>
        <v>110.55326640854058</v>
      </c>
      <c r="CD41" s="1013">
        <f t="shared" si="52"/>
        <v>112.21156540466869</v>
      </c>
      <c r="CE41" s="1014">
        <f t="shared" ref="CE41:CP41" si="53">(((CD41*(1+($B$54*$B$4)))-CD41)/12)+CD41</f>
        <v>113.89473888573872</v>
      </c>
      <c r="CF41" s="1013">
        <f t="shared" si="53"/>
        <v>115.6031599690248</v>
      </c>
      <c r="CG41" s="1013">
        <f t="shared" si="53"/>
        <v>117.33720736856017</v>
      </c>
      <c r="CH41" s="1013">
        <f t="shared" si="53"/>
        <v>119.09726547908858</v>
      </c>
      <c r="CI41" s="1013">
        <f t="shared" si="53"/>
        <v>120.88372446127491</v>
      </c>
      <c r="CJ41" s="1013">
        <f t="shared" si="53"/>
        <v>122.69698032819403</v>
      </c>
      <c r="CK41" s="1013">
        <f t="shared" si="53"/>
        <v>124.53743503311694</v>
      </c>
      <c r="CL41" s="1013">
        <f t="shared" si="53"/>
        <v>126.40549655861369</v>
      </c>
      <c r="CM41" s="1013">
        <f t="shared" si="53"/>
        <v>128.30157900699288</v>
      </c>
      <c r="CN41" s="1013">
        <f t="shared" si="53"/>
        <v>130.22610269209778</v>
      </c>
      <c r="CO41" s="1013">
        <f t="shared" si="53"/>
        <v>132.17949423247924</v>
      </c>
      <c r="CP41" s="1013">
        <f t="shared" si="53"/>
        <v>134.16218664596644</v>
      </c>
      <c r="CQ41" s="1014">
        <f t="shared" ref="CQ41:DB41" si="54">(((CP41*(1+($B$55*$B$4)))-CP41)/12)+CP41</f>
        <v>136.17461944565594</v>
      </c>
      <c r="CR41" s="1013">
        <f t="shared" si="54"/>
        <v>138.21723873734078</v>
      </c>
      <c r="CS41" s="1013">
        <f t="shared" si="54"/>
        <v>140.2904973184009</v>
      </c>
      <c r="CT41" s="1013">
        <f t="shared" si="54"/>
        <v>142.39485477817692</v>
      </c>
      <c r="CU41" s="1013">
        <f t="shared" si="54"/>
        <v>144.53077759984959</v>
      </c>
      <c r="CV41" s="1013">
        <f t="shared" si="54"/>
        <v>146.69873926384733</v>
      </c>
      <c r="CW41" s="1013">
        <f t="shared" si="54"/>
        <v>148.89922035280503</v>
      </c>
      <c r="CX41" s="1013">
        <f t="shared" si="54"/>
        <v>151.1327086580971</v>
      </c>
      <c r="CY41" s="1013">
        <f t="shared" si="54"/>
        <v>153.39969928796856</v>
      </c>
      <c r="CZ41" s="1013">
        <f t="shared" si="54"/>
        <v>155.70069477728808</v>
      </c>
      <c r="DA41" s="1013">
        <f t="shared" si="54"/>
        <v>158.03620519894739</v>
      </c>
      <c r="DB41" s="1013">
        <f t="shared" si="54"/>
        <v>160.40674827693158</v>
      </c>
      <c r="DC41" s="1014">
        <f t="shared" ref="DC41:DN41" si="55">(((DB41*(1+($B$56*$B$4)))-DB41)/12)+DB41</f>
        <v>162.81284950108557</v>
      </c>
      <c r="DD41" s="1013">
        <f t="shared" si="55"/>
        <v>165.25504224360185</v>
      </c>
      <c r="DE41" s="1013">
        <f t="shared" si="55"/>
        <v>167.73386787725588</v>
      </c>
      <c r="DF41" s="1013">
        <f t="shared" si="55"/>
        <v>170.2498758954147</v>
      </c>
      <c r="DG41" s="1013">
        <f t="shared" si="55"/>
        <v>172.80362403384592</v>
      </c>
      <c r="DH41" s="1013">
        <f t="shared" si="55"/>
        <v>175.39567839435361</v>
      </c>
      <c r="DI41" s="1013">
        <f t="shared" si="55"/>
        <v>178.02661357026892</v>
      </c>
      <c r="DJ41" s="1013">
        <f t="shared" si="55"/>
        <v>180.69701277382296</v>
      </c>
      <c r="DK41" s="1013">
        <f t="shared" si="55"/>
        <v>183.4074679654303</v>
      </c>
      <c r="DL41" s="1013">
        <f t="shared" si="55"/>
        <v>186.15857998491174</v>
      </c>
      <c r="DM41" s="1013">
        <f t="shared" si="55"/>
        <v>188.95095868468542</v>
      </c>
      <c r="DN41" s="1013">
        <f t="shared" si="55"/>
        <v>191.78522306495569</v>
      </c>
      <c r="DO41" s="1014">
        <f t="shared" ref="DO41:DZ41" si="56">(((DN41*(1+($B$61*$B$4)))-DN41)/12)+DN41</f>
        <v>193.51129007254031</v>
      </c>
      <c r="DP41" s="1013">
        <f t="shared" si="56"/>
        <v>195.25289168319318</v>
      </c>
      <c r="DQ41" s="1013">
        <f t="shared" si="56"/>
        <v>197.01016770834192</v>
      </c>
      <c r="DR41" s="1013">
        <f t="shared" si="56"/>
        <v>198.78325921771699</v>
      </c>
      <c r="DS41" s="1013">
        <f t="shared" si="56"/>
        <v>200.57230855067644</v>
      </c>
      <c r="DT41" s="1013">
        <f t="shared" si="56"/>
        <v>202.37745932763252</v>
      </c>
      <c r="DU41" s="1013">
        <f t="shared" si="56"/>
        <v>204.19885646158122</v>
      </c>
      <c r="DV41" s="1013">
        <f t="shared" si="56"/>
        <v>206.03664616973543</v>
      </c>
      <c r="DW41" s="1013">
        <f t="shared" si="56"/>
        <v>207.89097598526305</v>
      </c>
      <c r="DX41" s="1013">
        <f t="shared" si="56"/>
        <v>209.76199476913041</v>
      </c>
      <c r="DY41" s="1013">
        <f t="shared" si="56"/>
        <v>211.64985272205257</v>
      </c>
      <c r="DZ41" s="1013">
        <f t="shared" si="56"/>
        <v>213.55470139655105</v>
      </c>
      <c r="EA41" s="1014">
        <f>(((DZ41*(1+($B$62*$B$4)))-DZ41)/12)+DZ41</f>
        <v>215.15636165702517</v>
      </c>
      <c r="EB41" s="1013">
        <f>(((EA41*(1+($B$62*$B$4)))-EA41)/12)+EA41</f>
        <v>216.77003436945287</v>
      </c>
      <c r="EC41" s="1013">
        <f>(((EB41*(1+($B$62*$B$4)))-EB41)/12)+EB41</f>
        <v>218.39580962722377</v>
      </c>
      <c r="ED41" s="1131">
        <f>(((EC41*(1+($B$62*$B$4)))-EC41)/12)+EC41</f>
        <v>220.03377819942796</v>
      </c>
    </row>
    <row r="42" spans="1:134" ht="18.600000000000001" customHeight="1" outlineLevel="1" x14ac:dyDescent="0.3">
      <c r="A42" t="s">
        <v>226</v>
      </c>
      <c r="B42" s="170">
        <f>'Growth Prediction Exec Summary'!J5</f>
        <v>0.08</v>
      </c>
      <c r="C42" s="1675"/>
      <c r="D42" s="1636"/>
      <c r="E42" s="1636"/>
      <c r="F42" s="1636"/>
      <c r="G42" s="1636"/>
      <c r="H42" s="1636"/>
      <c r="I42" s="1636"/>
      <c r="J42" s="1636"/>
      <c r="K42" s="1636"/>
      <c r="L42" s="950"/>
      <c r="M42" s="943"/>
      <c r="N42" s="1394"/>
      <c r="O42" s="1395"/>
      <c r="P42" s="1395"/>
      <c r="Q42" s="944"/>
      <c r="R42" s="951"/>
      <c r="S42" s="945"/>
      <c r="T42" s="945"/>
      <c r="U42" s="943"/>
      <c r="V42" s="1081">
        <v>1</v>
      </c>
      <c r="W42" s="1132">
        <f t="shared" ref="W42:BB42" si="57">ROUNDUP($V$42*(W41/100)/0.8,0)</f>
        <v>1</v>
      </c>
      <c r="X42" s="1011">
        <f t="shared" si="57"/>
        <v>1</v>
      </c>
      <c r="Y42" s="1011">
        <f t="shared" si="57"/>
        <v>1</v>
      </c>
      <c r="Z42" s="1011">
        <f t="shared" si="57"/>
        <v>1</v>
      </c>
      <c r="AA42" s="1011">
        <f t="shared" si="57"/>
        <v>1</v>
      </c>
      <c r="AB42" s="1011">
        <f t="shared" si="57"/>
        <v>1</v>
      </c>
      <c r="AC42" s="1011">
        <f t="shared" si="57"/>
        <v>1</v>
      </c>
      <c r="AD42" s="1011">
        <f t="shared" si="57"/>
        <v>1</v>
      </c>
      <c r="AE42" s="1011">
        <f t="shared" si="57"/>
        <v>1</v>
      </c>
      <c r="AF42" s="1011">
        <f t="shared" si="57"/>
        <v>1</v>
      </c>
      <c r="AG42" s="1011">
        <f t="shared" si="57"/>
        <v>1</v>
      </c>
      <c r="AH42" s="1011">
        <f t="shared" si="57"/>
        <v>1</v>
      </c>
      <c r="AI42" s="1012">
        <f t="shared" si="57"/>
        <v>1</v>
      </c>
      <c r="AJ42" s="1011">
        <f t="shared" si="57"/>
        <v>1</v>
      </c>
      <c r="AK42" s="1011">
        <f t="shared" si="57"/>
        <v>1</v>
      </c>
      <c r="AL42" s="1011">
        <f t="shared" si="57"/>
        <v>1</v>
      </c>
      <c r="AM42" s="1011">
        <f t="shared" si="57"/>
        <v>1</v>
      </c>
      <c r="AN42" s="1011">
        <f t="shared" si="57"/>
        <v>1</v>
      </c>
      <c r="AO42" s="1011">
        <f t="shared" si="57"/>
        <v>1</v>
      </c>
      <c r="AP42" s="1011">
        <f t="shared" si="57"/>
        <v>1</v>
      </c>
      <c r="AQ42" s="1011">
        <f t="shared" si="57"/>
        <v>1</v>
      </c>
      <c r="AR42" s="1011">
        <f t="shared" si="57"/>
        <v>1</v>
      </c>
      <c r="AS42" s="1011">
        <f t="shared" si="57"/>
        <v>1</v>
      </c>
      <c r="AT42" s="1011">
        <f t="shared" si="57"/>
        <v>1</v>
      </c>
      <c r="AU42" s="1012">
        <f t="shared" si="57"/>
        <v>1</v>
      </c>
      <c r="AV42" s="1011">
        <f t="shared" si="57"/>
        <v>1</v>
      </c>
      <c r="AW42" s="1011">
        <f t="shared" si="57"/>
        <v>1</v>
      </c>
      <c r="AX42" s="1011">
        <f t="shared" si="57"/>
        <v>1</v>
      </c>
      <c r="AY42" s="1011">
        <f t="shared" si="57"/>
        <v>1</v>
      </c>
      <c r="AZ42" s="1011">
        <f t="shared" si="57"/>
        <v>1</v>
      </c>
      <c r="BA42" s="1011">
        <f t="shared" si="57"/>
        <v>1</v>
      </c>
      <c r="BB42" s="1011">
        <f t="shared" si="57"/>
        <v>1</v>
      </c>
      <c r="BC42" s="1011">
        <f t="shared" ref="BC42:CH42" si="58">ROUNDUP($V$42*(BC41/100)/0.8,0)</f>
        <v>1</v>
      </c>
      <c r="BD42" s="1011">
        <f t="shared" si="58"/>
        <v>1</v>
      </c>
      <c r="BE42" s="1011">
        <f t="shared" si="58"/>
        <v>1</v>
      </c>
      <c r="BF42" s="1011">
        <f t="shared" si="58"/>
        <v>1</v>
      </c>
      <c r="BG42" s="1012">
        <f t="shared" si="58"/>
        <v>1</v>
      </c>
      <c r="BH42" s="1011">
        <f t="shared" si="58"/>
        <v>2</v>
      </c>
      <c r="BI42" s="1011">
        <f t="shared" si="58"/>
        <v>2</v>
      </c>
      <c r="BJ42" s="1011">
        <f t="shared" si="58"/>
        <v>2</v>
      </c>
      <c r="BK42" s="1011">
        <f t="shared" si="58"/>
        <v>2</v>
      </c>
      <c r="BL42" s="1011">
        <f t="shared" si="58"/>
        <v>2</v>
      </c>
      <c r="BM42" s="1011">
        <f t="shared" si="58"/>
        <v>2</v>
      </c>
      <c r="BN42" s="1011">
        <f t="shared" si="58"/>
        <v>2</v>
      </c>
      <c r="BO42" s="1011">
        <f t="shared" si="58"/>
        <v>2</v>
      </c>
      <c r="BP42" s="1011">
        <f t="shared" si="58"/>
        <v>2</v>
      </c>
      <c r="BQ42" s="1011">
        <f t="shared" si="58"/>
        <v>2</v>
      </c>
      <c r="BR42" s="1011">
        <f t="shared" si="58"/>
        <v>2</v>
      </c>
      <c r="BS42" s="1012">
        <f t="shared" si="58"/>
        <v>2</v>
      </c>
      <c r="BT42" s="1011">
        <f t="shared" si="58"/>
        <v>2</v>
      </c>
      <c r="BU42" s="1011">
        <f t="shared" si="58"/>
        <v>2</v>
      </c>
      <c r="BV42" s="1011">
        <f t="shared" si="58"/>
        <v>2</v>
      </c>
      <c r="BW42" s="1011">
        <f t="shared" si="58"/>
        <v>2</v>
      </c>
      <c r="BX42" s="1011">
        <f t="shared" si="58"/>
        <v>2</v>
      </c>
      <c r="BY42" s="1011">
        <f t="shared" si="58"/>
        <v>2</v>
      </c>
      <c r="BZ42" s="1011">
        <f t="shared" si="58"/>
        <v>2</v>
      </c>
      <c r="CA42" s="1011">
        <f t="shared" si="58"/>
        <v>2</v>
      </c>
      <c r="CB42" s="1011">
        <f t="shared" si="58"/>
        <v>2</v>
      </c>
      <c r="CC42" s="1011">
        <f t="shared" si="58"/>
        <v>2</v>
      </c>
      <c r="CD42" s="1011">
        <f t="shared" si="58"/>
        <v>2</v>
      </c>
      <c r="CE42" s="1012">
        <f t="shared" si="58"/>
        <v>2</v>
      </c>
      <c r="CF42" s="1011">
        <f t="shared" si="58"/>
        <v>2</v>
      </c>
      <c r="CG42" s="1011">
        <f t="shared" si="58"/>
        <v>2</v>
      </c>
      <c r="CH42" s="1011">
        <f t="shared" si="58"/>
        <v>2</v>
      </c>
      <c r="CI42" s="1011">
        <f t="shared" ref="CI42:DN42" si="59">ROUNDUP($V$42*(CI41/100)/0.8,0)</f>
        <v>2</v>
      </c>
      <c r="CJ42" s="1011">
        <f t="shared" si="59"/>
        <v>2</v>
      </c>
      <c r="CK42" s="1011">
        <f t="shared" si="59"/>
        <v>2</v>
      </c>
      <c r="CL42" s="1011">
        <f t="shared" si="59"/>
        <v>2</v>
      </c>
      <c r="CM42" s="1011">
        <f t="shared" si="59"/>
        <v>2</v>
      </c>
      <c r="CN42" s="1011">
        <f t="shared" si="59"/>
        <v>2</v>
      </c>
      <c r="CO42" s="1011">
        <f t="shared" si="59"/>
        <v>2</v>
      </c>
      <c r="CP42" s="1011">
        <f t="shared" si="59"/>
        <v>2</v>
      </c>
      <c r="CQ42" s="1012">
        <f t="shared" si="59"/>
        <v>2</v>
      </c>
      <c r="CR42" s="1011">
        <f t="shared" si="59"/>
        <v>2</v>
      </c>
      <c r="CS42" s="1011">
        <f t="shared" si="59"/>
        <v>2</v>
      </c>
      <c r="CT42" s="1011">
        <f t="shared" si="59"/>
        <v>2</v>
      </c>
      <c r="CU42" s="1011">
        <f t="shared" si="59"/>
        <v>2</v>
      </c>
      <c r="CV42" s="1011">
        <f t="shared" si="59"/>
        <v>2</v>
      </c>
      <c r="CW42" s="1011">
        <f t="shared" si="59"/>
        <v>2</v>
      </c>
      <c r="CX42" s="1011">
        <f t="shared" si="59"/>
        <v>2</v>
      </c>
      <c r="CY42" s="1011">
        <f t="shared" si="59"/>
        <v>2</v>
      </c>
      <c r="CZ42" s="1011">
        <f t="shared" si="59"/>
        <v>2</v>
      </c>
      <c r="DA42" s="1011">
        <f t="shared" si="59"/>
        <v>2</v>
      </c>
      <c r="DB42" s="1011">
        <f t="shared" si="59"/>
        <v>3</v>
      </c>
      <c r="DC42" s="1012">
        <f t="shared" si="59"/>
        <v>3</v>
      </c>
      <c r="DD42" s="1011">
        <f t="shared" si="59"/>
        <v>3</v>
      </c>
      <c r="DE42" s="1011">
        <f t="shared" si="59"/>
        <v>3</v>
      </c>
      <c r="DF42" s="1011">
        <f t="shared" si="59"/>
        <v>3</v>
      </c>
      <c r="DG42" s="1011">
        <f t="shared" si="59"/>
        <v>3</v>
      </c>
      <c r="DH42" s="1011">
        <f t="shared" si="59"/>
        <v>3</v>
      </c>
      <c r="DI42" s="1011">
        <f t="shared" si="59"/>
        <v>3</v>
      </c>
      <c r="DJ42" s="1011">
        <f t="shared" si="59"/>
        <v>3</v>
      </c>
      <c r="DK42" s="1011">
        <f t="shared" si="59"/>
        <v>3</v>
      </c>
      <c r="DL42" s="1011">
        <f t="shared" si="59"/>
        <v>3</v>
      </c>
      <c r="DM42" s="1011">
        <f t="shared" si="59"/>
        <v>3</v>
      </c>
      <c r="DN42" s="1011">
        <f t="shared" si="59"/>
        <v>3</v>
      </c>
      <c r="DO42" s="1012">
        <f t="shared" ref="DO42:ED42" si="60">ROUNDUP($V$42*(DO41/100)/0.8,0)</f>
        <v>3</v>
      </c>
      <c r="DP42" s="1011">
        <f t="shared" si="60"/>
        <v>3</v>
      </c>
      <c r="DQ42" s="1011">
        <f t="shared" si="60"/>
        <v>3</v>
      </c>
      <c r="DR42" s="1011">
        <f t="shared" si="60"/>
        <v>3</v>
      </c>
      <c r="DS42" s="1011">
        <f t="shared" si="60"/>
        <v>3</v>
      </c>
      <c r="DT42" s="1011">
        <f t="shared" si="60"/>
        <v>3</v>
      </c>
      <c r="DU42" s="1011">
        <f t="shared" si="60"/>
        <v>3</v>
      </c>
      <c r="DV42" s="1011">
        <f t="shared" si="60"/>
        <v>3</v>
      </c>
      <c r="DW42" s="1011">
        <f t="shared" si="60"/>
        <v>3</v>
      </c>
      <c r="DX42" s="1011">
        <f t="shared" si="60"/>
        <v>3</v>
      </c>
      <c r="DY42" s="1011">
        <f t="shared" si="60"/>
        <v>3</v>
      </c>
      <c r="DZ42" s="1011">
        <f t="shared" si="60"/>
        <v>3</v>
      </c>
      <c r="EA42" s="1012">
        <f t="shared" si="60"/>
        <v>3</v>
      </c>
      <c r="EB42" s="1011">
        <f t="shared" si="60"/>
        <v>3</v>
      </c>
      <c r="EC42" s="1011">
        <f t="shared" si="60"/>
        <v>3</v>
      </c>
      <c r="ED42" s="1133">
        <f t="shared" si="60"/>
        <v>3</v>
      </c>
    </row>
    <row r="43" spans="1:134" ht="18" customHeight="1" outlineLevel="1" x14ac:dyDescent="0.3">
      <c r="A43" t="s">
        <v>227</v>
      </c>
      <c r="B43" s="170">
        <f>'Growth Prediction Exec Summary'!K5</f>
        <v>0.08</v>
      </c>
      <c r="C43" s="1675"/>
      <c r="D43" s="1632" t="s">
        <v>228</v>
      </c>
      <c r="E43" s="1633"/>
      <c r="F43" s="1633"/>
      <c r="G43" s="1633"/>
      <c r="H43" s="1633"/>
      <c r="I43" s="1633"/>
      <c r="J43" s="1633"/>
      <c r="K43" s="1633"/>
      <c r="L43" s="1634"/>
      <c r="M43" s="1327">
        <f>N43</f>
        <v>8.7247058823529411</v>
      </c>
      <c r="N43" s="1372">
        <f>'SEC Benches Data'!AR4</f>
        <v>8.7247058823529411</v>
      </c>
      <c r="O43" s="1372">
        <f>'SEC Benches Data'!AS4</f>
        <v>12.21521568627451</v>
      </c>
      <c r="P43" s="1372">
        <f>'SEC Benches Data'!AT4</f>
        <v>17.701960784313727</v>
      </c>
      <c r="Q43" s="1373"/>
      <c r="R43" s="1388">
        <f>P43-N43</f>
        <v>8.9772549019607855</v>
      </c>
      <c r="S43" s="1373"/>
      <c r="T43" s="1373"/>
      <c r="U43" s="1011"/>
      <c r="V43" s="1374"/>
      <c r="W43" s="1138">
        <f>M43</f>
        <v>8.7247058823529411</v>
      </c>
      <c r="X43" s="1139">
        <f>W43</f>
        <v>8.7247058823529411</v>
      </c>
      <c r="Y43" s="1139">
        <f>X43</f>
        <v>8.7247058823529411</v>
      </c>
      <c r="Z43" s="1139">
        <f>O43</f>
        <v>12.21521568627451</v>
      </c>
      <c r="AA43" s="1139">
        <f>Z43</f>
        <v>12.21521568627451</v>
      </c>
      <c r="AB43" s="1139">
        <f>AA43</f>
        <v>12.21521568627451</v>
      </c>
      <c r="AC43" s="1139">
        <f>P43</f>
        <v>17.701960784313727</v>
      </c>
      <c r="AD43" s="1139">
        <f>AC43</f>
        <v>17.701960784313727</v>
      </c>
      <c r="AE43" s="1139">
        <f>AD43</f>
        <v>17.701960784313727</v>
      </c>
      <c r="AF43" s="1139">
        <f>AE43</f>
        <v>17.701960784313727</v>
      </c>
      <c r="AG43" s="1139">
        <f>AF43</f>
        <v>17.701960784313727</v>
      </c>
      <c r="AH43" s="1139">
        <f>AG43</f>
        <v>17.701960784313727</v>
      </c>
      <c r="AI43" s="1140">
        <f t="shared" ref="AI43" si="61">(((AH43*(1+($B$36*$B$4)))-AH43)/12)+AH43</f>
        <v>17.808172549019609</v>
      </c>
      <c r="AJ43" s="1139">
        <f t="shared" ref="AJ43" si="62">(((AI43*(1+($B$36*$B$4)))-AI43)/12)+AI43</f>
        <v>17.915021584313727</v>
      </c>
      <c r="AK43" s="1139">
        <f t="shared" ref="AK43" si="63">(((AJ43*(1+($B$36*$B$4)))-AJ43)/12)+AJ43</f>
        <v>18.022511713819611</v>
      </c>
      <c r="AL43" s="1139">
        <f t="shared" ref="AL43" si="64">(((AK43*(1+($B$36*$B$4)))-AK43)/12)+AK43</f>
        <v>18.130646784102527</v>
      </c>
      <c r="AM43" s="1139">
        <f t="shared" ref="AM43" si="65">(((AL43*(1+($B$36*$B$4)))-AL43)/12)+AL43</f>
        <v>18.239430664807141</v>
      </c>
      <c r="AN43" s="1139">
        <f t="shared" ref="AN43" si="66">(((AM43*(1+($B$36*$B$4)))-AM43)/12)+AM43</f>
        <v>18.348867248795983</v>
      </c>
      <c r="AO43" s="1139">
        <f t="shared" ref="AO43" si="67">(((AN43*(1+($B$36*$B$4)))-AN43)/12)+AN43</f>
        <v>18.45896045228876</v>
      </c>
      <c r="AP43" s="1139">
        <f t="shared" ref="AP43" si="68">(((AO43*(1+($B$36*$B$4)))-AO43)/12)+AO43</f>
        <v>18.569714215002492</v>
      </c>
      <c r="AQ43" s="1139">
        <f t="shared" ref="AQ43" si="69">(((AP43*(1+($B$36*$B$4)))-AP43)/12)+AP43</f>
        <v>18.681132500292506</v>
      </c>
      <c r="AR43" s="1139">
        <f t="shared" ref="AR43" si="70">(((AQ43*(1+($B$36*$B$4)))-AQ43)/12)+AQ43</f>
        <v>18.793219295294261</v>
      </c>
      <c r="AS43" s="1139">
        <f t="shared" ref="AS43" si="71">(((AR43*(1+($B$36*$B$4)))-AR43)/12)+AR43</f>
        <v>18.905978611066026</v>
      </c>
      <c r="AT43" s="1139">
        <f t="shared" ref="AT43" si="72">(((AS43*(1+($B$36*$B$4)))-AS43)/12)+AS43</f>
        <v>19.019414482732422</v>
      </c>
      <c r="AU43" s="1140">
        <f t="shared" ref="AU43" si="73">(((AT43*(1+($B$37*$B$4)))-AT43)/12)+AT43</f>
        <v>19.133530969628818</v>
      </c>
      <c r="AV43" s="1139">
        <f t="shared" ref="AV43" si="74">(((AU43*(1+($B$37*$B$4)))-AU43)/12)+AU43</f>
        <v>19.24833215544659</v>
      </c>
      <c r="AW43" s="1139">
        <f t="shared" ref="AW43" si="75">(((AV43*(1+($B$37*$B$4)))-AV43)/12)+AV43</f>
        <v>19.363822148379271</v>
      </c>
      <c r="AX43" s="1139">
        <f t="shared" ref="AX43" si="76">(((AW43*(1+($B$37*$B$4)))-AW43)/12)+AW43</f>
        <v>19.480005081269546</v>
      </c>
      <c r="AY43" s="1139">
        <f t="shared" ref="AY43" si="77">(((AX43*(1+($B$37*$B$4)))-AX43)/12)+AX43</f>
        <v>19.596885111757164</v>
      </c>
      <c r="AZ43" s="1139">
        <f t="shared" ref="AZ43" si="78">(((AY43*(1+($B$37*$B$4)))-AY43)/12)+AY43</f>
        <v>19.714466422427705</v>
      </c>
      <c r="BA43" s="1139">
        <f t="shared" ref="BA43" si="79">(((AZ43*(1+($B$37*$B$4)))-AZ43)/12)+AZ43</f>
        <v>19.832753220962271</v>
      </c>
      <c r="BB43" s="1139">
        <f t="shared" ref="BB43" si="80">(((BA43*(1+($B$37*$B$4)))-BA43)/12)+BA43</f>
        <v>19.951749740288044</v>
      </c>
      <c r="BC43" s="1139">
        <f t="shared" ref="BC43" si="81">(((BB43*(1+($B$37*$B$4)))-BB43)/12)+BB43</f>
        <v>20.07146023872977</v>
      </c>
      <c r="BD43" s="1139">
        <f t="shared" ref="BD43" si="82">(((BC43*(1+($B$37*$B$4)))-BC43)/12)+BC43</f>
        <v>20.191889000162149</v>
      </c>
      <c r="BE43" s="1139">
        <f t="shared" ref="BE43" si="83">(((BD43*(1+($B$37*$B$4)))-BD43)/12)+BD43</f>
        <v>20.313040334163123</v>
      </c>
      <c r="BF43" s="1139">
        <f t="shared" ref="BF43" si="84">(((BE43*(1+($B$37*$B$4)))-BE43)/12)+BE43</f>
        <v>20.434918576168101</v>
      </c>
      <c r="BG43" s="1140">
        <f t="shared" ref="BG43" si="85">(((BF43*(1+($B$38*$B$4)))-BF43)/12)+BF43</f>
        <v>20.557528087625109</v>
      </c>
      <c r="BH43" s="1139">
        <f t="shared" ref="BH43" si="86">(((BG43*(1+($B$38*$B$4)))-BG43)/12)+BG43</f>
        <v>20.680873256150861</v>
      </c>
      <c r="BI43" s="1139">
        <f t="shared" ref="BI43" si="87">(((BH43*(1+($B$38*$B$4)))-BH43)/12)+BH43</f>
        <v>20.804958495687767</v>
      </c>
      <c r="BJ43" s="1139">
        <f t="shared" ref="BJ43" si="88">(((BI43*(1+($B$38*$B$4)))-BI43)/12)+BI43</f>
        <v>20.929788246661893</v>
      </c>
      <c r="BK43" s="1139">
        <f t="shared" ref="BK43" si="89">(((BJ43*(1+($B$38*$B$4)))-BJ43)/12)+BJ43</f>
        <v>21.055366976141865</v>
      </c>
      <c r="BL43" s="1139">
        <f t="shared" ref="BL43" si="90">(((BK43*(1+($B$38*$B$4)))-BK43)/12)+BK43</f>
        <v>21.181699177998716</v>
      </c>
      <c r="BM43" s="1139">
        <f t="shared" ref="BM43" si="91">(((BL43*(1+($B$38*$B$4)))-BL43)/12)+BL43</f>
        <v>21.308789373066709</v>
      </c>
      <c r="BN43" s="1139">
        <f t="shared" ref="BN43" si="92">(((BM43*(1+($B$38*$B$4)))-BM43)/12)+BM43</f>
        <v>21.436642109305108</v>
      </c>
      <c r="BO43" s="1139">
        <f t="shared" ref="BO43" si="93">(((BN43*(1+($B$38*$B$4)))-BN43)/12)+BN43</f>
        <v>21.565261961960939</v>
      </c>
      <c r="BP43" s="1139">
        <f t="shared" ref="BP43" si="94">(((BO43*(1+($B$38*$B$4)))-BO43)/12)+BO43</f>
        <v>21.694653533732705</v>
      </c>
      <c r="BQ43" s="1139">
        <f t="shared" ref="BQ43" si="95">(((BP43*(1+($B$38*$B$4)))-BP43)/12)+BP43</f>
        <v>21.824821454935101</v>
      </c>
      <c r="BR43" s="1139">
        <f t="shared" ref="BR43" si="96">(((BQ43*(1+($B$38*$B$4)))-BQ43)/12)+BQ43</f>
        <v>21.955770383664714</v>
      </c>
      <c r="BS43" s="1140">
        <f t="shared" ref="BS43" si="97">(((BR43*(1+($B$39*$B$4)))-BR43)/12)+BR43</f>
        <v>22.087505005966701</v>
      </c>
      <c r="BT43" s="1139">
        <f t="shared" ref="BT43" si="98">(((BS43*(1+($B$39*$B$4)))-BS43)/12)+BS43</f>
        <v>22.220030036002502</v>
      </c>
      <c r="BU43" s="1139">
        <f t="shared" ref="BU43" si="99">(((BT43*(1+($B$39*$B$4)))-BT43)/12)+BT43</f>
        <v>22.353350216218516</v>
      </c>
      <c r="BV43" s="1139">
        <f t="shared" ref="BV43" si="100">(((BU43*(1+($B$39*$B$4)))-BU43)/12)+BU43</f>
        <v>22.487470317515829</v>
      </c>
      <c r="BW43" s="1139">
        <f t="shared" ref="BW43" si="101">(((BV43*(1+($B$39*$B$4)))-BV43)/12)+BV43</f>
        <v>22.622395139420924</v>
      </c>
      <c r="BX43" s="1139">
        <f t="shared" ref="BX43" si="102">(((BW43*(1+($B$39*$B$4)))-BW43)/12)+BW43</f>
        <v>22.758129510257451</v>
      </c>
      <c r="BY43" s="1139">
        <f t="shared" ref="BY43" si="103">(((BX43*(1+($B$39*$B$4)))-BX43)/12)+BX43</f>
        <v>22.894678287318996</v>
      </c>
      <c r="BZ43" s="1139">
        <f t="shared" ref="BZ43" si="104">(((BY43*(1+($B$39*$B$4)))-BY43)/12)+BY43</f>
        <v>23.032046357042908</v>
      </c>
      <c r="CA43" s="1139">
        <f t="shared" ref="CA43" si="105">(((BZ43*(1+($B$39*$B$4)))-BZ43)/12)+BZ43</f>
        <v>23.170238635185164</v>
      </c>
      <c r="CB43" s="1139">
        <f t="shared" ref="CB43" si="106">(((CA43*(1+($B$39*$B$4)))-CA43)/12)+CA43</f>
        <v>23.309260066996277</v>
      </c>
      <c r="CC43" s="1139">
        <f t="shared" ref="CC43" si="107">(((CB43*(1+($B$39*$B$4)))-CB43)/12)+CB43</f>
        <v>23.449115627398253</v>
      </c>
      <c r="CD43" s="1139">
        <f t="shared" ref="CD43" si="108">(((CC43*(1+($B$39*$B$4)))-CC43)/12)+CC43</f>
        <v>23.589810321162641</v>
      </c>
      <c r="CE43" s="1140">
        <f t="shared" ref="CE43" si="109">(((CD43*(1+($B$40*$B$4)))-CD43)/12)+CD43</f>
        <v>23.731349183089616</v>
      </c>
      <c r="CF43" s="1139">
        <f t="shared" ref="CF43" si="110">(((CE43*(1+($B$40*$B$4)))-CE43)/12)+CE43</f>
        <v>23.873737278188155</v>
      </c>
      <c r="CG43" s="1139">
        <f t="shared" ref="CG43" si="111">(((CF43*(1+($B$40*$B$4)))-CF43)/12)+CF43</f>
        <v>24.016979701857284</v>
      </c>
      <c r="CH43" s="1139">
        <f t="shared" ref="CH43" si="112">(((CG43*(1+($B$40*$B$4)))-CG43)/12)+CG43</f>
        <v>24.161081580068426</v>
      </c>
      <c r="CI43" s="1139">
        <f t="shared" ref="CI43" si="113">(((CH43*(1+($B$40*$B$4)))-CH43)/12)+CH43</f>
        <v>24.306048069548837</v>
      </c>
      <c r="CJ43" s="1139">
        <f t="shared" ref="CJ43" si="114">(((CI43*(1+($B$40*$B$4)))-CI43)/12)+CI43</f>
        <v>24.451884357966129</v>
      </c>
      <c r="CK43" s="1139">
        <f t="shared" ref="CK43" si="115">(((CJ43*(1+($B$40*$B$4)))-CJ43)/12)+CJ43</f>
        <v>24.598595664113926</v>
      </c>
      <c r="CL43" s="1139">
        <f t="shared" ref="CL43" si="116">(((CK43*(1+($B$40*$B$4)))-CK43)/12)+CK43</f>
        <v>24.74618723809861</v>
      </c>
      <c r="CM43" s="1139">
        <f t="shared" ref="CM43" si="117">(((CL43*(1+($B$40*$B$4)))-CL43)/12)+CL43</f>
        <v>24.894664361527202</v>
      </c>
      <c r="CN43" s="1139">
        <f t="shared" ref="CN43" si="118">(((CM43*(1+($B$40*$B$4)))-CM43)/12)+CM43</f>
        <v>25.044032347696366</v>
      </c>
      <c r="CO43" s="1139">
        <f t="shared" ref="CO43" si="119">(((CN43*(1+($B$40*$B$4)))-CN43)/12)+CN43</f>
        <v>25.194296541782542</v>
      </c>
      <c r="CP43" s="1139">
        <f t="shared" ref="CP43" si="120">(((CO43*(1+($B$40*$B$4)))-CO43)/12)+CO43</f>
        <v>25.345462321033239</v>
      </c>
      <c r="CQ43" s="1140">
        <f t="shared" ref="CQ43" si="121">(((CP43*(1+($B$41*$B$4)))-CP43)/12)+CP43</f>
        <v>25.497535094959439</v>
      </c>
      <c r="CR43" s="1139">
        <f t="shared" ref="CR43" si="122">(((CQ43*(1+($B$41*$B$4)))-CQ43)/12)+CQ43</f>
        <v>25.650520305529195</v>
      </c>
      <c r="CS43" s="1139">
        <f t="shared" ref="CS43" si="123">(((CR43*(1+($B$41*$B$4)))-CR43)/12)+CR43</f>
        <v>25.804423427362369</v>
      </c>
      <c r="CT43" s="1139">
        <f t="shared" ref="CT43" si="124">(((CS43*(1+($B$41*$B$4)))-CS43)/12)+CS43</f>
        <v>25.959249967926542</v>
      </c>
      <c r="CU43" s="1139">
        <f t="shared" ref="CU43" si="125">(((CT43*(1+($B$41*$B$4)))-CT43)/12)+CT43</f>
        <v>26.1150054677341</v>
      </c>
      <c r="CV43" s="1139">
        <f t="shared" ref="CV43" si="126">(((CU43*(1+($B$41*$B$4)))-CU43)/12)+CU43</f>
        <v>26.271695500540506</v>
      </c>
      <c r="CW43" s="1139">
        <f t="shared" ref="CW43" si="127">(((CV43*(1+($B$41*$B$4)))-CV43)/12)+CV43</f>
        <v>26.429325673543751</v>
      </c>
      <c r="CX43" s="1139">
        <f t="shared" ref="CX43" si="128">(((CW43*(1+($B$41*$B$4)))-CW43)/12)+CW43</f>
        <v>26.587901627585012</v>
      </c>
      <c r="CY43" s="1139">
        <f t="shared" ref="CY43" si="129">(((CX43*(1+($B$41*$B$4)))-CX43)/12)+CX43</f>
        <v>26.747429037350521</v>
      </c>
      <c r="CZ43" s="1139">
        <f t="shared" ref="CZ43" si="130">(((CY43*(1+($B$41*$B$4)))-CY43)/12)+CY43</f>
        <v>26.907913611574624</v>
      </c>
      <c r="DA43" s="1139">
        <f t="shared" ref="DA43" si="131">(((CZ43*(1+($B$41*$B$4)))-CZ43)/12)+CZ43</f>
        <v>27.069361093244073</v>
      </c>
      <c r="DB43" s="1139">
        <f t="shared" ref="DB43" si="132">(((DA43*(1+($B$41*$B$4)))-DA43)/12)+DA43</f>
        <v>27.231777259803536</v>
      </c>
      <c r="DC43" s="1140">
        <f t="shared" ref="DC43" si="133">(((DB43*(1+($B$42*$B$4)))-DB43)/12)+DB43</f>
        <v>27.395167923362358</v>
      </c>
      <c r="DD43" s="1139">
        <f t="shared" ref="DD43" si="134">(((DC43*(1+($B$42*$B$4)))-DC43)/12)+DC43</f>
        <v>27.559538930902534</v>
      </c>
      <c r="DE43" s="1139">
        <f t="shared" ref="DE43" si="135">(((DD43*(1+($B$42*$B$4)))-DD43)/12)+DD43</f>
        <v>27.724896164487948</v>
      </c>
      <c r="DF43" s="1139">
        <f t="shared" ref="DF43" si="136">(((DE43*(1+($B$42*$B$4)))-DE43)/12)+DE43</f>
        <v>27.891245541474877</v>
      </c>
      <c r="DG43" s="1139">
        <f t="shared" ref="DG43" si="137">(((DF43*(1+($B$42*$B$4)))-DF43)/12)+DF43</f>
        <v>28.058593014723726</v>
      </c>
      <c r="DH43" s="1139">
        <f t="shared" ref="DH43" si="138">(((DG43*(1+($B$42*$B$4)))-DG43)/12)+DG43</f>
        <v>28.226944572812069</v>
      </c>
      <c r="DI43" s="1139">
        <f t="shared" ref="DI43" si="139">(((DH43*(1+($B$42*$B$4)))-DH43)/12)+DH43</f>
        <v>28.396306240248943</v>
      </c>
      <c r="DJ43" s="1139">
        <f t="shared" ref="DJ43" si="140">(((DI43*(1+($B$42*$B$4)))-DI43)/12)+DI43</f>
        <v>28.566684077690436</v>
      </c>
      <c r="DK43" s="1139">
        <f t="shared" ref="DK43" si="141">(((DJ43*(1+($B$42*$B$4)))-DJ43)/12)+DJ43</f>
        <v>28.738084182156577</v>
      </c>
      <c r="DL43" s="1139">
        <f t="shared" ref="DL43" si="142">(((DK43*(1+($B$42*$B$4)))-DK43)/12)+DK43</f>
        <v>28.910512687249515</v>
      </c>
      <c r="DM43" s="1139">
        <f t="shared" ref="DM43" si="143">(((DL43*(1+($B$42*$B$4)))-DL43)/12)+DL43</f>
        <v>29.083975763373012</v>
      </c>
      <c r="DN43" s="1139">
        <f t="shared" ref="DN43" si="144">(((DM43*(1+($B$42*$B$4)))-DM43)/12)+DM43</f>
        <v>29.258479617953249</v>
      </c>
      <c r="DO43" s="1140">
        <f t="shared" ref="DO43" si="145">(((DN43*(1+($B$43*$B$4)))-DN43)/12)+DN43</f>
        <v>29.43403049566097</v>
      </c>
      <c r="DP43" s="1139">
        <f t="shared" ref="DP43" si="146">(((DO43*(1+($B$43*$B$4)))-DO43)/12)+DO43</f>
        <v>29.610634678634938</v>
      </c>
      <c r="DQ43" s="1139">
        <f t="shared" ref="DQ43" si="147">(((DP43*(1+($B$43*$B$4)))-DP43)/12)+DP43</f>
        <v>29.788298486706747</v>
      </c>
      <c r="DR43" s="1139">
        <f t="shared" ref="DR43" si="148">(((DQ43*(1+($B$43*$B$4)))-DQ43)/12)+DQ43</f>
        <v>29.967028277626987</v>
      </c>
      <c r="DS43" s="1139">
        <f t="shared" ref="DS43" si="149">(((DR43*(1+($B$43*$B$4)))-DR43)/12)+DR43</f>
        <v>30.14683044729275</v>
      </c>
      <c r="DT43" s="1139">
        <f t="shared" ref="DT43" si="150">(((DS43*(1+($B$43*$B$4)))-DS43)/12)+DS43</f>
        <v>30.327711429976507</v>
      </c>
      <c r="DU43" s="1139">
        <f t="shared" ref="DU43" si="151">(((DT43*(1+($B$43*$B$4)))-DT43)/12)+DT43</f>
        <v>30.509677698556366</v>
      </c>
      <c r="DV43" s="1139">
        <f t="shared" ref="DV43" si="152">(((DU43*(1+($B$43*$B$4)))-DU43)/12)+DU43</f>
        <v>30.692735764747706</v>
      </c>
      <c r="DW43" s="1139">
        <f t="shared" ref="DW43" si="153">(((DV43*(1+($B$43*$B$4)))-DV43)/12)+DV43</f>
        <v>30.876892179336192</v>
      </c>
      <c r="DX43" s="1139">
        <f t="shared" ref="DX43" si="154">(((DW43*(1+($B$43*$B$4)))-DW43)/12)+DW43</f>
        <v>31.062153532412211</v>
      </c>
      <c r="DY43" s="1139">
        <f t="shared" ref="DY43" si="155">(((DX43*(1+($B$43*$B$4)))-DX43)/12)+DX43</f>
        <v>31.248526453606683</v>
      </c>
      <c r="DZ43" s="1139">
        <f t="shared" ref="DZ43" si="156">(((DY43*(1+($B$43*$B$4)))-DY43)/12)+DY43</f>
        <v>31.436017612328325</v>
      </c>
      <c r="EA43" s="1140">
        <f>(((DZ43*(1+($B$44*$B$4)))-DZ43)/12)+DZ43</f>
        <v>31.624633718002293</v>
      </c>
      <c r="EB43" s="1139">
        <f>(((EA43*(1+($B$44*$B$4)))-EA43)/12)+EA43</f>
        <v>31.814381520310306</v>
      </c>
      <c r="EC43" s="1139">
        <f>(((EB43*(1+($B$44*$B$4)))-EB43)/12)+EB43</f>
        <v>32.005267809432169</v>
      </c>
      <c r="ED43" s="1141">
        <f>(((EC43*(1+($B$44*$B$4)))-EC43)/12)+EC43</f>
        <v>32.197299416288764</v>
      </c>
    </row>
    <row r="44" spans="1:134" ht="18.95" customHeight="1" outlineLevel="1" x14ac:dyDescent="0.3">
      <c r="A44" t="s">
        <v>229</v>
      </c>
      <c r="B44" s="170">
        <f>'Growth Prediction Exec Summary'!L5</f>
        <v>0.08</v>
      </c>
      <c r="C44" s="1675"/>
      <c r="D44" s="1635" t="s">
        <v>230</v>
      </c>
      <c r="E44" s="1636"/>
      <c r="F44" s="1636"/>
      <c r="G44" s="1636"/>
      <c r="H44" s="1636"/>
      <c r="I44" s="1636"/>
      <c r="J44" s="1636"/>
      <c r="K44" s="1636"/>
      <c r="L44" s="1637"/>
      <c r="M44" s="943"/>
      <c r="N44" s="1410">
        <f>'SEC Benches Data'!AO4</f>
        <v>270</v>
      </c>
      <c r="O44" s="1411">
        <f>'SEC Benches Data'!AP4</f>
        <v>314</v>
      </c>
      <c r="P44" s="1356">
        <f>'SEC Benches Data'!AQ4</f>
        <v>305</v>
      </c>
      <c r="Q44" s="944"/>
      <c r="R44" s="951"/>
      <c r="S44" s="1373"/>
      <c r="T44" s="1373"/>
      <c r="U44" s="945"/>
      <c r="V44" s="1125">
        <f>ROUNDUP((ROUNDUP(N43,0))+((ROUNDUP(N43,0))/7),0)</f>
        <v>11</v>
      </c>
      <c r="W44" s="1356">
        <f>ROUNDUP(W43,0)+(W43/7)</f>
        <v>10.246386554621848</v>
      </c>
      <c r="X44" s="1356">
        <f t="shared" ref="X44" si="157">ROUNDUP(X43,0)+(X43/7)</f>
        <v>10.246386554621848</v>
      </c>
      <c r="Y44" s="1356">
        <f t="shared" ref="Y44" si="158">ROUNDUP(Y43,0)+(Y43/7)</f>
        <v>10.246386554621848</v>
      </c>
      <c r="Z44" s="1356">
        <f>ROUNDUP(Z43,0)+(Z43/7)</f>
        <v>14.745030812324931</v>
      </c>
      <c r="AA44" s="1356">
        <f t="shared" ref="AA44" si="159">ROUNDUP(AA43,0)+(AA43/7)</f>
        <v>14.745030812324931</v>
      </c>
      <c r="AB44" s="1356">
        <f t="shared" ref="AB44" si="160">ROUNDUP(AB43,0)+(AB43/7)</f>
        <v>14.745030812324931</v>
      </c>
      <c r="AC44" s="1356">
        <f t="shared" ref="AC44" si="161">ROUNDUP(AC43,0)+(AC43/7)</f>
        <v>20.528851540616248</v>
      </c>
      <c r="AD44" s="1356">
        <f t="shared" ref="AD44" si="162">ROUNDUP(AD43,0)+(AD43/7)</f>
        <v>20.528851540616248</v>
      </c>
      <c r="AE44" s="1356">
        <f t="shared" ref="AE44" si="163">ROUNDUP(AE43,0)+(AE43/7)</f>
        <v>20.528851540616248</v>
      </c>
      <c r="AF44" s="1356">
        <f t="shared" ref="AF44" si="164">ROUNDUP(AF43,0)+(AF43/7)</f>
        <v>20.528851540616248</v>
      </c>
      <c r="AG44" s="1356">
        <f t="shared" ref="AG44" si="165">ROUNDUP(AG43,0)+(AG43/7)</f>
        <v>20.528851540616248</v>
      </c>
      <c r="AH44" s="1356">
        <f t="shared" ref="AH44" si="166">ROUNDUP(AH43,0)+(AH43/7)</f>
        <v>20.528851540616248</v>
      </c>
      <c r="AI44" s="1356">
        <f t="shared" ref="AI44" si="167">ROUNDUP(AI43,0)+(AI43/7)</f>
        <v>20.544024649859946</v>
      </c>
      <c r="AJ44" s="1356">
        <f t="shared" ref="AJ44" si="168">ROUNDUP(AJ43,0)+(AJ43/7)</f>
        <v>20.559288797759105</v>
      </c>
      <c r="AK44" s="1356">
        <f t="shared" ref="AK44" si="169">ROUNDUP(AK43,0)+(AK43/7)</f>
        <v>21.574644530545658</v>
      </c>
      <c r="AL44" s="1356">
        <f t="shared" ref="AL44" si="170">ROUNDUP(AL43,0)+(AL43/7)</f>
        <v>21.590092397728931</v>
      </c>
      <c r="AM44" s="1356">
        <f t="shared" ref="AM44" si="171">ROUNDUP(AM43,0)+(AM43/7)</f>
        <v>21.605632952115307</v>
      </c>
      <c r="AN44" s="1356">
        <f t="shared" ref="AN44" si="172">ROUNDUP(AN43,0)+(AN43/7)</f>
        <v>21.621266749827999</v>
      </c>
      <c r="AO44" s="1356">
        <f t="shared" ref="AO44" si="173">ROUNDUP(AO43,0)+(AO43/7)</f>
        <v>21.636994350326965</v>
      </c>
      <c r="AP44" s="1356">
        <f t="shared" ref="AP44" si="174">ROUNDUP(AP43,0)+(AP43/7)</f>
        <v>21.652816316428929</v>
      </c>
      <c r="AQ44" s="1356">
        <f t="shared" ref="AQ44" si="175">ROUNDUP(AQ43,0)+(AQ43/7)</f>
        <v>21.668733214327499</v>
      </c>
      <c r="AR44" s="1356">
        <f t="shared" ref="AR44" si="176">ROUNDUP(AR43,0)+(AR43/7)</f>
        <v>21.684745613613465</v>
      </c>
      <c r="AS44" s="1356">
        <f t="shared" ref="AS44" si="177">ROUNDUP(AS43,0)+(AS43/7)</f>
        <v>21.700854087295145</v>
      </c>
      <c r="AT44" s="1356">
        <f t="shared" ref="AT44" si="178">ROUNDUP(AT43,0)+(AT43/7)</f>
        <v>22.717059211818917</v>
      </c>
      <c r="AU44" s="1356">
        <f t="shared" ref="AU44" si="179">ROUNDUP(AU43,0)+(AU43/7)</f>
        <v>22.73336156708983</v>
      </c>
      <c r="AV44" s="1356">
        <f t="shared" ref="AV44" si="180">ROUNDUP(AV43,0)+(AV43/7)</f>
        <v>22.749761736492371</v>
      </c>
      <c r="AW44" s="1356">
        <f t="shared" ref="AW44" si="181">ROUNDUP(AW43,0)+(AW43/7)</f>
        <v>22.766260306911324</v>
      </c>
      <c r="AX44" s="1356">
        <f t="shared" ref="AX44" si="182">ROUNDUP(AX43,0)+(AX43/7)</f>
        <v>22.782857868752792</v>
      </c>
      <c r="AY44" s="1356">
        <f t="shared" ref="AY44" si="183">ROUNDUP(AY43,0)+(AY43/7)</f>
        <v>22.799555015965311</v>
      </c>
      <c r="AZ44" s="1356">
        <f t="shared" ref="AZ44" si="184">ROUNDUP(AZ43,0)+(AZ43/7)</f>
        <v>22.816352346061102</v>
      </c>
      <c r="BA44" s="1356">
        <f t="shared" ref="BA44" si="185">ROUNDUP(BA43,0)+(BA43/7)</f>
        <v>22.833250460137467</v>
      </c>
      <c r="BB44" s="1356">
        <f t="shared" ref="BB44" si="186">ROUNDUP(BB43,0)+(BB43/7)</f>
        <v>22.850249962898292</v>
      </c>
      <c r="BC44" s="1356">
        <f t="shared" ref="BC44" si="187">ROUNDUP(BC43,0)+(BC43/7)</f>
        <v>23.867351462675682</v>
      </c>
      <c r="BD44" s="1356">
        <f t="shared" ref="BD44" si="188">ROUNDUP(BD43,0)+(BD43/7)</f>
        <v>23.884555571451735</v>
      </c>
      <c r="BE44" s="1356">
        <f t="shared" ref="BE44" si="189">ROUNDUP(BE43,0)+(BE43/7)</f>
        <v>23.901862904880446</v>
      </c>
      <c r="BF44" s="1356">
        <f t="shared" ref="BF44" si="190">ROUNDUP(BF43,0)+(BF43/7)</f>
        <v>23.91927408230973</v>
      </c>
      <c r="BG44" s="1356">
        <f t="shared" ref="BG44" si="191">ROUNDUP(BG43,0)+(BG43/7)</f>
        <v>23.936789726803585</v>
      </c>
      <c r="BH44" s="1356">
        <f t="shared" ref="BH44" si="192">ROUNDUP(BH43,0)+(BH43/7)</f>
        <v>23.954410465164408</v>
      </c>
      <c r="BI44" s="1356">
        <f t="shared" ref="BI44" si="193">ROUNDUP(BI43,0)+(BI43/7)</f>
        <v>23.972136927955397</v>
      </c>
      <c r="BJ44" s="1356">
        <f t="shared" ref="BJ44" si="194">ROUNDUP(BJ43,0)+(BJ43/7)</f>
        <v>23.989969749523127</v>
      </c>
      <c r="BK44" s="1356">
        <f t="shared" ref="BK44" si="195">ROUNDUP(BK43,0)+(BK43/7)</f>
        <v>25.007909568020267</v>
      </c>
      <c r="BL44" s="1356">
        <f t="shared" ref="BL44" si="196">ROUNDUP(BL43,0)+(BL43/7)</f>
        <v>25.025957025428387</v>
      </c>
      <c r="BM44" s="1356">
        <f t="shared" ref="BM44" si="197">ROUNDUP(BM43,0)+(BM43/7)</f>
        <v>25.044112767580959</v>
      </c>
      <c r="BN44" s="1356">
        <f t="shared" ref="BN44" si="198">ROUNDUP(BN43,0)+(BN43/7)</f>
        <v>25.062377444186446</v>
      </c>
      <c r="BO44" s="1356">
        <f t="shared" ref="BO44" si="199">ROUNDUP(BO43,0)+(BO43/7)</f>
        <v>25.080751708851562</v>
      </c>
      <c r="BP44" s="1356">
        <f t="shared" ref="BP44" si="200">ROUNDUP(BP43,0)+(BP43/7)</f>
        <v>25.099236219104672</v>
      </c>
      <c r="BQ44" s="1356">
        <f t="shared" ref="BQ44" si="201">ROUNDUP(BQ43,0)+(BQ43/7)</f>
        <v>25.1178316364193</v>
      </c>
      <c r="BR44" s="1356">
        <f t="shared" ref="BR44" si="202">ROUNDUP(BR43,0)+(BR43/7)</f>
        <v>25.136538626237815</v>
      </c>
      <c r="BS44" s="1356">
        <f t="shared" ref="BS44" si="203">ROUNDUP(BS43,0)+(BS43/7)</f>
        <v>26.155357857995241</v>
      </c>
      <c r="BT44" s="1356">
        <f t="shared" ref="BT44" si="204">ROUNDUP(BT43,0)+(BT43/7)</f>
        <v>26.174290005143213</v>
      </c>
      <c r="BU44" s="1356">
        <f t="shared" ref="BU44" si="205">ROUNDUP(BU43,0)+(BU43/7)</f>
        <v>26.193335745174075</v>
      </c>
      <c r="BV44" s="1356">
        <f t="shared" ref="BV44" si="206">ROUNDUP(BV43,0)+(BV43/7)</f>
        <v>26.212495759645119</v>
      </c>
      <c r="BW44" s="1356">
        <f t="shared" ref="BW44" si="207">ROUNDUP(BW43,0)+(BW43/7)</f>
        <v>26.231770734202989</v>
      </c>
      <c r="BX44" s="1356">
        <f t="shared" ref="BX44" si="208">ROUNDUP(BX43,0)+(BX43/7)</f>
        <v>26.251161358608208</v>
      </c>
      <c r="BY44" s="1356">
        <f t="shared" ref="BY44" si="209">ROUNDUP(BY43,0)+(BY43/7)</f>
        <v>26.270668326759857</v>
      </c>
      <c r="BZ44" s="1356">
        <f t="shared" ref="BZ44" si="210">ROUNDUP(BZ43,0)+(BZ43/7)</f>
        <v>27.290292336720416</v>
      </c>
      <c r="CA44" s="1356">
        <f t="shared" ref="CA44" si="211">ROUNDUP(CA43,0)+(CA43/7)</f>
        <v>27.310034090740739</v>
      </c>
      <c r="CB44" s="1356">
        <f t="shared" ref="CB44" si="212">ROUNDUP(CB43,0)+(CB43/7)</f>
        <v>27.329894295285182</v>
      </c>
      <c r="CC44" s="1356">
        <f t="shared" ref="CC44" si="213">ROUNDUP(CC43,0)+(CC43/7)</f>
        <v>27.349873661056893</v>
      </c>
      <c r="CD44" s="1356">
        <f t="shared" ref="CD44" si="214">ROUNDUP(CD43,0)+(CD43/7)</f>
        <v>27.369972903023235</v>
      </c>
      <c r="CE44" s="1356">
        <f t="shared" ref="CE44" si="215">ROUNDUP(CE43,0)+(CE43/7)</f>
        <v>27.390192740441375</v>
      </c>
      <c r="CF44" s="1356">
        <f t="shared" ref="CF44" si="216">ROUNDUP(CF43,0)+(CF43/7)</f>
        <v>27.410533896884022</v>
      </c>
      <c r="CG44" s="1356">
        <f t="shared" ref="CG44" si="217">ROUNDUP(CG43,0)+(CG43/7)</f>
        <v>28.430997100265326</v>
      </c>
      <c r="CH44" s="1356">
        <f t="shared" ref="CH44" si="218">ROUNDUP(CH43,0)+(CH43/7)</f>
        <v>28.451583082866918</v>
      </c>
      <c r="CI44" s="1356">
        <f t="shared" ref="CI44" si="219">ROUNDUP(CI43,0)+(CI43/7)</f>
        <v>28.472292581364119</v>
      </c>
      <c r="CJ44" s="1356">
        <f t="shared" ref="CJ44" si="220">ROUNDUP(CJ43,0)+(CJ43/7)</f>
        <v>28.493126336852303</v>
      </c>
      <c r="CK44" s="1356">
        <f t="shared" ref="CK44" si="221">ROUNDUP(CK43,0)+(CK43/7)</f>
        <v>28.514085094873419</v>
      </c>
      <c r="CL44" s="1356">
        <f t="shared" ref="CL44" si="222">ROUNDUP(CL43,0)+(CL43/7)</f>
        <v>28.535169605442658</v>
      </c>
      <c r="CM44" s="1356">
        <f t="shared" ref="CM44" si="223">ROUNDUP(CM43,0)+(CM43/7)</f>
        <v>28.556380623075313</v>
      </c>
      <c r="CN44" s="1356">
        <f t="shared" ref="CN44" si="224">ROUNDUP(CN43,0)+(CN43/7)</f>
        <v>29.577718906813768</v>
      </c>
      <c r="CO44" s="1356">
        <f t="shared" ref="CO44" si="225">ROUNDUP(CO43,0)+(CO43/7)</f>
        <v>29.59918522025465</v>
      </c>
      <c r="CP44" s="1356">
        <f t="shared" ref="CP44" si="226">ROUNDUP(CP43,0)+(CP43/7)</f>
        <v>29.620780331576178</v>
      </c>
      <c r="CQ44" s="1356">
        <f t="shared" ref="CQ44" si="227">ROUNDUP(CQ43,0)+(CQ43/7)</f>
        <v>29.642505013565636</v>
      </c>
      <c r="CR44" s="1356">
        <f t="shared" ref="CR44" si="228">ROUNDUP(CR43,0)+(CR43/7)</f>
        <v>29.664360043647029</v>
      </c>
      <c r="CS44" s="1356">
        <f t="shared" ref="CS44" si="229">ROUNDUP(CS43,0)+(CS43/7)</f>
        <v>29.686346203908911</v>
      </c>
      <c r="CT44" s="1356">
        <f t="shared" ref="CT44" si="230">ROUNDUP(CT43,0)+(CT43/7)</f>
        <v>29.708464281132365</v>
      </c>
      <c r="CU44" s="1356">
        <f t="shared" ref="CU44" si="231">ROUNDUP(CU43,0)+(CU43/7)</f>
        <v>30.730715066819158</v>
      </c>
      <c r="CV44" s="1356">
        <f t="shared" ref="CV44" si="232">ROUNDUP(CV43,0)+(CV43/7)</f>
        <v>30.753099357220073</v>
      </c>
      <c r="CW44" s="1356">
        <f t="shared" ref="CW44" si="233">ROUNDUP(CW43,0)+(CW43/7)</f>
        <v>30.775617953363394</v>
      </c>
      <c r="CX44" s="1356">
        <f t="shared" ref="CX44" si="234">ROUNDUP(CX43,0)+(CX43/7)</f>
        <v>30.798271661083572</v>
      </c>
      <c r="CY44" s="1356">
        <f t="shared" ref="CY44" si="235">ROUNDUP(CY43,0)+(CY43/7)</f>
        <v>30.821061291050075</v>
      </c>
      <c r="CZ44" s="1356">
        <f t="shared" ref="CZ44" si="236">ROUNDUP(CZ43,0)+(CZ43/7)</f>
        <v>30.843987658796376</v>
      </c>
      <c r="DA44" s="1356">
        <f t="shared" ref="DA44" si="237">ROUNDUP(DA43,0)+(DA43/7)</f>
        <v>31.867051584749152</v>
      </c>
      <c r="DB44" s="1356">
        <f t="shared" ref="DB44" si="238">ROUNDUP(DB43,0)+(DB43/7)</f>
        <v>31.890253894257647</v>
      </c>
      <c r="DC44" s="1356">
        <f t="shared" ref="DC44" si="239">ROUNDUP(DC43,0)+(DC43/7)</f>
        <v>31.913595417623196</v>
      </c>
      <c r="DD44" s="1356">
        <f t="shared" ref="DD44" si="240">ROUNDUP(DD43,0)+(DD43/7)</f>
        <v>31.937076990128933</v>
      </c>
      <c r="DE44" s="1356">
        <f t="shared" ref="DE44" si="241">ROUNDUP(DE43,0)+(DE43/7)</f>
        <v>31.960699452069708</v>
      </c>
      <c r="DF44" s="1356">
        <f t="shared" ref="DF44" si="242">ROUNDUP(DF43,0)+(DF43/7)</f>
        <v>31.984463648782125</v>
      </c>
      <c r="DG44" s="1356">
        <f t="shared" ref="DG44" si="243">ROUNDUP(DG43,0)+(DG43/7)</f>
        <v>33.008370430674816</v>
      </c>
      <c r="DH44" s="1356">
        <f t="shared" ref="DH44" si="244">ROUNDUP(DH43,0)+(DH43/7)</f>
        <v>33.032420653258868</v>
      </c>
      <c r="DI44" s="1356">
        <f t="shared" ref="DI44" si="245">ROUNDUP(DI43,0)+(DI43/7)</f>
        <v>33.056615177178422</v>
      </c>
      <c r="DJ44" s="1356">
        <f t="shared" ref="DJ44" si="246">ROUNDUP(DJ43,0)+(DJ43/7)</f>
        <v>33.080954868241491</v>
      </c>
      <c r="DK44" s="1356">
        <f t="shared" ref="DK44" si="247">ROUNDUP(DK43,0)+(DK43/7)</f>
        <v>33.105440597450936</v>
      </c>
      <c r="DL44" s="1356">
        <f t="shared" ref="DL44" si="248">ROUNDUP(DL43,0)+(DL43/7)</f>
        <v>33.130073241035646</v>
      </c>
      <c r="DM44" s="1356">
        <f t="shared" ref="DM44" si="249">ROUNDUP(DM43,0)+(DM43/7)</f>
        <v>34.154853680481857</v>
      </c>
      <c r="DN44" s="1356">
        <f t="shared" ref="DN44" si="250">ROUNDUP(DN43,0)+(DN43/7)</f>
        <v>34.179782802564752</v>
      </c>
      <c r="DO44" s="1356">
        <f t="shared" ref="DO44" si="251">ROUNDUP(DO43,0)+(DO43/7)</f>
        <v>34.204861499380137</v>
      </c>
      <c r="DP44" s="1356">
        <f t="shared" ref="DP44" si="252">ROUNDUP(DP43,0)+(DP43/7)</f>
        <v>34.23009066837642</v>
      </c>
      <c r="DQ44" s="1356">
        <f t="shared" ref="DQ44" si="253">ROUNDUP(DQ43,0)+(DQ43/7)</f>
        <v>34.255471212386681</v>
      </c>
      <c r="DR44" s="1356">
        <f t="shared" ref="DR44" si="254">ROUNDUP(DR43,0)+(DR43/7)</f>
        <v>34.281004039660999</v>
      </c>
      <c r="DS44" s="1356">
        <f t="shared" ref="DS44" si="255">ROUNDUP(DS43,0)+(DS43/7)</f>
        <v>35.306690063898962</v>
      </c>
      <c r="DT44" s="1356">
        <f t="shared" ref="DT44" si="256">ROUNDUP(DT43,0)+(DT43/7)</f>
        <v>35.332530204282357</v>
      </c>
      <c r="DU44" s="1356">
        <f t="shared" ref="DU44" si="257">ROUNDUP(DU43,0)+(DU43/7)</f>
        <v>35.358525385508052</v>
      </c>
      <c r="DV44" s="1356">
        <f t="shared" ref="DV44" si="258">ROUNDUP(DV43,0)+(DV43/7)</f>
        <v>35.3846765378211</v>
      </c>
      <c r="DW44" s="1356">
        <f t="shared" ref="DW44" si="259">ROUNDUP(DW43,0)+(DW43/7)</f>
        <v>35.410984597048028</v>
      </c>
      <c r="DX44" s="1356">
        <f t="shared" ref="DX44" si="260">ROUNDUP(DX43,0)+(DX43/7)</f>
        <v>36.437450504630313</v>
      </c>
      <c r="DY44" s="1356">
        <f t="shared" ref="DY44" si="261">ROUNDUP(DY43,0)+(DY43/7)</f>
        <v>36.464075207658098</v>
      </c>
      <c r="DZ44" s="1356">
        <f t="shared" ref="DZ44" si="262">ROUNDUP(DZ43,0)+(DZ43/7)</f>
        <v>36.490859658904043</v>
      </c>
      <c r="EA44" s="1356">
        <f t="shared" ref="EA44" si="263">ROUNDUP(EA43,0)+(EA43/7)</f>
        <v>36.51780481685747</v>
      </c>
      <c r="EB44" s="1356">
        <f t="shared" ref="EB44" si="264">ROUNDUP(EB43,0)+(EB43/7)</f>
        <v>36.544911645758617</v>
      </c>
      <c r="EC44" s="1356">
        <f t="shared" ref="EC44" si="265">ROUNDUP(EC43,0)+(EC43/7)</f>
        <v>37.572181115633164</v>
      </c>
      <c r="ED44" s="1356">
        <f t="shared" ref="ED44" si="266">ROUNDUP(ED43,0)+(ED43/7)</f>
        <v>37.599614202326968</v>
      </c>
    </row>
    <row r="45" spans="1:134" ht="18.95" customHeight="1" outlineLevel="1" x14ac:dyDescent="0.3">
      <c r="B45" s="170"/>
      <c r="C45" s="1675"/>
      <c r="D45" s="1657" t="s">
        <v>231</v>
      </c>
      <c r="E45" s="1658"/>
      <c r="F45" s="1658"/>
      <c r="G45" s="1658"/>
      <c r="H45" s="1658"/>
      <c r="I45" s="1658"/>
      <c r="J45" s="1658"/>
      <c r="K45" s="1658"/>
      <c r="L45" s="1659"/>
      <c r="M45" s="1011"/>
      <c r="N45" s="1419">
        <f>'SEC Benches Data'!AO4*('SEC Benches Data'!AL4/100)</f>
        <v>278.10000000000002</v>
      </c>
      <c r="O45" s="1481"/>
      <c r="P45" s="1420"/>
      <c r="Q45" s="1482"/>
      <c r="R45" s="1483"/>
      <c r="S45" s="1686" t="s">
        <v>232</v>
      </c>
      <c r="T45" s="1687"/>
      <c r="U45" s="1477"/>
      <c r="V45" s="1374"/>
      <c r="W45" s="1418"/>
      <c r="X45" s="1418"/>
      <c r="Y45" s="1418"/>
      <c r="Z45" s="1418"/>
      <c r="AA45" s="1418"/>
      <c r="AB45" s="1418"/>
      <c r="AC45" s="1418"/>
      <c r="AD45" s="1418"/>
      <c r="AE45" s="1418"/>
      <c r="AF45" s="1418"/>
      <c r="AG45" s="1418"/>
      <c r="AH45" s="1418"/>
      <c r="AI45" s="1418"/>
      <c r="AJ45" s="1418"/>
      <c r="AK45" s="1418"/>
      <c r="AL45" s="1418"/>
      <c r="AM45" s="1418"/>
      <c r="AN45" s="1418"/>
      <c r="AO45" s="1418"/>
      <c r="AP45" s="1418"/>
      <c r="AQ45" s="1418"/>
      <c r="AR45" s="1418"/>
      <c r="AS45" s="1418"/>
      <c r="AT45" s="1418"/>
      <c r="AU45" s="1418"/>
      <c r="AV45" s="1418"/>
      <c r="AW45" s="1418"/>
      <c r="AX45" s="1418"/>
      <c r="AY45" s="1418"/>
      <c r="AZ45" s="1418"/>
      <c r="BA45" s="1418"/>
      <c r="BB45" s="1418"/>
      <c r="BC45" s="1418"/>
      <c r="BD45" s="1418"/>
      <c r="BE45" s="1418"/>
      <c r="BF45" s="1418"/>
      <c r="BG45" s="1418"/>
      <c r="BH45" s="1418"/>
      <c r="BI45" s="1418"/>
      <c r="BJ45" s="1418"/>
      <c r="BK45" s="1418"/>
      <c r="BL45" s="1418"/>
      <c r="BM45" s="1418"/>
      <c r="BN45" s="1418"/>
      <c r="BO45" s="1418"/>
      <c r="BP45" s="1418"/>
      <c r="BQ45" s="1418"/>
      <c r="BR45" s="1418"/>
      <c r="BS45" s="1418"/>
      <c r="BT45" s="1418"/>
      <c r="BU45" s="1418"/>
      <c r="BV45" s="1418"/>
      <c r="BW45" s="1418"/>
      <c r="BX45" s="1418"/>
      <c r="BY45" s="1418"/>
      <c r="BZ45" s="1418"/>
      <c r="CA45" s="1418"/>
      <c r="CB45" s="1418"/>
      <c r="CC45" s="1418"/>
      <c r="CD45" s="1418"/>
      <c r="CE45" s="1418"/>
      <c r="CF45" s="1418"/>
      <c r="CG45" s="1418"/>
      <c r="CH45" s="1418"/>
      <c r="CI45" s="1418"/>
      <c r="CJ45" s="1418"/>
      <c r="CK45" s="1418"/>
      <c r="CL45" s="1418"/>
      <c r="CM45" s="1418"/>
      <c r="CN45" s="1418"/>
      <c r="CO45" s="1418"/>
      <c r="CP45" s="1418"/>
      <c r="CQ45" s="1418"/>
      <c r="CR45" s="1418"/>
      <c r="CS45" s="1418"/>
      <c r="CT45" s="1418"/>
      <c r="CU45" s="1418"/>
      <c r="CV45" s="1418"/>
      <c r="CW45" s="1418"/>
      <c r="CX45" s="1418"/>
      <c r="CY45" s="1418"/>
      <c r="CZ45" s="1418"/>
      <c r="DA45" s="1418"/>
      <c r="DB45" s="1418"/>
      <c r="DC45" s="1418"/>
      <c r="DD45" s="1418"/>
      <c r="DE45" s="1418"/>
      <c r="DF45" s="1418"/>
      <c r="DG45" s="1418"/>
      <c r="DH45" s="1418"/>
      <c r="DI45" s="1418"/>
      <c r="DJ45" s="1418"/>
      <c r="DK45" s="1418"/>
      <c r="DL45" s="1418"/>
      <c r="DM45" s="1418"/>
      <c r="DN45" s="1418"/>
      <c r="DO45" s="1418"/>
      <c r="DP45" s="1418"/>
      <c r="DQ45" s="1418"/>
      <c r="DR45" s="1418"/>
      <c r="DS45" s="1418"/>
      <c r="DT45" s="1418"/>
      <c r="DU45" s="1418"/>
      <c r="DV45" s="1418"/>
      <c r="DW45" s="1418"/>
      <c r="DX45" s="1418"/>
      <c r="DY45" s="1418"/>
      <c r="DZ45" s="1418"/>
      <c r="EA45" s="1418"/>
      <c r="EB45" s="1418"/>
      <c r="EC45" s="1418"/>
      <c r="ED45" s="1418"/>
    </row>
    <row r="46" spans="1:134" ht="18.95" customHeight="1" outlineLevel="1" x14ac:dyDescent="0.3">
      <c r="B46" s="170"/>
      <c r="C46" s="1675"/>
      <c r="D46" s="1688" t="s">
        <v>233</v>
      </c>
      <c r="E46" s="1689"/>
      <c r="F46" s="1689"/>
      <c r="G46" s="1689"/>
      <c r="H46" s="1689"/>
      <c r="I46" s="1689"/>
      <c r="J46" s="1689"/>
      <c r="K46" s="1689"/>
      <c r="L46" s="1689"/>
      <c r="M46" s="1690"/>
      <c r="N46" s="1484">
        <f>N43/$T$46</f>
        <v>0.18176470588235294</v>
      </c>
      <c r="O46" s="1478">
        <f t="shared" ref="O46:P46" si="267">O43/$T$46</f>
        <v>0.25448366013071894</v>
      </c>
      <c r="P46" s="1478">
        <f t="shared" si="267"/>
        <v>0.36879084967320264</v>
      </c>
      <c r="Q46" s="1420"/>
      <c r="R46" s="1421"/>
      <c r="S46" s="1410"/>
      <c r="T46" s="1480">
        <f>(S35*T35)+(S37*T37)+(S39*T39)+(S41*T41)</f>
        <v>48</v>
      </c>
      <c r="U46" s="1477"/>
      <c r="V46" s="1374"/>
      <c r="W46" s="1418"/>
      <c r="X46" s="1418"/>
      <c r="Y46" s="1418"/>
      <c r="Z46" s="1418"/>
      <c r="AA46" s="1418"/>
      <c r="AB46" s="1418"/>
      <c r="AC46" s="1418"/>
      <c r="AD46" s="1418"/>
      <c r="AE46" s="1418"/>
      <c r="AF46" s="1418"/>
      <c r="AG46" s="1418"/>
      <c r="AH46" s="1418"/>
      <c r="AI46" s="1418"/>
      <c r="AJ46" s="1418"/>
      <c r="AK46" s="1418"/>
      <c r="AL46" s="1418"/>
      <c r="AM46" s="1418"/>
      <c r="AN46" s="1418"/>
      <c r="AO46" s="1418"/>
      <c r="AP46" s="1418"/>
      <c r="AQ46" s="1418"/>
      <c r="AR46" s="1418"/>
      <c r="AS46" s="1418"/>
      <c r="AT46" s="1418"/>
      <c r="AU46" s="1418"/>
      <c r="AV46" s="1418"/>
      <c r="AW46" s="1418"/>
      <c r="AX46" s="1418"/>
      <c r="AY46" s="1418"/>
      <c r="AZ46" s="1418"/>
      <c r="BA46" s="1418"/>
      <c r="BB46" s="1418"/>
      <c r="BC46" s="1418"/>
      <c r="BD46" s="1418"/>
      <c r="BE46" s="1418"/>
      <c r="BF46" s="1418"/>
      <c r="BG46" s="1418"/>
      <c r="BH46" s="1418"/>
      <c r="BI46" s="1418"/>
      <c r="BJ46" s="1418"/>
      <c r="BK46" s="1418"/>
      <c r="BL46" s="1418"/>
      <c r="BM46" s="1418"/>
      <c r="BN46" s="1418"/>
      <c r="BO46" s="1418"/>
      <c r="BP46" s="1418"/>
      <c r="BQ46" s="1418"/>
      <c r="BR46" s="1418"/>
      <c r="BS46" s="1418"/>
      <c r="BT46" s="1418"/>
      <c r="BU46" s="1418"/>
      <c r="BV46" s="1418"/>
      <c r="BW46" s="1418"/>
      <c r="BX46" s="1418"/>
      <c r="BY46" s="1418"/>
      <c r="BZ46" s="1418"/>
      <c r="CA46" s="1418"/>
      <c r="CB46" s="1418"/>
      <c r="CC46" s="1418"/>
      <c r="CD46" s="1418"/>
      <c r="CE46" s="1418"/>
      <c r="CF46" s="1418"/>
      <c r="CG46" s="1418"/>
      <c r="CH46" s="1418"/>
      <c r="CI46" s="1418"/>
      <c r="CJ46" s="1418"/>
      <c r="CK46" s="1418"/>
      <c r="CL46" s="1418"/>
      <c r="CM46" s="1418"/>
      <c r="CN46" s="1418"/>
      <c r="CO46" s="1418"/>
      <c r="CP46" s="1418"/>
      <c r="CQ46" s="1418"/>
      <c r="CR46" s="1418"/>
      <c r="CS46" s="1418"/>
      <c r="CT46" s="1418"/>
      <c r="CU46" s="1418"/>
      <c r="CV46" s="1418"/>
      <c r="CW46" s="1418"/>
      <c r="CX46" s="1418"/>
      <c r="CY46" s="1418"/>
      <c r="CZ46" s="1418"/>
      <c r="DA46" s="1418"/>
      <c r="DB46" s="1418"/>
      <c r="DC46" s="1418"/>
      <c r="DD46" s="1418"/>
      <c r="DE46" s="1418"/>
      <c r="DF46" s="1418"/>
      <c r="DG46" s="1418"/>
      <c r="DH46" s="1418"/>
      <c r="DI46" s="1418"/>
      <c r="DJ46" s="1418"/>
      <c r="DK46" s="1418"/>
      <c r="DL46" s="1418"/>
      <c r="DM46" s="1418"/>
      <c r="DN46" s="1418"/>
      <c r="DO46" s="1418"/>
      <c r="DP46" s="1418"/>
      <c r="DQ46" s="1418"/>
      <c r="DR46" s="1418"/>
      <c r="DS46" s="1418"/>
      <c r="DT46" s="1418"/>
      <c r="DU46" s="1418"/>
      <c r="DV46" s="1418"/>
      <c r="DW46" s="1418"/>
      <c r="DX46" s="1418"/>
      <c r="DY46" s="1418"/>
      <c r="DZ46" s="1418"/>
      <c r="EA46" s="1418"/>
      <c r="EB46" s="1418"/>
      <c r="EC46" s="1418"/>
      <c r="ED46" s="1418"/>
    </row>
    <row r="47" spans="1:134" ht="18.75" x14ac:dyDescent="0.3">
      <c r="C47" s="1675"/>
      <c r="D47" s="169"/>
      <c r="AI47" s="937"/>
      <c r="AU47" s="937"/>
      <c r="BG47" s="937"/>
      <c r="BS47" s="937"/>
      <c r="CE47" s="937"/>
      <c r="CQ47" s="937"/>
      <c r="DC47" s="937"/>
      <c r="DO47" s="937"/>
      <c r="EA47" s="937"/>
    </row>
    <row r="48" spans="1:134" ht="18.75" outlineLevel="1" x14ac:dyDescent="0.3">
      <c r="A48" s="1671" t="s">
        <v>234</v>
      </c>
      <c r="B48" s="1671"/>
      <c r="C48" s="1675"/>
      <c r="D48" s="999" t="s">
        <v>235</v>
      </c>
      <c r="E48" s="958"/>
      <c r="F48" s="958"/>
      <c r="G48" s="958"/>
      <c r="H48" s="958"/>
      <c r="I48" s="958"/>
      <c r="J48" s="958"/>
      <c r="K48" s="958"/>
      <c r="L48" s="959"/>
      <c r="M48" s="958"/>
      <c r="N48" s="963" t="s">
        <v>214</v>
      </c>
      <c r="O48" s="958"/>
      <c r="P48" s="958"/>
      <c r="Q48" s="958"/>
      <c r="R48" s="959"/>
      <c r="S48" s="958"/>
      <c r="T48" s="958"/>
      <c r="U48" s="958"/>
      <c r="V48" s="1120">
        <f>SUM(V50,V52,V56)</f>
        <v>6</v>
      </c>
      <c r="W48" s="1151">
        <f>SUM(W50,W52,W56)</f>
        <v>5</v>
      </c>
      <c r="X48" s="1152">
        <f t="shared" ref="X48:CI48" si="268">SUM(X50,X52,X56)</f>
        <v>5</v>
      </c>
      <c r="Y48" s="1152">
        <f t="shared" si="268"/>
        <v>5</v>
      </c>
      <c r="Z48" s="1152">
        <f t="shared" si="268"/>
        <v>5</v>
      </c>
      <c r="AA48" s="1152">
        <f t="shared" si="268"/>
        <v>5</v>
      </c>
      <c r="AB48" s="1152">
        <f t="shared" si="268"/>
        <v>5</v>
      </c>
      <c r="AC48" s="1152">
        <f t="shared" si="268"/>
        <v>5</v>
      </c>
      <c r="AD48" s="1152">
        <f t="shared" si="268"/>
        <v>5</v>
      </c>
      <c r="AE48" s="1152">
        <f t="shared" si="268"/>
        <v>5</v>
      </c>
      <c r="AF48" s="1152">
        <f t="shared" si="268"/>
        <v>5</v>
      </c>
      <c r="AG48" s="1152">
        <f t="shared" si="268"/>
        <v>5</v>
      </c>
      <c r="AH48" s="1152">
        <f t="shared" si="268"/>
        <v>5</v>
      </c>
      <c r="AI48" s="1153">
        <f t="shared" si="268"/>
        <v>5</v>
      </c>
      <c r="AJ48" s="1152">
        <f t="shared" si="268"/>
        <v>5</v>
      </c>
      <c r="AK48" s="1152">
        <f t="shared" si="268"/>
        <v>5</v>
      </c>
      <c r="AL48" s="1152">
        <f t="shared" si="268"/>
        <v>5</v>
      </c>
      <c r="AM48" s="1152">
        <f t="shared" si="268"/>
        <v>5</v>
      </c>
      <c r="AN48" s="1152">
        <f t="shared" si="268"/>
        <v>5</v>
      </c>
      <c r="AO48" s="1152">
        <f t="shared" si="268"/>
        <v>5</v>
      </c>
      <c r="AP48" s="1152">
        <f t="shared" si="268"/>
        <v>5</v>
      </c>
      <c r="AQ48" s="1152">
        <f t="shared" si="268"/>
        <v>5</v>
      </c>
      <c r="AR48" s="1152">
        <f t="shared" si="268"/>
        <v>5</v>
      </c>
      <c r="AS48" s="1152">
        <f t="shared" si="268"/>
        <v>5</v>
      </c>
      <c r="AT48" s="1152">
        <f t="shared" si="268"/>
        <v>5</v>
      </c>
      <c r="AU48" s="1153">
        <f t="shared" si="268"/>
        <v>5</v>
      </c>
      <c r="AV48" s="1152">
        <f t="shared" si="268"/>
        <v>5</v>
      </c>
      <c r="AW48" s="1152">
        <f t="shared" si="268"/>
        <v>5</v>
      </c>
      <c r="AX48" s="1152">
        <f t="shared" si="268"/>
        <v>5</v>
      </c>
      <c r="AY48" s="1152">
        <f t="shared" si="268"/>
        <v>5</v>
      </c>
      <c r="AZ48" s="1152">
        <f t="shared" si="268"/>
        <v>5</v>
      </c>
      <c r="BA48" s="1152">
        <f t="shared" si="268"/>
        <v>5</v>
      </c>
      <c r="BB48" s="1152">
        <f t="shared" si="268"/>
        <v>5</v>
      </c>
      <c r="BC48" s="1152">
        <f t="shared" si="268"/>
        <v>5</v>
      </c>
      <c r="BD48" s="1152">
        <f t="shared" si="268"/>
        <v>5</v>
      </c>
      <c r="BE48" s="1152">
        <f t="shared" si="268"/>
        <v>5</v>
      </c>
      <c r="BF48" s="1152">
        <f t="shared" si="268"/>
        <v>5</v>
      </c>
      <c r="BG48" s="1153">
        <f t="shared" si="268"/>
        <v>5</v>
      </c>
      <c r="BH48" s="1152">
        <f t="shared" si="268"/>
        <v>5</v>
      </c>
      <c r="BI48" s="1152">
        <f t="shared" si="268"/>
        <v>5</v>
      </c>
      <c r="BJ48" s="1152">
        <f t="shared" si="268"/>
        <v>5</v>
      </c>
      <c r="BK48" s="1152">
        <f t="shared" si="268"/>
        <v>5</v>
      </c>
      <c r="BL48" s="1152">
        <f t="shared" si="268"/>
        <v>5</v>
      </c>
      <c r="BM48" s="1152">
        <f t="shared" si="268"/>
        <v>5</v>
      </c>
      <c r="BN48" s="1152">
        <f t="shared" si="268"/>
        <v>5</v>
      </c>
      <c r="BO48" s="1152">
        <f t="shared" si="268"/>
        <v>5</v>
      </c>
      <c r="BP48" s="1152">
        <f t="shared" si="268"/>
        <v>5</v>
      </c>
      <c r="BQ48" s="1152">
        <f t="shared" si="268"/>
        <v>5</v>
      </c>
      <c r="BR48" s="1152">
        <f t="shared" si="268"/>
        <v>5</v>
      </c>
      <c r="BS48" s="1153">
        <f t="shared" si="268"/>
        <v>6</v>
      </c>
      <c r="BT48" s="1152">
        <f t="shared" si="268"/>
        <v>6</v>
      </c>
      <c r="BU48" s="1152">
        <f t="shared" si="268"/>
        <v>6</v>
      </c>
      <c r="BV48" s="1152">
        <f t="shared" si="268"/>
        <v>6</v>
      </c>
      <c r="BW48" s="1152">
        <f t="shared" si="268"/>
        <v>6</v>
      </c>
      <c r="BX48" s="1152">
        <f t="shared" si="268"/>
        <v>6</v>
      </c>
      <c r="BY48" s="1152">
        <f t="shared" si="268"/>
        <v>6</v>
      </c>
      <c r="BZ48" s="1152">
        <f t="shared" si="268"/>
        <v>6</v>
      </c>
      <c r="CA48" s="1152">
        <f t="shared" si="268"/>
        <v>6</v>
      </c>
      <c r="CB48" s="1152">
        <f t="shared" si="268"/>
        <v>6</v>
      </c>
      <c r="CC48" s="1152">
        <f t="shared" si="268"/>
        <v>6</v>
      </c>
      <c r="CD48" s="1152">
        <f t="shared" si="268"/>
        <v>6</v>
      </c>
      <c r="CE48" s="1153">
        <f t="shared" si="268"/>
        <v>7</v>
      </c>
      <c r="CF48" s="1152">
        <f t="shared" si="268"/>
        <v>7</v>
      </c>
      <c r="CG48" s="1152">
        <f t="shared" si="268"/>
        <v>7</v>
      </c>
      <c r="CH48" s="1152">
        <f t="shared" si="268"/>
        <v>7</v>
      </c>
      <c r="CI48" s="1152">
        <f t="shared" si="268"/>
        <v>7</v>
      </c>
      <c r="CJ48" s="1152">
        <f t="shared" ref="CJ48:EC48" si="269">SUM(CJ50,CJ52,CJ56)</f>
        <v>7</v>
      </c>
      <c r="CK48" s="1152">
        <f t="shared" si="269"/>
        <v>7</v>
      </c>
      <c r="CL48" s="1152">
        <f t="shared" si="269"/>
        <v>7</v>
      </c>
      <c r="CM48" s="1152">
        <f t="shared" si="269"/>
        <v>7</v>
      </c>
      <c r="CN48" s="1152">
        <f t="shared" si="269"/>
        <v>7</v>
      </c>
      <c r="CO48" s="1152">
        <f t="shared" si="269"/>
        <v>7</v>
      </c>
      <c r="CP48" s="1152">
        <f t="shared" si="269"/>
        <v>7</v>
      </c>
      <c r="CQ48" s="1153">
        <f t="shared" si="269"/>
        <v>7</v>
      </c>
      <c r="CR48" s="1152">
        <f t="shared" si="269"/>
        <v>7</v>
      </c>
      <c r="CS48" s="1152">
        <f t="shared" si="269"/>
        <v>7</v>
      </c>
      <c r="CT48" s="1152">
        <f t="shared" si="269"/>
        <v>7</v>
      </c>
      <c r="CU48" s="1152">
        <f t="shared" si="269"/>
        <v>7</v>
      </c>
      <c r="CV48" s="1152">
        <f t="shared" si="269"/>
        <v>7</v>
      </c>
      <c r="CW48" s="1152">
        <f t="shared" si="269"/>
        <v>7</v>
      </c>
      <c r="CX48" s="1152">
        <f t="shared" si="269"/>
        <v>7</v>
      </c>
      <c r="CY48" s="1152">
        <f t="shared" si="269"/>
        <v>7</v>
      </c>
      <c r="CZ48" s="1152">
        <f t="shared" si="269"/>
        <v>7</v>
      </c>
      <c r="DA48" s="1152">
        <f t="shared" si="269"/>
        <v>7</v>
      </c>
      <c r="DB48" s="1152">
        <f t="shared" si="269"/>
        <v>7</v>
      </c>
      <c r="DC48" s="1153">
        <f t="shared" si="269"/>
        <v>7</v>
      </c>
      <c r="DD48" s="1152">
        <f t="shared" si="269"/>
        <v>7</v>
      </c>
      <c r="DE48" s="1152">
        <f t="shared" si="269"/>
        <v>7</v>
      </c>
      <c r="DF48" s="1152">
        <f t="shared" si="269"/>
        <v>7</v>
      </c>
      <c r="DG48" s="1152">
        <f t="shared" si="269"/>
        <v>7</v>
      </c>
      <c r="DH48" s="1152">
        <f t="shared" si="269"/>
        <v>7</v>
      </c>
      <c r="DI48" s="1152">
        <f t="shared" si="269"/>
        <v>7</v>
      </c>
      <c r="DJ48" s="1152">
        <f t="shared" si="269"/>
        <v>7</v>
      </c>
      <c r="DK48" s="1152">
        <f t="shared" si="269"/>
        <v>7</v>
      </c>
      <c r="DL48" s="1152">
        <f t="shared" si="269"/>
        <v>7</v>
      </c>
      <c r="DM48" s="1152">
        <f t="shared" si="269"/>
        <v>7</v>
      </c>
      <c r="DN48" s="1152">
        <f t="shared" si="269"/>
        <v>7</v>
      </c>
      <c r="DO48" s="1153">
        <f t="shared" si="269"/>
        <v>7</v>
      </c>
      <c r="DP48" s="1152">
        <f t="shared" si="269"/>
        <v>7</v>
      </c>
      <c r="DQ48" s="1152">
        <f t="shared" si="269"/>
        <v>7</v>
      </c>
      <c r="DR48" s="1152">
        <f t="shared" si="269"/>
        <v>7</v>
      </c>
      <c r="DS48" s="1152">
        <f t="shared" si="269"/>
        <v>7</v>
      </c>
      <c r="DT48" s="1152">
        <f t="shared" si="269"/>
        <v>7</v>
      </c>
      <c r="DU48" s="1152">
        <f t="shared" si="269"/>
        <v>7</v>
      </c>
      <c r="DV48" s="1152">
        <f t="shared" si="269"/>
        <v>7</v>
      </c>
      <c r="DW48" s="1152">
        <f t="shared" si="269"/>
        <v>7</v>
      </c>
      <c r="DX48" s="1152">
        <f t="shared" si="269"/>
        <v>7</v>
      </c>
      <c r="DY48" s="1152">
        <f t="shared" si="269"/>
        <v>7</v>
      </c>
      <c r="DZ48" s="1152">
        <f t="shared" si="269"/>
        <v>7</v>
      </c>
      <c r="EA48" s="1153">
        <f t="shared" si="269"/>
        <v>7</v>
      </c>
      <c r="EB48" s="1152">
        <f t="shared" si="269"/>
        <v>7</v>
      </c>
      <c r="EC48" s="1152">
        <f t="shared" si="269"/>
        <v>7</v>
      </c>
      <c r="ED48" s="1154">
        <f>SUM(ED50,ED52,ED56)</f>
        <v>7</v>
      </c>
    </row>
    <row r="49" spans="1:134" ht="18.75" outlineLevel="1" x14ac:dyDescent="0.3">
      <c r="A49" t="s">
        <v>215</v>
      </c>
      <c r="B49" s="170">
        <f>'Growth Prediction Exec Summary'!C6</f>
        <v>0.155</v>
      </c>
      <c r="C49" s="1675"/>
      <c r="D49" s="1639" t="s">
        <v>236</v>
      </c>
      <c r="E49" s="1639"/>
      <c r="F49" s="1639"/>
      <c r="G49" s="1639"/>
      <c r="H49" s="1639"/>
      <c r="I49" s="1639"/>
      <c r="J49" s="1639"/>
      <c r="K49" s="1639"/>
      <c r="L49" s="960"/>
      <c r="M49" s="1331">
        <f>N49*100</f>
        <v>43</v>
      </c>
      <c r="N49" s="1396">
        <f>'AM Benches Data'!K4/100</f>
        <v>0.43</v>
      </c>
      <c r="O49" s="1397">
        <f>'AM Benches Data'!U4/100</f>
        <v>0.38</v>
      </c>
      <c r="P49" s="1397">
        <f>'AM Benches Data'!AC4/100</f>
        <v>0.4</v>
      </c>
      <c r="Q49" s="953"/>
      <c r="R49" s="964">
        <f t="shared" ref="R49:R55" si="270">P49-N49</f>
        <v>-2.9999999999999971E-2</v>
      </c>
      <c r="S49" s="954">
        <v>12</v>
      </c>
      <c r="T49" s="954">
        <v>2</v>
      </c>
      <c r="U49" s="952"/>
      <c r="V49" s="1121"/>
      <c r="W49" s="1155">
        <f>M49</f>
        <v>43</v>
      </c>
      <c r="X49" s="1156">
        <f>W49</f>
        <v>43</v>
      </c>
      <c r="Y49" s="1156">
        <f>X49</f>
        <v>43</v>
      </c>
      <c r="Z49" s="1156">
        <f>O49*100</f>
        <v>38</v>
      </c>
      <c r="AA49" s="1156">
        <f>Z49</f>
        <v>38</v>
      </c>
      <c r="AB49" s="1156">
        <f>AA49</f>
        <v>38</v>
      </c>
      <c r="AC49" s="1156">
        <f>P49*100</f>
        <v>40</v>
      </c>
      <c r="AD49" s="1156">
        <f>AC49</f>
        <v>40</v>
      </c>
      <c r="AE49" s="1156">
        <f>AD49</f>
        <v>40</v>
      </c>
      <c r="AF49" s="1156">
        <f>AE49</f>
        <v>40</v>
      </c>
      <c r="AG49" s="1156">
        <f>AF49</f>
        <v>40</v>
      </c>
      <c r="AH49" s="1156">
        <f>AG49</f>
        <v>40</v>
      </c>
      <c r="AI49" s="1157">
        <f t="shared" ref="AI49:AT49" si="271">(((AH49*(1+($B$36*$B$4)))-AH49)/12)+AH49</f>
        <v>40.24</v>
      </c>
      <c r="AJ49" s="1156">
        <f t="shared" si="271"/>
        <v>40.481439999999999</v>
      </c>
      <c r="AK49" s="1156">
        <f t="shared" si="271"/>
        <v>40.724328639999996</v>
      </c>
      <c r="AL49" s="1156">
        <f t="shared" si="271"/>
        <v>40.968674611839994</v>
      </c>
      <c r="AM49" s="1156">
        <f t="shared" si="271"/>
        <v>41.214486659511032</v>
      </c>
      <c r="AN49" s="1156">
        <f t="shared" si="271"/>
        <v>41.461773579468101</v>
      </c>
      <c r="AO49" s="1156">
        <f t="shared" si="271"/>
        <v>41.710544220944911</v>
      </c>
      <c r="AP49" s="1156">
        <f t="shared" si="271"/>
        <v>41.960807486270582</v>
      </c>
      <c r="AQ49" s="1156">
        <f t="shared" si="271"/>
        <v>42.212572331188206</v>
      </c>
      <c r="AR49" s="1156">
        <f t="shared" si="271"/>
        <v>42.465847765175333</v>
      </c>
      <c r="AS49" s="1156">
        <f t="shared" si="271"/>
        <v>42.720642851766385</v>
      </c>
      <c r="AT49" s="1156">
        <f t="shared" si="271"/>
        <v>42.976966708876986</v>
      </c>
      <c r="AU49" s="1157">
        <f t="shared" ref="AU49:BF49" si="272">(((AT49*(1+($B$37*$B$4)))-AT49)/12)+AT49</f>
        <v>43.234828509130246</v>
      </c>
      <c r="AV49" s="1156">
        <f t="shared" si="272"/>
        <v>43.494237480185028</v>
      </c>
      <c r="AW49" s="1156">
        <f t="shared" si="272"/>
        <v>43.755202905066142</v>
      </c>
      <c r="AX49" s="1156">
        <f t="shared" si="272"/>
        <v>44.017734122496542</v>
      </c>
      <c r="AY49" s="1156">
        <f t="shared" si="272"/>
        <v>44.281840527231523</v>
      </c>
      <c r="AZ49" s="1156">
        <f t="shared" si="272"/>
        <v>44.547531570394909</v>
      </c>
      <c r="BA49" s="1156">
        <f t="shared" si="272"/>
        <v>44.814816759817276</v>
      </c>
      <c r="BB49" s="1156">
        <f t="shared" si="272"/>
        <v>45.083705660376182</v>
      </c>
      <c r="BC49" s="1156">
        <f t="shared" si="272"/>
        <v>45.354207894338437</v>
      </c>
      <c r="BD49" s="1156">
        <f t="shared" si="272"/>
        <v>45.626333141704464</v>
      </c>
      <c r="BE49" s="1156">
        <f t="shared" si="272"/>
        <v>45.900091140554693</v>
      </c>
      <c r="BF49" s="1156">
        <f t="shared" si="272"/>
        <v>46.175491687398022</v>
      </c>
      <c r="BG49" s="1157">
        <f t="shared" ref="BG49:BR49" si="273">(((BF49*(1+($B$38*$B$4)))-BF49)/12)+BF49</f>
        <v>46.452544637522408</v>
      </c>
      <c r="BH49" s="1156">
        <f t="shared" si="273"/>
        <v>46.731259905347542</v>
      </c>
      <c r="BI49" s="1156">
        <f t="shared" si="273"/>
        <v>47.011647464779628</v>
      </c>
      <c r="BJ49" s="1156">
        <f t="shared" si="273"/>
        <v>47.293717349568304</v>
      </c>
      <c r="BK49" s="1156">
        <f t="shared" si="273"/>
        <v>47.577479653665712</v>
      </c>
      <c r="BL49" s="1156">
        <f t="shared" si="273"/>
        <v>47.862944531587708</v>
      </c>
      <c r="BM49" s="1156">
        <f t="shared" si="273"/>
        <v>48.150122198777233</v>
      </c>
      <c r="BN49" s="1156">
        <f t="shared" si="273"/>
        <v>48.439022931969895</v>
      </c>
      <c r="BO49" s="1156">
        <f t="shared" si="273"/>
        <v>48.729657069561711</v>
      </c>
      <c r="BP49" s="1156">
        <f t="shared" si="273"/>
        <v>49.022035011979078</v>
      </c>
      <c r="BQ49" s="1156">
        <f t="shared" si="273"/>
        <v>49.31616722205095</v>
      </c>
      <c r="BR49" s="1156">
        <f t="shared" si="273"/>
        <v>49.612064225383257</v>
      </c>
      <c r="BS49" s="1157">
        <f t="shared" ref="BS49:CD49" si="274">(((BR49*(1+($B$39*$B$4)))-BR49)/12)+BR49</f>
        <v>49.909736610735557</v>
      </c>
      <c r="BT49" s="1156">
        <f t="shared" si="274"/>
        <v>50.209195030399968</v>
      </c>
      <c r="BU49" s="1156">
        <f t="shared" si="274"/>
        <v>50.510450200582369</v>
      </c>
      <c r="BV49" s="1156">
        <f t="shared" si="274"/>
        <v>50.813512901785863</v>
      </c>
      <c r="BW49" s="1156">
        <f t="shared" si="274"/>
        <v>51.118393979196576</v>
      </c>
      <c r="BX49" s="1156">
        <f t="shared" si="274"/>
        <v>51.425104343071752</v>
      </c>
      <c r="BY49" s="1156">
        <f t="shared" si="274"/>
        <v>51.733654969130185</v>
      </c>
      <c r="BZ49" s="1156">
        <f t="shared" si="274"/>
        <v>52.044056898944966</v>
      </c>
      <c r="CA49" s="1156">
        <f t="shared" si="274"/>
        <v>52.356321240338637</v>
      </c>
      <c r="CB49" s="1156">
        <f t="shared" si="274"/>
        <v>52.67045916778067</v>
      </c>
      <c r="CC49" s="1156">
        <f t="shared" si="274"/>
        <v>52.986481922787355</v>
      </c>
      <c r="CD49" s="1156">
        <f t="shared" si="274"/>
        <v>53.304400814324083</v>
      </c>
      <c r="CE49" s="1157">
        <f t="shared" ref="CE49:CP49" si="275">(((CD49*(1+($B$40*$B$4)))-CD49)/12)+CD49</f>
        <v>53.624227219210027</v>
      </c>
      <c r="CF49" s="1156">
        <f t="shared" si="275"/>
        <v>53.945972582525286</v>
      </c>
      <c r="CG49" s="1156">
        <f t="shared" si="275"/>
        <v>54.269648418020438</v>
      </c>
      <c r="CH49" s="1156">
        <f t="shared" si="275"/>
        <v>54.595266308528558</v>
      </c>
      <c r="CI49" s="1156">
        <f t="shared" si="275"/>
        <v>54.922837906379726</v>
      </c>
      <c r="CJ49" s="1156">
        <f t="shared" si="275"/>
        <v>55.252374933818004</v>
      </c>
      <c r="CK49" s="1156">
        <f t="shared" si="275"/>
        <v>55.583889183420915</v>
      </c>
      <c r="CL49" s="1156">
        <f t="shared" si="275"/>
        <v>55.917392518521439</v>
      </c>
      <c r="CM49" s="1156">
        <f t="shared" si="275"/>
        <v>56.252896873632565</v>
      </c>
      <c r="CN49" s="1156">
        <f t="shared" si="275"/>
        <v>56.590414254874361</v>
      </c>
      <c r="CO49" s="1156">
        <f t="shared" si="275"/>
        <v>56.929956740403604</v>
      </c>
      <c r="CP49" s="1156">
        <f t="shared" si="275"/>
        <v>57.271536480846024</v>
      </c>
      <c r="CQ49" s="1157">
        <f t="shared" ref="CQ49:DB49" si="276">(((CP49*(1+($B$41*$B$4)))-CP49)/12)+CP49</f>
        <v>57.615165699731101</v>
      </c>
      <c r="CR49" s="1156">
        <f t="shared" si="276"/>
        <v>57.960856693929486</v>
      </c>
      <c r="CS49" s="1156">
        <f t="shared" si="276"/>
        <v>58.30862183409306</v>
      </c>
      <c r="CT49" s="1156">
        <f t="shared" si="276"/>
        <v>58.658473565097616</v>
      </c>
      <c r="CU49" s="1156">
        <f t="shared" si="276"/>
        <v>59.010424406488198</v>
      </c>
      <c r="CV49" s="1156">
        <f t="shared" si="276"/>
        <v>59.36448695292713</v>
      </c>
      <c r="CW49" s="1156">
        <f t="shared" si="276"/>
        <v>59.720673874644696</v>
      </c>
      <c r="CX49" s="1156">
        <f t="shared" si="276"/>
        <v>60.078997917892565</v>
      </c>
      <c r="CY49" s="1156">
        <f t="shared" si="276"/>
        <v>60.43947190539992</v>
      </c>
      <c r="CZ49" s="1156">
        <f t="shared" si="276"/>
        <v>60.802108736832317</v>
      </c>
      <c r="DA49" s="1156">
        <f t="shared" si="276"/>
        <v>61.166921389253311</v>
      </c>
      <c r="DB49" s="1156">
        <f t="shared" si="276"/>
        <v>61.533922917588832</v>
      </c>
      <c r="DC49" s="1157">
        <f t="shared" ref="DC49:DN49" si="277">(((DB49*(1+($B$42*$B$4)))-DB49)/12)+DB49</f>
        <v>61.903126455094366</v>
      </c>
      <c r="DD49" s="1156">
        <f t="shared" si="277"/>
        <v>62.274545213824936</v>
      </c>
      <c r="DE49" s="1156">
        <f t="shared" si="277"/>
        <v>62.648192485107884</v>
      </c>
      <c r="DF49" s="1156">
        <f t="shared" si="277"/>
        <v>63.02408164001853</v>
      </c>
      <c r="DG49" s="1156">
        <f t="shared" si="277"/>
        <v>63.40222612985864</v>
      </c>
      <c r="DH49" s="1156">
        <f t="shared" si="277"/>
        <v>63.782639486637791</v>
      </c>
      <c r="DI49" s="1156">
        <f t="shared" si="277"/>
        <v>64.165335323557613</v>
      </c>
      <c r="DJ49" s="1156">
        <f t="shared" si="277"/>
        <v>64.550327335498963</v>
      </c>
      <c r="DK49" s="1156">
        <f t="shared" si="277"/>
        <v>64.937629299511954</v>
      </c>
      <c r="DL49" s="1156">
        <f t="shared" si="277"/>
        <v>65.327255075309026</v>
      </c>
      <c r="DM49" s="1156">
        <f t="shared" si="277"/>
        <v>65.719218605760886</v>
      </c>
      <c r="DN49" s="1156">
        <f t="shared" si="277"/>
        <v>66.113533917395458</v>
      </c>
      <c r="DO49" s="1157">
        <f t="shared" ref="DO49:DZ49" si="278">(((DN49*(1+($B$43*$B$4)))-DN49)/12)+DN49</f>
        <v>66.510215120899829</v>
      </c>
      <c r="DP49" s="1156">
        <f t="shared" si="278"/>
        <v>66.909276411625228</v>
      </c>
      <c r="DQ49" s="1156">
        <f t="shared" si="278"/>
        <v>67.310732070094986</v>
      </c>
      <c r="DR49" s="1156">
        <f t="shared" si="278"/>
        <v>67.714596462515559</v>
      </c>
      <c r="DS49" s="1156">
        <f t="shared" si="278"/>
        <v>68.120884041290651</v>
      </c>
      <c r="DT49" s="1156">
        <f t="shared" si="278"/>
        <v>68.52960934553839</v>
      </c>
      <c r="DU49" s="1156">
        <f t="shared" si="278"/>
        <v>68.940787001611625</v>
      </c>
      <c r="DV49" s="1156">
        <f t="shared" si="278"/>
        <v>69.354431723621289</v>
      </c>
      <c r="DW49" s="1156">
        <f t="shared" si="278"/>
        <v>69.770558313963022</v>
      </c>
      <c r="DX49" s="1156">
        <f t="shared" si="278"/>
        <v>70.189181663846796</v>
      </c>
      <c r="DY49" s="1156">
        <f t="shared" si="278"/>
        <v>70.610316753829878</v>
      </c>
      <c r="DZ49" s="1156">
        <f t="shared" si="278"/>
        <v>71.033978654352865</v>
      </c>
      <c r="EA49" s="1157">
        <f>(((DZ49*(1+($B$44*$B$4)))-DZ49)/12)+DZ49</f>
        <v>71.460182526278984</v>
      </c>
      <c r="EB49" s="1156">
        <f>(((EA49*(1+($B$44*$B$4)))-EA49)/12)+EA49</f>
        <v>71.888943621436653</v>
      </c>
      <c r="EC49" s="1156">
        <f>(((EB49*(1+($B$44*$B$4)))-EB49)/12)+EB49</f>
        <v>72.320277283165268</v>
      </c>
      <c r="ED49" s="1158">
        <f>(((EC49*(1+($B$44*$B$4)))-EC49)/12)+EC49</f>
        <v>72.754198946864264</v>
      </c>
    </row>
    <row r="50" spans="1:134" ht="18.75" outlineLevel="1" x14ac:dyDescent="0.3">
      <c r="A50" t="s">
        <v>217</v>
      </c>
      <c r="B50" s="170">
        <f>'Growth Prediction Exec Summary'!D6</f>
        <v>0.224</v>
      </c>
      <c r="C50" s="1675"/>
      <c r="D50" s="1645"/>
      <c r="E50" s="1645"/>
      <c r="F50" s="1645"/>
      <c r="G50" s="1645"/>
      <c r="H50" s="1645"/>
      <c r="I50" s="1645"/>
      <c r="J50" s="1645"/>
      <c r="K50" s="1645"/>
      <c r="L50" s="961"/>
      <c r="M50" s="955"/>
      <c r="N50" s="1398"/>
      <c r="O50" s="1399"/>
      <c r="P50" s="1399"/>
      <c r="Q50" s="956"/>
      <c r="R50" s="965"/>
      <c r="S50" s="957"/>
      <c r="T50" s="957"/>
      <c r="U50" s="955"/>
      <c r="V50" s="1081">
        <v>3</v>
      </c>
      <c r="W50" s="1159">
        <f>ROUNDUP($V50*(W49/100)/0.8,0)</f>
        <v>2</v>
      </c>
      <c r="X50" s="1160">
        <f t="shared" ref="X50:CI50" si="279">ROUNDUP($V$50*(X49/100)/0.8,0)</f>
        <v>2</v>
      </c>
      <c r="Y50" s="1160">
        <f t="shared" si="279"/>
        <v>2</v>
      </c>
      <c r="Z50" s="1160">
        <f t="shared" si="279"/>
        <v>2</v>
      </c>
      <c r="AA50" s="1160">
        <f t="shared" si="279"/>
        <v>2</v>
      </c>
      <c r="AB50" s="1160">
        <f t="shared" si="279"/>
        <v>2</v>
      </c>
      <c r="AC50" s="1160">
        <f t="shared" si="279"/>
        <v>2</v>
      </c>
      <c r="AD50" s="1160">
        <f t="shared" si="279"/>
        <v>2</v>
      </c>
      <c r="AE50" s="1160">
        <f t="shared" si="279"/>
        <v>2</v>
      </c>
      <c r="AF50" s="1160">
        <f t="shared" si="279"/>
        <v>2</v>
      </c>
      <c r="AG50" s="1160">
        <f t="shared" si="279"/>
        <v>2</v>
      </c>
      <c r="AH50" s="1160">
        <f t="shared" si="279"/>
        <v>2</v>
      </c>
      <c r="AI50" s="1161">
        <f t="shared" si="279"/>
        <v>2</v>
      </c>
      <c r="AJ50" s="1160">
        <f t="shared" si="279"/>
        <v>2</v>
      </c>
      <c r="AK50" s="1160">
        <f t="shared" si="279"/>
        <v>2</v>
      </c>
      <c r="AL50" s="1160">
        <f t="shared" si="279"/>
        <v>2</v>
      </c>
      <c r="AM50" s="1160">
        <f t="shared" si="279"/>
        <v>2</v>
      </c>
      <c r="AN50" s="1160">
        <f t="shared" si="279"/>
        <v>2</v>
      </c>
      <c r="AO50" s="1160">
        <f t="shared" si="279"/>
        <v>2</v>
      </c>
      <c r="AP50" s="1160">
        <f t="shared" si="279"/>
        <v>2</v>
      </c>
      <c r="AQ50" s="1160">
        <f t="shared" si="279"/>
        <v>2</v>
      </c>
      <c r="AR50" s="1160">
        <f t="shared" si="279"/>
        <v>2</v>
      </c>
      <c r="AS50" s="1160">
        <f t="shared" si="279"/>
        <v>2</v>
      </c>
      <c r="AT50" s="1160">
        <f t="shared" si="279"/>
        <v>2</v>
      </c>
      <c r="AU50" s="1161">
        <f t="shared" si="279"/>
        <v>2</v>
      </c>
      <c r="AV50" s="1160">
        <f t="shared" si="279"/>
        <v>2</v>
      </c>
      <c r="AW50" s="1160">
        <f t="shared" si="279"/>
        <v>2</v>
      </c>
      <c r="AX50" s="1160">
        <f t="shared" si="279"/>
        <v>2</v>
      </c>
      <c r="AY50" s="1160">
        <f t="shared" si="279"/>
        <v>2</v>
      </c>
      <c r="AZ50" s="1160">
        <f t="shared" si="279"/>
        <v>2</v>
      </c>
      <c r="BA50" s="1160">
        <f t="shared" si="279"/>
        <v>2</v>
      </c>
      <c r="BB50" s="1160">
        <f t="shared" si="279"/>
        <v>2</v>
      </c>
      <c r="BC50" s="1160">
        <f t="shared" si="279"/>
        <v>2</v>
      </c>
      <c r="BD50" s="1160">
        <f t="shared" si="279"/>
        <v>2</v>
      </c>
      <c r="BE50" s="1160">
        <f t="shared" si="279"/>
        <v>2</v>
      </c>
      <c r="BF50" s="1160">
        <f t="shared" si="279"/>
        <v>2</v>
      </c>
      <c r="BG50" s="1161">
        <f t="shared" si="279"/>
        <v>2</v>
      </c>
      <c r="BH50" s="1160">
        <f t="shared" si="279"/>
        <v>2</v>
      </c>
      <c r="BI50" s="1160">
        <f t="shared" si="279"/>
        <v>2</v>
      </c>
      <c r="BJ50" s="1160">
        <f t="shared" si="279"/>
        <v>2</v>
      </c>
      <c r="BK50" s="1160">
        <f t="shared" si="279"/>
        <v>2</v>
      </c>
      <c r="BL50" s="1160">
        <f t="shared" si="279"/>
        <v>2</v>
      </c>
      <c r="BM50" s="1160">
        <f t="shared" si="279"/>
        <v>2</v>
      </c>
      <c r="BN50" s="1160">
        <f t="shared" si="279"/>
        <v>2</v>
      </c>
      <c r="BO50" s="1160">
        <f t="shared" si="279"/>
        <v>2</v>
      </c>
      <c r="BP50" s="1160">
        <f t="shared" si="279"/>
        <v>2</v>
      </c>
      <c r="BQ50" s="1160">
        <f t="shared" si="279"/>
        <v>2</v>
      </c>
      <c r="BR50" s="1160">
        <f t="shared" si="279"/>
        <v>2</v>
      </c>
      <c r="BS50" s="1161">
        <f t="shared" si="279"/>
        <v>2</v>
      </c>
      <c r="BT50" s="1160">
        <f t="shared" si="279"/>
        <v>2</v>
      </c>
      <c r="BU50" s="1160">
        <f t="shared" si="279"/>
        <v>2</v>
      </c>
      <c r="BV50" s="1160">
        <f t="shared" si="279"/>
        <v>2</v>
      </c>
      <c r="BW50" s="1160">
        <f t="shared" si="279"/>
        <v>2</v>
      </c>
      <c r="BX50" s="1160">
        <f t="shared" si="279"/>
        <v>2</v>
      </c>
      <c r="BY50" s="1160">
        <f t="shared" si="279"/>
        <v>2</v>
      </c>
      <c r="BZ50" s="1160">
        <f t="shared" si="279"/>
        <v>2</v>
      </c>
      <c r="CA50" s="1160">
        <f t="shared" si="279"/>
        <v>2</v>
      </c>
      <c r="CB50" s="1160">
        <f t="shared" si="279"/>
        <v>2</v>
      </c>
      <c r="CC50" s="1160">
        <f t="shared" si="279"/>
        <v>2</v>
      </c>
      <c r="CD50" s="1160">
        <f t="shared" si="279"/>
        <v>2</v>
      </c>
      <c r="CE50" s="1161">
        <f t="shared" si="279"/>
        <v>3</v>
      </c>
      <c r="CF50" s="1160">
        <f t="shared" si="279"/>
        <v>3</v>
      </c>
      <c r="CG50" s="1160">
        <f t="shared" si="279"/>
        <v>3</v>
      </c>
      <c r="CH50" s="1160">
        <f t="shared" si="279"/>
        <v>3</v>
      </c>
      <c r="CI50" s="1160">
        <f t="shared" si="279"/>
        <v>3</v>
      </c>
      <c r="CJ50" s="1160">
        <f t="shared" ref="CJ50:ED50" si="280">ROUNDUP($V$50*(CJ49/100)/0.8,0)</f>
        <v>3</v>
      </c>
      <c r="CK50" s="1160">
        <f t="shared" si="280"/>
        <v>3</v>
      </c>
      <c r="CL50" s="1160">
        <f t="shared" si="280"/>
        <v>3</v>
      </c>
      <c r="CM50" s="1160">
        <f t="shared" si="280"/>
        <v>3</v>
      </c>
      <c r="CN50" s="1160">
        <f t="shared" si="280"/>
        <v>3</v>
      </c>
      <c r="CO50" s="1160">
        <f t="shared" si="280"/>
        <v>3</v>
      </c>
      <c r="CP50" s="1160">
        <f t="shared" si="280"/>
        <v>3</v>
      </c>
      <c r="CQ50" s="1161">
        <f t="shared" si="280"/>
        <v>3</v>
      </c>
      <c r="CR50" s="1160">
        <f t="shared" si="280"/>
        <v>3</v>
      </c>
      <c r="CS50" s="1160">
        <f t="shared" si="280"/>
        <v>3</v>
      </c>
      <c r="CT50" s="1160">
        <f t="shared" si="280"/>
        <v>3</v>
      </c>
      <c r="CU50" s="1160">
        <f t="shared" si="280"/>
        <v>3</v>
      </c>
      <c r="CV50" s="1160">
        <f t="shared" si="280"/>
        <v>3</v>
      </c>
      <c r="CW50" s="1160">
        <f t="shared" si="280"/>
        <v>3</v>
      </c>
      <c r="CX50" s="1160">
        <f t="shared" si="280"/>
        <v>3</v>
      </c>
      <c r="CY50" s="1160">
        <f t="shared" si="280"/>
        <v>3</v>
      </c>
      <c r="CZ50" s="1160">
        <f t="shared" si="280"/>
        <v>3</v>
      </c>
      <c r="DA50" s="1160">
        <f t="shared" si="280"/>
        <v>3</v>
      </c>
      <c r="DB50" s="1160">
        <f t="shared" si="280"/>
        <v>3</v>
      </c>
      <c r="DC50" s="1161">
        <f t="shared" si="280"/>
        <v>3</v>
      </c>
      <c r="DD50" s="1160">
        <f t="shared" si="280"/>
        <v>3</v>
      </c>
      <c r="DE50" s="1160">
        <f t="shared" si="280"/>
        <v>3</v>
      </c>
      <c r="DF50" s="1160">
        <f t="shared" si="280"/>
        <v>3</v>
      </c>
      <c r="DG50" s="1160">
        <f t="shared" si="280"/>
        <v>3</v>
      </c>
      <c r="DH50" s="1160">
        <f t="shared" si="280"/>
        <v>3</v>
      </c>
      <c r="DI50" s="1160">
        <f t="shared" si="280"/>
        <v>3</v>
      </c>
      <c r="DJ50" s="1160">
        <f t="shared" si="280"/>
        <v>3</v>
      </c>
      <c r="DK50" s="1160">
        <f t="shared" si="280"/>
        <v>3</v>
      </c>
      <c r="DL50" s="1160">
        <f t="shared" si="280"/>
        <v>3</v>
      </c>
      <c r="DM50" s="1160">
        <f t="shared" si="280"/>
        <v>3</v>
      </c>
      <c r="DN50" s="1160">
        <f t="shared" si="280"/>
        <v>3</v>
      </c>
      <c r="DO50" s="1161">
        <f t="shared" si="280"/>
        <v>3</v>
      </c>
      <c r="DP50" s="1160">
        <f t="shared" si="280"/>
        <v>3</v>
      </c>
      <c r="DQ50" s="1160">
        <f t="shared" si="280"/>
        <v>3</v>
      </c>
      <c r="DR50" s="1160">
        <f t="shared" si="280"/>
        <v>3</v>
      </c>
      <c r="DS50" s="1160">
        <f t="shared" si="280"/>
        <v>3</v>
      </c>
      <c r="DT50" s="1160">
        <f t="shared" si="280"/>
        <v>3</v>
      </c>
      <c r="DU50" s="1160">
        <f t="shared" si="280"/>
        <v>3</v>
      </c>
      <c r="DV50" s="1160">
        <f t="shared" si="280"/>
        <v>3</v>
      </c>
      <c r="DW50" s="1160">
        <f t="shared" si="280"/>
        <v>3</v>
      </c>
      <c r="DX50" s="1160">
        <f t="shared" si="280"/>
        <v>3</v>
      </c>
      <c r="DY50" s="1160">
        <f t="shared" si="280"/>
        <v>3</v>
      </c>
      <c r="DZ50" s="1160">
        <f t="shared" si="280"/>
        <v>3</v>
      </c>
      <c r="EA50" s="1161">
        <f t="shared" si="280"/>
        <v>3</v>
      </c>
      <c r="EB50" s="1160">
        <f t="shared" si="280"/>
        <v>3</v>
      </c>
      <c r="EC50" s="1160">
        <f t="shared" si="280"/>
        <v>3</v>
      </c>
      <c r="ED50" s="1162">
        <f t="shared" si="280"/>
        <v>3</v>
      </c>
    </row>
    <row r="51" spans="1:134" ht="18.75" outlineLevel="1" x14ac:dyDescent="0.3">
      <c r="A51" t="s">
        <v>218</v>
      </c>
      <c r="B51" s="170">
        <f>'Growth Prediction Exec Summary'!E6</f>
        <v>0.216</v>
      </c>
      <c r="C51" s="1675"/>
      <c r="D51" s="1639" t="s">
        <v>237</v>
      </c>
      <c r="E51" s="1639"/>
      <c r="F51" s="1639"/>
      <c r="G51" s="1639"/>
      <c r="H51" s="1639"/>
      <c r="I51" s="1639"/>
      <c r="J51" s="1639"/>
      <c r="K51" s="1639"/>
      <c r="L51" s="960"/>
      <c r="M51" s="1331">
        <f>N51*100</f>
        <v>63.5</v>
      </c>
      <c r="N51" s="1396">
        <f>'AM Benches Data'!E4/100</f>
        <v>0.63500000000000001</v>
      </c>
      <c r="O51" s="1397">
        <f>'AM Benches Data'!O4/100</f>
        <v>0.625</v>
      </c>
      <c r="P51" s="1397">
        <f>'AM Benches Data'!Y4/100</f>
        <v>0.64500000000000002</v>
      </c>
      <c r="Q51" s="953"/>
      <c r="R51" s="964">
        <f t="shared" si="270"/>
        <v>1.0000000000000009E-2</v>
      </c>
      <c r="S51" s="954">
        <v>8</v>
      </c>
      <c r="T51" s="954">
        <v>2</v>
      </c>
      <c r="U51" s="952"/>
      <c r="V51" s="1121"/>
      <c r="W51" s="1163">
        <f>M51</f>
        <v>63.5</v>
      </c>
      <c r="X51" s="1164">
        <f t="shared" ref="X51:Y55" si="281">W51</f>
        <v>63.5</v>
      </c>
      <c r="Y51" s="1164">
        <f t="shared" si="281"/>
        <v>63.5</v>
      </c>
      <c r="Z51" s="1164">
        <f>O51*100</f>
        <v>62.5</v>
      </c>
      <c r="AA51" s="1164">
        <f>Z51</f>
        <v>62.5</v>
      </c>
      <c r="AB51" s="1164">
        <f>AA51</f>
        <v>62.5</v>
      </c>
      <c r="AC51" s="1164">
        <f>P51*100</f>
        <v>64.5</v>
      </c>
      <c r="AD51" s="1164">
        <f>AC51</f>
        <v>64.5</v>
      </c>
      <c r="AE51" s="1164">
        <f>AD51</f>
        <v>64.5</v>
      </c>
      <c r="AF51" s="1164">
        <f>AE51</f>
        <v>64.5</v>
      </c>
      <c r="AG51" s="1164">
        <f>AF51</f>
        <v>64.5</v>
      </c>
      <c r="AH51" s="1164">
        <f>AG51</f>
        <v>64.5</v>
      </c>
      <c r="AI51" s="1165">
        <f t="shared" ref="AI51:AT51" si="282">(((AH51*(1+($B$36*$B$4)))-AH51)/12)+AH51</f>
        <v>64.887</v>
      </c>
      <c r="AJ51" s="1164">
        <f t="shared" si="282"/>
        <v>65.276321999999993</v>
      </c>
      <c r="AK51" s="1164">
        <f t="shared" si="282"/>
        <v>65.667979931999994</v>
      </c>
      <c r="AL51" s="1164">
        <f t="shared" si="282"/>
        <v>66.06198781159199</v>
      </c>
      <c r="AM51" s="1164">
        <f t="shared" si="282"/>
        <v>66.458359738461539</v>
      </c>
      <c r="AN51" s="1164">
        <f t="shared" si="282"/>
        <v>66.857109896892311</v>
      </c>
      <c r="AO51" s="1164">
        <f t="shared" si="282"/>
        <v>67.258252556273661</v>
      </c>
      <c r="AP51" s="1164">
        <f t="shared" si="282"/>
        <v>67.661802071611305</v>
      </c>
      <c r="AQ51" s="1164">
        <f t="shared" si="282"/>
        <v>68.067772884040977</v>
      </c>
      <c r="AR51" s="1164">
        <f t="shared" si="282"/>
        <v>68.476179521345216</v>
      </c>
      <c r="AS51" s="1164">
        <f t="shared" si="282"/>
        <v>68.887036598473287</v>
      </c>
      <c r="AT51" s="1164">
        <f t="shared" si="282"/>
        <v>69.300358818064126</v>
      </c>
      <c r="AU51" s="1165">
        <f t="shared" ref="AU51:BF51" si="283">(((AT51*(1+($B$37*$B$4)))-AT51)/12)+AT51</f>
        <v>69.71616097097251</v>
      </c>
      <c r="AV51" s="1164">
        <f t="shared" si="283"/>
        <v>70.134457936798341</v>
      </c>
      <c r="AW51" s="1164">
        <f t="shared" si="283"/>
        <v>70.555264684419129</v>
      </c>
      <c r="AX51" s="1164">
        <f t="shared" si="283"/>
        <v>70.97859627252565</v>
      </c>
      <c r="AY51" s="1164">
        <f t="shared" si="283"/>
        <v>71.404467850160799</v>
      </c>
      <c r="AZ51" s="1164">
        <f t="shared" si="283"/>
        <v>71.832894657261761</v>
      </c>
      <c r="BA51" s="1164">
        <f t="shared" si="283"/>
        <v>72.263892025205337</v>
      </c>
      <c r="BB51" s="1164">
        <f t="shared" si="283"/>
        <v>72.697475377356568</v>
      </c>
      <c r="BC51" s="1164">
        <f t="shared" si="283"/>
        <v>73.133660229620702</v>
      </c>
      <c r="BD51" s="1164">
        <f t="shared" si="283"/>
        <v>73.572462190998422</v>
      </c>
      <c r="BE51" s="1164">
        <f t="shared" si="283"/>
        <v>74.013896964144408</v>
      </c>
      <c r="BF51" s="1164">
        <f t="shared" si="283"/>
        <v>74.457980345929272</v>
      </c>
      <c r="BG51" s="1165">
        <f t="shared" ref="BG51:BR51" si="284">(((BF51*(1+($B$38*$B$4)))-BF51)/12)+BF51</f>
        <v>74.904728228004842</v>
      </c>
      <c r="BH51" s="1164">
        <f t="shared" si="284"/>
        <v>75.354156597372878</v>
      </c>
      <c r="BI51" s="1164">
        <f t="shared" si="284"/>
        <v>75.806281536957115</v>
      </c>
      <c r="BJ51" s="1164">
        <f t="shared" si="284"/>
        <v>76.261119226178863</v>
      </c>
      <c r="BK51" s="1164">
        <f t="shared" si="284"/>
        <v>76.718685941535938</v>
      </c>
      <c r="BL51" s="1164">
        <f t="shared" si="284"/>
        <v>77.178998057185154</v>
      </c>
      <c r="BM51" s="1164">
        <f t="shared" si="284"/>
        <v>77.642072045528266</v>
      </c>
      <c r="BN51" s="1164">
        <f t="shared" si="284"/>
        <v>78.107924477801433</v>
      </c>
      <c r="BO51" s="1164">
        <f t="shared" si="284"/>
        <v>78.576572024668238</v>
      </c>
      <c r="BP51" s="1164">
        <f t="shared" si="284"/>
        <v>79.048031456816247</v>
      </c>
      <c r="BQ51" s="1164">
        <f t="shared" si="284"/>
        <v>79.522319645557147</v>
      </c>
      <c r="BR51" s="1164">
        <f t="shared" si="284"/>
        <v>79.999453563430492</v>
      </c>
      <c r="BS51" s="1165">
        <f t="shared" ref="BS51:CD51" si="285">(((BR51*(1+($B$39*$B$4)))-BR51)/12)+BR51</f>
        <v>80.47945028481108</v>
      </c>
      <c r="BT51" s="1164">
        <f t="shared" si="285"/>
        <v>80.96232698651994</v>
      </c>
      <c r="BU51" s="1164">
        <f t="shared" si="285"/>
        <v>81.448100948439063</v>
      </c>
      <c r="BV51" s="1164">
        <f t="shared" si="285"/>
        <v>81.936789554129703</v>
      </c>
      <c r="BW51" s="1164">
        <f t="shared" si="285"/>
        <v>82.428410291454483</v>
      </c>
      <c r="BX51" s="1164">
        <f t="shared" si="285"/>
        <v>82.922980753203205</v>
      </c>
      <c r="BY51" s="1164">
        <f t="shared" si="285"/>
        <v>83.420518637722424</v>
      </c>
      <c r="BZ51" s="1164">
        <f t="shared" si="285"/>
        <v>83.921041749548763</v>
      </c>
      <c r="CA51" s="1164">
        <f t="shared" si="285"/>
        <v>84.424568000046051</v>
      </c>
      <c r="CB51" s="1164">
        <f t="shared" si="285"/>
        <v>84.931115408046324</v>
      </c>
      <c r="CC51" s="1164">
        <f t="shared" si="285"/>
        <v>85.440702100494605</v>
      </c>
      <c r="CD51" s="1164">
        <f t="shared" si="285"/>
        <v>85.953346313097569</v>
      </c>
      <c r="CE51" s="1165">
        <f t="shared" ref="CE51:CP51" si="286">(((CD51*(1+($B$40*$B$4)))-CD51)/12)+CD51</f>
        <v>86.469066390976153</v>
      </c>
      <c r="CF51" s="1164">
        <f t="shared" si="286"/>
        <v>86.987880789322006</v>
      </c>
      <c r="CG51" s="1164">
        <f t="shared" si="286"/>
        <v>87.509808074057943</v>
      </c>
      <c r="CH51" s="1164">
        <f t="shared" si="286"/>
        <v>88.034866922502289</v>
      </c>
      <c r="CI51" s="1164">
        <f t="shared" si="286"/>
        <v>88.563076124037309</v>
      </c>
      <c r="CJ51" s="1164">
        <f t="shared" si="286"/>
        <v>89.09445458078153</v>
      </c>
      <c r="CK51" s="1164">
        <f t="shared" si="286"/>
        <v>89.629021308266218</v>
      </c>
      <c r="CL51" s="1164">
        <f t="shared" si="286"/>
        <v>90.166795436115819</v>
      </c>
      <c r="CM51" s="1164">
        <f t="shared" si="286"/>
        <v>90.707796208732518</v>
      </c>
      <c r="CN51" s="1164">
        <f t="shared" si="286"/>
        <v>91.252042985984914</v>
      </c>
      <c r="CO51" s="1164">
        <f t="shared" si="286"/>
        <v>91.799555243900826</v>
      </c>
      <c r="CP51" s="1164">
        <f t="shared" si="286"/>
        <v>92.350352575364226</v>
      </c>
      <c r="CQ51" s="1165">
        <f t="shared" ref="CQ51:DB51" si="287">(((CP51*(1+($B$41*$B$4)))-CP51)/12)+CP51</f>
        <v>92.904454690816408</v>
      </c>
      <c r="CR51" s="1164">
        <f t="shared" si="287"/>
        <v>93.461881418961312</v>
      </c>
      <c r="CS51" s="1164">
        <f t="shared" si="287"/>
        <v>94.022652707475075</v>
      </c>
      <c r="CT51" s="1164">
        <f t="shared" si="287"/>
        <v>94.586788623719926</v>
      </c>
      <c r="CU51" s="1164">
        <f t="shared" si="287"/>
        <v>95.154309355462246</v>
      </c>
      <c r="CV51" s="1164">
        <f t="shared" si="287"/>
        <v>95.72523521159502</v>
      </c>
      <c r="CW51" s="1164">
        <f t="shared" si="287"/>
        <v>96.299586622864595</v>
      </c>
      <c r="CX51" s="1164">
        <f t="shared" si="287"/>
        <v>96.877384142601784</v>
      </c>
      <c r="CY51" s="1164">
        <f t="shared" si="287"/>
        <v>97.458648447457392</v>
      </c>
      <c r="CZ51" s="1164">
        <f t="shared" si="287"/>
        <v>98.043400338142135</v>
      </c>
      <c r="DA51" s="1164">
        <f t="shared" si="287"/>
        <v>98.631660740170986</v>
      </c>
      <c r="DB51" s="1164">
        <f t="shared" si="287"/>
        <v>99.22345070461202</v>
      </c>
      <c r="DC51" s="1165">
        <f t="shared" ref="DC51:DN51" si="288">(((DB51*(1+($B$42*$B$4)))-DB51)/12)+DB51</f>
        <v>99.818791408839687</v>
      </c>
      <c r="DD51" s="1164">
        <f t="shared" si="288"/>
        <v>100.41770415729272</v>
      </c>
      <c r="DE51" s="1164">
        <f t="shared" si="288"/>
        <v>101.02021038223647</v>
      </c>
      <c r="DF51" s="1164">
        <f t="shared" si="288"/>
        <v>101.62633164452988</v>
      </c>
      <c r="DG51" s="1164">
        <f t="shared" si="288"/>
        <v>102.23608963439706</v>
      </c>
      <c r="DH51" s="1164">
        <f t="shared" si="288"/>
        <v>102.84950617220345</v>
      </c>
      <c r="DI51" s="1164">
        <f t="shared" si="288"/>
        <v>103.46660320923667</v>
      </c>
      <c r="DJ51" s="1164">
        <f t="shared" si="288"/>
        <v>104.08740282849209</v>
      </c>
      <c r="DK51" s="1164">
        <f t="shared" si="288"/>
        <v>104.71192724546304</v>
      </c>
      <c r="DL51" s="1164">
        <f t="shared" si="288"/>
        <v>105.34019880893582</v>
      </c>
      <c r="DM51" s="1164">
        <f t="shared" si="288"/>
        <v>105.97224000178944</v>
      </c>
      <c r="DN51" s="1164">
        <f t="shared" si="288"/>
        <v>106.60807344180019</v>
      </c>
      <c r="DO51" s="1165">
        <f t="shared" ref="DO51:DZ51" si="289">(((DN51*(1+($B$43*$B$4)))-DN51)/12)+DN51</f>
        <v>107.24772188245099</v>
      </c>
      <c r="DP51" s="1164">
        <f t="shared" si="289"/>
        <v>107.8912082137457</v>
      </c>
      <c r="DQ51" s="1164">
        <f t="shared" si="289"/>
        <v>108.53855546302817</v>
      </c>
      <c r="DR51" s="1164">
        <f t="shared" si="289"/>
        <v>109.18978679580634</v>
      </c>
      <c r="DS51" s="1164">
        <f t="shared" si="289"/>
        <v>109.84492551658118</v>
      </c>
      <c r="DT51" s="1164">
        <f t="shared" si="289"/>
        <v>110.50399506968067</v>
      </c>
      <c r="DU51" s="1164">
        <f t="shared" si="289"/>
        <v>111.16701904009875</v>
      </c>
      <c r="DV51" s="1164">
        <f t="shared" si="289"/>
        <v>111.83402115433934</v>
      </c>
      <c r="DW51" s="1164">
        <f t="shared" si="289"/>
        <v>112.50502528126538</v>
      </c>
      <c r="DX51" s="1164">
        <f t="shared" si="289"/>
        <v>113.18005543295297</v>
      </c>
      <c r="DY51" s="1164">
        <f t="shared" si="289"/>
        <v>113.85913576555069</v>
      </c>
      <c r="DZ51" s="1164">
        <f t="shared" si="289"/>
        <v>114.542290580144</v>
      </c>
      <c r="EA51" s="1165">
        <f>(((DZ51*(1+($B$44*$B$4)))-DZ51)/12)+DZ51</f>
        <v>115.22954432362486</v>
      </c>
      <c r="EB51" s="1164">
        <f>(((EA51*(1+($B$44*$B$4)))-EA51)/12)+EA51</f>
        <v>115.92092158956662</v>
      </c>
      <c r="EC51" s="1164">
        <f>(((EB51*(1+($B$44*$B$4)))-EB51)/12)+EB51</f>
        <v>116.61644711910402</v>
      </c>
      <c r="ED51" s="1166">
        <f>(((EC51*(1+($B$44*$B$4)))-EC51)/12)+EC51</f>
        <v>117.31614580181865</v>
      </c>
    </row>
    <row r="52" spans="1:134" ht="18.75" outlineLevel="1" x14ac:dyDescent="0.3">
      <c r="A52" t="s">
        <v>220</v>
      </c>
      <c r="B52" s="170">
        <f>'Growth Prediction Exec Summary'!F6</f>
        <v>0.2</v>
      </c>
      <c r="C52" s="1675"/>
      <c r="D52" s="1645"/>
      <c r="E52" s="1645"/>
      <c r="F52" s="1645"/>
      <c r="G52" s="1645"/>
      <c r="H52" s="1645"/>
      <c r="I52" s="1645"/>
      <c r="J52" s="1645"/>
      <c r="K52" s="1645"/>
      <c r="L52" s="961"/>
      <c r="M52" s="955"/>
      <c r="N52" s="1398"/>
      <c r="O52" s="1399"/>
      <c r="P52" s="1399"/>
      <c r="Q52" s="956"/>
      <c r="R52" s="965"/>
      <c r="S52" s="957"/>
      <c r="T52" s="957"/>
      <c r="U52" s="955"/>
      <c r="V52" s="1081">
        <v>2</v>
      </c>
      <c r="W52" s="1167">
        <f>ROUNDUP($V$52*(W51/100)/0.8,0)</f>
        <v>2</v>
      </c>
      <c r="X52" s="1168">
        <f t="shared" ref="X52:CI52" si="290">ROUNDUP($V$52*(X51/100)/0.8,0)</f>
        <v>2</v>
      </c>
      <c r="Y52" s="1168">
        <f t="shared" si="290"/>
        <v>2</v>
      </c>
      <c r="Z52" s="1168">
        <f t="shared" si="290"/>
        <v>2</v>
      </c>
      <c r="AA52" s="1168">
        <f t="shared" si="290"/>
        <v>2</v>
      </c>
      <c r="AB52" s="1168">
        <f t="shared" si="290"/>
        <v>2</v>
      </c>
      <c r="AC52" s="1168">
        <f t="shared" si="290"/>
        <v>2</v>
      </c>
      <c r="AD52" s="1168">
        <f t="shared" si="290"/>
        <v>2</v>
      </c>
      <c r="AE52" s="1168">
        <f t="shared" si="290"/>
        <v>2</v>
      </c>
      <c r="AF52" s="1168">
        <f t="shared" si="290"/>
        <v>2</v>
      </c>
      <c r="AG52" s="1168">
        <f t="shared" si="290"/>
        <v>2</v>
      </c>
      <c r="AH52" s="1168">
        <f t="shared" si="290"/>
        <v>2</v>
      </c>
      <c r="AI52" s="1169">
        <f t="shared" si="290"/>
        <v>2</v>
      </c>
      <c r="AJ52" s="1168">
        <f t="shared" si="290"/>
        <v>2</v>
      </c>
      <c r="AK52" s="1168">
        <f t="shared" si="290"/>
        <v>2</v>
      </c>
      <c r="AL52" s="1168">
        <f t="shared" si="290"/>
        <v>2</v>
      </c>
      <c r="AM52" s="1168">
        <f t="shared" si="290"/>
        <v>2</v>
      </c>
      <c r="AN52" s="1168">
        <f t="shared" si="290"/>
        <v>2</v>
      </c>
      <c r="AO52" s="1168">
        <f t="shared" si="290"/>
        <v>2</v>
      </c>
      <c r="AP52" s="1168">
        <f t="shared" si="290"/>
        <v>2</v>
      </c>
      <c r="AQ52" s="1168">
        <f t="shared" si="290"/>
        <v>2</v>
      </c>
      <c r="AR52" s="1168">
        <f t="shared" si="290"/>
        <v>2</v>
      </c>
      <c r="AS52" s="1168">
        <f t="shared" si="290"/>
        <v>2</v>
      </c>
      <c r="AT52" s="1168">
        <f t="shared" si="290"/>
        <v>2</v>
      </c>
      <c r="AU52" s="1169">
        <f t="shared" si="290"/>
        <v>2</v>
      </c>
      <c r="AV52" s="1168">
        <f t="shared" si="290"/>
        <v>2</v>
      </c>
      <c r="AW52" s="1168">
        <f t="shared" si="290"/>
        <v>2</v>
      </c>
      <c r="AX52" s="1168">
        <f t="shared" si="290"/>
        <v>2</v>
      </c>
      <c r="AY52" s="1168">
        <f t="shared" si="290"/>
        <v>2</v>
      </c>
      <c r="AZ52" s="1168">
        <f t="shared" si="290"/>
        <v>2</v>
      </c>
      <c r="BA52" s="1168">
        <f t="shared" si="290"/>
        <v>2</v>
      </c>
      <c r="BB52" s="1168">
        <f t="shared" si="290"/>
        <v>2</v>
      </c>
      <c r="BC52" s="1168">
        <f t="shared" si="290"/>
        <v>2</v>
      </c>
      <c r="BD52" s="1168">
        <f t="shared" si="290"/>
        <v>2</v>
      </c>
      <c r="BE52" s="1168">
        <f t="shared" si="290"/>
        <v>2</v>
      </c>
      <c r="BF52" s="1168">
        <f t="shared" si="290"/>
        <v>2</v>
      </c>
      <c r="BG52" s="1169">
        <f t="shared" si="290"/>
        <v>2</v>
      </c>
      <c r="BH52" s="1168">
        <f t="shared" si="290"/>
        <v>2</v>
      </c>
      <c r="BI52" s="1168">
        <f t="shared" si="290"/>
        <v>2</v>
      </c>
      <c r="BJ52" s="1168">
        <f t="shared" si="290"/>
        <v>2</v>
      </c>
      <c r="BK52" s="1168">
        <f t="shared" si="290"/>
        <v>2</v>
      </c>
      <c r="BL52" s="1168">
        <f t="shared" si="290"/>
        <v>2</v>
      </c>
      <c r="BM52" s="1168">
        <f t="shared" si="290"/>
        <v>2</v>
      </c>
      <c r="BN52" s="1168">
        <f t="shared" si="290"/>
        <v>2</v>
      </c>
      <c r="BO52" s="1168">
        <f t="shared" si="290"/>
        <v>2</v>
      </c>
      <c r="BP52" s="1168">
        <f t="shared" si="290"/>
        <v>2</v>
      </c>
      <c r="BQ52" s="1168">
        <f t="shared" si="290"/>
        <v>2</v>
      </c>
      <c r="BR52" s="1168">
        <f t="shared" si="290"/>
        <v>2</v>
      </c>
      <c r="BS52" s="1169">
        <f t="shared" si="290"/>
        <v>3</v>
      </c>
      <c r="BT52" s="1168">
        <f t="shared" si="290"/>
        <v>3</v>
      </c>
      <c r="BU52" s="1168">
        <f t="shared" si="290"/>
        <v>3</v>
      </c>
      <c r="BV52" s="1168">
        <f t="shared" si="290"/>
        <v>3</v>
      </c>
      <c r="BW52" s="1168">
        <f t="shared" si="290"/>
        <v>3</v>
      </c>
      <c r="BX52" s="1168">
        <f t="shared" si="290"/>
        <v>3</v>
      </c>
      <c r="BY52" s="1168">
        <f t="shared" si="290"/>
        <v>3</v>
      </c>
      <c r="BZ52" s="1168">
        <f t="shared" si="290"/>
        <v>3</v>
      </c>
      <c r="CA52" s="1168">
        <f t="shared" si="290"/>
        <v>3</v>
      </c>
      <c r="CB52" s="1168">
        <f t="shared" si="290"/>
        <v>3</v>
      </c>
      <c r="CC52" s="1168">
        <f t="shared" si="290"/>
        <v>3</v>
      </c>
      <c r="CD52" s="1168">
        <f t="shared" si="290"/>
        <v>3</v>
      </c>
      <c r="CE52" s="1169">
        <f t="shared" si="290"/>
        <v>3</v>
      </c>
      <c r="CF52" s="1168">
        <f t="shared" si="290"/>
        <v>3</v>
      </c>
      <c r="CG52" s="1168">
        <f t="shared" si="290"/>
        <v>3</v>
      </c>
      <c r="CH52" s="1168">
        <f t="shared" si="290"/>
        <v>3</v>
      </c>
      <c r="CI52" s="1168">
        <f t="shared" si="290"/>
        <v>3</v>
      </c>
      <c r="CJ52" s="1168">
        <f t="shared" ref="CJ52:ED52" si="291">ROUNDUP($V$52*(CJ51/100)/0.8,0)</f>
        <v>3</v>
      </c>
      <c r="CK52" s="1168">
        <f t="shared" si="291"/>
        <v>3</v>
      </c>
      <c r="CL52" s="1168">
        <f t="shared" si="291"/>
        <v>3</v>
      </c>
      <c r="CM52" s="1168">
        <f t="shared" si="291"/>
        <v>3</v>
      </c>
      <c r="CN52" s="1168">
        <f t="shared" si="291"/>
        <v>3</v>
      </c>
      <c r="CO52" s="1168">
        <f t="shared" si="291"/>
        <v>3</v>
      </c>
      <c r="CP52" s="1168">
        <f t="shared" si="291"/>
        <v>3</v>
      </c>
      <c r="CQ52" s="1169">
        <f t="shared" si="291"/>
        <v>3</v>
      </c>
      <c r="CR52" s="1168">
        <f t="shared" si="291"/>
        <v>3</v>
      </c>
      <c r="CS52" s="1168">
        <f t="shared" si="291"/>
        <v>3</v>
      </c>
      <c r="CT52" s="1168">
        <f t="shared" si="291"/>
        <v>3</v>
      </c>
      <c r="CU52" s="1168">
        <f t="shared" si="291"/>
        <v>3</v>
      </c>
      <c r="CV52" s="1168">
        <f t="shared" si="291"/>
        <v>3</v>
      </c>
      <c r="CW52" s="1168">
        <f t="shared" si="291"/>
        <v>3</v>
      </c>
      <c r="CX52" s="1168">
        <f t="shared" si="291"/>
        <v>3</v>
      </c>
      <c r="CY52" s="1168">
        <f t="shared" si="291"/>
        <v>3</v>
      </c>
      <c r="CZ52" s="1168">
        <f t="shared" si="291"/>
        <v>3</v>
      </c>
      <c r="DA52" s="1168">
        <f t="shared" si="291"/>
        <v>3</v>
      </c>
      <c r="DB52" s="1168">
        <f t="shared" si="291"/>
        <v>3</v>
      </c>
      <c r="DC52" s="1169">
        <f t="shared" si="291"/>
        <v>3</v>
      </c>
      <c r="DD52" s="1168">
        <f t="shared" si="291"/>
        <v>3</v>
      </c>
      <c r="DE52" s="1168">
        <f t="shared" si="291"/>
        <v>3</v>
      </c>
      <c r="DF52" s="1168">
        <f t="shared" si="291"/>
        <v>3</v>
      </c>
      <c r="DG52" s="1168">
        <f t="shared" si="291"/>
        <v>3</v>
      </c>
      <c r="DH52" s="1168">
        <f t="shared" si="291"/>
        <v>3</v>
      </c>
      <c r="DI52" s="1168">
        <f t="shared" si="291"/>
        <v>3</v>
      </c>
      <c r="DJ52" s="1168">
        <f t="shared" si="291"/>
        <v>3</v>
      </c>
      <c r="DK52" s="1168">
        <f t="shared" si="291"/>
        <v>3</v>
      </c>
      <c r="DL52" s="1168">
        <f t="shared" si="291"/>
        <v>3</v>
      </c>
      <c r="DM52" s="1168">
        <f t="shared" si="291"/>
        <v>3</v>
      </c>
      <c r="DN52" s="1168">
        <f t="shared" si="291"/>
        <v>3</v>
      </c>
      <c r="DO52" s="1169">
        <f t="shared" si="291"/>
        <v>3</v>
      </c>
      <c r="DP52" s="1168">
        <f t="shared" si="291"/>
        <v>3</v>
      </c>
      <c r="DQ52" s="1168">
        <f t="shared" si="291"/>
        <v>3</v>
      </c>
      <c r="DR52" s="1168">
        <f t="shared" si="291"/>
        <v>3</v>
      </c>
      <c r="DS52" s="1168">
        <f t="shared" si="291"/>
        <v>3</v>
      </c>
      <c r="DT52" s="1168">
        <f t="shared" si="291"/>
        <v>3</v>
      </c>
      <c r="DU52" s="1168">
        <f t="shared" si="291"/>
        <v>3</v>
      </c>
      <c r="DV52" s="1168">
        <f t="shared" si="291"/>
        <v>3</v>
      </c>
      <c r="DW52" s="1168">
        <f t="shared" si="291"/>
        <v>3</v>
      </c>
      <c r="DX52" s="1168">
        <f t="shared" si="291"/>
        <v>3</v>
      </c>
      <c r="DY52" s="1168">
        <f t="shared" si="291"/>
        <v>3</v>
      </c>
      <c r="DZ52" s="1168">
        <f t="shared" si="291"/>
        <v>3</v>
      </c>
      <c r="EA52" s="1169">
        <f t="shared" si="291"/>
        <v>3</v>
      </c>
      <c r="EB52" s="1168">
        <f t="shared" si="291"/>
        <v>3</v>
      </c>
      <c r="EC52" s="1168">
        <f t="shared" si="291"/>
        <v>3</v>
      </c>
      <c r="ED52" s="1170">
        <f t="shared" si="291"/>
        <v>3</v>
      </c>
    </row>
    <row r="53" spans="1:134" ht="18.75" outlineLevel="1" x14ac:dyDescent="0.3">
      <c r="A53" t="s">
        <v>221</v>
      </c>
      <c r="B53" s="170">
        <f>'Growth Prediction Exec Summary'!G6</f>
        <v>0.2</v>
      </c>
      <c r="C53" s="1675"/>
      <c r="D53" s="1639" t="s">
        <v>238</v>
      </c>
      <c r="E53" s="1639"/>
      <c r="F53" s="1639"/>
      <c r="G53" s="1639"/>
      <c r="H53" s="1639"/>
      <c r="I53" s="1639"/>
      <c r="J53" s="1639"/>
      <c r="K53" s="1639"/>
      <c r="L53" s="1504"/>
      <c r="M53" s="1331">
        <f>N53*100</f>
        <v>5</v>
      </c>
      <c r="N53" s="1396">
        <f>'AM Benches Data'!J4/100</f>
        <v>0.05</v>
      </c>
      <c r="O53" s="1397">
        <f>'AM Benches Data'!T4/100</f>
        <v>0.21</v>
      </c>
      <c r="P53" s="1397">
        <f>'AM Benches Data'!AB4/100</f>
        <v>0.47</v>
      </c>
      <c r="Q53" s="953"/>
      <c r="R53" s="964">
        <f>P53-N53</f>
        <v>0.42</v>
      </c>
      <c r="S53" s="954">
        <v>4</v>
      </c>
      <c r="T53" s="954">
        <v>2</v>
      </c>
      <c r="U53" s="952"/>
      <c r="V53" s="1121"/>
      <c r="W53" s="1163">
        <f>M53</f>
        <v>5</v>
      </c>
      <c r="X53" s="1164">
        <f t="shared" ref="X53" si="292">W53</f>
        <v>5</v>
      </c>
      <c r="Y53" s="1164">
        <f t="shared" ref="Y53" si="293">X53</f>
        <v>5</v>
      </c>
      <c r="Z53" s="1164">
        <f>O53*100</f>
        <v>21</v>
      </c>
      <c r="AA53" s="1164">
        <f>Z53</f>
        <v>21</v>
      </c>
      <c r="AB53" s="1164">
        <f>AA53</f>
        <v>21</v>
      </c>
      <c r="AC53" s="1164">
        <f>P53*100</f>
        <v>47</v>
      </c>
      <c r="AD53" s="1164">
        <f>AC53</f>
        <v>47</v>
      </c>
      <c r="AE53" s="1164">
        <f>AD53</f>
        <v>47</v>
      </c>
      <c r="AF53" s="1164">
        <f>AE53</f>
        <v>47</v>
      </c>
      <c r="AG53" s="1164">
        <f>AF53</f>
        <v>47</v>
      </c>
      <c r="AH53" s="1164">
        <f>AG53</f>
        <v>47</v>
      </c>
      <c r="AI53" s="1165">
        <f t="shared" ref="AI53" si="294">(((AH53*(1+($B$36*$B$4)))-AH53)/12)+AH53</f>
        <v>47.281999999999996</v>
      </c>
      <c r="AJ53" s="1164">
        <f t="shared" ref="AJ53" si="295">(((AI53*(1+($B$36*$B$4)))-AI53)/12)+AI53</f>
        <v>47.565691999999999</v>
      </c>
      <c r="AK53" s="1164">
        <f t="shared" ref="AK53" si="296">(((AJ53*(1+($B$36*$B$4)))-AJ53)/12)+AJ53</f>
        <v>47.851086152000001</v>
      </c>
      <c r="AL53" s="1164">
        <f t="shared" ref="AL53" si="297">(((AK53*(1+($B$36*$B$4)))-AK53)/12)+AK53</f>
        <v>48.138192668911998</v>
      </c>
      <c r="AM53" s="1164">
        <f t="shared" ref="AM53" si="298">(((AL53*(1+($B$36*$B$4)))-AL53)/12)+AL53</f>
        <v>48.427021824925468</v>
      </c>
      <c r="AN53" s="1164">
        <f t="shared" ref="AN53" si="299">(((AM53*(1+($B$36*$B$4)))-AM53)/12)+AM53</f>
        <v>48.717583955875021</v>
      </c>
      <c r="AO53" s="1164">
        <f t="shared" ref="AO53" si="300">(((AN53*(1+($B$36*$B$4)))-AN53)/12)+AN53</f>
        <v>49.009889459610271</v>
      </c>
      <c r="AP53" s="1164">
        <f t="shared" ref="AP53" si="301">(((AO53*(1+($B$36*$B$4)))-AO53)/12)+AO53</f>
        <v>49.303948796367933</v>
      </c>
      <c r="AQ53" s="1164">
        <f t="shared" ref="AQ53" si="302">(((AP53*(1+($B$36*$B$4)))-AP53)/12)+AP53</f>
        <v>49.59977248914614</v>
      </c>
      <c r="AR53" s="1164">
        <f t="shared" ref="AR53" si="303">(((AQ53*(1+($B$36*$B$4)))-AQ53)/12)+AQ53</f>
        <v>49.897371124081019</v>
      </c>
      <c r="AS53" s="1164">
        <f t="shared" ref="AS53" si="304">(((AR53*(1+($B$36*$B$4)))-AR53)/12)+AR53</f>
        <v>50.196755350825505</v>
      </c>
      <c r="AT53" s="1164">
        <f t="shared" ref="AT53" si="305">(((AS53*(1+($B$36*$B$4)))-AS53)/12)+AS53</f>
        <v>50.497935882930456</v>
      </c>
      <c r="AU53" s="1165">
        <f t="shared" ref="AU53" si="306">(((AT53*(1+($B$37*$B$4)))-AT53)/12)+AT53</f>
        <v>50.800923498228038</v>
      </c>
      <c r="AV53" s="1164">
        <f t="shared" ref="AV53" si="307">(((AU53*(1+($B$37*$B$4)))-AU53)/12)+AU53</f>
        <v>51.105729039217408</v>
      </c>
      <c r="AW53" s="1164">
        <f t="shared" ref="AW53" si="308">(((AV53*(1+($B$37*$B$4)))-AV53)/12)+AV53</f>
        <v>51.412363413452709</v>
      </c>
      <c r="AX53" s="1164">
        <f t="shared" ref="AX53" si="309">(((AW53*(1+($B$37*$B$4)))-AW53)/12)+AW53</f>
        <v>51.720837593933425</v>
      </c>
      <c r="AY53" s="1164">
        <f t="shared" ref="AY53" si="310">(((AX53*(1+($B$37*$B$4)))-AX53)/12)+AX53</f>
        <v>52.031162619497024</v>
      </c>
      <c r="AZ53" s="1164">
        <f t="shared" ref="AZ53" si="311">(((AY53*(1+($B$37*$B$4)))-AY53)/12)+AY53</f>
        <v>52.343349595214008</v>
      </c>
      <c r="BA53" s="1164">
        <f t="shared" ref="BA53" si="312">(((AZ53*(1+($B$37*$B$4)))-AZ53)/12)+AZ53</f>
        <v>52.657409692785293</v>
      </c>
      <c r="BB53" s="1164">
        <f t="shared" ref="BB53" si="313">(((BA53*(1+($B$37*$B$4)))-BA53)/12)+BA53</f>
        <v>52.973354150942008</v>
      </c>
      <c r="BC53" s="1164">
        <f t="shared" ref="BC53" si="314">(((BB53*(1+($B$37*$B$4)))-BB53)/12)+BB53</f>
        <v>53.291194275847658</v>
      </c>
      <c r="BD53" s="1164">
        <f t="shared" ref="BD53" si="315">(((BC53*(1+($B$37*$B$4)))-BC53)/12)+BC53</f>
        <v>53.610941441502746</v>
      </c>
      <c r="BE53" s="1164">
        <f t="shared" ref="BE53" si="316">(((BD53*(1+($B$37*$B$4)))-BD53)/12)+BD53</f>
        <v>53.932607090151762</v>
      </c>
      <c r="BF53" s="1164">
        <f t="shared" ref="BF53" si="317">(((BE53*(1+($B$37*$B$4)))-BE53)/12)+BE53</f>
        <v>54.256202732692671</v>
      </c>
      <c r="BG53" s="1165">
        <f t="shared" ref="BG53" si="318">(((BF53*(1+($B$38*$B$4)))-BF53)/12)+BF53</f>
        <v>54.581739949088828</v>
      </c>
      <c r="BH53" s="1164">
        <f t="shared" ref="BH53" si="319">(((BG53*(1+($B$38*$B$4)))-BG53)/12)+BG53</f>
        <v>54.909230388783364</v>
      </c>
      <c r="BI53" s="1164">
        <f t="shared" ref="BI53" si="320">(((BH53*(1+($B$38*$B$4)))-BH53)/12)+BH53</f>
        <v>55.238685771116067</v>
      </c>
      <c r="BJ53" s="1164">
        <f t="shared" ref="BJ53" si="321">(((BI53*(1+($B$38*$B$4)))-BI53)/12)+BI53</f>
        <v>55.570117885742761</v>
      </c>
      <c r="BK53" s="1164">
        <f t="shared" ref="BK53" si="322">(((BJ53*(1+($B$38*$B$4)))-BJ53)/12)+BJ53</f>
        <v>55.90353859305722</v>
      </c>
      <c r="BL53" s="1164">
        <f t="shared" ref="BL53" si="323">(((BK53*(1+($B$38*$B$4)))-BK53)/12)+BK53</f>
        <v>56.238959824615563</v>
      </c>
      <c r="BM53" s="1164">
        <f t="shared" ref="BM53" si="324">(((BL53*(1+($B$38*$B$4)))-BL53)/12)+BL53</f>
        <v>56.576393583563259</v>
      </c>
      <c r="BN53" s="1164">
        <f t="shared" ref="BN53" si="325">(((BM53*(1+($B$38*$B$4)))-BM53)/12)+BM53</f>
        <v>56.915851945064638</v>
      </c>
      <c r="BO53" s="1164">
        <f t="shared" ref="BO53" si="326">(((BN53*(1+($B$38*$B$4)))-BN53)/12)+BN53</f>
        <v>57.257347056735028</v>
      </c>
      <c r="BP53" s="1164">
        <f t="shared" ref="BP53" si="327">(((BO53*(1+($B$38*$B$4)))-BO53)/12)+BO53</f>
        <v>57.600891139075436</v>
      </c>
      <c r="BQ53" s="1164">
        <f t="shared" ref="BQ53" si="328">(((BP53*(1+($B$38*$B$4)))-BP53)/12)+BP53</f>
        <v>57.94649648590989</v>
      </c>
      <c r="BR53" s="1164">
        <f t="shared" ref="BR53" si="329">(((BQ53*(1+($B$38*$B$4)))-BQ53)/12)+BQ53</f>
        <v>58.294175464825351</v>
      </c>
      <c r="BS53" s="1165">
        <f t="shared" ref="BS53" si="330">(((BR53*(1+($B$39*$B$4)))-BR53)/12)+BR53</f>
        <v>58.643940517614304</v>
      </c>
      <c r="BT53" s="1164">
        <f t="shared" ref="BT53" si="331">(((BS53*(1+($B$39*$B$4)))-BS53)/12)+BS53</f>
        <v>58.995804160719992</v>
      </c>
      <c r="BU53" s="1164">
        <f t="shared" ref="BU53" si="332">(((BT53*(1+($B$39*$B$4)))-BT53)/12)+BT53</f>
        <v>59.34977898568431</v>
      </c>
      <c r="BV53" s="1164">
        <f t="shared" ref="BV53" si="333">(((BU53*(1+($B$39*$B$4)))-BU53)/12)+BU53</f>
        <v>59.705877659598414</v>
      </c>
      <c r="BW53" s="1164">
        <f t="shared" ref="BW53" si="334">(((BV53*(1+($B$39*$B$4)))-BV53)/12)+BV53</f>
        <v>60.064112925556003</v>
      </c>
      <c r="BX53" s="1164">
        <f t="shared" ref="BX53" si="335">(((BW53*(1+($B$39*$B$4)))-BW53)/12)+BW53</f>
        <v>60.424497603109337</v>
      </c>
      <c r="BY53" s="1164">
        <f t="shared" ref="BY53" si="336">(((BX53*(1+($B$39*$B$4)))-BX53)/12)+BX53</f>
        <v>60.787044588727994</v>
      </c>
      <c r="BZ53" s="1164">
        <f t="shared" ref="BZ53" si="337">(((BY53*(1+($B$39*$B$4)))-BY53)/12)+BY53</f>
        <v>61.151766856260366</v>
      </c>
      <c r="CA53" s="1164">
        <f t="shared" ref="CA53" si="338">(((BZ53*(1+($B$39*$B$4)))-BZ53)/12)+BZ53</f>
        <v>61.518677457397928</v>
      </c>
      <c r="CB53" s="1164">
        <f t="shared" ref="CB53" si="339">(((CA53*(1+($B$39*$B$4)))-CA53)/12)+CA53</f>
        <v>61.887789522142313</v>
      </c>
      <c r="CC53" s="1164">
        <f t="shared" ref="CC53" si="340">(((CB53*(1+($B$39*$B$4)))-CB53)/12)+CB53</f>
        <v>62.259116259275167</v>
      </c>
      <c r="CD53" s="1164">
        <f t="shared" ref="CD53" si="341">(((CC53*(1+($B$39*$B$4)))-CC53)/12)+CC53</f>
        <v>62.632670956830822</v>
      </c>
      <c r="CE53" s="1165">
        <f t="shared" ref="CE53" si="342">(((CD53*(1+($B$40*$B$4)))-CD53)/12)+CD53</f>
        <v>63.008466982571804</v>
      </c>
      <c r="CF53" s="1164">
        <f t="shared" ref="CF53" si="343">(((CE53*(1+($B$40*$B$4)))-CE53)/12)+CE53</f>
        <v>63.386517784467237</v>
      </c>
      <c r="CG53" s="1164">
        <f t="shared" ref="CG53" si="344">(((CF53*(1+($B$40*$B$4)))-CF53)/12)+CF53</f>
        <v>63.766836891174044</v>
      </c>
      <c r="CH53" s="1164">
        <f t="shared" ref="CH53" si="345">(((CG53*(1+($B$40*$B$4)))-CG53)/12)+CG53</f>
        <v>64.149437912521094</v>
      </c>
      <c r="CI53" s="1164">
        <f t="shared" ref="CI53" si="346">(((CH53*(1+($B$40*$B$4)))-CH53)/12)+CH53</f>
        <v>64.534334539996223</v>
      </c>
      <c r="CJ53" s="1164">
        <f t="shared" ref="CJ53" si="347">(((CI53*(1+($B$40*$B$4)))-CI53)/12)+CI53</f>
        <v>64.921540547236205</v>
      </c>
      <c r="CK53" s="1164">
        <f t="shared" ref="CK53" si="348">(((CJ53*(1+($B$40*$B$4)))-CJ53)/12)+CJ53</f>
        <v>65.311069790519625</v>
      </c>
      <c r="CL53" s="1164">
        <f t="shared" ref="CL53" si="349">(((CK53*(1+($B$40*$B$4)))-CK53)/12)+CK53</f>
        <v>65.702936209262745</v>
      </c>
      <c r="CM53" s="1164">
        <f t="shared" ref="CM53" si="350">(((CL53*(1+($B$40*$B$4)))-CL53)/12)+CL53</f>
        <v>66.097153826518323</v>
      </c>
      <c r="CN53" s="1164">
        <f t="shared" ref="CN53" si="351">(((CM53*(1+($B$40*$B$4)))-CM53)/12)+CM53</f>
        <v>66.493736749477435</v>
      </c>
      <c r="CO53" s="1164">
        <f t="shared" ref="CO53" si="352">(((CN53*(1+($B$40*$B$4)))-CN53)/12)+CN53</f>
        <v>66.892699169974293</v>
      </c>
      <c r="CP53" s="1164">
        <f t="shared" ref="CP53" si="353">(((CO53*(1+($B$40*$B$4)))-CO53)/12)+CO53</f>
        <v>67.294055364994136</v>
      </c>
      <c r="CQ53" s="1165">
        <f t="shared" ref="CQ53" si="354">(((CP53*(1+($B$41*$B$4)))-CP53)/12)+CP53</f>
        <v>67.697819697184102</v>
      </c>
      <c r="CR53" s="1164">
        <f t="shared" ref="CR53" si="355">(((CQ53*(1+($B$41*$B$4)))-CQ53)/12)+CQ53</f>
        <v>68.104006615367211</v>
      </c>
      <c r="CS53" s="1164">
        <f t="shared" ref="CS53" si="356">(((CR53*(1+($B$41*$B$4)))-CR53)/12)+CR53</f>
        <v>68.512630655059411</v>
      </c>
      <c r="CT53" s="1164">
        <f t="shared" ref="CT53" si="357">(((CS53*(1+($B$41*$B$4)))-CS53)/12)+CS53</f>
        <v>68.923706438989768</v>
      </c>
      <c r="CU53" s="1164">
        <f t="shared" ref="CU53" si="358">(((CT53*(1+($B$41*$B$4)))-CT53)/12)+CT53</f>
        <v>69.337248677623705</v>
      </c>
      <c r="CV53" s="1164">
        <f t="shared" ref="CV53" si="359">(((CU53*(1+($B$41*$B$4)))-CU53)/12)+CU53</f>
        <v>69.753272169689453</v>
      </c>
      <c r="CW53" s="1164">
        <f t="shared" ref="CW53" si="360">(((CV53*(1+($B$41*$B$4)))-CV53)/12)+CV53</f>
        <v>70.171791802707588</v>
      </c>
      <c r="CX53" s="1164">
        <f t="shared" ref="CX53" si="361">(((CW53*(1+($B$41*$B$4)))-CW53)/12)+CW53</f>
        <v>70.592822553523831</v>
      </c>
      <c r="CY53" s="1164">
        <f t="shared" ref="CY53" si="362">(((CX53*(1+($B$41*$B$4)))-CX53)/12)+CX53</f>
        <v>71.016379488844976</v>
      </c>
      <c r="CZ53" s="1164">
        <f t="shared" ref="CZ53" si="363">(((CY53*(1+($B$41*$B$4)))-CY53)/12)+CY53</f>
        <v>71.442477765778051</v>
      </c>
      <c r="DA53" s="1164">
        <f t="shared" ref="DA53" si="364">(((CZ53*(1+($B$41*$B$4)))-CZ53)/12)+CZ53</f>
        <v>71.871132632372721</v>
      </c>
      <c r="DB53" s="1164">
        <f t="shared" ref="DB53" si="365">(((DA53*(1+($B$41*$B$4)))-DA53)/12)+DA53</f>
        <v>72.302359428166952</v>
      </c>
      <c r="DC53" s="1165">
        <f t="shared" ref="DC53" si="366">(((DB53*(1+($B$42*$B$4)))-DB53)/12)+DB53</f>
        <v>72.736173584735951</v>
      </c>
      <c r="DD53" s="1164">
        <f t="shared" ref="DD53" si="367">(((DC53*(1+($B$42*$B$4)))-DC53)/12)+DC53</f>
        <v>73.172590626244371</v>
      </c>
      <c r="DE53" s="1164">
        <f t="shared" ref="DE53" si="368">(((DD53*(1+($B$42*$B$4)))-DD53)/12)+DD53</f>
        <v>73.611626170001841</v>
      </c>
      <c r="DF53" s="1164">
        <f t="shared" ref="DF53" si="369">(((DE53*(1+($B$42*$B$4)))-DE53)/12)+DE53</f>
        <v>74.05329592702185</v>
      </c>
      <c r="DG53" s="1164">
        <f t="shared" ref="DG53" si="370">(((DF53*(1+($B$42*$B$4)))-DF53)/12)+DF53</f>
        <v>74.497615702583985</v>
      </c>
      <c r="DH53" s="1164">
        <f t="shared" ref="DH53" si="371">(((DG53*(1+($B$42*$B$4)))-DG53)/12)+DG53</f>
        <v>74.944601396799484</v>
      </c>
      <c r="DI53" s="1164">
        <f t="shared" ref="DI53" si="372">(((DH53*(1+($B$42*$B$4)))-DH53)/12)+DH53</f>
        <v>75.394269005180277</v>
      </c>
      <c r="DJ53" s="1164">
        <f t="shared" ref="DJ53" si="373">(((DI53*(1+($B$42*$B$4)))-DI53)/12)+DI53</f>
        <v>75.846634619211358</v>
      </c>
      <c r="DK53" s="1164">
        <f t="shared" ref="DK53" si="374">(((DJ53*(1+($B$42*$B$4)))-DJ53)/12)+DJ53</f>
        <v>76.301714426926623</v>
      </c>
      <c r="DL53" s="1164">
        <f t="shared" ref="DL53" si="375">(((DK53*(1+($B$42*$B$4)))-DK53)/12)+DK53</f>
        <v>76.75952471348819</v>
      </c>
      <c r="DM53" s="1164">
        <f t="shared" ref="DM53" si="376">(((DL53*(1+($B$42*$B$4)))-DL53)/12)+DL53</f>
        <v>77.220081861769117</v>
      </c>
      <c r="DN53" s="1164">
        <f t="shared" ref="DN53" si="377">(((DM53*(1+($B$42*$B$4)))-DM53)/12)+DM53</f>
        <v>77.683402352939737</v>
      </c>
      <c r="DO53" s="1165">
        <f t="shared" ref="DO53" si="378">(((DN53*(1+($B$43*$B$4)))-DN53)/12)+DN53</f>
        <v>78.149502767057371</v>
      </c>
      <c r="DP53" s="1164">
        <f t="shared" ref="DP53" si="379">(((DO53*(1+($B$43*$B$4)))-DO53)/12)+DO53</f>
        <v>78.618399783659711</v>
      </c>
      <c r="DQ53" s="1164">
        <f t="shared" ref="DQ53" si="380">(((DP53*(1+($B$43*$B$4)))-DP53)/12)+DP53</f>
        <v>79.09011018236167</v>
      </c>
      <c r="DR53" s="1164">
        <f t="shared" ref="DR53" si="381">(((DQ53*(1+($B$43*$B$4)))-DQ53)/12)+DQ53</f>
        <v>79.564650843455837</v>
      </c>
      <c r="DS53" s="1164">
        <f t="shared" ref="DS53" si="382">(((DR53*(1+($B$43*$B$4)))-DR53)/12)+DR53</f>
        <v>80.042038748516575</v>
      </c>
      <c r="DT53" s="1164">
        <f t="shared" ref="DT53" si="383">(((DS53*(1+($B$43*$B$4)))-DS53)/12)+DS53</f>
        <v>80.522290981007671</v>
      </c>
      <c r="DU53" s="1164">
        <f t="shared" ref="DU53" si="384">(((DT53*(1+($B$43*$B$4)))-DT53)/12)+DT53</f>
        <v>81.005424726893722</v>
      </c>
      <c r="DV53" s="1164">
        <f t="shared" ref="DV53" si="385">(((DU53*(1+($B$43*$B$4)))-DU53)/12)+DU53</f>
        <v>81.491457275255087</v>
      </c>
      <c r="DW53" s="1164">
        <f t="shared" ref="DW53" si="386">(((DV53*(1+($B$43*$B$4)))-DV53)/12)+DV53</f>
        <v>81.980406018906621</v>
      </c>
      <c r="DX53" s="1164">
        <f t="shared" ref="DX53" si="387">(((DW53*(1+($B$43*$B$4)))-DW53)/12)+DW53</f>
        <v>82.472288455020063</v>
      </c>
      <c r="DY53" s="1164">
        <f t="shared" ref="DY53" si="388">(((DX53*(1+($B$43*$B$4)))-DX53)/12)+DX53</f>
        <v>82.967122185750185</v>
      </c>
      <c r="DZ53" s="1164">
        <f t="shared" ref="DZ53" si="389">(((DY53*(1+($B$43*$B$4)))-DY53)/12)+DY53</f>
        <v>83.464924918864682</v>
      </c>
      <c r="EA53" s="1165">
        <f>(((DZ53*(1+($B$44*$B$4)))-DZ53)/12)+DZ53</f>
        <v>83.965714468377868</v>
      </c>
      <c r="EB53" s="1164">
        <f>(((EA53*(1+($B$44*$B$4)))-EA53)/12)+EA53</f>
        <v>84.46950875518813</v>
      </c>
      <c r="EC53" s="1164">
        <f>(((EB53*(1+($B$44*$B$4)))-EB53)/12)+EB53</f>
        <v>84.976325807719263</v>
      </c>
      <c r="ED53" s="1166">
        <f>(((EC53*(1+($B$44*$B$4)))-EC53)/12)+EC53</f>
        <v>85.486183762565574</v>
      </c>
    </row>
    <row r="54" spans="1:134" ht="18.75" outlineLevel="1" x14ac:dyDescent="0.3">
      <c r="A54" t="s">
        <v>223</v>
      </c>
      <c r="B54" s="170">
        <f>'Growth Prediction Exec Summary'!H6</f>
        <v>0.2</v>
      </c>
      <c r="C54" s="1675"/>
      <c r="D54" s="1645"/>
      <c r="E54" s="1645"/>
      <c r="F54" s="1645"/>
      <c r="G54" s="1645"/>
      <c r="H54" s="1645"/>
      <c r="I54" s="1645"/>
      <c r="J54" s="1645"/>
      <c r="K54" s="1645"/>
      <c r="L54" s="1504"/>
      <c r="M54" s="955"/>
      <c r="N54" s="1398"/>
      <c r="O54" s="1399"/>
      <c r="P54" s="1399"/>
      <c r="Q54" s="956"/>
      <c r="R54" s="965"/>
      <c r="S54" s="957"/>
      <c r="T54" s="957"/>
      <c r="U54" s="955"/>
      <c r="V54" s="1081">
        <v>1</v>
      </c>
      <c r="W54" s="1167">
        <f t="shared" ref="W54:AJ54" si="390">ROUNDUP($V$54*(W53/100)/0.8,0)</f>
        <v>1</v>
      </c>
      <c r="X54" s="1168">
        <f t="shared" si="390"/>
        <v>1</v>
      </c>
      <c r="Y54" s="1168">
        <f t="shared" si="390"/>
        <v>1</v>
      </c>
      <c r="Z54" s="1168">
        <f t="shared" si="390"/>
        <v>1</v>
      </c>
      <c r="AA54" s="1168">
        <f t="shared" si="390"/>
        <v>1</v>
      </c>
      <c r="AB54" s="1168">
        <f t="shared" si="390"/>
        <v>1</v>
      </c>
      <c r="AC54" s="1168">
        <f t="shared" si="390"/>
        <v>1</v>
      </c>
      <c r="AD54" s="1168">
        <f t="shared" si="390"/>
        <v>1</v>
      </c>
      <c r="AE54" s="1168">
        <f t="shared" si="390"/>
        <v>1</v>
      </c>
      <c r="AF54" s="1168">
        <f t="shared" si="390"/>
        <v>1</v>
      </c>
      <c r="AG54" s="1168">
        <f t="shared" si="390"/>
        <v>1</v>
      </c>
      <c r="AH54" s="1168">
        <f t="shared" si="390"/>
        <v>1</v>
      </c>
      <c r="AI54" s="1169">
        <f t="shared" si="390"/>
        <v>1</v>
      </c>
      <c r="AJ54" s="1168">
        <f t="shared" si="390"/>
        <v>1</v>
      </c>
      <c r="AK54" s="1168">
        <f t="shared" ref="AK54:CV54" si="391">ROUNDUP($V$54*(AK53/100)/0.8,0)</f>
        <v>1</v>
      </c>
      <c r="AL54" s="1168">
        <f t="shared" si="391"/>
        <v>1</v>
      </c>
      <c r="AM54" s="1168">
        <f t="shared" si="391"/>
        <v>1</v>
      </c>
      <c r="AN54" s="1168">
        <f t="shared" si="391"/>
        <v>1</v>
      </c>
      <c r="AO54" s="1168">
        <f t="shared" si="391"/>
        <v>1</v>
      </c>
      <c r="AP54" s="1168">
        <f t="shared" si="391"/>
        <v>1</v>
      </c>
      <c r="AQ54" s="1168">
        <f t="shared" si="391"/>
        <v>1</v>
      </c>
      <c r="AR54" s="1168">
        <f t="shared" si="391"/>
        <v>1</v>
      </c>
      <c r="AS54" s="1168">
        <f t="shared" si="391"/>
        <v>1</v>
      </c>
      <c r="AT54" s="1168">
        <f t="shared" si="391"/>
        <v>1</v>
      </c>
      <c r="AU54" s="1168">
        <f>ROUNDUP($V$54*(AU53/100)/0.8,0)</f>
        <v>1</v>
      </c>
      <c r="AV54" s="1168">
        <f t="shared" si="391"/>
        <v>1</v>
      </c>
      <c r="AW54" s="1168">
        <f t="shared" si="391"/>
        <v>1</v>
      </c>
      <c r="AX54" s="1168">
        <f t="shared" si="391"/>
        <v>1</v>
      </c>
      <c r="AY54" s="1168">
        <f t="shared" si="391"/>
        <v>1</v>
      </c>
      <c r="AZ54" s="1168">
        <f t="shared" si="391"/>
        <v>1</v>
      </c>
      <c r="BA54" s="1168">
        <f t="shared" si="391"/>
        <v>1</v>
      </c>
      <c r="BB54" s="1168">
        <f t="shared" si="391"/>
        <v>1</v>
      </c>
      <c r="BC54" s="1168">
        <f t="shared" si="391"/>
        <v>1</v>
      </c>
      <c r="BD54" s="1168">
        <f t="shared" si="391"/>
        <v>1</v>
      </c>
      <c r="BE54" s="1168">
        <f t="shared" si="391"/>
        <v>1</v>
      </c>
      <c r="BF54" s="1168">
        <f t="shared" si="391"/>
        <v>1</v>
      </c>
      <c r="BG54" s="1168">
        <f t="shared" si="391"/>
        <v>1</v>
      </c>
      <c r="BH54" s="1168">
        <f t="shared" si="391"/>
        <v>1</v>
      </c>
      <c r="BI54" s="1168">
        <f t="shared" si="391"/>
        <v>1</v>
      </c>
      <c r="BJ54" s="1168">
        <f t="shared" si="391"/>
        <v>1</v>
      </c>
      <c r="BK54" s="1168">
        <f t="shared" si="391"/>
        <v>1</v>
      </c>
      <c r="BL54" s="1168">
        <f t="shared" si="391"/>
        <v>1</v>
      </c>
      <c r="BM54" s="1168">
        <f t="shared" si="391"/>
        <v>1</v>
      </c>
      <c r="BN54" s="1168">
        <f t="shared" si="391"/>
        <v>1</v>
      </c>
      <c r="BO54" s="1168">
        <f t="shared" si="391"/>
        <v>1</v>
      </c>
      <c r="BP54" s="1168">
        <f t="shared" si="391"/>
        <v>1</v>
      </c>
      <c r="BQ54" s="1168">
        <f t="shared" si="391"/>
        <v>1</v>
      </c>
      <c r="BR54" s="1168">
        <f t="shared" si="391"/>
        <v>1</v>
      </c>
      <c r="BS54" s="1168">
        <f t="shared" si="391"/>
        <v>1</v>
      </c>
      <c r="BT54" s="1168">
        <f t="shared" si="391"/>
        <v>1</v>
      </c>
      <c r="BU54" s="1168">
        <f t="shared" si="391"/>
        <v>1</v>
      </c>
      <c r="BV54" s="1168">
        <f t="shared" si="391"/>
        <v>1</v>
      </c>
      <c r="BW54" s="1168">
        <f t="shared" si="391"/>
        <v>1</v>
      </c>
      <c r="BX54" s="1168">
        <f t="shared" si="391"/>
        <v>1</v>
      </c>
      <c r="BY54" s="1168">
        <f t="shared" si="391"/>
        <v>1</v>
      </c>
      <c r="BZ54" s="1168">
        <f t="shared" si="391"/>
        <v>1</v>
      </c>
      <c r="CA54" s="1168">
        <f t="shared" si="391"/>
        <v>1</v>
      </c>
      <c r="CB54" s="1168">
        <f t="shared" si="391"/>
        <v>1</v>
      </c>
      <c r="CC54" s="1168">
        <f t="shared" si="391"/>
        <v>1</v>
      </c>
      <c r="CD54" s="1168">
        <f t="shared" si="391"/>
        <v>1</v>
      </c>
      <c r="CE54" s="1168">
        <f t="shared" si="391"/>
        <v>1</v>
      </c>
      <c r="CF54" s="1168">
        <f t="shared" si="391"/>
        <v>1</v>
      </c>
      <c r="CG54" s="1168">
        <f t="shared" si="391"/>
        <v>1</v>
      </c>
      <c r="CH54" s="1168">
        <f t="shared" si="391"/>
        <v>1</v>
      </c>
      <c r="CI54" s="1168">
        <f t="shared" si="391"/>
        <v>1</v>
      </c>
      <c r="CJ54" s="1168">
        <f t="shared" si="391"/>
        <v>1</v>
      </c>
      <c r="CK54" s="1168">
        <f t="shared" si="391"/>
        <v>1</v>
      </c>
      <c r="CL54" s="1168">
        <f t="shared" si="391"/>
        <v>1</v>
      </c>
      <c r="CM54" s="1168">
        <f t="shared" si="391"/>
        <v>1</v>
      </c>
      <c r="CN54" s="1168">
        <f t="shared" si="391"/>
        <v>1</v>
      </c>
      <c r="CO54" s="1168">
        <f t="shared" si="391"/>
        <v>1</v>
      </c>
      <c r="CP54" s="1168">
        <f t="shared" si="391"/>
        <v>1</v>
      </c>
      <c r="CQ54" s="1168">
        <f t="shared" si="391"/>
        <v>1</v>
      </c>
      <c r="CR54" s="1168">
        <f t="shared" si="391"/>
        <v>1</v>
      </c>
      <c r="CS54" s="1168">
        <f t="shared" si="391"/>
        <v>1</v>
      </c>
      <c r="CT54" s="1168">
        <f t="shared" si="391"/>
        <v>1</v>
      </c>
      <c r="CU54" s="1168">
        <f t="shared" si="391"/>
        <v>1</v>
      </c>
      <c r="CV54" s="1168">
        <f t="shared" si="391"/>
        <v>1</v>
      </c>
      <c r="CW54" s="1168">
        <f t="shared" ref="CW54:ED54" si="392">ROUNDUP($V$54*(CW53/100)/0.8,0)</f>
        <v>1</v>
      </c>
      <c r="CX54" s="1168">
        <f t="shared" si="392"/>
        <v>1</v>
      </c>
      <c r="CY54" s="1168">
        <f t="shared" si="392"/>
        <v>1</v>
      </c>
      <c r="CZ54" s="1168">
        <f t="shared" si="392"/>
        <v>1</v>
      </c>
      <c r="DA54" s="1168">
        <f t="shared" si="392"/>
        <v>1</v>
      </c>
      <c r="DB54" s="1168">
        <f t="shared" si="392"/>
        <v>1</v>
      </c>
      <c r="DC54" s="1168">
        <f t="shared" si="392"/>
        <v>1</v>
      </c>
      <c r="DD54" s="1168">
        <f t="shared" si="392"/>
        <v>1</v>
      </c>
      <c r="DE54" s="1168">
        <f t="shared" si="392"/>
        <v>1</v>
      </c>
      <c r="DF54" s="1168">
        <f t="shared" si="392"/>
        <v>1</v>
      </c>
      <c r="DG54" s="1168">
        <f t="shared" si="392"/>
        <v>1</v>
      </c>
      <c r="DH54" s="1168">
        <f t="shared" si="392"/>
        <v>1</v>
      </c>
      <c r="DI54" s="1168">
        <f t="shared" si="392"/>
        <v>1</v>
      </c>
      <c r="DJ54" s="1168">
        <f t="shared" si="392"/>
        <v>1</v>
      </c>
      <c r="DK54" s="1168">
        <f t="shared" si="392"/>
        <v>1</v>
      </c>
      <c r="DL54" s="1168">
        <f t="shared" si="392"/>
        <v>1</v>
      </c>
      <c r="DM54" s="1168">
        <f t="shared" si="392"/>
        <v>1</v>
      </c>
      <c r="DN54" s="1168">
        <f t="shared" si="392"/>
        <v>1</v>
      </c>
      <c r="DO54" s="1168">
        <f t="shared" si="392"/>
        <v>1</v>
      </c>
      <c r="DP54" s="1168">
        <f t="shared" si="392"/>
        <v>1</v>
      </c>
      <c r="DQ54" s="1168">
        <f t="shared" si="392"/>
        <v>1</v>
      </c>
      <c r="DR54" s="1168">
        <f t="shared" si="392"/>
        <v>1</v>
      </c>
      <c r="DS54" s="1168">
        <f t="shared" si="392"/>
        <v>2</v>
      </c>
      <c r="DT54" s="1168">
        <f t="shared" si="392"/>
        <v>2</v>
      </c>
      <c r="DU54" s="1168">
        <f t="shared" si="392"/>
        <v>2</v>
      </c>
      <c r="DV54" s="1168">
        <f t="shared" si="392"/>
        <v>2</v>
      </c>
      <c r="DW54" s="1168">
        <f t="shared" si="392"/>
        <v>2</v>
      </c>
      <c r="DX54" s="1168">
        <f t="shared" si="392"/>
        <v>2</v>
      </c>
      <c r="DY54" s="1168">
        <f t="shared" si="392"/>
        <v>2</v>
      </c>
      <c r="DZ54" s="1168">
        <f t="shared" si="392"/>
        <v>2</v>
      </c>
      <c r="EA54" s="1168">
        <f t="shared" si="392"/>
        <v>2</v>
      </c>
      <c r="EB54" s="1168">
        <f t="shared" si="392"/>
        <v>2</v>
      </c>
      <c r="EC54" s="1168">
        <f t="shared" si="392"/>
        <v>2</v>
      </c>
      <c r="ED54" s="1168">
        <f t="shared" si="392"/>
        <v>2</v>
      </c>
    </row>
    <row r="55" spans="1:134" ht="18.75" outlineLevel="1" x14ac:dyDescent="0.3">
      <c r="A55" t="s">
        <v>224</v>
      </c>
      <c r="B55" s="170">
        <f>'Growth Prediction Exec Summary'!I6</f>
        <v>0.2</v>
      </c>
      <c r="C55" s="1675"/>
      <c r="D55" s="1639" t="s">
        <v>239</v>
      </c>
      <c r="E55" s="1639"/>
      <c r="F55" s="1639"/>
      <c r="G55" s="1639"/>
      <c r="H55" s="1639"/>
      <c r="I55" s="1639"/>
      <c r="J55" s="1639"/>
      <c r="K55" s="1639"/>
      <c r="L55" s="960"/>
      <c r="M55" s="1331">
        <f>N55*100</f>
        <v>46</v>
      </c>
      <c r="N55" s="1396">
        <f>'AM Benches Data'!I4/100</f>
        <v>0.46</v>
      </c>
      <c r="O55" s="1397">
        <f>'AM Benches Data'!S4/100</f>
        <v>0.4</v>
      </c>
      <c r="P55" s="1397">
        <f>'AM Benches Data'!AA4/100</f>
        <v>0.34</v>
      </c>
      <c r="Q55" s="953"/>
      <c r="R55" s="964">
        <f t="shared" si="270"/>
        <v>-0.12</v>
      </c>
      <c r="S55" s="954">
        <v>3</v>
      </c>
      <c r="T55" s="954">
        <v>2</v>
      </c>
      <c r="U55" s="952"/>
      <c r="V55" s="1121"/>
      <c r="W55" s="1155">
        <f>M55</f>
        <v>46</v>
      </c>
      <c r="X55" s="1156">
        <f t="shared" si="281"/>
        <v>46</v>
      </c>
      <c r="Y55" s="1156">
        <f t="shared" si="281"/>
        <v>46</v>
      </c>
      <c r="Z55" s="1156">
        <f>O55*100</f>
        <v>40</v>
      </c>
      <c r="AA55" s="1156">
        <f>Z55</f>
        <v>40</v>
      </c>
      <c r="AB55" s="1156">
        <f>AA55</f>
        <v>40</v>
      </c>
      <c r="AC55" s="1156">
        <f>P55*100</f>
        <v>34</v>
      </c>
      <c r="AD55" s="1156">
        <f>AC55</f>
        <v>34</v>
      </c>
      <c r="AE55" s="1156">
        <f>AD55</f>
        <v>34</v>
      </c>
      <c r="AF55" s="1156">
        <f>AE55</f>
        <v>34</v>
      </c>
      <c r="AG55" s="1156">
        <f>AF55</f>
        <v>34</v>
      </c>
      <c r="AH55" s="1156">
        <f>AG55</f>
        <v>34</v>
      </c>
      <c r="AI55" s="1157">
        <f t="shared" ref="AI55:AT55" si="393">(((AH55*(1+($B$36*$B$4)))-AH55)/12)+AH55</f>
        <v>34.204000000000001</v>
      </c>
      <c r="AJ55" s="1156">
        <f t="shared" si="393"/>
        <v>34.409224000000002</v>
      </c>
      <c r="AK55" s="1156">
        <f t="shared" si="393"/>
        <v>34.615679344</v>
      </c>
      <c r="AL55" s="1156">
        <f t="shared" si="393"/>
        <v>34.823373420064001</v>
      </c>
      <c r="AM55" s="1156">
        <f t="shared" si="393"/>
        <v>35.032313660584386</v>
      </c>
      <c r="AN55" s="1156">
        <f t="shared" si="393"/>
        <v>35.242507542547891</v>
      </c>
      <c r="AO55" s="1156">
        <f t="shared" si="393"/>
        <v>35.453962587803176</v>
      </c>
      <c r="AP55" s="1156">
        <f t="shared" si="393"/>
        <v>35.666686363329994</v>
      </c>
      <c r="AQ55" s="1156">
        <f t="shared" si="393"/>
        <v>35.880686481509976</v>
      </c>
      <c r="AR55" s="1156">
        <f t="shared" si="393"/>
        <v>36.095970600399035</v>
      </c>
      <c r="AS55" s="1156">
        <f t="shared" si="393"/>
        <v>36.312546424001432</v>
      </c>
      <c r="AT55" s="1156">
        <f t="shared" si="393"/>
        <v>36.530421702545439</v>
      </c>
      <c r="AU55" s="1157">
        <f t="shared" ref="AU55:BF55" si="394">(((AT55*(1+($B$37*$B$4)))-AT55)/12)+AT55</f>
        <v>36.74960423276071</v>
      </c>
      <c r="AV55" s="1156">
        <f t="shared" si="394"/>
        <v>36.970101858157278</v>
      </c>
      <c r="AW55" s="1156">
        <f t="shared" si="394"/>
        <v>37.19192246930622</v>
      </c>
      <c r="AX55" s="1156">
        <f t="shared" si="394"/>
        <v>37.415074004122062</v>
      </c>
      <c r="AY55" s="1156">
        <f t="shared" si="394"/>
        <v>37.639564448146793</v>
      </c>
      <c r="AZ55" s="1156">
        <f t="shared" si="394"/>
        <v>37.865401834835673</v>
      </c>
      <c r="BA55" s="1156">
        <f t="shared" si="394"/>
        <v>38.092594245844687</v>
      </c>
      <c r="BB55" s="1156">
        <f t="shared" si="394"/>
        <v>38.321149811319756</v>
      </c>
      <c r="BC55" s="1156">
        <f t="shared" si="394"/>
        <v>38.551076710187672</v>
      </c>
      <c r="BD55" s="1156">
        <f t="shared" si="394"/>
        <v>38.782383170448796</v>
      </c>
      <c r="BE55" s="1156">
        <f t="shared" si="394"/>
        <v>39.015077469471493</v>
      </c>
      <c r="BF55" s="1156">
        <f t="shared" si="394"/>
        <v>39.249167934288323</v>
      </c>
      <c r="BG55" s="1157">
        <f t="shared" ref="BG55:BR55" si="395">(((BF55*(1+($B$38*$B$4)))-BF55)/12)+BF55</f>
        <v>39.484662941894051</v>
      </c>
      <c r="BH55" s="1156">
        <f t="shared" si="395"/>
        <v>39.721570919545414</v>
      </c>
      <c r="BI55" s="1156">
        <f t="shared" si="395"/>
        <v>39.959900345062685</v>
      </c>
      <c r="BJ55" s="1156">
        <f t="shared" si="395"/>
        <v>40.199659747133062</v>
      </c>
      <c r="BK55" s="1156">
        <f t="shared" si="395"/>
        <v>40.440857705615862</v>
      </c>
      <c r="BL55" s="1156">
        <f t="shared" si="395"/>
        <v>40.68350285184956</v>
      </c>
      <c r="BM55" s="1156">
        <f t="shared" si="395"/>
        <v>40.927603868960659</v>
      </c>
      <c r="BN55" s="1156">
        <f t="shared" si="395"/>
        <v>41.173169492174424</v>
      </c>
      <c r="BO55" s="1156">
        <f t="shared" si="395"/>
        <v>41.42020850912747</v>
      </c>
      <c r="BP55" s="1156">
        <f t="shared" si="395"/>
        <v>41.668729760182231</v>
      </c>
      <c r="BQ55" s="1156">
        <f t="shared" si="395"/>
        <v>41.918742138743326</v>
      </c>
      <c r="BR55" s="1156">
        <f t="shared" si="395"/>
        <v>42.170254591575784</v>
      </c>
      <c r="BS55" s="1157">
        <f t="shared" ref="BS55:CD55" si="396">(((BR55*(1+($B$39*$B$4)))-BR55)/12)+BR55</f>
        <v>42.423276119125241</v>
      </c>
      <c r="BT55" s="1156">
        <f t="shared" si="396"/>
        <v>42.677815775839996</v>
      </c>
      <c r="BU55" s="1156">
        <f t="shared" si="396"/>
        <v>42.933882670495038</v>
      </c>
      <c r="BV55" s="1156">
        <f t="shared" si="396"/>
        <v>43.191485966518009</v>
      </c>
      <c r="BW55" s="1156">
        <f t="shared" si="396"/>
        <v>43.450634882317118</v>
      </c>
      <c r="BX55" s="1156">
        <f t="shared" si="396"/>
        <v>43.711338691611019</v>
      </c>
      <c r="BY55" s="1156">
        <f t="shared" si="396"/>
        <v>43.973606723760682</v>
      </c>
      <c r="BZ55" s="1156">
        <f t="shared" si="396"/>
        <v>44.237448364103244</v>
      </c>
      <c r="CA55" s="1156">
        <f t="shared" si="396"/>
        <v>44.502873054287861</v>
      </c>
      <c r="CB55" s="1156">
        <f t="shared" si="396"/>
        <v>44.769890292613589</v>
      </c>
      <c r="CC55" s="1156">
        <f t="shared" si="396"/>
        <v>45.038509634369269</v>
      </c>
      <c r="CD55" s="1156">
        <f t="shared" si="396"/>
        <v>45.308740692175483</v>
      </c>
      <c r="CE55" s="1157">
        <f t="shared" ref="CE55:CP55" si="397">(((CD55*(1+($B$40*$B$4)))-CD55)/12)+CD55</f>
        <v>45.580593136328538</v>
      </c>
      <c r="CF55" s="1156">
        <f t="shared" si="397"/>
        <v>45.85407669514651</v>
      </c>
      <c r="CG55" s="1156">
        <f t="shared" si="397"/>
        <v>46.129201155317389</v>
      </c>
      <c r="CH55" s="1156">
        <f t="shared" si="397"/>
        <v>46.405976362249291</v>
      </c>
      <c r="CI55" s="1156">
        <f t="shared" si="397"/>
        <v>46.684412220422786</v>
      </c>
      <c r="CJ55" s="1156">
        <f t="shared" si="397"/>
        <v>46.964518693745319</v>
      </c>
      <c r="CK55" s="1156">
        <f t="shared" si="397"/>
        <v>47.246305805907788</v>
      </c>
      <c r="CL55" s="1156">
        <f t="shared" si="397"/>
        <v>47.529783640743233</v>
      </c>
      <c r="CM55" s="1156">
        <f t="shared" si="397"/>
        <v>47.814962342587691</v>
      </c>
      <c r="CN55" s="1156">
        <f t="shared" si="397"/>
        <v>48.101852116643215</v>
      </c>
      <c r="CO55" s="1156">
        <f t="shared" si="397"/>
        <v>48.390463229343077</v>
      </c>
      <c r="CP55" s="1156">
        <f t="shared" si="397"/>
        <v>48.680806008719138</v>
      </c>
      <c r="CQ55" s="1157">
        <f t="shared" ref="CQ55:DB55" si="398">(((CP55*(1+($B$41*$B$4)))-CP55)/12)+CP55</f>
        <v>48.972890844771456</v>
      </c>
      <c r="CR55" s="1156">
        <f t="shared" si="398"/>
        <v>49.266728189840087</v>
      </c>
      <c r="CS55" s="1156">
        <f t="shared" si="398"/>
        <v>49.562328558979125</v>
      </c>
      <c r="CT55" s="1156">
        <f t="shared" si="398"/>
        <v>49.859702530333003</v>
      </c>
      <c r="CU55" s="1156">
        <f t="shared" si="398"/>
        <v>50.158860745515</v>
      </c>
      <c r="CV55" s="1156">
        <f t="shared" si="398"/>
        <v>50.459813909988092</v>
      </c>
      <c r="CW55" s="1156">
        <f t="shared" si="398"/>
        <v>50.762572793448022</v>
      </c>
      <c r="CX55" s="1156">
        <f t="shared" si="398"/>
        <v>51.067148230208709</v>
      </c>
      <c r="CY55" s="1156">
        <f t="shared" si="398"/>
        <v>51.373551119589962</v>
      </c>
      <c r="CZ55" s="1156">
        <f t="shared" si="398"/>
        <v>51.681792426307503</v>
      </c>
      <c r="DA55" s="1156">
        <f t="shared" si="398"/>
        <v>51.991883180865351</v>
      </c>
      <c r="DB55" s="1156">
        <f t="shared" si="398"/>
        <v>52.303834479950545</v>
      </c>
      <c r="DC55" s="1157">
        <f t="shared" ref="DC55:DN55" si="399">(((DB55*(1+($B$42*$B$4)))-DB55)/12)+DB55</f>
        <v>52.617657486830247</v>
      </c>
      <c r="DD55" s="1156">
        <f t="shared" si="399"/>
        <v>52.933363431751232</v>
      </c>
      <c r="DE55" s="1156">
        <f t="shared" si="399"/>
        <v>53.250963612341742</v>
      </c>
      <c r="DF55" s="1156">
        <f t="shared" si="399"/>
        <v>53.570469394015795</v>
      </c>
      <c r="DG55" s="1156">
        <f t="shared" si="399"/>
        <v>53.891892210379893</v>
      </c>
      <c r="DH55" s="1156">
        <f t="shared" si="399"/>
        <v>54.215243563642176</v>
      </c>
      <c r="DI55" s="1156">
        <f t="shared" si="399"/>
        <v>54.540535025024028</v>
      </c>
      <c r="DJ55" s="1156">
        <f t="shared" si="399"/>
        <v>54.867778235174171</v>
      </c>
      <c r="DK55" s="1156">
        <f t="shared" si="399"/>
        <v>55.196984904585214</v>
      </c>
      <c r="DL55" s="1156">
        <f t="shared" si="399"/>
        <v>55.528166814012728</v>
      </c>
      <c r="DM55" s="1156">
        <f t="shared" si="399"/>
        <v>55.861335814896805</v>
      </c>
      <c r="DN55" s="1156">
        <f t="shared" si="399"/>
        <v>56.196503829786188</v>
      </c>
      <c r="DO55" s="1157">
        <f t="shared" ref="DO55:DZ55" si="400">(((DN55*(1+($B$43*$B$4)))-DN55)/12)+DN55</f>
        <v>56.533682852764905</v>
      </c>
      <c r="DP55" s="1156">
        <f t="shared" si="400"/>
        <v>56.872884949881495</v>
      </c>
      <c r="DQ55" s="1156">
        <f t="shared" si="400"/>
        <v>57.214122259580783</v>
      </c>
      <c r="DR55" s="1156">
        <f t="shared" si="400"/>
        <v>57.557406993138265</v>
      </c>
      <c r="DS55" s="1156">
        <f t="shared" si="400"/>
        <v>57.902751435097095</v>
      </c>
      <c r="DT55" s="1156">
        <f t="shared" si="400"/>
        <v>58.25016794370768</v>
      </c>
      <c r="DU55" s="1156">
        <f t="shared" si="400"/>
        <v>58.599668951369928</v>
      </c>
      <c r="DV55" s="1156">
        <f t="shared" si="400"/>
        <v>58.951266965078148</v>
      </c>
      <c r="DW55" s="1156">
        <f t="shared" si="400"/>
        <v>59.304974566868616</v>
      </c>
      <c r="DX55" s="1156">
        <f t="shared" si="400"/>
        <v>59.660804414269826</v>
      </c>
      <c r="DY55" s="1156">
        <f t="shared" si="400"/>
        <v>60.018769240755447</v>
      </c>
      <c r="DZ55" s="1156">
        <f t="shared" si="400"/>
        <v>60.378881856199982</v>
      </c>
      <c r="EA55" s="1157">
        <f>(((DZ55*(1+($B$44*$B$4)))-DZ55)/12)+DZ55</f>
        <v>60.741155147337182</v>
      </c>
      <c r="EB55" s="1156">
        <f>(((EA55*(1+($B$44*$B$4)))-EA55)/12)+EA55</f>
        <v>61.105602078221203</v>
      </c>
      <c r="EC55" s="1156">
        <f>(((EB55*(1+($B$44*$B$4)))-EB55)/12)+EB55</f>
        <v>61.472235690690532</v>
      </c>
      <c r="ED55" s="1158">
        <f>(((EC55*(1+($B$44*$B$4)))-EC55)/12)+EC55</f>
        <v>61.841069104834673</v>
      </c>
    </row>
    <row r="56" spans="1:134" ht="18.75" outlineLevel="1" x14ac:dyDescent="0.3">
      <c r="A56" t="s">
        <v>226</v>
      </c>
      <c r="B56" s="170">
        <f>'Growth Prediction Exec Summary'!J6</f>
        <v>0.2</v>
      </c>
      <c r="C56" s="1675"/>
      <c r="D56" s="1645"/>
      <c r="E56" s="1645"/>
      <c r="F56" s="1645"/>
      <c r="G56" s="1645"/>
      <c r="H56" s="1645"/>
      <c r="I56" s="1645"/>
      <c r="J56" s="1645"/>
      <c r="K56" s="1645"/>
      <c r="L56" s="961"/>
      <c r="M56" s="955"/>
      <c r="N56" s="1398"/>
      <c r="O56" s="1399"/>
      <c r="P56" s="1399"/>
      <c r="Q56" s="956"/>
      <c r="R56" s="965"/>
      <c r="S56" s="957"/>
      <c r="T56" s="957"/>
      <c r="U56" s="955"/>
      <c r="V56" s="1081">
        <v>1</v>
      </c>
      <c r="W56" s="1159">
        <f t="shared" ref="W56:BB56" si="401">ROUNDUP($V$56*(W55/100)/0.8,0)</f>
        <v>1</v>
      </c>
      <c r="X56" s="1160">
        <f t="shared" si="401"/>
        <v>1</v>
      </c>
      <c r="Y56" s="1160">
        <f t="shared" si="401"/>
        <v>1</v>
      </c>
      <c r="Z56" s="1160">
        <f t="shared" si="401"/>
        <v>1</v>
      </c>
      <c r="AA56" s="1160">
        <f t="shared" si="401"/>
        <v>1</v>
      </c>
      <c r="AB56" s="1160">
        <f t="shared" si="401"/>
        <v>1</v>
      </c>
      <c r="AC56" s="1160">
        <f t="shared" si="401"/>
        <v>1</v>
      </c>
      <c r="AD56" s="1160">
        <f t="shared" si="401"/>
        <v>1</v>
      </c>
      <c r="AE56" s="1160">
        <f t="shared" si="401"/>
        <v>1</v>
      </c>
      <c r="AF56" s="1160">
        <f t="shared" si="401"/>
        <v>1</v>
      </c>
      <c r="AG56" s="1160">
        <f t="shared" si="401"/>
        <v>1</v>
      </c>
      <c r="AH56" s="1160">
        <f t="shared" si="401"/>
        <v>1</v>
      </c>
      <c r="AI56" s="1161">
        <f t="shared" si="401"/>
        <v>1</v>
      </c>
      <c r="AJ56" s="1160">
        <f t="shared" si="401"/>
        <v>1</v>
      </c>
      <c r="AK56" s="1160">
        <f t="shared" si="401"/>
        <v>1</v>
      </c>
      <c r="AL56" s="1160">
        <f t="shared" si="401"/>
        <v>1</v>
      </c>
      <c r="AM56" s="1160">
        <f t="shared" si="401"/>
        <v>1</v>
      </c>
      <c r="AN56" s="1160">
        <f t="shared" si="401"/>
        <v>1</v>
      </c>
      <c r="AO56" s="1160">
        <f t="shared" si="401"/>
        <v>1</v>
      </c>
      <c r="AP56" s="1160">
        <f t="shared" si="401"/>
        <v>1</v>
      </c>
      <c r="AQ56" s="1160">
        <f t="shared" si="401"/>
        <v>1</v>
      </c>
      <c r="AR56" s="1160">
        <f t="shared" si="401"/>
        <v>1</v>
      </c>
      <c r="AS56" s="1160">
        <f t="shared" si="401"/>
        <v>1</v>
      </c>
      <c r="AT56" s="1160">
        <f t="shared" si="401"/>
        <v>1</v>
      </c>
      <c r="AU56" s="1161">
        <f t="shared" si="401"/>
        <v>1</v>
      </c>
      <c r="AV56" s="1160">
        <f t="shared" si="401"/>
        <v>1</v>
      </c>
      <c r="AW56" s="1160">
        <f t="shared" si="401"/>
        <v>1</v>
      </c>
      <c r="AX56" s="1160">
        <f t="shared" si="401"/>
        <v>1</v>
      </c>
      <c r="AY56" s="1160">
        <f t="shared" si="401"/>
        <v>1</v>
      </c>
      <c r="AZ56" s="1160">
        <f t="shared" si="401"/>
        <v>1</v>
      </c>
      <c r="BA56" s="1160">
        <f t="shared" si="401"/>
        <v>1</v>
      </c>
      <c r="BB56" s="1160">
        <f t="shared" si="401"/>
        <v>1</v>
      </c>
      <c r="BC56" s="1160">
        <f t="shared" ref="BC56:CH56" si="402">ROUNDUP($V$56*(BC55/100)/0.8,0)</f>
        <v>1</v>
      </c>
      <c r="BD56" s="1160">
        <f t="shared" si="402"/>
        <v>1</v>
      </c>
      <c r="BE56" s="1160">
        <f t="shared" si="402"/>
        <v>1</v>
      </c>
      <c r="BF56" s="1160">
        <f t="shared" si="402"/>
        <v>1</v>
      </c>
      <c r="BG56" s="1161">
        <f t="shared" si="402"/>
        <v>1</v>
      </c>
      <c r="BH56" s="1160">
        <f t="shared" si="402"/>
        <v>1</v>
      </c>
      <c r="BI56" s="1160">
        <f t="shared" si="402"/>
        <v>1</v>
      </c>
      <c r="BJ56" s="1160">
        <f t="shared" si="402"/>
        <v>1</v>
      </c>
      <c r="BK56" s="1160">
        <f t="shared" si="402"/>
        <v>1</v>
      </c>
      <c r="BL56" s="1160">
        <f t="shared" si="402"/>
        <v>1</v>
      </c>
      <c r="BM56" s="1160">
        <f t="shared" si="402"/>
        <v>1</v>
      </c>
      <c r="BN56" s="1160">
        <f t="shared" si="402"/>
        <v>1</v>
      </c>
      <c r="BO56" s="1160">
        <f t="shared" si="402"/>
        <v>1</v>
      </c>
      <c r="BP56" s="1160">
        <f t="shared" si="402"/>
        <v>1</v>
      </c>
      <c r="BQ56" s="1160">
        <f t="shared" si="402"/>
        <v>1</v>
      </c>
      <c r="BR56" s="1160">
        <f t="shared" si="402"/>
        <v>1</v>
      </c>
      <c r="BS56" s="1161">
        <f t="shared" si="402"/>
        <v>1</v>
      </c>
      <c r="BT56" s="1160">
        <f t="shared" si="402"/>
        <v>1</v>
      </c>
      <c r="BU56" s="1160">
        <f t="shared" si="402"/>
        <v>1</v>
      </c>
      <c r="BV56" s="1160">
        <f t="shared" si="402"/>
        <v>1</v>
      </c>
      <c r="BW56" s="1160">
        <f t="shared" si="402"/>
        <v>1</v>
      </c>
      <c r="BX56" s="1160">
        <f t="shared" si="402"/>
        <v>1</v>
      </c>
      <c r="BY56" s="1160">
        <f t="shared" si="402"/>
        <v>1</v>
      </c>
      <c r="BZ56" s="1160">
        <f t="shared" si="402"/>
        <v>1</v>
      </c>
      <c r="CA56" s="1160">
        <f t="shared" si="402"/>
        <v>1</v>
      </c>
      <c r="CB56" s="1160">
        <f t="shared" si="402"/>
        <v>1</v>
      </c>
      <c r="CC56" s="1160">
        <f t="shared" si="402"/>
        <v>1</v>
      </c>
      <c r="CD56" s="1160">
        <f t="shared" si="402"/>
        <v>1</v>
      </c>
      <c r="CE56" s="1161">
        <f t="shared" si="402"/>
        <v>1</v>
      </c>
      <c r="CF56" s="1160">
        <f t="shared" si="402"/>
        <v>1</v>
      </c>
      <c r="CG56" s="1160">
        <f t="shared" si="402"/>
        <v>1</v>
      </c>
      <c r="CH56" s="1160">
        <f t="shared" si="402"/>
        <v>1</v>
      </c>
      <c r="CI56" s="1160">
        <f>ROUNDUP($V$56*(CI55/100)/0.8,0)</f>
        <v>1</v>
      </c>
      <c r="CJ56" s="1160">
        <f t="shared" ref="CJ56:ED56" si="403">ROUNDUP($V$56*(CJ55/100)/0.8,0)</f>
        <v>1</v>
      </c>
      <c r="CK56" s="1160">
        <f t="shared" si="403"/>
        <v>1</v>
      </c>
      <c r="CL56" s="1160">
        <f t="shared" si="403"/>
        <v>1</v>
      </c>
      <c r="CM56" s="1160">
        <f t="shared" si="403"/>
        <v>1</v>
      </c>
      <c r="CN56" s="1160">
        <f t="shared" si="403"/>
        <v>1</v>
      </c>
      <c r="CO56" s="1160">
        <f t="shared" si="403"/>
        <v>1</v>
      </c>
      <c r="CP56" s="1160">
        <f t="shared" si="403"/>
        <v>1</v>
      </c>
      <c r="CQ56" s="1161">
        <f t="shared" si="403"/>
        <v>1</v>
      </c>
      <c r="CR56" s="1160">
        <f t="shared" si="403"/>
        <v>1</v>
      </c>
      <c r="CS56" s="1160">
        <f t="shared" si="403"/>
        <v>1</v>
      </c>
      <c r="CT56" s="1160">
        <f t="shared" si="403"/>
        <v>1</v>
      </c>
      <c r="CU56" s="1160">
        <f t="shared" si="403"/>
        <v>1</v>
      </c>
      <c r="CV56" s="1160">
        <f t="shared" si="403"/>
        <v>1</v>
      </c>
      <c r="CW56" s="1160">
        <f t="shared" si="403"/>
        <v>1</v>
      </c>
      <c r="CX56" s="1160">
        <f t="shared" si="403"/>
        <v>1</v>
      </c>
      <c r="CY56" s="1160">
        <f t="shared" si="403"/>
        <v>1</v>
      </c>
      <c r="CZ56" s="1160">
        <f t="shared" si="403"/>
        <v>1</v>
      </c>
      <c r="DA56" s="1160">
        <f t="shared" si="403"/>
        <v>1</v>
      </c>
      <c r="DB56" s="1160">
        <f t="shared" si="403"/>
        <v>1</v>
      </c>
      <c r="DC56" s="1161">
        <f t="shared" si="403"/>
        <v>1</v>
      </c>
      <c r="DD56" s="1160">
        <f t="shared" si="403"/>
        <v>1</v>
      </c>
      <c r="DE56" s="1160">
        <f t="shared" si="403"/>
        <v>1</v>
      </c>
      <c r="DF56" s="1160">
        <f t="shared" si="403"/>
        <v>1</v>
      </c>
      <c r="DG56" s="1160">
        <f t="shared" si="403"/>
        <v>1</v>
      </c>
      <c r="DH56" s="1160">
        <f t="shared" si="403"/>
        <v>1</v>
      </c>
      <c r="DI56" s="1160">
        <f t="shared" si="403"/>
        <v>1</v>
      </c>
      <c r="DJ56" s="1160">
        <f t="shared" si="403"/>
        <v>1</v>
      </c>
      <c r="DK56" s="1160">
        <f t="shared" si="403"/>
        <v>1</v>
      </c>
      <c r="DL56" s="1160">
        <f t="shared" si="403"/>
        <v>1</v>
      </c>
      <c r="DM56" s="1160">
        <f t="shared" si="403"/>
        <v>1</v>
      </c>
      <c r="DN56" s="1160">
        <f t="shared" si="403"/>
        <v>1</v>
      </c>
      <c r="DO56" s="1161">
        <f t="shared" si="403"/>
        <v>1</v>
      </c>
      <c r="DP56" s="1160">
        <f t="shared" si="403"/>
        <v>1</v>
      </c>
      <c r="DQ56" s="1160">
        <f t="shared" si="403"/>
        <v>1</v>
      </c>
      <c r="DR56" s="1160">
        <f t="shared" si="403"/>
        <v>1</v>
      </c>
      <c r="DS56" s="1160">
        <f t="shared" si="403"/>
        <v>1</v>
      </c>
      <c r="DT56" s="1160">
        <f t="shared" si="403"/>
        <v>1</v>
      </c>
      <c r="DU56" s="1160">
        <f t="shared" si="403"/>
        <v>1</v>
      </c>
      <c r="DV56" s="1160">
        <f t="shared" si="403"/>
        <v>1</v>
      </c>
      <c r="DW56" s="1160">
        <f t="shared" si="403"/>
        <v>1</v>
      </c>
      <c r="DX56" s="1160">
        <f t="shared" si="403"/>
        <v>1</v>
      </c>
      <c r="DY56" s="1160">
        <f t="shared" si="403"/>
        <v>1</v>
      </c>
      <c r="DZ56" s="1160">
        <f t="shared" si="403"/>
        <v>1</v>
      </c>
      <c r="EA56" s="1161">
        <f t="shared" si="403"/>
        <v>1</v>
      </c>
      <c r="EB56" s="1160">
        <f t="shared" si="403"/>
        <v>1</v>
      </c>
      <c r="EC56" s="1160">
        <f t="shared" si="403"/>
        <v>1</v>
      </c>
      <c r="ED56" s="1162">
        <f t="shared" si="403"/>
        <v>1</v>
      </c>
    </row>
    <row r="57" spans="1:134" ht="18.75" outlineLevel="1" x14ac:dyDescent="0.25">
      <c r="C57" s="1675"/>
      <c r="D57" s="1638" t="s">
        <v>228</v>
      </c>
      <c r="E57" s="1639"/>
      <c r="F57" s="1639"/>
      <c r="G57" s="1639"/>
      <c r="H57" s="1639"/>
      <c r="I57" s="1639"/>
      <c r="J57" s="1639"/>
      <c r="K57" s="1639"/>
      <c r="L57" s="1640"/>
      <c r="M57" s="1331">
        <f>N57</f>
        <v>24.370823529411766</v>
      </c>
      <c r="N57" s="1375">
        <f>'AM Benches Data'!AJ4</f>
        <v>24.370823529411766</v>
      </c>
      <c r="O57" s="1375">
        <f>'AM Benches Data'!AK4</f>
        <v>25.12</v>
      </c>
      <c r="P57" s="1375">
        <f>'AM Benches Data'!AL4</f>
        <v>26.605176470588241</v>
      </c>
      <c r="Q57" s="1376"/>
      <c r="R57" s="1387">
        <f>P57-N57</f>
        <v>2.2343529411764749</v>
      </c>
      <c r="S57" s="1376"/>
      <c r="T57" s="1376"/>
      <c r="U57" s="1168"/>
      <c r="V57" s="66"/>
      <c r="W57" s="1155">
        <f>M57</f>
        <v>24.370823529411766</v>
      </c>
      <c r="X57" s="1156">
        <f>W57</f>
        <v>24.370823529411766</v>
      </c>
      <c r="Y57" s="1156">
        <f>X57</f>
        <v>24.370823529411766</v>
      </c>
      <c r="Z57" s="1156">
        <f>O57</f>
        <v>25.12</v>
      </c>
      <c r="AA57" s="1156">
        <f>Z57</f>
        <v>25.12</v>
      </c>
      <c r="AB57" s="1156">
        <f>AA57</f>
        <v>25.12</v>
      </c>
      <c r="AC57" s="1156">
        <f>P57</f>
        <v>26.605176470588241</v>
      </c>
      <c r="AD57" s="1156">
        <f>AC57</f>
        <v>26.605176470588241</v>
      </c>
      <c r="AE57" s="1156">
        <f>AD57</f>
        <v>26.605176470588241</v>
      </c>
      <c r="AF57" s="1156">
        <f>AE57</f>
        <v>26.605176470588241</v>
      </c>
      <c r="AG57" s="1156">
        <f>AF57</f>
        <v>26.605176470588241</v>
      </c>
      <c r="AH57" s="1156">
        <f>AG57</f>
        <v>26.605176470588241</v>
      </c>
      <c r="AI57" s="1157">
        <f t="shared" ref="AI57" si="404">(((AH57*(1+($B$36*$B$4)))-AH57)/12)+AH57</f>
        <v>26.764807529411769</v>
      </c>
      <c r="AJ57" s="1156">
        <f t="shared" ref="AJ57" si="405">(((AI57*(1+($B$36*$B$4)))-AI57)/12)+AI57</f>
        <v>26.925396374588239</v>
      </c>
      <c r="AK57" s="1156">
        <f t="shared" ref="AK57" si="406">(((AJ57*(1+($B$36*$B$4)))-AJ57)/12)+AJ57</f>
        <v>27.086948752835767</v>
      </c>
      <c r="AL57" s="1156">
        <f t="shared" ref="AL57" si="407">(((AK57*(1+($B$36*$B$4)))-AK57)/12)+AK57</f>
        <v>27.249470445352781</v>
      </c>
      <c r="AM57" s="1156">
        <f t="shared" ref="AM57" si="408">(((AL57*(1+($B$36*$B$4)))-AL57)/12)+AL57</f>
        <v>27.412967268024897</v>
      </c>
      <c r="AN57" s="1156">
        <f t="shared" ref="AN57" si="409">(((AM57*(1+($B$36*$B$4)))-AM57)/12)+AM57</f>
        <v>27.577445071633047</v>
      </c>
      <c r="AO57" s="1156">
        <f t="shared" ref="AO57" si="410">(((AN57*(1+($B$36*$B$4)))-AN57)/12)+AN57</f>
        <v>27.742909742062846</v>
      </c>
      <c r="AP57" s="1156">
        <f t="shared" ref="AP57" si="411">(((AO57*(1+($B$36*$B$4)))-AO57)/12)+AO57</f>
        <v>27.909367200515224</v>
      </c>
      <c r="AQ57" s="1156">
        <f t="shared" ref="AQ57" si="412">(((AP57*(1+($B$36*$B$4)))-AP57)/12)+AP57</f>
        <v>28.076823403718315</v>
      </c>
      <c r="AR57" s="1156">
        <f t="shared" ref="AR57" si="413">(((AQ57*(1+($B$36*$B$4)))-AQ57)/12)+AQ57</f>
        <v>28.245284344140625</v>
      </c>
      <c r="AS57" s="1156">
        <f t="shared" ref="AS57" si="414">(((AR57*(1+($B$36*$B$4)))-AR57)/12)+AR57</f>
        <v>28.414756050205469</v>
      </c>
      <c r="AT57" s="1156">
        <f t="shared" ref="AT57" si="415">(((AS57*(1+($B$36*$B$4)))-AS57)/12)+AS57</f>
        <v>28.5852445865067</v>
      </c>
      <c r="AU57" s="1157">
        <f t="shared" ref="AU57" si="416">(((AT57*(1+($B$37*$B$4)))-AT57)/12)+AT57</f>
        <v>28.75675605402574</v>
      </c>
      <c r="AV57" s="1156">
        <f t="shared" ref="AV57" si="417">(((AU57*(1+($B$37*$B$4)))-AU57)/12)+AU57</f>
        <v>28.929296590349892</v>
      </c>
      <c r="AW57" s="1156">
        <f t="shared" ref="AW57" si="418">(((AV57*(1+($B$37*$B$4)))-AV57)/12)+AV57</f>
        <v>29.10287236989199</v>
      </c>
      <c r="AX57" s="1156">
        <f t="shared" ref="AX57" si="419">(((AW57*(1+($B$37*$B$4)))-AW57)/12)+AW57</f>
        <v>29.277489604111341</v>
      </c>
      <c r="AY57" s="1156">
        <f t="shared" ref="AY57" si="420">(((AX57*(1+($B$37*$B$4)))-AX57)/12)+AX57</f>
        <v>29.453154541736009</v>
      </c>
      <c r="AZ57" s="1156">
        <f t="shared" ref="AZ57" si="421">(((AY57*(1+($B$37*$B$4)))-AY57)/12)+AY57</f>
        <v>29.629873468986425</v>
      </c>
      <c r="BA57" s="1156">
        <f t="shared" ref="BA57" si="422">(((AZ57*(1+($B$37*$B$4)))-AZ57)/12)+AZ57</f>
        <v>29.807652709800344</v>
      </c>
      <c r="BB57" s="1156">
        <f t="shared" ref="BB57" si="423">(((BA57*(1+($B$37*$B$4)))-BA57)/12)+BA57</f>
        <v>29.986498626059145</v>
      </c>
      <c r="BC57" s="1156">
        <f t="shared" ref="BC57" si="424">(((BB57*(1+($B$37*$B$4)))-BB57)/12)+BB57</f>
        <v>30.166417617815501</v>
      </c>
      <c r="BD57" s="1156">
        <f t="shared" ref="BD57" si="425">(((BC57*(1+($B$37*$B$4)))-BC57)/12)+BC57</f>
        <v>30.347416123522393</v>
      </c>
      <c r="BE57" s="1156">
        <f t="shared" ref="BE57" si="426">(((BD57*(1+($B$37*$B$4)))-BD57)/12)+BD57</f>
        <v>30.529500620263526</v>
      </c>
      <c r="BF57" s="1156">
        <f t="shared" ref="BF57" si="427">(((BE57*(1+($B$37*$B$4)))-BE57)/12)+BE57</f>
        <v>30.712677623985108</v>
      </c>
      <c r="BG57" s="1157">
        <f t="shared" ref="BG57" si="428">(((BF57*(1+($B$38*$B$4)))-BF57)/12)+BF57</f>
        <v>30.89695368972902</v>
      </c>
      <c r="BH57" s="1156">
        <f t="shared" ref="BH57" si="429">(((BG57*(1+($B$38*$B$4)))-BG57)/12)+BG57</f>
        <v>31.082335411867394</v>
      </c>
      <c r="BI57" s="1156">
        <f t="shared" ref="BI57" si="430">(((BH57*(1+($B$38*$B$4)))-BH57)/12)+BH57</f>
        <v>31.268829424338598</v>
      </c>
      <c r="BJ57" s="1156">
        <f t="shared" ref="BJ57" si="431">(((BI57*(1+($B$38*$B$4)))-BI57)/12)+BI57</f>
        <v>31.45644240088463</v>
      </c>
      <c r="BK57" s="1156">
        <f t="shared" ref="BK57" si="432">(((BJ57*(1+($B$38*$B$4)))-BJ57)/12)+BJ57</f>
        <v>31.645181055289939</v>
      </c>
      <c r="BL57" s="1156">
        <f t="shared" ref="BL57" si="433">(((BK57*(1+($B$38*$B$4)))-BK57)/12)+BK57</f>
        <v>31.835052141621677</v>
      </c>
      <c r="BM57" s="1156">
        <f t="shared" ref="BM57" si="434">(((BL57*(1+($B$38*$B$4)))-BL57)/12)+BL57</f>
        <v>32.026062454471408</v>
      </c>
      <c r="BN57" s="1156">
        <f t="shared" ref="BN57" si="435">(((BM57*(1+($B$38*$B$4)))-BM57)/12)+BM57</f>
        <v>32.218218829198236</v>
      </c>
      <c r="BO57" s="1156">
        <f t="shared" ref="BO57" si="436">(((BN57*(1+($B$38*$B$4)))-BN57)/12)+BN57</f>
        <v>32.411528142173424</v>
      </c>
      <c r="BP57" s="1156">
        <f t="shared" ref="BP57" si="437">(((BO57*(1+($B$38*$B$4)))-BO57)/12)+BO57</f>
        <v>32.605997311026464</v>
      </c>
      <c r="BQ57" s="1156">
        <f t="shared" ref="BQ57" si="438">(((BP57*(1+($B$38*$B$4)))-BP57)/12)+BP57</f>
        <v>32.801633294892625</v>
      </c>
      <c r="BR57" s="1156">
        <f t="shared" ref="BR57" si="439">(((BQ57*(1+($B$38*$B$4)))-BQ57)/12)+BQ57</f>
        <v>32.99844309466198</v>
      </c>
      <c r="BS57" s="1157">
        <f t="shared" ref="BS57" si="440">(((BR57*(1+($B$39*$B$4)))-BR57)/12)+BR57</f>
        <v>33.196433753229954</v>
      </c>
      <c r="BT57" s="1156">
        <f t="shared" ref="BT57" si="441">(((BS57*(1+($B$39*$B$4)))-BS57)/12)+BS57</f>
        <v>33.395612355749336</v>
      </c>
      <c r="BU57" s="1156">
        <f t="shared" ref="BU57" si="442">(((BT57*(1+($B$39*$B$4)))-BT57)/12)+BT57</f>
        <v>33.595986029883832</v>
      </c>
      <c r="BV57" s="1156">
        <f t="shared" ref="BV57" si="443">(((BU57*(1+($B$39*$B$4)))-BU57)/12)+BU57</f>
        <v>33.797561946063134</v>
      </c>
      <c r="BW57" s="1156">
        <f t="shared" ref="BW57" si="444">(((BV57*(1+($B$39*$B$4)))-BV57)/12)+BV57</f>
        <v>34.000347317739511</v>
      </c>
      <c r="BX57" s="1156">
        <f t="shared" ref="BX57" si="445">(((BW57*(1+($B$39*$B$4)))-BW57)/12)+BW57</f>
        <v>34.204349401645949</v>
      </c>
      <c r="BY57" s="1156">
        <f t="shared" ref="BY57" si="446">(((BX57*(1+($B$39*$B$4)))-BX57)/12)+BX57</f>
        <v>34.409575498055823</v>
      </c>
      <c r="BZ57" s="1156">
        <f t="shared" ref="BZ57" si="447">(((BY57*(1+($B$39*$B$4)))-BY57)/12)+BY57</f>
        <v>34.616032951044161</v>
      </c>
      <c r="CA57" s="1156">
        <f t="shared" ref="CA57" si="448">(((BZ57*(1+($B$39*$B$4)))-BZ57)/12)+BZ57</f>
        <v>34.823729148750424</v>
      </c>
      <c r="CB57" s="1156">
        <f t="shared" ref="CB57" si="449">(((CA57*(1+($B$39*$B$4)))-CA57)/12)+CA57</f>
        <v>35.032671523642925</v>
      </c>
      <c r="CC57" s="1156">
        <f t="shared" ref="CC57" si="450">(((CB57*(1+($B$39*$B$4)))-CB57)/12)+CB57</f>
        <v>35.24286755278478</v>
      </c>
      <c r="CD57" s="1156">
        <f t="shared" ref="CD57" si="451">(((CC57*(1+($B$39*$B$4)))-CC57)/12)+CC57</f>
        <v>35.454324758101492</v>
      </c>
      <c r="CE57" s="1157">
        <f t="shared" ref="CE57" si="452">(((CD57*(1+($B$40*$B$4)))-CD57)/12)+CD57</f>
        <v>35.667050706650102</v>
      </c>
      <c r="CF57" s="1156">
        <f t="shared" ref="CF57" si="453">(((CE57*(1+($B$40*$B$4)))-CE57)/12)+CE57</f>
        <v>35.88105301089</v>
      </c>
      <c r="CG57" s="1156">
        <f t="shared" ref="CG57" si="454">(((CF57*(1+($B$40*$B$4)))-CF57)/12)+CF57</f>
        <v>36.096339328955338</v>
      </c>
      <c r="CH57" s="1156">
        <f t="shared" ref="CH57" si="455">(((CG57*(1+($B$40*$B$4)))-CG57)/12)+CG57</f>
        <v>36.312917364929071</v>
      </c>
      <c r="CI57" s="1156">
        <f t="shared" ref="CI57" si="456">(((CH57*(1+($B$40*$B$4)))-CH57)/12)+CH57</f>
        <v>36.530794869118644</v>
      </c>
      <c r="CJ57" s="1156">
        <f t="shared" ref="CJ57" si="457">(((CI57*(1+($B$40*$B$4)))-CI57)/12)+CI57</f>
        <v>36.749979638333357</v>
      </c>
      <c r="CK57" s="1156">
        <f t="shared" ref="CK57" si="458">(((CJ57*(1+($B$40*$B$4)))-CJ57)/12)+CJ57</f>
        <v>36.970479516163358</v>
      </c>
      <c r="CL57" s="1156">
        <f t="shared" ref="CL57" si="459">(((CK57*(1+($B$40*$B$4)))-CK57)/12)+CK57</f>
        <v>37.192302393260341</v>
      </c>
      <c r="CM57" s="1156">
        <f t="shared" ref="CM57" si="460">(((CL57*(1+($B$40*$B$4)))-CL57)/12)+CL57</f>
        <v>37.415456207619904</v>
      </c>
      <c r="CN57" s="1156">
        <f t="shared" ref="CN57" si="461">(((CM57*(1+($B$40*$B$4)))-CM57)/12)+CM57</f>
        <v>37.639948944865623</v>
      </c>
      <c r="CO57" s="1156">
        <f t="shared" ref="CO57" si="462">(((CN57*(1+($B$40*$B$4)))-CN57)/12)+CN57</f>
        <v>37.865788638534816</v>
      </c>
      <c r="CP57" s="1156">
        <f t="shared" ref="CP57" si="463">(((CO57*(1+($B$40*$B$4)))-CO57)/12)+CO57</f>
        <v>38.092983370366028</v>
      </c>
      <c r="CQ57" s="1157">
        <f t="shared" ref="CQ57" si="464">(((CP57*(1+($B$41*$B$4)))-CP57)/12)+CP57</f>
        <v>38.321541270588227</v>
      </c>
      <c r="CR57" s="1156">
        <f t="shared" ref="CR57" si="465">(((CQ57*(1+($B$41*$B$4)))-CQ57)/12)+CQ57</f>
        <v>38.551470518211758</v>
      </c>
      <c r="CS57" s="1156">
        <f t="shared" ref="CS57" si="466">(((CR57*(1+($B$41*$B$4)))-CR57)/12)+CR57</f>
        <v>38.782779341321032</v>
      </c>
      <c r="CT57" s="1156">
        <f t="shared" ref="CT57" si="467">(((CS57*(1+($B$41*$B$4)))-CS57)/12)+CS57</f>
        <v>39.015476017368961</v>
      </c>
      <c r="CU57" s="1156">
        <f t="shared" ref="CU57" si="468">(((CT57*(1+($B$41*$B$4)))-CT57)/12)+CT57</f>
        <v>39.249568873473173</v>
      </c>
      <c r="CV57" s="1156">
        <f t="shared" ref="CV57" si="469">(((CU57*(1+($B$41*$B$4)))-CU57)/12)+CU57</f>
        <v>39.485066286714016</v>
      </c>
      <c r="CW57" s="1156">
        <f t="shared" ref="CW57" si="470">(((CV57*(1+($B$41*$B$4)))-CV57)/12)+CV57</f>
        <v>39.721976684434303</v>
      </c>
      <c r="CX57" s="1156">
        <f t="shared" ref="CX57" si="471">(((CW57*(1+($B$41*$B$4)))-CW57)/12)+CW57</f>
        <v>39.960308544540908</v>
      </c>
      <c r="CY57" s="1156">
        <f t="shared" ref="CY57" si="472">(((CX57*(1+($B$41*$B$4)))-CX57)/12)+CX57</f>
        <v>40.200070395808154</v>
      </c>
      <c r="CZ57" s="1156">
        <f t="shared" ref="CZ57" si="473">(((CY57*(1+($B$41*$B$4)))-CY57)/12)+CY57</f>
        <v>40.441270818183</v>
      </c>
      <c r="DA57" s="1156">
        <f t="shared" ref="DA57" si="474">(((CZ57*(1+($B$41*$B$4)))-CZ57)/12)+CZ57</f>
        <v>40.683918443092097</v>
      </c>
      <c r="DB57" s="1156">
        <f t="shared" ref="DB57" si="475">(((DA57*(1+($B$41*$B$4)))-DA57)/12)+DA57</f>
        <v>40.928021953750651</v>
      </c>
      <c r="DC57" s="1157">
        <f t="shared" ref="DC57" si="476">(((DB57*(1+($B$42*$B$4)))-DB57)/12)+DB57</f>
        <v>41.173590085473158</v>
      </c>
      <c r="DD57" s="1156">
        <f t="shared" ref="DD57" si="477">(((DC57*(1+($B$42*$B$4)))-DC57)/12)+DC57</f>
        <v>41.420631625985997</v>
      </c>
      <c r="DE57" s="1156">
        <f t="shared" ref="DE57" si="478">(((DD57*(1+($B$42*$B$4)))-DD57)/12)+DD57</f>
        <v>41.669155415741912</v>
      </c>
      <c r="DF57" s="1156">
        <f t="shared" ref="DF57" si="479">(((DE57*(1+($B$42*$B$4)))-DE57)/12)+DE57</f>
        <v>41.919170348236364</v>
      </c>
      <c r="DG57" s="1156">
        <f t="shared" ref="DG57" si="480">(((DF57*(1+($B$42*$B$4)))-DF57)/12)+DF57</f>
        <v>42.170685370325785</v>
      </c>
      <c r="DH57" s="1156">
        <f t="shared" ref="DH57" si="481">(((DG57*(1+($B$42*$B$4)))-DG57)/12)+DG57</f>
        <v>42.423709482547743</v>
      </c>
      <c r="DI57" s="1156">
        <f t="shared" ref="DI57" si="482">(((DH57*(1+($B$42*$B$4)))-DH57)/12)+DH57</f>
        <v>42.678251739443027</v>
      </c>
      <c r="DJ57" s="1156">
        <f t="shared" ref="DJ57" si="483">(((DI57*(1+($B$42*$B$4)))-DI57)/12)+DI57</f>
        <v>42.934321249879687</v>
      </c>
      <c r="DK57" s="1156">
        <f t="shared" ref="DK57" si="484">(((DJ57*(1+($B$42*$B$4)))-DJ57)/12)+DJ57</f>
        <v>43.191927177378965</v>
      </c>
      <c r="DL57" s="1156">
        <f t="shared" ref="DL57" si="485">(((DK57*(1+($B$42*$B$4)))-DK57)/12)+DK57</f>
        <v>43.451078740443236</v>
      </c>
      <c r="DM57" s="1156">
        <f t="shared" ref="DM57" si="486">(((DL57*(1+($B$42*$B$4)))-DL57)/12)+DL57</f>
        <v>43.711785212885893</v>
      </c>
      <c r="DN57" s="1156">
        <f t="shared" ref="DN57" si="487">(((DM57*(1+($B$42*$B$4)))-DM57)/12)+DM57</f>
        <v>43.97405592416321</v>
      </c>
      <c r="DO57" s="1157">
        <f t="shared" ref="DO57" si="488">(((DN57*(1+($B$43*$B$4)))-DN57)/12)+DN57</f>
        <v>44.237900259708191</v>
      </c>
      <c r="DP57" s="1156">
        <f t="shared" ref="DP57" si="489">(((DO57*(1+($B$43*$B$4)))-DO57)/12)+DO57</f>
        <v>44.503327661266439</v>
      </c>
      <c r="DQ57" s="1156">
        <f t="shared" ref="DQ57" si="490">(((DP57*(1+($B$43*$B$4)))-DP57)/12)+DP57</f>
        <v>44.770347627234038</v>
      </c>
      <c r="DR57" s="1156">
        <f t="shared" ref="DR57" si="491">(((DQ57*(1+($B$43*$B$4)))-DQ57)/12)+DQ57</f>
        <v>45.038969712997442</v>
      </c>
      <c r="DS57" s="1156">
        <f t="shared" ref="DS57" si="492">(((DR57*(1+($B$43*$B$4)))-DR57)/12)+DR57</f>
        <v>45.309203531275429</v>
      </c>
      <c r="DT57" s="1156">
        <f t="shared" ref="DT57" si="493">(((DS57*(1+($B$43*$B$4)))-DS57)/12)+DS57</f>
        <v>45.581058752463079</v>
      </c>
      <c r="DU57" s="1156">
        <f t="shared" ref="DU57" si="494">(((DT57*(1+($B$43*$B$4)))-DT57)/12)+DT57</f>
        <v>45.854545104977859</v>
      </c>
      <c r="DV57" s="1156">
        <f t="shared" ref="DV57" si="495">(((DU57*(1+($B$43*$B$4)))-DU57)/12)+DU57</f>
        <v>46.129672375607726</v>
      </c>
      <c r="DW57" s="1156">
        <f t="shared" ref="DW57" si="496">(((DV57*(1+($B$43*$B$4)))-DV57)/12)+DV57</f>
        <v>46.406450409861371</v>
      </c>
      <c r="DX57" s="1156">
        <f t="shared" ref="DX57" si="497">(((DW57*(1+($B$43*$B$4)))-DW57)/12)+DW57</f>
        <v>46.684889112320541</v>
      </c>
      <c r="DY57" s="1156">
        <f t="shared" ref="DY57" si="498">(((DX57*(1+($B$43*$B$4)))-DX57)/12)+DX57</f>
        <v>46.964998446994464</v>
      </c>
      <c r="DZ57" s="1156">
        <f t="shared" ref="DZ57" si="499">(((DY57*(1+($B$43*$B$4)))-DY57)/12)+DY57</f>
        <v>47.246788437676429</v>
      </c>
      <c r="EA57" s="1157">
        <f>(((DZ57*(1+($B$44*$B$4)))-DZ57)/12)+DZ57</f>
        <v>47.530269168302489</v>
      </c>
      <c r="EB57" s="1156">
        <f>(((EA57*(1+($B$44*$B$4)))-EA57)/12)+EA57</f>
        <v>47.815450783312301</v>
      </c>
      <c r="EC57" s="1156">
        <f>(((EB57*(1+($B$44*$B$4)))-EB57)/12)+EB57</f>
        <v>48.102343488012174</v>
      </c>
      <c r="ED57" s="1158">
        <f>(((EC57*(1+($B$44*$B$4)))-EC57)/12)+EC57</f>
        <v>48.39095754894025</v>
      </c>
    </row>
    <row r="58" spans="1:134" ht="18.75" outlineLevel="1" x14ac:dyDescent="0.25">
      <c r="C58" s="1675"/>
      <c r="D58" s="1644" t="s">
        <v>230</v>
      </c>
      <c r="E58" s="1645"/>
      <c r="F58" s="1645"/>
      <c r="G58" s="1645"/>
      <c r="H58" s="1645"/>
      <c r="I58" s="1645"/>
      <c r="J58" s="1645"/>
      <c r="K58" s="1645"/>
      <c r="L58" s="1646"/>
      <c r="M58" s="955"/>
      <c r="N58" s="1412">
        <f>'AM Benches Data'!AG4</f>
        <v>726</v>
      </c>
      <c r="O58" s="1413">
        <f>'AM Benches Data'!AH4</f>
        <v>785</v>
      </c>
      <c r="P58" s="1377">
        <f>'AM Benches Data'!AI4</f>
        <v>764</v>
      </c>
      <c r="Q58" s="956"/>
      <c r="R58" s="965"/>
      <c r="S58" s="1376"/>
      <c r="T58" s="1376"/>
      <c r="U58" s="955"/>
      <c r="V58" s="1122">
        <f>ROUNDUP((ROUNDUP(N57,0))+((ROUNDUP(N57,0))/7),0)</f>
        <v>29</v>
      </c>
      <c r="W58" s="1377">
        <f>ROUNDUP(W57,0)+(W57/7)</f>
        <v>28.481546218487395</v>
      </c>
      <c r="X58" s="1377">
        <f t="shared" ref="X58" si="500">ROUNDUP(X57,0)+(X57/7)</f>
        <v>28.481546218487395</v>
      </c>
      <c r="Y58" s="1377">
        <f t="shared" ref="Y58" si="501">ROUNDUP(Y57,0)+(Y57/7)</f>
        <v>28.481546218487395</v>
      </c>
      <c r="Z58" s="1377">
        <f t="shared" ref="Z58" si="502">ROUNDUP(Z57,0)+(Z57/7)</f>
        <v>29.588571428571427</v>
      </c>
      <c r="AA58" s="1377">
        <f t="shared" ref="AA58" si="503">ROUNDUP(AA57,0)+(AA57/7)</f>
        <v>29.588571428571427</v>
      </c>
      <c r="AB58" s="1377">
        <f t="shared" ref="AB58" si="504">ROUNDUP(AB57,0)+(AB57/7)</f>
        <v>29.588571428571427</v>
      </c>
      <c r="AC58" s="1377">
        <f t="shared" ref="AC58" si="505">ROUNDUP(AC57,0)+(AC57/7)</f>
        <v>30.800739495798322</v>
      </c>
      <c r="AD58" s="1377">
        <f t="shared" ref="AD58" si="506">ROUNDUP(AD57,0)+(AD57/7)</f>
        <v>30.800739495798322</v>
      </c>
      <c r="AE58" s="1377">
        <f t="shared" ref="AE58" si="507">ROUNDUP(AE57,0)+(AE57/7)</f>
        <v>30.800739495798322</v>
      </c>
      <c r="AF58" s="1377">
        <f t="shared" ref="AF58" si="508">ROUNDUP(AF57,0)+(AF57/7)</f>
        <v>30.800739495798322</v>
      </c>
      <c r="AG58" s="1377">
        <f t="shared" ref="AG58" si="509">ROUNDUP(AG57,0)+(AG57/7)</f>
        <v>30.800739495798322</v>
      </c>
      <c r="AH58" s="1377">
        <f t="shared" ref="AH58" si="510">ROUNDUP(AH57,0)+(AH57/7)</f>
        <v>30.800739495798322</v>
      </c>
      <c r="AI58" s="1377">
        <f t="shared" ref="AI58" si="511">ROUNDUP(AI57,0)+(AI57/7)</f>
        <v>30.823543932773109</v>
      </c>
      <c r="AJ58" s="1377">
        <f t="shared" ref="AJ58" si="512">ROUNDUP(AJ57,0)+(AJ57/7)</f>
        <v>30.846485196369748</v>
      </c>
      <c r="AK58" s="1377">
        <f t="shared" ref="AK58" si="513">ROUNDUP(AK57,0)+(AK57/7)</f>
        <v>31.869564107547966</v>
      </c>
      <c r="AL58" s="1377">
        <f t="shared" ref="AL58" si="514">ROUNDUP(AL57,0)+(AL57/7)</f>
        <v>31.892781492193254</v>
      </c>
      <c r="AM58" s="1377">
        <f t="shared" ref="AM58" si="515">ROUNDUP(AM57,0)+(AM57/7)</f>
        <v>31.916138181146415</v>
      </c>
      <c r="AN58" s="1377">
        <f t="shared" ref="AN58" si="516">ROUNDUP(AN57,0)+(AN57/7)</f>
        <v>31.939635010233292</v>
      </c>
      <c r="AO58" s="1377">
        <f t="shared" ref="AO58" si="517">ROUNDUP(AO57,0)+(AO57/7)</f>
        <v>31.963272820294691</v>
      </c>
      <c r="AP58" s="1377">
        <f t="shared" ref="AP58" si="518">ROUNDUP(AP57,0)+(AP57/7)</f>
        <v>31.987052457216461</v>
      </c>
      <c r="AQ58" s="1377">
        <f t="shared" ref="AQ58" si="519">ROUNDUP(AQ57,0)+(AQ57/7)</f>
        <v>33.010974771959759</v>
      </c>
      <c r="AR58" s="1377">
        <f t="shared" ref="AR58" si="520">ROUNDUP(AR57,0)+(AR57/7)</f>
        <v>33.035040620591516</v>
      </c>
      <c r="AS58" s="1377">
        <f t="shared" ref="AS58" si="521">ROUNDUP(AS57,0)+(AS57/7)</f>
        <v>33.059250864315068</v>
      </c>
      <c r="AT58" s="1377">
        <f t="shared" ref="AT58" si="522">ROUNDUP(AT57,0)+(AT57/7)</f>
        <v>33.083606369500956</v>
      </c>
      <c r="AU58" s="1377">
        <f t="shared" ref="AU58" si="523">ROUNDUP(AU57,0)+(AU57/7)</f>
        <v>33.108108007717959</v>
      </c>
      <c r="AV58" s="1377">
        <f t="shared" ref="AV58" si="524">ROUNDUP(AV57,0)+(AV57/7)</f>
        <v>33.132756655764268</v>
      </c>
      <c r="AW58" s="1377">
        <f t="shared" ref="AW58" si="525">ROUNDUP(AW57,0)+(AW57/7)</f>
        <v>34.157553195698853</v>
      </c>
      <c r="AX58" s="1377">
        <f t="shared" ref="AX58" si="526">ROUNDUP(AX57,0)+(AX57/7)</f>
        <v>34.182498514873046</v>
      </c>
      <c r="AY58" s="1377">
        <f t="shared" ref="AY58" si="527">ROUNDUP(AY57,0)+(AY57/7)</f>
        <v>34.207593505962286</v>
      </c>
      <c r="AZ58" s="1377">
        <f t="shared" ref="AZ58" si="528">ROUNDUP(AZ57,0)+(AZ57/7)</f>
        <v>34.232839066998061</v>
      </c>
      <c r="BA58" s="1377">
        <f t="shared" ref="BA58" si="529">ROUNDUP(BA57,0)+(BA57/7)</f>
        <v>34.258236101400051</v>
      </c>
      <c r="BB58" s="1377">
        <f t="shared" ref="BB58" si="530">ROUNDUP(BB57,0)+(BB57/7)</f>
        <v>34.28378551800845</v>
      </c>
      <c r="BC58" s="1377">
        <f t="shared" ref="BC58" si="531">ROUNDUP(BC57,0)+(BC57/7)</f>
        <v>35.309488231116504</v>
      </c>
      <c r="BD58" s="1377">
        <f t="shared" ref="BD58" si="532">ROUNDUP(BD57,0)+(BD57/7)</f>
        <v>35.335345160503202</v>
      </c>
      <c r="BE58" s="1377">
        <f t="shared" ref="BE58" si="533">ROUNDUP(BE57,0)+(BE57/7)</f>
        <v>35.361357231466215</v>
      </c>
      <c r="BF58" s="1377">
        <f t="shared" ref="BF58" si="534">ROUNDUP(BF57,0)+(BF57/7)</f>
        <v>35.387525374855016</v>
      </c>
      <c r="BG58" s="1377">
        <f t="shared" ref="BG58" si="535">ROUNDUP(BG57,0)+(BG57/7)</f>
        <v>35.413850527104145</v>
      </c>
      <c r="BH58" s="1377">
        <f t="shared" ref="BH58" si="536">ROUNDUP(BH57,0)+(BH57/7)</f>
        <v>36.440333630266771</v>
      </c>
      <c r="BI58" s="1377">
        <f t="shared" ref="BI58" si="537">ROUNDUP(BI57,0)+(BI57/7)</f>
        <v>36.466975632048374</v>
      </c>
      <c r="BJ58" s="1377">
        <f t="shared" ref="BJ58" si="538">ROUNDUP(BJ57,0)+(BJ57/7)</f>
        <v>36.49377748584066</v>
      </c>
      <c r="BK58" s="1377">
        <f t="shared" ref="BK58" si="539">ROUNDUP(BK57,0)+(BK57/7)</f>
        <v>36.520740150755707</v>
      </c>
      <c r="BL58" s="1377">
        <f t="shared" ref="BL58" si="540">ROUNDUP(BL57,0)+(BL57/7)</f>
        <v>36.547864591660243</v>
      </c>
      <c r="BM58" s="1377">
        <f t="shared" ref="BM58" si="541">ROUNDUP(BM57,0)+(BM57/7)</f>
        <v>37.575151779210202</v>
      </c>
      <c r="BN58" s="1377">
        <f t="shared" ref="BN58" si="542">ROUNDUP(BN57,0)+(BN57/7)</f>
        <v>37.602602689885465</v>
      </c>
      <c r="BO58" s="1377">
        <f t="shared" ref="BO58" si="543">ROUNDUP(BO57,0)+(BO57/7)</f>
        <v>37.630218306024773</v>
      </c>
      <c r="BP58" s="1377">
        <f t="shared" ref="BP58" si="544">ROUNDUP(BP57,0)+(BP57/7)</f>
        <v>37.657999615860923</v>
      </c>
      <c r="BQ58" s="1377">
        <f t="shared" ref="BQ58" si="545">ROUNDUP(BQ57,0)+(BQ57/7)</f>
        <v>37.685947613556088</v>
      </c>
      <c r="BR58" s="1377">
        <f t="shared" ref="BR58" si="546">ROUNDUP(BR57,0)+(BR57/7)</f>
        <v>37.714063299237424</v>
      </c>
      <c r="BS58" s="1377">
        <f t="shared" ref="BS58" si="547">ROUNDUP(BS57,0)+(BS57/7)</f>
        <v>38.742347679032854</v>
      </c>
      <c r="BT58" s="1377">
        <f t="shared" ref="BT58" si="548">ROUNDUP(BT57,0)+(BT57/7)</f>
        <v>38.770801765107045</v>
      </c>
      <c r="BU58" s="1377">
        <f t="shared" ref="BU58" si="549">ROUNDUP(BU57,0)+(BU57/7)</f>
        <v>38.799426575697687</v>
      </c>
      <c r="BV58" s="1377">
        <f t="shared" ref="BV58" si="550">ROUNDUP(BV57,0)+(BV57/7)</f>
        <v>38.828223135151873</v>
      </c>
      <c r="BW58" s="1377">
        <f t="shared" ref="BW58" si="551">ROUNDUP(BW57,0)+(BW57/7)</f>
        <v>39.85719247396279</v>
      </c>
      <c r="BX58" s="1377">
        <f t="shared" ref="BX58" si="552">ROUNDUP(BX57,0)+(BX57/7)</f>
        <v>39.886335628806563</v>
      </c>
      <c r="BY58" s="1377">
        <f t="shared" ref="BY58" si="553">ROUNDUP(BY57,0)+(BY57/7)</f>
        <v>39.9156536425794</v>
      </c>
      <c r="BZ58" s="1377">
        <f t="shared" ref="BZ58" si="554">ROUNDUP(BZ57,0)+(BZ57/7)</f>
        <v>39.945147564434883</v>
      </c>
      <c r="CA58" s="1377">
        <f t="shared" ref="CA58" si="555">ROUNDUP(CA57,0)+(CA57/7)</f>
        <v>39.974818449821491</v>
      </c>
      <c r="CB58" s="1377">
        <f t="shared" ref="CB58" si="556">ROUNDUP(CB57,0)+(CB57/7)</f>
        <v>41.004667360520415</v>
      </c>
      <c r="CC58" s="1377">
        <f t="shared" ref="CC58" si="557">ROUNDUP(CC57,0)+(CC57/7)</f>
        <v>41.034695364683543</v>
      </c>
      <c r="CD58" s="1377">
        <f t="shared" ref="CD58" si="558">ROUNDUP(CD57,0)+(CD57/7)</f>
        <v>41.06490353687164</v>
      </c>
      <c r="CE58" s="1377">
        <f t="shared" ref="CE58" si="559">ROUNDUP(CE57,0)+(CE57/7)</f>
        <v>41.09529295809287</v>
      </c>
      <c r="CF58" s="1377">
        <f t="shared" ref="CF58" si="560">ROUNDUP(CF57,0)+(CF57/7)</f>
        <v>41.125864715841431</v>
      </c>
      <c r="CG58" s="1377">
        <f t="shared" ref="CG58" si="561">ROUNDUP(CG57,0)+(CG57/7)</f>
        <v>42.156619904136477</v>
      </c>
      <c r="CH58" s="1377">
        <f t="shared" ref="CH58" si="562">ROUNDUP(CH57,0)+(CH57/7)</f>
        <v>42.187559623561299</v>
      </c>
      <c r="CI58" s="1377">
        <f t="shared" ref="CI58" si="563">ROUNDUP(CI57,0)+(CI57/7)</f>
        <v>42.218684981302665</v>
      </c>
      <c r="CJ58" s="1377">
        <f t="shared" ref="CJ58" si="564">ROUNDUP(CJ57,0)+(CJ57/7)</f>
        <v>42.24999709119048</v>
      </c>
      <c r="CK58" s="1377">
        <f t="shared" ref="CK58" si="565">ROUNDUP(CK57,0)+(CK57/7)</f>
        <v>42.281497073737626</v>
      </c>
      <c r="CL58" s="1377">
        <f t="shared" ref="CL58" si="566">ROUNDUP(CL57,0)+(CL57/7)</f>
        <v>43.313186056180051</v>
      </c>
      <c r="CM58" s="1377">
        <f t="shared" ref="CM58" si="567">ROUNDUP(CM57,0)+(CM57/7)</f>
        <v>43.345065172517131</v>
      </c>
      <c r="CN58" s="1377">
        <f t="shared" ref="CN58" si="568">ROUNDUP(CN57,0)+(CN57/7)</f>
        <v>43.37713556355223</v>
      </c>
      <c r="CO58" s="1377">
        <f t="shared" ref="CO58" si="569">ROUNDUP(CO57,0)+(CO57/7)</f>
        <v>43.409398376933545</v>
      </c>
      <c r="CP58" s="1377">
        <f t="shared" ref="CP58" si="570">ROUNDUP(CP57,0)+(CP57/7)</f>
        <v>44.441854767195146</v>
      </c>
      <c r="CQ58" s="1377">
        <f t="shared" ref="CQ58" si="571">ROUNDUP(CQ57,0)+(CQ57/7)</f>
        <v>44.474505895798316</v>
      </c>
      <c r="CR58" s="1377">
        <f t="shared" ref="CR58" si="572">ROUNDUP(CR57,0)+(CR57/7)</f>
        <v>44.507352931173109</v>
      </c>
      <c r="CS58" s="1377">
        <f t="shared" ref="CS58" si="573">ROUNDUP(CS57,0)+(CS57/7)</f>
        <v>44.540397048760148</v>
      </c>
      <c r="CT58" s="1377">
        <f t="shared" ref="CT58" si="574">ROUNDUP(CT57,0)+(CT57/7)</f>
        <v>45.573639431052712</v>
      </c>
      <c r="CU58" s="1377">
        <f t="shared" ref="CU58" si="575">ROUNDUP(CU57,0)+(CU57/7)</f>
        <v>45.607081267639025</v>
      </c>
      <c r="CV58" s="1377">
        <f t="shared" ref="CV58" si="576">ROUNDUP(CV57,0)+(CV57/7)</f>
        <v>45.640723755244856</v>
      </c>
      <c r="CW58" s="1377">
        <f t="shared" ref="CW58" si="577">ROUNDUP(CW57,0)+(CW57/7)</f>
        <v>45.67456809777633</v>
      </c>
      <c r="CX58" s="1377">
        <f t="shared" ref="CX58" si="578">ROUNDUP(CX57,0)+(CX57/7)</f>
        <v>45.708615506362989</v>
      </c>
      <c r="CY58" s="1377">
        <f t="shared" ref="CY58" si="579">ROUNDUP(CY57,0)+(CY57/7)</f>
        <v>46.742867199401168</v>
      </c>
      <c r="CZ58" s="1377">
        <f t="shared" ref="CZ58" si="580">ROUNDUP(CZ57,0)+(CZ57/7)</f>
        <v>46.777324402597571</v>
      </c>
      <c r="DA58" s="1377">
        <f t="shared" ref="DA58" si="581">ROUNDUP(DA57,0)+(DA57/7)</f>
        <v>46.811988349013156</v>
      </c>
      <c r="DB58" s="1377">
        <f t="shared" ref="DB58" si="582">ROUNDUP(DB57,0)+(DB57/7)</f>
        <v>46.846860279107233</v>
      </c>
      <c r="DC58" s="1377">
        <f t="shared" ref="DC58" si="583">ROUNDUP(DC57,0)+(DC57/7)</f>
        <v>47.88194144078188</v>
      </c>
      <c r="DD58" s="1377">
        <f t="shared" ref="DD58" si="584">ROUNDUP(DD57,0)+(DD57/7)</f>
        <v>47.917233089426574</v>
      </c>
      <c r="DE58" s="1377">
        <f t="shared" ref="DE58" si="585">ROUNDUP(DE57,0)+(DE57/7)</f>
        <v>47.952736487963129</v>
      </c>
      <c r="DF58" s="1377">
        <f t="shared" ref="DF58" si="586">ROUNDUP(DF57,0)+(DF57/7)</f>
        <v>47.988452906890906</v>
      </c>
      <c r="DG58" s="1377">
        <f t="shared" ref="DG58" si="587">ROUNDUP(DG57,0)+(DG57/7)</f>
        <v>49.024383624332252</v>
      </c>
      <c r="DH58" s="1377">
        <f t="shared" ref="DH58" si="588">ROUNDUP(DH57,0)+(DH57/7)</f>
        <v>49.060529926078246</v>
      </c>
      <c r="DI58" s="1377">
        <f t="shared" ref="DI58" si="589">ROUNDUP(DI57,0)+(DI57/7)</f>
        <v>49.09689310563472</v>
      </c>
      <c r="DJ58" s="1377">
        <f t="shared" ref="DJ58" si="590">ROUNDUP(DJ57,0)+(DJ57/7)</f>
        <v>49.133474464268524</v>
      </c>
      <c r="DK58" s="1377">
        <f t="shared" ref="DK58" si="591">ROUNDUP(DK57,0)+(DK57/7)</f>
        <v>50.170275311054141</v>
      </c>
      <c r="DL58" s="1377">
        <f t="shared" ref="DL58" si="592">ROUNDUP(DL57,0)+(DL57/7)</f>
        <v>50.207296962920459</v>
      </c>
      <c r="DM58" s="1377">
        <f t="shared" ref="DM58" si="593">ROUNDUP(DM57,0)+(DM57/7)</f>
        <v>50.244540744697986</v>
      </c>
      <c r="DN58" s="1377">
        <f t="shared" ref="DN58" si="594">ROUNDUP(DN57,0)+(DN57/7)</f>
        <v>50.282007989166175</v>
      </c>
      <c r="DO58" s="1377">
        <f t="shared" ref="DO58" si="595">ROUNDUP(DO57,0)+(DO57/7)</f>
        <v>51.319700037101171</v>
      </c>
      <c r="DP58" s="1377">
        <f t="shared" ref="DP58" si="596">ROUNDUP(DP57,0)+(DP57/7)</f>
        <v>51.357618237323777</v>
      </c>
      <c r="DQ58" s="1377">
        <f t="shared" ref="DQ58" si="597">ROUNDUP(DQ57,0)+(DQ57/7)</f>
        <v>51.395763946747721</v>
      </c>
      <c r="DR58" s="1377">
        <f t="shared" ref="DR58" si="598">ROUNDUP(DR57,0)+(DR57/7)</f>
        <v>52.434138530428207</v>
      </c>
      <c r="DS58" s="1377">
        <f t="shared" ref="DS58" si="599">ROUNDUP(DS57,0)+(DS57/7)</f>
        <v>52.472743361610775</v>
      </c>
      <c r="DT58" s="1377">
        <f t="shared" ref="DT58" si="600">ROUNDUP(DT57,0)+(DT57/7)</f>
        <v>52.511579821780437</v>
      </c>
      <c r="DU58" s="1377">
        <f t="shared" ref="DU58" si="601">ROUNDUP(DU57,0)+(DU57/7)</f>
        <v>52.550649300711122</v>
      </c>
      <c r="DV58" s="1377">
        <f t="shared" ref="DV58" si="602">ROUNDUP(DV57,0)+(DV57/7)</f>
        <v>53.589953196515388</v>
      </c>
      <c r="DW58" s="1377">
        <f t="shared" ref="DW58" si="603">ROUNDUP(DW57,0)+(DW57/7)</f>
        <v>53.629492915694485</v>
      </c>
      <c r="DX58" s="1377">
        <f t="shared" ref="DX58" si="604">ROUNDUP(DX57,0)+(DX57/7)</f>
        <v>53.669269873188647</v>
      </c>
      <c r="DY58" s="1377">
        <f t="shared" ref="DY58" si="605">ROUNDUP(DY57,0)+(DY57/7)</f>
        <v>53.709285492427782</v>
      </c>
      <c r="DZ58" s="1377">
        <f t="shared" ref="DZ58" si="606">ROUNDUP(DZ57,0)+(DZ57/7)</f>
        <v>54.74954120538235</v>
      </c>
      <c r="EA58" s="1377">
        <f t="shared" ref="EA58" si="607">ROUNDUP(EA57,0)+(EA57/7)</f>
        <v>54.790038452614638</v>
      </c>
      <c r="EB58" s="1377">
        <f t="shared" ref="EB58" si="608">ROUNDUP(EB57,0)+(EB57/7)</f>
        <v>54.83077868333033</v>
      </c>
      <c r="EC58" s="1377">
        <f t="shared" ref="EC58" si="609">ROUNDUP(EC57,0)+(EC57/7)</f>
        <v>55.871763355430311</v>
      </c>
      <c r="ED58" s="1377">
        <f t="shared" ref="ED58" si="610">ROUNDUP(ED57,0)+(ED57/7)</f>
        <v>55.912993935562895</v>
      </c>
    </row>
    <row r="59" spans="1:134" ht="18.75" outlineLevel="1" x14ac:dyDescent="0.3">
      <c r="B59" s="170"/>
      <c r="C59" s="1675"/>
      <c r="D59" s="1660" t="s">
        <v>231</v>
      </c>
      <c r="E59" s="1661"/>
      <c r="F59" s="1661"/>
      <c r="G59" s="1661"/>
      <c r="H59" s="1661"/>
      <c r="I59" s="1661"/>
      <c r="J59" s="1661"/>
      <c r="K59" s="1661"/>
      <c r="L59" s="1662"/>
      <c r="M59" s="1168"/>
      <c r="N59" s="1487">
        <f>'AM Benches Data'!AG4*('AM Benches Data'!AD4/100)</f>
        <v>776.82</v>
      </c>
      <c r="O59" s="1488"/>
      <c r="P59" s="1489"/>
      <c r="Q59" s="953"/>
      <c r="R59" s="964"/>
      <c r="S59" s="1691" t="s">
        <v>232</v>
      </c>
      <c r="T59" s="1692"/>
      <c r="U59" s="1168"/>
      <c r="V59" s="66"/>
      <c r="W59" s="1287"/>
      <c r="X59" s="1287"/>
      <c r="Y59" s="1287"/>
      <c r="Z59" s="1287"/>
      <c r="AA59" s="1287"/>
      <c r="AB59" s="1287"/>
      <c r="AC59" s="1287"/>
      <c r="AD59" s="1287"/>
      <c r="AE59" s="1287"/>
      <c r="AF59" s="1287"/>
      <c r="AG59" s="1287"/>
      <c r="AH59" s="1287"/>
      <c r="AI59" s="1287"/>
      <c r="AJ59" s="1287"/>
      <c r="AK59" s="1287"/>
      <c r="AL59" s="1287"/>
      <c r="AM59" s="1287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287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287"/>
      <c r="BL59" s="1287"/>
      <c r="BM59" s="1287"/>
      <c r="BN59" s="1287"/>
      <c r="BO59" s="1287"/>
      <c r="BP59" s="1287"/>
      <c r="BQ59" s="1287"/>
      <c r="BR59" s="1287"/>
      <c r="BS59" s="1287"/>
      <c r="BT59" s="1287"/>
      <c r="BU59" s="1287"/>
      <c r="BV59" s="1287"/>
      <c r="BW59" s="1287"/>
      <c r="BX59" s="1287"/>
      <c r="BY59" s="1287"/>
      <c r="BZ59" s="1287"/>
      <c r="CA59" s="1287"/>
      <c r="CB59" s="1287"/>
      <c r="CC59" s="1287"/>
      <c r="CD59" s="1287"/>
      <c r="CE59" s="1287"/>
      <c r="CF59" s="1287"/>
      <c r="CG59" s="1287"/>
      <c r="CH59" s="1287"/>
      <c r="CI59" s="1287"/>
      <c r="CJ59" s="1287"/>
      <c r="CK59" s="1287"/>
      <c r="CL59" s="1287"/>
      <c r="CM59" s="1287"/>
      <c r="CN59" s="1287"/>
      <c r="CO59" s="1287"/>
      <c r="CP59" s="1287"/>
      <c r="CQ59" s="1287"/>
      <c r="CR59" s="1287"/>
      <c r="CS59" s="1287"/>
      <c r="CT59" s="1287"/>
      <c r="CU59" s="1287"/>
      <c r="CV59" s="1287"/>
      <c r="CW59" s="1287"/>
      <c r="CX59" s="1287"/>
      <c r="CY59" s="1287"/>
      <c r="CZ59" s="1287"/>
      <c r="DA59" s="1287"/>
      <c r="DB59" s="1287"/>
      <c r="DC59" s="1287"/>
      <c r="DD59" s="1287"/>
      <c r="DE59" s="1287"/>
      <c r="DF59" s="1287"/>
      <c r="DG59" s="1287"/>
      <c r="DH59" s="1287"/>
      <c r="DI59" s="1287"/>
      <c r="DJ59" s="1287"/>
      <c r="DK59" s="1287"/>
      <c r="DL59" s="1287"/>
      <c r="DM59" s="1287"/>
      <c r="DN59" s="1287"/>
      <c r="DO59" s="1287"/>
      <c r="DP59" s="1287"/>
      <c r="DQ59" s="1287"/>
      <c r="DR59" s="1287"/>
      <c r="DS59" s="1287"/>
      <c r="DT59" s="1287"/>
      <c r="DU59" s="1287"/>
      <c r="DV59" s="1287"/>
      <c r="DW59" s="1287"/>
      <c r="DX59" s="1287"/>
      <c r="DY59" s="1287"/>
      <c r="DZ59" s="1287"/>
      <c r="EA59" s="1287"/>
      <c r="EB59" s="1287"/>
      <c r="EC59" s="1287"/>
      <c r="ED59" s="1287"/>
    </row>
    <row r="60" spans="1:134" ht="18.75" outlineLevel="1" x14ac:dyDescent="0.3">
      <c r="B60" s="170"/>
      <c r="C60" s="1675"/>
      <c r="D60" s="1479" t="s">
        <v>233</v>
      </c>
      <c r="E60" s="1377"/>
      <c r="F60" s="1377"/>
      <c r="G60" s="1377"/>
      <c r="H60" s="1377"/>
      <c r="I60" s="1377"/>
      <c r="J60" s="1377"/>
      <c r="K60" s="1377"/>
      <c r="L60" s="1377"/>
      <c r="M60" s="1377"/>
      <c r="N60" s="1490">
        <f>N57/$T$60</f>
        <v>0.52980051150895147</v>
      </c>
      <c r="O60" s="1491">
        <f t="shared" ref="O60:P60" si="611">O57/$T$60</f>
        <v>0.54608695652173911</v>
      </c>
      <c r="P60" s="1491">
        <f t="shared" si="611"/>
        <v>0.57837340153452699</v>
      </c>
      <c r="Q60" s="1422"/>
      <c r="R60" s="1423"/>
      <c r="S60" s="956"/>
      <c r="T60" s="961">
        <f>(S49*T49)+(S51*T51)+(S55*T55)</f>
        <v>46</v>
      </c>
      <c r="U60" s="1168"/>
      <c r="V60" s="66"/>
      <c r="W60" s="1287"/>
      <c r="X60" s="1287"/>
      <c r="Y60" s="1287"/>
      <c r="Z60" s="1287"/>
      <c r="AA60" s="1287"/>
      <c r="AB60" s="1287"/>
      <c r="AC60" s="1287"/>
      <c r="AD60" s="1287"/>
      <c r="AE60" s="1287"/>
      <c r="AF60" s="1287"/>
      <c r="AG60" s="1287"/>
      <c r="AH60" s="1287"/>
      <c r="AI60" s="1287"/>
      <c r="AJ60" s="1287"/>
      <c r="AK60" s="1287"/>
      <c r="AL60" s="1287"/>
      <c r="AM60" s="1287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287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287"/>
      <c r="BL60" s="1287"/>
      <c r="BM60" s="1287"/>
      <c r="BN60" s="1287"/>
      <c r="BO60" s="1287"/>
      <c r="BP60" s="1287"/>
      <c r="BQ60" s="1287"/>
      <c r="BR60" s="1287"/>
      <c r="BS60" s="1287"/>
      <c r="BT60" s="1287"/>
      <c r="BU60" s="1287"/>
      <c r="BV60" s="1287"/>
      <c r="BW60" s="1287"/>
      <c r="BX60" s="1287"/>
      <c r="BY60" s="1287"/>
      <c r="BZ60" s="1287"/>
      <c r="CA60" s="1287"/>
      <c r="CB60" s="1287"/>
      <c r="CC60" s="1287"/>
      <c r="CD60" s="1287"/>
      <c r="CE60" s="1287"/>
      <c r="CF60" s="1287"/>
      <c r="CG60" s="1287"/>
      <c r="CH60" s="1287"/>
      <c r="CI60" s="1287"/>
      <c r="CJ60" s="1287"/>
      <c r="CK60" s="1287"/>
      <c r="CL60" s="1287"/>
      <c r="CM60" s="1287"/>
      <c r="CN60" s="1287"/>
      <c r="CO60" s="1287"/>
      <c r="CP60" s="1287"/>
      <c r="CQ60" s="1287"/>
      <c r="CR60" s="1287"/>
      <c r="CS60" s="1287"/>
      <c r="CT60" s="1287"/>
      <c r="CU60" s="1287"/>
      <c r="CV60" s="1287"/>
      <c r="CW60" s="1287"/>
      <c r="CX60" s="1287"/>
      <c r="CY60" s="1287"/>
      <c r="CZ60" s="1287"/>
      <c r="DA60" s="1287"/>
      <c r="DB60" s="1287"/>
      <c r="DC60" s="1287"/>
      <c r="DD60" s="1287"/>
      <c r="DE60" s="1287"/>
      <c r="DF60" s="1287"/>
      <c r="DG60" s="1287"/>
      <c r="DH60" s="1287"/>
      <c r="DI60" s="1287"/>
      <c r="DJ60" s="1287"/>
      <c r="DK60" s="1287"/>
      <c r="DL60" s="1287"/>
      <c r="DM60" s="1287"/>
      <c r="DN60" s="1287"/>
      <c r="DO60" s="1287"/>
      <c r="DP60" s="1287"/>
      <c r="DQ60" s="1287"/>
      <c r="DR60" s="1287"/>
      <c r="DS60" s="1287"/>
      <c r="DT60" s="1287"/>
      <c r="DU60" s="1287"/>
      <c r="DV60" s="1287"/>
      <c r="DW60" s="1287"/>
      <c r="DX60" s="1287"/>
      <c r="DY60" s="1287"/>
      <c r="DZ60" s="1287"/>
      <c r="EA60" s="1287"/>
      <c r="EB60" s="1287"/>
      <c r="EC60" s="1287"/>
      <c r="ED60" s="1287"/>
    </row>
    <row r="61" spans="1:134" ht="18.75" x14ac:dyDescent="0.3">
      <c r="A61" t="s">
        <v>227</v>
      </c>
      <c r="B61" s="170">
        <f>'Growth Prediction Exec Summary'!K6</f>
        <v>0.12</v>
      </c>
      <c r="C61" s="1675"/>
      <c r="D61" s="169"/>
      <c r="AI61" s="937"/>
      <c r="AU61" s="937"/>
      <c r="BG61" s="937"/>
      <c r="BS61" s="937"/>
      <c r="CE61" s="937"/>
      <c r="CQ61" s="937"/>
      <c r="DC61" s="937"/>
      <c r="DO61" s="937"/>
      <c r="EA61" s="937"/>
    </row>
    <row r="62" spans="1:134" ht="18.75" outlineLevel="1" x14ac:dyDescent="0.3">
      <c r="A62" t="s">
        <v>229</v>
      </c>
      <c r="B62" s="170">
        <f>'Growth Prediction Exec Summary'!L6</f>
        <v>0.1</v>
      </c>
      <c r="C62" s="1675"/>
      <c r="D62" s="1000" t="s">
        <v>240</v>
      </c>
      <c r="E62" s="966"/>
      <c r="F62" s="966"/>
      <c r="G62" s="966"/>
      <c r="H62" s="966"/>
      <c r="I62" s="966"/>
      <c r="J62" s="966"/>
      <c r="K62" s="966"/>
      <c r="L62" s="967"/>
      <c r="M62" s="966"/>
      <c r="N62" s="968"/>
      <c r="O62" s="966"/>
      <c r="P62" s="966"/>
      <c r="Q62" s="966"/>
      <c r="R62" s="967"/>
      <c r="S62" s="966"/>
      <c r="T62" s="966"/>
      <c r="U62" s="966"/>
      <c r="V62" s="997"/>
      <c r="AI62" s="937"/>
      <c r="AU62" s="937"/>
      <c r="BG62" s="937"/>
      <c r="BS62" s="937"/>
      <c r="CE62" s="937"/>
      <c r="CQ62" s="937"/>
      <c r="DC62" s="937"/>
      <c r="DO62" s="937"/>
      <c r="EA62" s="937"/>
    </row>
    <row r="63" spans="1:134" outlineLevel="1" x14ac:dyDescent="0.25">
      <c r="C63" s="1675"/>
      <c r="D63" s="1648" t="s">
        <v>241</v>
      </c>
      <c r="E63" s="1648"/>
      <c r="F63" s="1648"/>
      <c r="G63" s="1648"/>
      <c r="H63" s="1648"/>
      <c r="I63" s="1648"/>
      <c r="J63" s="1648"/>
      <c r="K63" s="1648"/>
      <c r="L63" s="969"/>
      <c r="M63" s="1330">
        <f>N63*100</f>
        <v>48</v>
      </c>
      <c r="N63" s="1400">
        <f>'PCB Data'!B4/100</f>
        <v>0.48</v>
      </c>
      <c r="O63" s="1401">
        <f>'PCB Data'!F4/100</f>
        <v>0.49</v>
      </c>
      <c r="P63" s="1401">
        <f>'PCB Data'!J4/100</f>
        <v>0.48</v>
      </c>
      <c r="Q63" s="971"/>
      <c r="R63" s="972">
        <f t="shared" ref="R63:R69" si="612">P63-N63</f>
        <v>0</v>
      </c>
      <c r="S63" s="973">
        <v>9</v>
      </c>
      <c r="T63" s="973">
        <v>2</v>
      </c>
      <c r="U63" s="970"/>
      <c r="V63" s="1104"/>
      <c r="W63" s="1108">
        <f>M63</f>
        <v>48</v>
      </c>
      <c r="X63" s="1109">
        <f>W63</f>
        <v>48</v>
      </c>
      <c r="Y63" s="1109">
        <f>X63</f>
        <v>48</v>
      </c>
      <c r="Z63" s="1109">
        <f>O63*100</f>
        <v>49</v>
      </c>
      <c r="AA63" s="1109">
        <f>Z63</f>
        <v>49</v>
      </c>
      <c r="AB63" s="1109">
        <f>AA63</f>
        <v>49</v>
      </c>
      <c r="AC63" s="1109">
        <f>P63*100</f>
        <v>48</v>
      </c>
      <c r="AD63" s="1109">
        <f>AC63</f>
        <v>48</v>
      </c>
      <c r="AE63" s="1109">
        <f>AD63</f>
        <v>48</v>
      </c>
      <c r="AF63" s="1109">
        <f>AE63</f>
        <v>48</v>
      </c>
      <c r="AG63" s="1109">
        <f>AF63</f>
        <v>48</v>
      </c>
      <c r="AH63" s="1109">
        <f>AG63</f>
        <v>48</v>
      </c>
      <c r="AI63" s="1110">
        <f t="shared" ref="AI63:AT63" si="613">(((AH63*(1+($B$66*$B$4)))-AH63)/12)+AH63</f>
        <v>48.547200000000004</v>
      </c>
      <c r="AJ63" s="1109">
        <f t="shared" si="613"/>
        <v>49.100638080000003</v>
      </c>
      <c r="AK63" s="1109">
        <f t="shared" si="613"/>
        <v>49.660385354112002</v>
      </c>
      <c r="AL63" s="1109">
        <f t="shared" si="613"/>
        <v>50.226513747148879</v>
      </c>
      <c r="AM63" s="1109">
        <f t="shared" si="613"/>
        <v>50.799096003866374</v>
      </c>
      <c r="AN63" s="1109">
        <f t="shared" si="613"/>
        <v>51.378205698310452</v>
      </c>
      <c r="AO63" s="1109">
        <f t="shared" si="613"/>
        <v>51.96391724327119</v>
      </c>
      <c r="AP63" s="1109">
        <f t="shared" si="613"/>
        <v>52.556305899844482</v>
      </c>
      <c r="AQ63" s="1109">
        <f t="shared" si="613"/>
        <v>53.155447787102709</v>
      </c>
      <c r="AR63" s="1109">
        <f t="shared" si="613"/>
        <v>53.761419891875683</v>
      </c>
      <c r="AS63" s="1109">
        <f t="shared" si="613"/>
        <v>54.374300078643067</v>
      </c>
      <c r="AT63" s="1109">
        <f t="shared" si="613"/>
        <v>54.994167099539595</v>
      </c>
      <c r="AU63" s="1110">
        <f t="shared" ref="AU63:BF63" si="614">(((AT63*(1+($B$67*$B$4)))-AT63)/12)+AT63</f>
        <v>55.604602354344486</v>
      </c>
      <c r="AV63" s="1109">
        <f t="shared" si="614"/>
        <v>56.22181344047771</v>
      </c>
      <c r="AW63" s="1109">
        <f t="shared" si="614"/>
        <v>56.845875569667015</v>
      </c>
      <c r="AX63" s="1109">
        <f t="shared" si="614"/>
        <v>57.476864788490317</v>
      </c>
      <c r="AY63" s="1109">
        <f t="shared" si="614"/>
        <v>58.114857987642559</v>
      </c>
      <c r="AZ63" s="1109">
        <f t="shared" si="614"/>
        <v>58.759932911305391</v>
      </c>
      <c r="BA63" s="1109">
        <f t="shared" si="614"/>
        <v>59.41216816662088</v>
      </c>
      <c r="BB63" s="1109">
        <f t="shared" si="614"/>
        <v>60.071643233270372</v>
      </c>
      <c r="BC63" s="1109">
        <f t="shared" si="614"/>
        <v>60.738438473159675</v>
      </c>
      <c r="BD63" s="1109">
        <f t="shared" si="614"/>
        <v>61.412635140211748</v>
      </c>
      <c r="BE63" s="1109">
        <f t="shared" si="614"/>
        <v>62.0943153902681</v>
      </c>
      <c r="BF63" s="1109">
        <f t="shared" si="614"/>
        <v>62.783562291100075</v>
      </c>
      <c r="BG63" s="1110">
        <f t="shared" ref="BG63:BR63" si="615">(((BF63*(1+($B$68*$B$4)))-BF63)/12)+BF63</f>
        <v>63.442789695156627</v>
      </c>
      <c r="BH63" s="1109">
        <f t="shared" si="615"/>
        <v>64.108938986955778</v>
      </c>
      <c r="BI63" s="1109">
        <f t="shared" si="615"/>
        <v>64.782082846318815</v>
      </c>
      <c r="BJ63" s="1109">
        <f t="shared" si="615"/>
        <v>65.462294716205164</v>
      </c>
      <c r="BK63" s="1109">
        <f t="shared" si="615"/>
        <v>66.149648810725324</v>
      </c>
      <c r="BL63" s="1109">
        <f t="shared" si="615"/>
        <v>66.844220123237946</v>
      </c>
      <c r="BM63" s="1109">
        <f t="shared" si="615"/>
        <v>67.546084434531949</v>
      </c>
      <c r="BN63" s="1109">
        <f t="shared" si="615"/>
        <v>68.255318321094535</v>
      </c>
      <c r="BO63" s="1109">
        <f t="shared" si="615"/>
        <v>68.971999163466023</v>
      </c>
      <c r="BP63" s="1109">
        <f t="shared" si="615"/>
        <v>69.696205154682417</v>
      </c>
      <c r="BQ63" s="1109">
        <f t="shared" si="615"/>
        <v>70.428015308806579</v>
      </c>
      <c r="BR63" s="1109">
        <f t="shared" si="615"/>
        <v>71.167509469549046</v>
      </c>
      <c r="BS63" s="1110">
        <f t="shared" ref="BS63:CD63" si="616">(((BR63*(1+($B$69*$B$4)))-BR63)/12)+BR63</f>
        <v>71.914768318979313</v>
      </c>
      <c r="BT63" s="1109">
        <f t="shared" si="616"/>
        <v>72.66987338632859</v>
      </c>
      <c r="BU63" s="1109">
        <f t="shared" si="616"/>
        <v>73.432907056885043</v>
      </c>
      <c r="BV63" s="1109">
        <f t="shared" si="616"/>
        <v>74.203952580982332</v>
      </c>
      <c r="BW63" s="1109">
        <f t="shared" si="616"/>
        <v>74.983094083082648</v>
      </c>
      <c r="BX63" s="1109">
        <f t="shared" si="616"/>
        <v>75.770416570955021</v>
      </c>
      <c r="BY63" s="1109">
        <f t="shared" si="616"/>
        <v>76.566005944950049</v>
      </c>
      <c r="BZ63" s="1109">
        <f t="shared" si="616"/>
        <v>77.369949007372028</v>
      </c>
      <c r="CA63" s="1109">
        <f t="shared" si="616"/>
        <v>78.182333471949434</v>
      </c>
      <c r="CB63" s="1109">
        <f t="shared" si="616"/>
        <v>79.00324797340491</v>
      </c>
      <c r="CC63" s="1109">
        <f t="shared" si="616"/>
        <v>79.832782077125657</v>
      </c>
      <c r="CD63" s="1109">
        <f t="shared" si="616"/>
        <v>80.671026288935479</v>
      </c>
      <c r="CE63" s="1110">
        <f t="shared" ref="CE63:CP63" si="617">(((CD63*(1+($B$70*$B$4)))-CD63)/12)+CD63</f>
        <v>81.518072064969303</v>
      </c>
      <c r="CF63" s="1109">
        <f t="shared" si="617"/>
        <v>82.374011821651479</v>
      </c>
      <c r="CG63" s="1109">
        <f t="shared" si="617"/>
        <v>83.238938945778813</v>
      </c>
      <c r="CH63" s="1109">
        <f t="shared" si="617"/>
        <v>84.112947804709492</v>
      </c>
      <c r="CI63" s="1109">
        <f t="shared" si="617"/>
        <v>84.996133756658935</v>
      </c>
      <c r="CJ63" s="1109">
        <f t="shared" si="617"/>
        <v>85.888593161103856</v>
      </c>
      <c r="CK63" s="1109">
        <f t="shared" si="617"/>
        <v>86.790423389295441</v>
      </c>
      <c r="CL63" s="1109">
        <f t="shared" si="617"/>
        <v>87.701722834883043</v>
      </c>
      <c r="CM63" s="1109">
        <f t="shared" si="617"/>
        <v>88.622590924649316</v>
      </c>
      <c r="CN63" s="1109">
        <f t="shared" si="617"/>
        <v>89.553128129358129</v>
      </c>
      <c r="CO63" s="1109">
        <f t="shared" si="617"/>
        <v>90.493435974716391</v>
      </c>
      <c r="CP63" s="1109">
        <f t="shared" si="617"/>
        <v>91.443617052450918</v>
      </c>
      <c r="CQ63" s="1110">
        <f t="shared" ref="CQ63:DB63" si="618">(((CP63*(1+($B$71*$B$4)))-CP63)/12)+CP63</f>
        <v>92.403775031501652</v>
      </c>
      <c r="CR63" s="1109">
        <f t="shared" si="618"/>
        <v>93.374014669332425</v>
      </c>
      <c r="CS63" s="1109">
        <f t="shared" si="618"/>
        <v>94.354441823360418</v>
      </c>
      <c r="CT63" s="1109">
        <f t="shared" si="618"/>
        <v>95.345163462505695</v>
      </c>
      <c r="CU63" s="1109">
        <f t="shared" si="618"/>
        <v>96.346287678862012</v>
      </c>
      <c r="CV63" s="1109">
        <f t="shared" si="618"/>
        <v>97.357923699490058</v>
      </c>
      <c r="CW63" s="1109">
        <f t="shared" si="618"/>
        <v>98.380181898334712</v>
      </c>
      <c r="CX63" s="1109">
        <f t="shared" si="618"/>
        <v>99.413173808267231</v>
      </c>
      <c r="CY63" s="1109">
        <f t="shared" si="618"/>
        <v>100.45701213325404</v>
      </c>
      <c r="CZ63" s="1109">
        <f t="shared" si="618"/>
        <v>101.5118107606532</v>
      </c>
      <c r="DA63" s="1109">
        <f t="shared" si="618"/>
        <v>102.57768477364006</v>
      </c>
      <c r="DB63" s="1109">
        <f t="shared" si="618"/>
        <v>103.65475046376328</v>
      </c>
      <c r="DC63" s="1110">
        <f t="shared" ref="DC63:DN63" si="619">(((DB63*(1+($B$72*$B$4)))-DB63)/12)+DB63</f>
        <v>104.7431253436328</v>
      </c>
      <c r="DD63" s="1109">
        <f t="shared" si="619"/>
        <v>105.84292815974095</v>
      </c>
      <c r="DE63" s="1109">
        <f t="shared" si="619"/>
        <v>106.95427890541824</v>
      </c>
      <c r="DF63" s="1109">
        <f t="shared" si="619"/>
        <v>108.07729883392513</v>
      </c>
      <c r="DG63" s="1109">
        <f t="shared" si="619"/>
        <v>109.21211047168134</v>
      </c>
      <c r="DH63" s="1109">
        <f t="shared" si="619"/>
        <v>110.358837631634</v>
      </c>
      <c r="DI63" s="1109">
        <f t="shared" si="619"/>
        <v>111.51760542676617</v>
      </c>
      <c r="DJ63" s="1109">
        <f t="shared" si="619"/>
        <v>112.68854028374722</v>
      </c>
      <c r="DK63" s="1109">
        <f t="shared" si="619"/>
        <v>113.87176995672657</v>
      </c>
      <c r="DL63" s="1109">
        <f t="shared" si="619"/>
        <v>115.06742354127219</v>
      </c>
      <c r="DM63" s="1109">
        <f t="shared" si="619"/>
        <v>116.27563148845555</v>
      </c>
      <c r="DN63" s="1109">
        <f t="shared" si="619"/>
        <v>117.49652561908432</v>
      </c>
      <c r="DO63" s="1110">
        <f t="shared" ref="DO63:DZ63" si="620">(((DN63*(1+($B$75*$B$4)))-DN63)/12)+DN63</f>
        <v>118.37774956122746</v>
      </c>
      <c r="DP63" s="1109">
        <f t="shared" si="620"/>
        <v>119.26558268293667</v>
      </c>
      <c r="DQ63" s="1109">
        <f t="shared" si="620"/>
        <v>120.16007455305869</v>
      </c>
      <c r="DR63" s="1109">
        <f t="shared" si="620"/>
        <v>121.06127511220663</v>
      </c>
      <c r="DS63" s="1109">
        <f t="shared" si="620"/>
        <v>121.96923467554818</v>
      </c>
      <c r="DT63" s="1109">
        <f t="shared" si="620"/>
        <v>122.88400393561479</v>
      </c>
      <c r="DU63" s="1109">
        <f t="shared" si="620"/>
        <v>123.8056339651319</v>
      </c>
      <c r="DV63" s="1109">
        <f t="shared" si="620"/>
        <v>124.73417621987039</v>
      </c>
      <c r="DW63" s="1109">
        <f t="shared" si="620"/>
        <v>125.66968254151942</v>
      </c>
      <c r="DX63" s="1109">
        <f t="shared" si="620"/>
        <v>126.61220516058081</v>
      </c>
      <c r="DY63" s="1109">
        <f t="shared" si="620"/>
        <v>127.56179669928517</v>
      </c>
      <c r="DZ63" s="1109">
        <f t="shared" si="620"/>
        <v>128.51851017452981</v>
      </c>
      <c r="EA63" s="1110">
        <f>(((DZ63*(1+($B$76*$B$4)))-DZ63)/12)+DZ63</f>
        <v>129.38601011820788</v>
      </c>
      <c r="EB63" s="1109">
        <f>(((EA63*(1+($B$76*$B$4)))-EA63)/12)+EA63</f>
        <v>130.25936568650579</v>
      </c>
      <c r="EC63" s="1109">
        <f>(((EB63*(1+($B$76*$B$4)))-EB63)/12)+EB63</f>
        <v>131.13861640488969</v>
      </c>
      <c r="ED63" s="1111">
        <f>(((EC63*(1+($B$76*$B$4)))-EC63)/12)+EC63</f>
        <v>132.0238020656227</v>
      </c>
    </row>
    <row r="64" spans="1:134" ht="15.75" outlineLevel="1" x14ac:dyDescent="0.25">
      <c r="A64" s="1671" t="s">
        <v>242</v>
      </c>
      <c r="B64" s="1671"/>
      <c r="C64" s="1675"/>
      <c r="D64" s="1651"/>
      <c r="E64" s="1651"/>
      <c r="F64" s="1651"/>
      <c r="G64" s="1651"/>
      <c r="H64" s="1651"/>
      <c r="I64" s="1651"/>
      <c r="J64" s="1651"/>
      <c r="K64" s="1651"/>
      <c r="L64" s="974"/>
      <c r="M64" s="975"/>
      <c r="N64" s="1402"/>
      <c r="O64" s="1403"/>
      <c r="P64" s="1403"/>
      <c r="Q64" s="976"/>
      <c r="R64" s="977"/>
      <c r="S64" s="978"/>
      <c r="T64" s="978"/>
      <c r="U64" s="975"/>
      <c r="V64" s="1105">
        <v>3</v>
      </c>
      <c r="W64" s="1118">
        <f>ROUNDUP($V64*(W63/100)/0.94,0)</f>
        <v>2</v>
      </c>
      <c r="X64" s="1117">
        <f t="shared" ref="X64:AE64" si="621">ROUNDUP($V64*(X63/100)/0.94,0)</f>
        <v>2</v>
      </c>
      <c r="Y64" s="1117">
        <f t="shared" si="621"/>
        <v>2</v>
      </c>
      <c r="Z64" s="1117">
        <f t="shared" si="621"/>
        <v>2</v>
      </c>
      <c r="AA64" s="1117">
        <f t="shared" si="621"/>
        <v>2</v>
      </c>
      <c r="AB64" s="1117">
        <f t="shared" si="621"/>
        <v>2</v>
      </c>
      <c r="AC64" s="1117">
        <f t="shared" si="621"/>
        <v>2</v>
      </c>
      <c r="AD64" s="1117">
        <f t="shared" si="621"/>
        <v>2</v>
      </c>
      <c r="AE64" s="1117">
        <f t="shared" si="621"/>
        <v>2</v>
      </c>
      <c r="AF64" s="1117">
        <f>ROUNDUP($V64*(AF63/100)/0.94,0)</f>
        <v>2</v>
      </c>
      <c r="AG64" s="1117">
        <f t="shared" ref="AG64" si="622">ROUNDUP($V64*(AG63/100)/0.94,0)</f>
        <v>2</v>
      </c>
      <c r="AH64" s="1117">
        <f t="shared" ref="AH64" si="623">ROUNDUP($V64*(AH63/100)/0.94,0)</f>
        <v>2</v>
      </c>
      <c r="AI64" s="1118">
        <f t="shared" ref="AI64" si="624">ROUNDUP($V64*(AI63/100)/0.94,0)</f>
        <v>2</v>
      </c>
      <c r="AJ64" s="1117">
        <f t="shared" ref="AJ64" si="625">ROUNDUP($V64*(AJ63/100)/0.94,0)</f>
        <v>2</v>
      </c>
      <c r="AK64" s="1117">
        <f t="shared" ref="AK64" si="626">ROUNDUP($V64*(AK63/100)/0.94,0)</f>
        <v>2</v>
      </c>
      <c r="AL64" s="1117">
        <f t="shared" ref="AL64" si="627">ROUNDUP($V64*(AL63/100)/0.94,0)</f>
        <v>2</v>
      </c>
      <c r="AM64" s="1117">
        <f t="shared" ref="AM64" si="628">ROUNDUP($V64*(AM63/100)/0.94,0)</f>
        <v>2</v>
      </c>
      <c r="AN64" s="1117">
        <f t="shared" ref="AN64" si="629">ROUNDUP($V64*(AN63/100)/0.94,0)</f>
        <v>2</v>
      </c>
      <c r="AO64" s="1117">
        <f t="shared" ref="AO64" si="630">ROUNDUP($V64*(AO63/100)/0.94,0)</f>
        <v>2</v>
      </c>
      <c r="AP64" s="1117">
        <f t="shared" ref="AP64" si="631">ROUNDUP($V64*(AP63/100)/0.94,0)</f>
        <v>2</v>
      </c>
      <c r="AQ64" s="1117">
        <f t="shared" ref="AQ64" si="632">ROUNDUP($V64*(AQ63/100)/0.94,0)</f>
        <v>2</v>
      </c>
      <c r="AR64" s="1117">
        <f t="shared" ref="AR64" si="633">ROUNDUP($V64*(AR63/100)/0.94,0)</f>
        <v>2</v>
      </c>
      <c r="AS64" s="1117">
        <f t="shared" ref="AS64" si="634">ROUNDUP($V64*(AS63/100)/0.94,0)</f>
        <v>2</v>
      </c>
      <c r="AT64" s="1117">
        <f t="shared" ref="AT64" si="635">ROUNDUP($V64*(AT63/100)/0.94,0)</f>
        <v>2</v>
      </c>
      <c r="AU64" s="1118">
        <f t="shared" ref="AU64" si="636">ROUNDUP($V64*(AU63/100)/0.94,0)</f>
        <v>2</v>
      </c>
      <c r="AV64" s="1117">
        <f t="shared" ref="AV64" si="637">ROUNDUP($V64*(AV63/100)/0.94,0)</f>
        <v>2</v>
      </c>
      <c r="AW64" s="1117">
        <f t="shared" ref="AW64" si="638">ROUNDUP($V64*(AW63/100)/0.94,0)</f>
        <v>2</v>
      </c>
      <c r="AX64" s="1117">
        <f t="shared" ref="AX64" si="639">ROUNDUP($V64*(AX63/100)/0.94,0)</f>
        <v>2</v>
      </c>
      <c r="AY64" s="1117">
        <f t="shared" ref="AY64" si="640">ROUNDUP($V64*(AY63/100)/0.94,0)</f>
        <v>2</v>
      </c>
      <c r="AZ64" s="1117">
        <f t="shared" ref="AZ64" si="641">ROUNDUP($V64*(AZ63/100)/0.94,0)</f>
        <v>2</v>
      </c>
      <c r="BA64" s="1117">
        <f t="shared" ref="BA64" si="642">ROUNDUP($V64*(BA63/100)/0.94,0)</f>
        <v>2</v>
      </c>
      <c r="BB64" s="1117">
        <f t="shared" ref="BB64" si="643">ROUNDUP($V64*(BB63/100)/0.94,0)</f>
        <v>2</v>
      </c>
      <c r="BC64" s="1117">
        <f t="shared" ref="BC64" si="644">ROUNDUP($V64*(BC63/100)/0.94,0)</f>
        <v>2</v>
      </c>
      <c r="BD64" s="1117">
        <f t="shared" ref="BD64" si="645">ROUNDUP($V64*(BD63/100)/0.94,0)</f>
        <v>2</v>
      </c>
      <c r="BE64" s="1117">
        <f t="shared" ref="BE64" si="646">ROUNDUP($V64*(BE63/100)/0.94,0)</f>
        <v>2</v>
      </c>
      <c r="BF64" s="1117">
        <f t="shared" ref="BF64" si="647">ROUNDUP($V64*(BF63/100)/0.94,0)</f>
        <v>3</v>
      </c>
      <c r="BG64" s="1118">
        <f t="shared" ref="BG64" si="648">ROUNDUP($V64*(BG63/100)/0.94,0)</f>
        <v>3</v>
      </c>
      <c r="BH64" s="1117">
        <f t="shared" ref="BH64" si="649">ROUNDUP($V64*(BH63/100)/0.94,0)</f>
        <v>3</v>
      </c>
      <c r="BI64" s="1117">
        <f t="shared" ref="BI64" si="650">ROUNDUP($V64*(BI63/100)/0.94,0)</f>
        <v>3</v>
      </c>
      <c r="BJ64" s="1117">
        <f t="shared" ref="BJ64" si="651">ROUNDUP($V64*(BJ63/100)/0.94,0)</f>
        <v>3</v>
      </c>
      <c r="BK64" s="1117">
        <f t="shared" ref="BK64" si="652">ROUNDUP($V64*(BK63/100)/0.94,0)</f>
        <v>3</v>
      </c>
      <c r="BL64" s="1117">
        <f t="shared" ref="BL64" si="653">ROUNDUP($V64*(BL63/100)/0.94,0)</f>
        <v>3</v>
      </c>
      <c r="BM64" s="1117">
        <f t="shared" ref="BM64" si="654">ROUNDUP($V64*(BM63/100)/0.94,0)</f>
        <v>3</v>
      </c>
      <c r="BN64" s="1117">
        <f t="shared" ref="BN64" si="655">ROUNDUP($V64*(BN63/100)/0.94,0)</f>
        <v>3</v>
      </c>
      <c r="BO64" s="1117">
        <f t="shared" ref="BO64" si="656">ROUNDUP($V64*(BO63/100)/0.94,0)</f>
        <v>3</v>
      </c>
      <c r="BP64" s="1117">
        <f t="shared" ref="BP64" si="657">ROUNDUP($V64*(BP63/100)/0.94,0)</f>
        <v>3</v>
      </c>
      <c r="BQ64" s="1117">
        <f t="shared" ref="BQ64" si="658">ROUNDUP($V64*(BQ63/100)/0.94,0)</f>
        <v>3</v>
      </c>
      <c r="BR64" s="1117">
        <f t="shared" ref="BR64" si="659">ROUNDUP($V64*(BR63/100)/0.94,0)</f>
        <v>3</v>
      </c>
      <c r="BS64" s="1118">
        <f t="shared" ref="BS64" si="660">ROUNDUP($V64*(BS63/100)/0.94,0)</f>
        <v>3</v>
      </c>
      <c r="BT64" s="1117">
        <f t="shared" ref="BT64" si="661">ROUNDUP($V64*(BT63/100)/0.94,0)</f>
        <v>3</v>
      </c>
      <c r="BU64" s="1117">
        <f t="shared" ref="BU64" si="662">ROUNDUP($V64*(BU63/100)/0.94,0)</f>
        <v>3</v>
      </c>
      <c r="BV64" s="1117">
        <f t="shared" ref="BV64" si="663">ROUNDUP($V64*(BV63/100)/0.94,0)</f>
        <v>3</v>
      </c>
      <c r="BW64" s="1117">
        <f t="shared" ref="BW64" si="664">ROUNDUP($V64*(BW63/100)/0.94,0)</f>
        <v>3</v>
      </c>
      <c r="BX64" s="1117">
        <f t="shared" ref="BX64" si="665">ROUNDUP($V64*(BX63/100)/0.94,0)</f>
        <v>3</v>
      </c>
      <c r="BY64" s="1117">
        <f t="shared" ref="BY64" si="666">ROUNDUP($V64*(BY63/100)/0.94,0)</f>
        <v>3</v>
      </c>
      <c r="BZ64" s="1117">
        <f t="shared" ref="BZ64" si="667">ROUNDUP($V64*(BZ63/100)/0.94,0)</f>
        <v>3</v>
      </c>
      <c r="CA64" s="1117">
        <f t="shared" ref="CA64" si="668">ROUNDUP($V64*(CA63/100)/0.94,0)</f>
        <v>3</v>
      </c>
      <c r="CB64" s="1117">
        <f t="shared" ref="CB64" si="669">ROUNDUP($V64*(CB63/100)/0.94,0)</f>
        <v>3</v>
      </c>
      <c r="CC64" s="1117">
        <f t="shared" ref="CC64" si="670">ROUNDUP($V64*(CC63/100)/0.94,0)</f>
        <v>3</v>
      </c>
      <c r="CD64" s="1117">
        <f t="shared" ref="CD64" si="671">ROUNDUP($V64*(CD63/100)/0.94,0)</f>
        <v>3</v>
      </c>
      <c r="CE64" s="1118">
        <f t="shared" ref="CE64" si="672">ROUNDUP($V64*(CE63/100)/0.94,0)</f>
        <v>3</v>
      </c>
      <c r="CF64" s="1117">
        <f t="shared" ref="CF64" si="673">ROUNDUP($V64*(CF63/100)/0.94,0)</f>
        <v>3</v>
      </c>
      <c r="CG64" s="1117">
        <f t="shared" ref="CG64" si="674">ROUNDUP($V64*(CG63/100)/0.94,0)</f>
        <v>3</v>
      </c>
      <c r="CH64" s="1117">
        <f t="shared" ref="CH64" si="675">ROUNDUP($V64*(CH63/100)/0.94,0)</f>
        <v>3</v>
      </c>
      <c r="CI64" s="1117">
        <f t="shared" ref="CI64" si="676">ROUNDUP($V64*(CI63/100)/0.94,0)</f>
        <v>3</v>
      </c>
      <c r="CJ64" s="1117">
        <f t="shared" ref="CJ64" si="677">ROUNDUP($V64*(CJ63/100)/0.94,0)</f>
        <v>3</v>
      </c>
      <c r="CK64" s="1117">
        <f t="shared" ref="CK64" si="678">ROUNDUP($V64*(CK63/100)/0.94,0)</f>
        <v>3</v>
      </c>
      <c r="CL64" s="1117">
        <f t="shared" ref="CL64" si="679">ROUNDUP($V64*(CL63/100)/0.94,0)</f>
        <v>3</v>
      </c>
      <c r="CM64" s="1117">
        <f t="shared" ref="CM64" si="680">ROUNDUP($V64*(CM63/100)/0.94,0)</f>
        <v>3</v>
      </c>
      <c r="CN64" s="1117">
        <f t="shared" ref="CN64" si="681">ROUNDUP($V64*(CN63/100)/0.94,0)</f>
        <v>3</v>
      </c>
      <c r="CO64" s="1117">
        <f t="shared" ref="CO64" si="682">ROUNDUP($V64*(CO63/100)/0.94,0)</f>
        <v>3</v>
      </c>
      <c r="CP64" s="1117">
        <f t="shared" ref="CP64" si="683">ROUNDUP($V64*(CP63/100)/0.94,0)</f>
        <v>3</v>
      </c>
      <c r="CQ64" s="1118">
        <f t="shared" ref="CQ64" si="684">ROUNDUP($V64*(CQ63/100)/0.94,0)</f>
        <v>3</v>
      </c>
      <c r="CR64" s="1117">
        <f t="shared" ref="CR64" si="685">ROUNDUP($V64*(CR63/100)/0.94,0)</f>
        <v>3</v>
      </c>
      <c r="CS64" s="1117">
        <f t="shared" ref="CS64" si="686">ROUNDUP($V64*(CS63/100)/0.94,0)</f>
        <v>4</v>
      </c>
      <c r="CT64" s="1117">
        <f t="shared" ref="CT64" si="687">ROUNDUP($V64*(CT63/100)/0.94,0)</f>
        <v>4</v>
      </c>
      <c r="CU64" s="1117">
        <f t="shared" ref="CU64" si="688">ROUNDUP($V64*(CU63/100)/0.94,0)</f>
        <v>4</v>
      </c>
      <c r="CV64" s="1117">
        <f t="shared" ref="CV64" si="689">ROUNDUP($V64*(CV63/100)/0.94,0)</f>
        <v>4</v>
      </c>
      <c r="CW64" s="1117">
        <f t="shared" ref="CW64" si="690">ROUNDUP($V64*(CW63/100)/0.94,0)</f>
        <v>4</v>
      </c>
      <c r="CX64" s="1117">
        <f t="shared" ref="CX64" si="691">ROUNDUP($V64*(CX63/100)/0.94,0)</f>
        <v>4</v>
      </c>
      <c r="CY64" s="1117">
        <f t="shared" ref="CY64" si="692">ROUNDUP($V64*(CY63/100)/0.94,0)</f>
        <v>4</v>
      </c>
      <c r="CZ64" s="1117">
        <f t="shared" ref="CZ64" si="693">ROUNDUP($V64*(CZ63/100)/0.94,0)</f>
        <v>4</v>
      </c>
      <c r="DA64" s="1117">
        <f t="shared" ref="DA64" si="694">ROUNDUP($V64*(DA63/100)/0.94,0)</f>
        <v>4</v>
      </c>
      <c r="DB64" s="1117">
        <f t="shared" ref="DB64" si="695">ROUNDUP($V64*(DB63/100)/0.94,0)</f>
        <v>4</v>
      </c>
      <c r="DC64" s="1118">
        <f t="shared" ref="DC64" si="696">ROUNDUP($V64*(DC63/100)/0.94,0)</f>
        <v>4</v>
      </c>
      <c r="DD64" s="1117">
        <f t="shared" ref="DD64" si="697">ROUNDUP($V64*(DD63/100)/0.94,0)</f>
        <v>4</v>
      </c>
      <c r="DE64" s="1117">
        <f t="shared" ref="DE64" si="698">ROUNDUP($V64*(DE63/100)/0.94,0)</f>
        <v>4</v>
      </c>
      <c r="DF64" s="1117">
        <f t="shared" ref="DF64" si="699">ROUNDUP($V64*(DF63/100)/0.94,0)</f>
        <v>4</v>
      </c>
      <c r="DG64" s="1117">
        <f t="shared" ref="DG64" si="700">ROUNDUP($V64*(DG63/100)/0.94,0)</f>
        <v>4</v>
      </c>
      <c r="DH64" s="1117">
        <f t="shared" ref="DH64" si="701">ROUNDUP($V64*(DH63/100)/0.94,0)</f>
        <v>4</v>
      </c>
      <c r="DI64" s="1117">
        <f t="shared" ref="DI64" si="702">ROUNDUP($V64*(DI63/100)/0.94,0)</f>
        <v>4</v>
      </c>
      <c r="DJ64" s="1117">
        <f t="shared" ref="DJ64" si="703">ROUNDUP($V64*(DJ63/100)/0.94,0)</f>
        <v>4</v>
      </c>
      <c r="DK64" s="1117">
        <f t="shared" ref="DK64" si="704">ROUNDUP($V64*(DK63/100)/0.94,0)</f>
        <v>4</v>
      </c>
      <c r="DL64" s="1117">
        <f t="shared" ref="DL64" si="705">ROUNDUP($V64*(DL63/100)/0.94,0)</f>
        <v>4</v>
      </c>
      <c r="DM64" s="1117">
        <f t="shared" ref="DM64" si="706">ROUNDUP($V64*(DM63/100)/0.94,0)</f>
        <v>4</v>
      </c>
      <c r="DN64" s="1117">
        <f t="shared" ref="DN64" si="707">ROUNDUP($V64*(DN63/100)/0.94,0)</f>
        <v>4</v>
      </c>
      <c r="DO64" s="1118">
        <f t="shared" ref="DO64" si="708">ROUNDUP($V64*(DO63/100)/0.94,0)</f>
        <v>4</v>
      </c>
      <c r="DP64" s="1117">
        <f t="shared" ref="DP64" si="709">ROUNDUP($V64*(DP63/100)/0.94,0)</f>
        <v>4</v>
      </c>
      <c r="DQ64" s="1117">
        <f t="shared" ref="DQ64" si="710">ROUNDUP($V64*(DQ63/100)/0.94,0)</f>
        <v>4</v>
      </c>
      <c r="DR64" s="1117">
        <f t="shared" ref="DR64" si="711">ROUNDUP($V64*(DR63/100)/0.94,0)</f>
        <v>4</v>
      </c>
      <c r="DS64" s="1117">
        <f t="shared" ref="DS64" si="712">ROUNDUP($V64*(DS63/100)/0.94,0)</f>
        <v>4</v>
      </c>
      <c r="DT64" s="1117">
        <f t="shared" ref="DT64" si="713">ROUNDUP($V64*(DT63/100)/0.94,0)</f>
        <v>4</v>
      </c>
      <c r="DU64" s="1117">
        <f t="shared" ref="DU64" si="714">ROUNDUP($V64*(DU63/100)/0.94,0)</f>
        <v>4</v>
      </c>
      <c r="DV64" s="1117">
        <f t="shared" ref="DV64" si="715">ROUNDUP($V64*(DV63/100)/0.94,0)</f>
        <v>4</v>
      </c>
      <c r="DW64" s="1117">
        <f t="shared" ref="DW64" si="716">ROUNDUP($V64*(DW63/100)/0.94,0)</f>
        <v>5</v>
      </c>
      <c r="DX64" s="1117">
        <f t="shared" ref="DX64" si="717">ROUNDUP($V64*(DX63/100)/0.94,0)</f>
        <v>5</v>
      </c>
      <c r="DY64" s="1117">
        <f t="shared" ref="DY64" si="718">ROUNDUP($V64*(DY63/100)/0.94,0)</f>
        <v>5</v>
      </c>
      <c r="DZ64" s="1117">
        <f t="shared" ref="DZ64" si="719">ROUNDUP($V64*(DZ63/100)/0.94,0)</f>
        <v>5</v>
      </c>
      <c r="EA64" s="1112">
        <f t="shared" ref="EA64" si="720">ROUNDUP($V64*(EA63/100)/0.94,0)</f>
        <v>5</v>
      </c>
      <c r="EB64" s="1112">
        <f t="shared" ref="EB64" si="721">ROUNDUP($V64*(EB63/100)/0.94,0)</f>
        <v>5</v>
      </c>
      <c r="EC64" s="1112">
        <f t="shared" ref="EC64" si="722">ROUNDUP($V64*(EC63/100)/0.94,0)</f>
        <v>5</v>
      </c>
      <c r="ED64" s="1112">
        <f t="shared" ref="ED64" si="723">ROUNDUP($V64*(ED63/100)/0.94,0)</f>
        <v>5</v>
      </c>
    </row>
    <row r="65" spans="1:134" ht="18.75" outlineLevel="1" x14ac:dyDescent="0.3">
      <c r="A65" t="s">
        <v>215</v>
      </c>
      <c r="B65" s="170">
        <f>'Growth Prediction Exec Summary'!C7</f>
        <v>0.11749999999999999</v>
      </c>
      <c r="C65" s="1675"/>
      <c r="D65" s="1648" t="s">
        <v>243</v>
      </c>
      <c r="E65" s="1648"/>
      <c r="F65" s="1648"/>
      <c r="G65" s="1648"/>
      <c r="H65" s="1648"/>
      <c r="I65" s="1648"/>
      <c r="J65" s="1648"/>
      <c r="K65" s="1648"/>
      <c r="L65" s="969"/>
      <c r="M65" s="1330">
        <f>N65*100</f>
        <v>41</v>
      </c>
      <c r="N65" s="1400">
        <f>'PCB Data'!D4/100</f>
        <v>0.41</v>
      </c>
      <c r="O65" s="1401">
        <f>'PCB Data'!H4/100</f>
        <v>0.46</v>
      </c>
      <c r="P65" s="1401">
        <f>'PCB Data'!L4/100</f>
        <v>0.49</v>
      </c>
      <c r="Q65" s="971"/>
      <c r="R65" s="972">
        <f t="shared" si="612"/>
        <v>8.0000000000000016E-2</v>
      </c>
      <c r="S65" s="973">
        <v>6</v>
      </c>
      <c r="T65" s="973">
        <v>2</v>
      </c>
      <c r="U65" s="970"/>
      <c r="V65" s="1104"/>
      <c r="W65" s="1108">
        <f>M65</f>
        <v>41</v>
      </c>
      <c r="X65" s="1109">
        <f t="shared" ref="X65:Y69" si="724">W65</f>
        <v>41</v>
      </c>
      <c r="Y65" s="1109">
        <f t="shared" si="724"/>
        <v>41</v>
      </c>
      <c r="Z65" s="1109">
        <f>O65*100</f>
        <v>46</v>
      </c>
      <c r="AA65" s="1109">
        <f>Z65</f>
        <v>46</v>
      </c>
      <c r="AB65" s="1109">
        <f>AA65</f>
        <v>46</v>
      </c>
      <c r="AC65" s="1109">
        <f>P65*100</f>
        <v>49</v>
      </c>
      <c r="AD65" s="1109">
        <f>AC65</f>
        <v>49</v>
      </c>
      <c r="AE65" s="1109">
        <f>AD65</f>
        <v>49</v>
      </c>
      <c r="AF65" s="1109">
        <f>AE65</f>
        <v>49</v>
      </c>
      <c r="AG65" s="1109">
        <f>AF65</f>
        <v>49</v>
      </c>
      <c r="AH65" s="1109">
        <f>AG65</f>
        <v>49</v>
      </c>
      <c r="AI65" s="1110">
        <f t="shared" ref="AI65:AT65" si="725">(((AH65*(1+($B$66*$B$4)))-AH65)/12)+AH65</f>
        <v>49.558599999999998</v>
      </c>
      <c r="AJ65" s="1109">
        <f t="shared" si="725"/>
        <v>50.123568039999995</v>
      </c>
      <c r="AK65" s="1109">
        <f t="shared" si="725"/>
        <v>50.694976715655997</v>
      </c>
      <c r="AL65" s="1109">
        <f t="shared" si="725"/>
        <v>51.272899450214474</v>
      </c>
      <c r="AM65" s="1109">
        <f t="shared" si="725"/>
        <v>51.857410503946923</v>
      </c>
      <c r="AN65" s="1109">
        <f t="shared" si="725"/>
        <v>52.448584983691916</v>
      </c>
      <c r="AO65" s="1109">
        <f t="shared" si="725"/>
        <v>53.046498852506005</v>
      </c>
      <c r="AP65" s="1109">
        <f t="shared" si="725"/>
        <v>53.65122893942457</v>
      </c>
      <c r="AQ65" s="1109">
        <f t="shared" si="725"/>
        <v>54.262852949334011</v>
      </c>
      <c r="AR65" s="1109">
        <f t="shared" si="725"/>
        <v>54.881449472956419</v>
      </c>
      <c r="AS65" s="1109">
        <f t="shared" si="725"/>
        <v>55.507097996948119</v>
      </c>
      <c r="AT65" s="1109">
        <f t="shared" si="725"/>
        <v>56.139878914113325</v>
      </c>
      <c r="AU65" s="1110">
        <f t="shared" ref="AU65:BF65" si="726">(((AT65*(1+($B$67*$B$4)))-AT65)/12)+AT65</f>
        <v>56.763031570059979</v>
      </c>
      <c r="AV65" s="1109">
        <f t="shared" si="726"/>
        <v>57.393101220487644</v>
      </c>
      <c r="AW65" s="1109">
        <f t="shared" si="726"/>
        <v>58.030164644035054</v>
      </c>
      <c r="AX65" s="1109">
        <f t="shared" si="726"/>
        <v>58.674299471583844</v>
      </c>
      <c r="AY65" s="1109">
        <f t="shared" si="726"/>
        <v>59.325584195718427</v>
      </c>
      <c r="AZ65" s="1109">
        <f t="shared" si="726"/>
        <v>59.9840981802909</v>
      </c>
      <c r="BA65" s="1109">
        <f t="shared" si="726"/>
        <v>60.649921670092127</v>
      </c>
      <c r="BB65" s="1109">
        <f t="shared" si="726"/>
        <v>61.323135800630148</v>
      </c>
      <c r="BC65" s="1109">
        <f t="shared" si="726"/>
        <v>62.003822608017146</v>
      </c>
      <c r="BD65" s="1109">
        <f t="shared" si="726"/>
        <v>62.692065038966135</v>
      </c>
      <c r="BE65" s="1109">
        <f t="shared" si="726"/>
        <v>63.38794696089866</v>
      </c>
      <c r="BF65" s="1109">
        <f t="shared" si="726"/>
        <v>64.091553172164637</v>
      </c>
      <c r="BG65" s="1110">
        <f t="shared" ref="BG65:BR65" si="727">(((BF65*(1+($B$68*$B$4)))-BF65)/12)+BF65</f>
        <v>64.764514480472371</v>
      </c>
      <c r="BH65" s="1109">
        <f t="shared" si="727"/>
        <v>65.444541882517328</v>
      </c>
      <c r="BI65" s="1109">
        <f t="shared" si="727"/>
        <v>66.131709572283768</v>
      </c>
      <c r="BJ65" s="1109">
        <f t="shared" si="727"/>
        <v>66.826092522792749</v>
      </c>
      <c r="BK65" s="1109">
        <f t="shared" si="727"/>
        <v>67.527766494282076</v>
      </c>
      <c r="BL65" s="1109">
        <f t="shared" si="727"/>
        <v>68.236808042472035</v>
      </c>
      <c r="BM65" s="1109">
        <f t="shared" si="727"/>
        <v>68.953294526917986</v>
      </c>
      <c r="BN65" s="1109">
        <f t="shared" si="727"/>
        <v>69.677304119450625</v>
      </c>
      <c r="BO65" s="1109">
        <f t="shared" si="727"/>
        <v>70.408915812704862</v>
      </c>
      <c r="BP65" s="1109">
        <f t="shared" si="727"/>
        <v>71.148209428738269</v>
      </c>
      <c r="BQ65" s="1109">
        <f t="shared" si="727"/>
        <v>71.895265627740017</v>
      </c>
      <c r="BR65" s="1109">
        <f t="shared" si="727"/>
        <v>72.650165916831284</v>
      </c>
      <c r="BS65" s="1110">
        <f t="shared" ref="BS65:CD65" si="728">(((BR65*(1+($B$69*$B$4)))-BR65)/12)+BR65</f>
        <v>73.412992658958018</v>
      </c>
      <c r="BT65" s="1109">
        <f t="shared" si="728"/>
        <v>74.183829081877079</v>
      </c>
      <c r="BU65" s="1109">
        <f t="shared" si="728"/>
        <v>74.962759287236793</v>
      </c>
      <c r="BV65" s="1109">
        <f t="shared" si="728"/>
        <v>75.749868259752773</v>
      </c>
      <c r="BW65" s="1109">
        <f t="shared" si="728"/>
        <v>76.545241876480176</v>
      </c>
      <c r="BX65" s="1109">
        <f t="shared" si="728"/>
        <v>77.348966916183215</v>
      </c>
      <c r="BY65" s="1109">
        <f t="shared" si="728"/>
        <v>78.161131068803144</v>
      </c>
      <c r="BZ65" s="1109">
        <f t="shared" si="728"/>
        <v>78.981822945025584</v>
      </c>
      <c r="CA65" s="1109">
        <f t="shared" si="728"/>
        <v>79.811132085948358</v>
      </c>
      <c r="CB65" s="1109">
        <f t="shared" si="728"/>
        <v>80.64914897285081</v>
      </c>
      <c r="CC65" s="1109">
        <f t="shared" si="728"/>
        <v>81.495965037065744</v>
      </c>
      <c r="CD65" s="1109">
        <f t="shared" si="728"/>
        <v>82.351672669954937</v>
      </c>
      <c r="CE65" s="1110">
        <f t="shared" ref="CE65:CP65" si="729">(((CD65*(1+($B$70*$B$4)))-CD65)/12)+CD65</f>
        <v>83.21636523298946</v>
      </c>
      <c r="CF65" s="1109">
        <f t="shared" si="729"/>
        <v>84.090137067935856</v>
      </c>
      <c r="CG65" s="1109">
        <f t="shared" si="729"/>
        <v>84.973083507149184</v>
      </c>
      <c r="CH65" s="1109">
        <f t="shared" si="729"/>
        <v>85.865300883974257</v>
      </c>
      <c r="CI65" s="1109">
        <f t="shared" si="729"/>
        <v>86.766886543255993</v>
      </c>
      <c r="CJ65" s="1109">
        <f t="shared" si="729"/>
        <v>87.677938851960178</v>
      </c>
      <c r="CK65" s="1109">
        <f t="shared" si="729"/>
        <v>88.598557209905763</v>
      </c>
      <c r="CL65" s="1109">
        <f t="shared" si="729"/>
        <v>89.528842060609776</v>
      </c>
      <c r="CM65" s="1109">
        <f t="shared" si="729"/>
        <v>90.468894902246177</v>
      </c>
      <c r="CN65" s="1109">
        <f t="shared" si="729"/>
        <v>91.418818298719756</v>
      </c>
      <c r="CO65" s="1109">
        <f t="shared" si="729"/>
        <v>92.378715890856313</v>
      </c>
      <c r="CP65" s="1109">
        <f t="shared" si="729"/>
        <v>93.348692407710303</v>
      </c>
      <c r="CQ65" s="1110">
        <f t="shared" ref="CQ65:DB65" si="730">(((CP65*(1+($B$71*$B$4)))-CP65)/12)+CP65</f>
        <v>94.328853677991262</v>
      </c>
      <c r="CR65" s="1109">
        <f t="shared" si="730"/>
        <v>95.319306641610169</v>
      </c>
      <c r="CS65" s="1109">
        <f t="shared" si="730"/>
        <v>96.320159361347081</v>
      </c>
      <c r="CT65" s="1109">
        <f t="shared" si="730"/>
        <v>97.331521034641227</v>
      </c>
      <c r="CU65" s="1109">
        <f t="shared" si="730"/>
        <v>98.353502005504964</v>
      </c>
      <c r="CV65" s="1109">
        <f t="shared" si="730"/>
        <v>99.386213776562769</v>
      </c>
      <c r="CW65" s="1109">
        <f t="shared" si="730"/>
        <v>100.42976902121669</v>
      </c>
      <c r="CX65" s="1109">
        <f t="shared" si="730"/>
        <v>101.48428159593946</v>
      </c>
      <c r="CY65" s="1109">
        <f t="shared" si="730"/>
        <v>102.54986655269683</v>
      </c>
      <c r="CZ65" s="1109">
        <f t="shared" si="730"/>
        <v>103.62664015150014</v>
      </c>
      <c r="DA65" s="1109">
        <f t="shared" si="730"/>
        <v>104.7147198730909</v>
      </c>
      <c r="DB65" s="1109">
        <f t="shared" si="730"/>
        <v>105.81422443175836</v>
      </c>
      <c r="DC65" s="1110">
        <f t="shared" ref="DC65:DN65" si="731">(((DB65*(1+($B$72*$B$4)))-DB65)/12)+DB65</f>
        <v>106.92527378829183</v>
      </c>
      <c r="DD65" s="1109">
        <f t="shared" si="731"/>
        <v>108.04798916306891</v>
      </c>
      <c r="DE65" s="1109">
        <f t="shared" si="731"/>
        <v>109.18249304928113</v>
      </c>
      <c r="DF65" s="1109">
        <f t="shared" si="731"/>
        <v>110.32890922629859</v>
      </c>
      <c r="DG65" s="1109">
        <f t="shared" si="731"/>
        <v>111.48736277317472</v>
      </c>
      <c r="DH65" s="1109">
        <f t="shared" si="731"/>
        <v>112.65798008229307</v>
      </c>
      <c r="DI65" s="1109">
        <f t="shared" si="731"/>
        <v>113.84088887315714</v>
      </c>
      <c r="DJ65" s="1109">
        <f t="shared" si="731"/>
        <v>115.03621820632529</v>
      </c>
      <c r="DK65" s="1109">
        <f t="shared" si="731"/>
        <v>116.24409849749171</v>
      </c>
      <c r="DL65" s="1109">
        <f t="shared" si="731"/>
        <v>117.46466153171536</v>
      </c>
      <c r="DM65" s="1109">
        <f t="shared" si="731"/>
        <v>118.69804047779837</v>
      </c>
      <c r="DN65" s="1109">
        <f t="shared" si="731"/>
        <v>119.94436990281525</v>
      </c>
      <c r="DO65" s="1110">
        <f t="shared" ref="DO65:DZ65" si="732">(((DN65*(1+($B$75*$B$4)))-DN65)/12)+DN65</f>
        <v>120.84395267708636</v>
      </c>
      <c r="DP65" s="1109">
        <f t="shared" si="732"/>
        <v>121.75028232216451</v>
      </c>
      <c r="DQ65" s="1109">
        <f t="shared" si="732"/>
        <v>122.66340943958075</v>
      </c>
      <c r="DR65" s="1109">
        <f t="shared" si="732"/>
        <v>123.5833850103776</v>
      </c>
      <c r="DS65" s="1109">
        <f t="shared" si="732"/>
        <v>124.51026039795543</v>
      </c>
      <c r="DT65" s="1109">
        <f t="shared" si="732"/>
        <v>125.44408735094009</v>
      </c>
      <c r="DU65" s="1109">
        <f t="shared" si="732"/>
        <v>126.38491800607214</v>
      </c>
      <c r="DV65" s="1109">
        <f t="shared" si="732"/>
        <v>127.33280489111769</v>
      </c>
      <c r="DW65" s="1109">
        <f t="shared" si="732"/>
        <v>128.28780092780107</v>
      </c>
      <c r="DX65" s="1109">
        <f t="shared" si="732"/>
        <v>129.24995943475957</v>
      </c>
      <c r="DY65" s="1109">
        <f t="shared" si="732"/>
        <v>130.21933413052028</v>
      </c>
      <c r="DZ65" s="1109">
        <f t="shared" si="732"/>
        <v>131.19597913649918</v>
      </c>
      <c r="EA65" s="1110">
        <f>(((DZ65*(1+($B$76*$B$4)))-DZ65)/12)+DZ65</f>
        <v>132.08155199567054</v>
      </c>
      <c r="EB65" s="1109">
        <f>(((EA65*(1+($B$76*$B$4)))-EA65)/12)+EA65</f>
        <v>132.97310247164131</v>
      </c>
      <c r="EC65" s="1109">
        <f>(((EB65*(1+($B$76*$B$4)))-EB65)/12)+EB65</f>
        <v>133.87067091332489</v>
      </c>
      <c r="ED65" s="1111">
        <f>(((EC65*(1+($B$76*$B$4)))-EC65)/12)+EC65</f>
        <v>134.77429794198983</v>
      </c>
    </row>
    <row r="66" spans="1:134" ht="18.75" outlineLevel="1" x14ac:dyDescent="0.3">
      <c r="A66" t="s">
        <v>217</v>
      </c>
      <c r="B66" s="170">
        <f>'Growth Prediction Exec Summary'!D7</f>
        <v>0.152</v>
      </c>
      <c r="C66" s="1675"/>
      <c r="D66" s="1651"/>
      <c r="E66" s="1651"/>
      <c r="F66" s="1651"/>
      <c r="G66" s="1651"/>
      <c r="H66" s="1651"/>
      <c r="I66" s="1651"/>
      <c r="J66" s="1651"/>
      <c r="K66" s="1651"/>
      <c r="L66" s="974"/>
      <c r="M66" s="975"/>
      <c r="N66" s="1402"/>
      <c r="O66" s="1403"/>
      <c r="P66" s="1403"/>
      <c r="Q66" s="976"/>
      <c r="R66" s="977"/>
      <c r="S66" s="978"/>
      <c r="T66" s="978"/>
      <c r="U66" s="975"/>
      <c r="V66" s="1105">
        <v>6</v>
      </c>
      <c r="W66" s="1116">
        <f t="shared" ref="W66:BB66" si="733">ROUNDUP($V66*(W65/100)/0.8,0)</f>
        <v>4</v>
      </c>
      <c r="X66" s="1117">
        <f t="shared" si="733"/>
        <v>4</v>
      </c>
      <c r="Y66" s="1117">
        <f t="shared" si="733"/>
        <v>4</v>
      </c>
      <c r="Z66" s="1117">
        <f t="shared" si="733"/>
        <v>4</v>
      </c>
      <c r="AA66" s="1117">
        <f t="shared" si="733"/>
        <v>4</v>
      </c>
      <c r="AB66" s="1117">
        <f t="shared" si="733"/>
        <v>4</v>
      </c>
      <c r="AC66" s="1117">
        <f t="shared" si="733"/>
        <v>4</v>
      </c>
      <c r="AD66" s="1117">
        <f t="shared" si="733"/>
        <v>4</v>
      </c>
      <c r="AE66" s="1117">
        <f t="shared" si="733"/>
        <v>4</v>
      </c>
      <c r="AF66" s="1117">
        <f t="shared" si="733"/>
        <v>4</v>
      </c>
      <c r="AG66" s="1117">
        <f t="shared" si="733"/>
        <v>4</v>
      </c>
      <c r="AH66" s="1117">
        <f t="shared" si="733"/>
        <v>4</v>
      </c>
      <c r="AI66" s="1118">
        <f t="shared" si="733"/>
        <v>4</v>
      </c>
      <c r="AJ66" s="1117">
        <f t="shared" si="733"/>
        <v>4</v>
      </c>
      <c r="AK66" s="1117">
        <f t="shared" si="733"/>
        <v>4</v>
      </c>
      <c r="AL66" s="1117">
        <f t="shared" si="733"/>
        <v>4</v>
      </c>
      <c r="AM66" s="1117">
        <f t="shared" si="733"/>
        <v>4</v>
      </c>
      <c r="AN66" s="1117">
        <f t="shared" si="733"/>
        <v>4</v>
      </c>
      <c r="AO66" s="1117">
        <f t="shared" si="733"/>
        <v>4</v>
      </c>
      <c r="AP66" s="1117">
        <f t="shared" si="733"/>
        <v>5</v>
      </c>
      <c r="AQ66" s="1117">
        <f t="shared" si="733"/>
        <v>5</v>
      </c>
      <c r="AR66" s="1117">
        <f t="shared" si="733"/>
        <v>5</v>
      </c>
      <c r="AS66" s="1117">
        <f t="shared" si="733"/>
        <v>5</v>
      </c>
      <c r="AT66" s="1117">
        <f t="shared" si="733"/>
        <v>5</v>
      </c>
      <c r="AU66" s="1118">
        <f t="shared" si="733"/>
        <v>5</v>
      </c>
      <c r="AV66" s="1117">
        <f t="shared" si="733"/>
        <v>5</v>
      </c>
      <c r="AW66" s="1117">
        <f t="shared" si="733"/>
        <v>5</v>
      </c>
      <c r="AX66" s="1117">
        <f t="shared" si="733"/>
        <v>5</v>
      </c>
      <c r="AY66" s="1117">
        <f t="shared" si="733"/>
        <v>5</v>
      </c>
      <c r="AZ66" s="1117">
        <f t="shared" si="733"/>
        <v>5</v>
      </c>
      <c r="BA66" s="1117">
        <f t="shared" si="733"/>
        <v>5</v>
      </c>
      <c r="BB66" s="1117">
        <f t="shared" si="733"/>
        <v>5</v>
      </c>
      <c r="BC66" s="1117">
        <f t="shared" ref="BC66:CH66" si="734">ROUNDUP($V66*(BC65/100)/0.8,0)</f>
        <v>5</v>
      </c>
      <c r="BD66" s="1117">
        <f t="shared" si="734"/>
        <v>5</v>
      </c>
      <c r="BE66" s="1117">
        <f t="shared" si="734"/>
        <v>5</v>
      </c>
      <c r="BF66" s="1117">
        <f t="shared" si="734"/>
        <v>5</v>
      </c>
      <c r="BG66" s="1118">
        <f t="shared" si="734"/>
        <v>5</v>
      </c>
      <c r="BH66" s="1117">
        <f t="shared" si="734"/>
        <v>5</v>
      </c>
      <c r="BI66" s="1117">
        <f t="shared" si="734"/>
        <v>5</v>
      </c>
      <c r="BJ66" s="1117">
        <f t="shared" si="734"/>
        <v>6</v>
      </c>
      <c r="BK66" s="1117">
        <f t="shared" si="734"/>
        <v>6</v>
      </c>
      <c r="BL66" s="1117">
        <f t="shared" si="734"/>
        <v>6</v>
      </c>
      <c r="BM66" s="1117">
        <f t="shared" si="734"/>
        <v>6</v>
      </c>
      <c r="BN66" s="1117">
        <f t="shared" si="734"/>
        <v>6</v>
      </c>
      <c r="BO66" s="1117">
        <f t="shared" si="734"/>
        <v>6</v>
      </c>
      <c r="BP66" s="1117">
        <f t="shared" si="734"/>
        <v>6</v>
      </c>
      <c r="BQ66" s="1117">
        <f t="shared" si="734"/>
        <v>6</v>
      </c>
      <c r="BR66" s="1117">
        <f t="shared" si="734"/>
        <v>6</v>
      </c>
      <c r="BS66" s="1118">
        <f t="shared" si="734"/>
        <v>6</v>
      </c>
      <c r="BT66" s="1117">
        <f t="shared" si="734"/>
        <v>6</v>
      </c>
      <c r="BU66" s="1117">
        <f t="shared" si="734"/>
        <v>6</v>
      </c>
      <c r="BV66" s="1117">
        <f t="shared" si="734"/>
        <v>6</v>
      </c>
      <c r="BW66" s="1117">
        <f t="shared" si="734"/>
        <v>6</v>
      </c>
      <c r="BX66" s="1117">
        <f t="shared" si="734"/>
        <v>6</v>
      </c>
      <c r="BY66" s="1117">
        <f t="shared" si="734"/>
        <v>6</v>
      </c>
      <c r="BZ66" s="1117">
        <f t="shared" si="734"/>
        <v>6</v>
      </c>
      <c r="CA66" s="1117">
        <f t="shared" si="734"/>
        <v>6</v>
      </c>
      <c r="CB66" s="1117">
        <f t="shared" si="734"/>
        <v>7</v>
      </c>
      <c r="CC66" s="1117">
        <f t="shared" si="734"/>
        <v>7</v>
      </c>
      <c r="CD66" s="1117">
        <f t="shared" si="734"/>
        <v>7</v>
      </c>
      <c r="CE66" s="1118">
        <f t="shared" si="734"/>
        <v>7</v>
      </c>
      <c r="CF66" s="1117">
        <f t="shared" si="734"/>
        <v>7</v>
      </c>
      <c r="CG66" s="1117">
        <f t="shared" si="734"/>
        <v>7</v>
      </c>
      <c r="CH66" s="1117">
        <f t="shared" si="734"/>
        <v>7</v>
      </c>
      <c r="CI66" s="1117">
        <f t="shared" ref="CI66:DN66" si="735">ROUNDUP($V66*(CI65/100)/0.8,0)</f>
        <v>7</v>
      </c>
      <c r="CJ66" s="1117">
        <f t="shared" si="735"/>
        <v>7</v>
      </c>
      <c r="CK66" s="1117">
        <f t="shared" si="735"/>
        <v>7</v>
      </c>
      <c r="CL66" s="1117">
        <f t="shared" si="735"/>
        <v>7</v>
      </c>
      <c r="CM66" s="1117">
        <f t="shared" si="735"/>
        <v>7</v>
      </c>
      <c r="CN66" s="1117">
        <f t="shared" si="735"/>
        <v>7</v>
      </c>
      <c r="CO66" s="1117">
        <f t="shared" si="735"/>
        <v>7</v>
      </c>
      <c r="CP66" s="1117">
        <f t="shared" si="735"/>
        <v>8</v>
      </c>
      <c r="CQ66" s="1118">
        <f t="shared" si="735"/>
        <v>8</v>
      </c>
      <c r="CR66" s="1117">
        <f t="shared" si="735"/>
        <v>8</v>
      </c>
      <c r="CS66" s="1117">
        <f t="shared" si="735"/>
        <v>8</v>
      </c>
      <c r="CT66" s="1117">
        <f t="shared" si="735"/>
        <v>8</v>
      </c>
      <c r="CU66" s="1117">
        <f t="shared" si="735"/>
        <v>8</v>
      </c>
      <c r="CV66" s="1117">
        <f t="shared" si="735"/>
        <v>8</v>
      </c>
      <c r="CW66" s="1117">
        <f t="shared" si="735"/>
        <v>8</v>
      </c>
      <c r="CX66" s="1117">
        <f t="shared" si="735"/>
        <v>8</v>
      </c>
      <c r="CY66" s="1117">
        <f t="shared" si="735"/>
        <v>8</v>
      </c>
      <c r="CZ66" s="1117">
        <f t="shared" si="735"/>
        <v>8</v>
      </c>
      <c r="DA66" s="1117">
        <f t="shared" si="735"/>
        <v>8</v>
      </c>
      <c r="DB66" s="1117">
        <f t="shared" si="735"/>
        <v>8</v>
      </c>
      <c r="DC66" s="1118">
        <f t="shared" si="735"/>
        <v>9</v>
      </c>
      <c r="DD66" s="1117">
        <f t="shared" si="735"/>
        <v>9</v>
      </c>
      <c r="DE66" s="1117">
        <f t="shared" si="735"/>
        <v>9</v>
      </c>
      <c r="DF66" s="1117">
        <f t="shared" si="735"/>
        <v>9</v>
      </c>
      <c r="DG66" s="1117">
        <f t="shared" si="735"/>
        <v>9</v>
      </c>
      <c r="DH66" s="1117">
        <f t="shared" si="735"/>
        <v>9</v>
      </c>
      <c r="DI66" s="1117">
        <f t="shared" si="735"/>
        <v>9</v>
      </c>
      <c r="DJ66" s="1117">
        <f t="shared" si="735"/>
        <v>9</v>
      </c>
      <c r="DK66" s="1117">
        <f t="shared" si="735"/>
        <v>9</v>
      </c>
      <c r="DL66" s="1117">
        <f t="shared" si="735"/>
        <v>9</v>
      </c>
      <c r="DM66" s="1117">
        <f t="shared" si="735"/>
        <v>9</v>
      </c>
      <c r="DN66" s="1117">
        <f t="shared" si="735"/>
        <v>9</v>
      </c>
      <c r="DO66" s="1118">
        <f t="shared" ref="DO66:ED66" si="736">ROUNDUP($V66*(DO65/100)/0.8,0)</f>
        <v>10</v>
      </c>
      <c r="DP66" s="1117">
        <f t="shared" si="736"/>
        <v>10</v>
      </c>
      <c r="DQ66" s="1117">
        <f t="shared" si="736"/>
        <v>10</v>
      </c>
      <c r="DR66" s="1117">
        <f t="shared" si="736"/>
        <v>10</v>
      </c>
      <c r="DS66" s="1117">
        <f t="shared" si="736"/>
        <v>10</v>
      </c>
      <c r="DT66" s="1117">
        <f t="shared" si="736"/>
        <v>10</v>
      </c>
      <c r="DU66" s="1117">
        <f t="shared" si="736"/>
        <v>10</v>
      </c>
      <c r="DV66" s="1117">
        <f t="shared" si="736"/>
        <v>10</v>
      </c>
      <c r="DW66" s="1117">
        <f t="shared" si="736"/>
        <v>10</v>
      </c>
      <c r="DX66" s="1117">
        <f t="shared" si="736"/>
        <v>10</v>
      </c>
      <c r="DY66" s="1117">
        <f t="shared" si="736"/>
        <v>10</v>
      </c>
      <c r="DZ66" s="1117">
        <f t="shared" si="736"/>
        <v>10</v>
      </c>
      <c r="EA66" s="1118">
        <f t="shared" si="736"/>
        <v>10</v>
      </c>
      <c r="EB66" s="1117">
        <f t="shared" si="736"/>
        <v>10</v>
      </c>
      <c r="EC66" s="1117">
        <f t="shared" si="736"/>
        <v>11</v>
      </c>
      <c r="ED66" s="1119">
        <f t="shared" si="736"/>
        <v>11</v>
      </c>
    </row>
    <row r="67" spans="1:134" ht="18.75" outlineLevel="1" x14ac:dyDescent="0.3">
      <c r="A67" t="s">
        <v>218</v>
      </c>
      <c r="B67" s="170">
        <f>'Growth Prediction Exec Summary'!E7</f>
        <v>0.14799999999999999</v>
      </c>
      <c r="C67" s="1675"/>
      <c r="D67" s="1648" t="s">
        <v>244</v>
      </c>
      <c r="E67" s="1648"/>
      <c r="F67" s="1648"/>
      <c r="G67" s="1648"/>
      <c r="H67" s="1648"/>
      <c r="I67" s="1648"/>
      <c r="J67" s="1648"/>
      <c r="K67" s="1648"/>
      <c r="L67" s="969"/>
      <c r="M67" s="1330">
        <f>N67*100</f>
        <v>38</v>
      </c>
      <c r="N67" s="1400">
        <f>'PCB Data'!C4/100</f>
        <v>0.38</v>
      </c>
      <c r="O67" s="1401">
        <f>'PCB Data'!G4/100</f>
        <v>0.42</v>
      </c>
      <c r="P67" s="1401">
        <f>'PCB Data'!K4/100</f>
        <v>0.44</v>
      </c>
      <c r="Q67" s="971"/>
      <c r="R67" s="972">
        <f t="shared" si="612"/>
        <v>0.06</v>
      </c>
      <c r="S67" s="973">
        <v>8</v>
      </c>
      <c r="T67" s="973">
        <v>2</v>
      </c>
      <c r="U67" s="970"/>
      <c r="V67" s="1104"/>
      <c r="W67" s="1114">
        <f>M67</f>
        <v>38</v>
      </c>
      <c r="X67" s="1017">
        <f t="shared" si="724"/>
        <v>38</v>
      </c>
      <c r="Y67" s="1017">
        <f t="shared" si="724"/>
        <v>38</v>
      </c>
      <c r="Z67" s="1017">
        <f>O67*100</f>
        <v>42</v>
      </c>
      <c r="AA67" s="1017">
        <f>Z67</f>
        <v>42</v>
      </c>
      <c r="AB67" s="1017">
        <f>AA67</f>
        <v>42</v>
      </c>
      <c r="AC67" s="1017">
        <f>P67*100</f>
        <v>44</v>
      </c>
      <c r="AD67" s="1017">
        <f>AC67</f>
        <v>44</v>
      </c>
      <c r="AE67" s="1017">
        <f>AD67</f>
        <v>44</v>
      </c>
      <c r="AF67" s="1017">
        <f>AE67</f>
        <v>44</v>
      </c>
      <c r="AG67" s="1017">
        <f>AF67</f>
        <v>44</v>
      </c>
      <c r="AH67" s="1017">
        <f>AG67</f>
        <v>44</v>
      </c>
      <c r="AI67" s="1018">
        <f t="shared" ref="AI67:AT67" si="737">(((AH67*(1+($B$66*$B$4)))-AH67)/12)+AH67</f>
        <v>44.501599999999996</v>
      </c>
      <c r="AJ67" s="1017">
        <f t="shared" si="737"/>
        <v>45.00891824</v>
      </c>
      <c r="AK67" s="1017">
        <f t="shared" si="737"/>
        <v>45.522019907935999</v>
      </c>
      <c r="AL67" s="1017">
        <f t="shared" si="737"/>
        <v>46.040970934886467</v>
      </c>
      <c r="AM67" s="1017">
        <f t="shared" si="737"/>
        <v>46.565838003544172</v>
      </c>
      <c r="AN67" s="1017">
        <f t="shared" si="737"/>
        <v>47.096688556784578</v>
      </c>
      <c r="AO67" s="1017">
        <f t="shared" si="737"/>
        <v>47.633590806331924</v>
      </c>
      <c r="AP67" s="1017">
        <f t="shared" si="737"/>
        <v>48.176613741524108</v>
      </c>
      <c r="AQ67" s="1017">
        <f t="shared" si="737"/>
        <v>48.725827138177479</v>
      </c>
      <c r="AR67" s="1017">
        <f t="shared" si="737"/>
        <v>49.281301567552703</v>
      </c>
      <c r="AS67" s="1017">
        <f t="shared" si="737"/>
        <v>49.843108405422804</v>
      </c>
      <c r="AT67" s="1017">
        <f t="shared" si="737"/>
        <v>50.411319841244627</v>
      </c>
      <c r="AU67" s="1018">
        <f t="shared" ref="AU67:BF67" si="738">(((AT67*(1+($B$67*$B$4)))-AT67)/12)+AT67</f>
        <v>50.970885491482441</v>
      </c>
      <c r="AV67" s="1017">
        <f t="shared" si="738"/>
        <v>51.536662320437898</v>
      </c>
      <c r="AW67" s="1017">
        <f t="shared" si="738"/>
        <v>52.108719272194762</v>
      </c>
      <c r="AX67" s="1017">
        <f t="shared" si="738"/>
        <v>52.687126056116121</v>
      </c>
      <c r="AY67" s="1017">
        <f t="shared" si="738"/>
        <v>53.271953155339013</v>
      </c>
      <c r="AZ67" s="1017">
        <f t="shared" si="738"/>
        <v>53.863271835363278</v>
      </c>
      <c r="BA67" s="1017">
        <f t="shared" si="738"/>
        <v>54.461154152735809</v>
      </c>
      <c r="BB67" s="1017">
        <f t="shared" si="738"/>
        <v>55.065672963831176</v>
      </c>
      <c r="BC67" s="1017">
        <f t="shared" si="738"/>
        <v>55.676901933729702</v>
      </c>
      <c r="BD67" s="1017">
        <f t="shared" si="738"/>
        <v>56.294915545194101</v>
      </c>
      <c r="BE67" s="1017">
        <f t="shared" si="738"/>
        <v>56.919789107745757</v>
      </c>
      <c r="BF67" s="1017">
        <f t="shared" si="738"/>
        <v>57.551598766841735</v>
      </c>
      <c r="BG67" s="1018">
        <f t="shared" ref="BG67:BR67" si="739">(((BF67*(1+($B$68*$B$4)))-BF67)/12)+BF67</f>
        <v>58.15589055389357</v>
      </c>
      <c r="BH67" s="1017">
        <f t="shared" si="739"/>
        <v>58.76652740470945</v>
      </c>
      <c r="BI67" s="1017">
        <f t="shared" si="739"/>
        <v>59.383575942458897</v>
      </c>
      <c r="BJ67" s="1017">
        <f t="shared" si="739"/>
        <v>60.007103489854714</v>
      </c>
      <c r="BK67" s="1017">
        <f t="shared" si="739"/>
        <v>60.637178076498188</v>
      </c>
      <c r="BL67" s="1017">
        <f t="shared" si="739"/>
        <v>61.273868446301421</v>
      </c>
      <c r="BM67" s="1017">
        <f t="shared" si="739"/>
        <v>61.917244064987585</v>
      </c>
      <c r="BN67" s="1017">
        <f t="shared" si="739"/>
        <v>62.567375127669955</v>
      </c>
      <c r="BO67" s="1017">
        <f t="shared" si="739"/>
        <v>63.22433256651049</v>
      </c>
      <c r="BP67" s="1017">
        <f t="shared" si="739"/>
        <v>63.888188058458852</v>
      </c>
      <c r="BQ67" s="1017">
        <f t="shared" si="739"/>
        <v>64.559014033072671</v>
      </c>
      <c r="BR67" s="1017">
        <f t="shared" si="739"/>
        <v>65.236883680419936</v>
      </c>
      <c r="BS67" s="1018">
        <f t="shared" ref="BS67:CD67" si="740">(((BR67*(1+($B$69*$B$4)))-BR67)/12)+BR67</f>
        <v>65.92187095906435</v>
      </c>
      <c r="BT67" s="1017">
        <f t="shared" si="740"/>
        <v>66.614050604134519</v>
      </c>
      <c r="BU67" s="1017">
        <f t="shared" si="740"/>
        <v>67.313498135477928</v>
      </c>
      <c r="BV67" s="1017">
        <f t="shared" si="740"/>
        <v>68.020289865900452</v>
      </c>
      <c r="BW67" s="1017">
        <f t="shared" si="740"/>
        <v>68.734502909492406</v>
      </c>
      <c r="BX67" s="1017">
        <f t="shared" si="740"/>
        <v>69.456215190042073</v>
      </c>
      <c r="BY67" s="1017">
        <f t="shared" si="740"/>
        <v>70.185505449537516</v>
      </c>
      <c r="BZ67" s="1017">
        <f t="shared" si="740"/>
        <v>70.922453256757663</v>
      </c>
      <c r="CA67" s="1017">
        <f t="shared" si="740"/>
        <v>71.667139015953623</v>
      </c>
      <c r="CB67" s="1017">
        <f t="shared" si="740"/>
        <v>72.419643975621142</v>
      </c>
      <c r="CC67" s="1017">
        <f t="shared" si="740"/>
        <v>73.180050237365165</v>
      </c>
      <c r="CD67" s="1017">
        <f t="shared" si="740"/>
        <v>73.948440764857494</v>
      </c>
      <c r="CE67" s="1018">
        <f t="shared" ref="CE67:CP67" si="741">(((CD67*(1+($B$70*$B$4)))-CD67)/12)+CD67</f>
        <v>74.724899392888503</v>
      </c>
      <c r="CF67" s="1017">
        <f t="shared" si="741"/>
        <v>75.50951083651384</v>
      </c>
      <c r="CG67" s="1017">
        <f t="shared" si="741"/>
        <v>76.302360700297243</v>
      </c>
      <c r="CH67" s="1017">
        <f t="shared" si="741"/>
        <v>77.103535487650362</v>
      </c>
      <c r="CI67" s="1017">
        <f t="shared" si="741"/>
        <v>77.91312261027069</v>
      </c>
      <c r="CJ67" s="1017">
        <f t="shared" si="741"/>
        <v>78.731210397678538</v>
      </c>
      <c r="CK67" s="1017">
        <f t="shared" si="741"/>
        <v>79.557888106854165</v>
      </c>
      <c r="CL67" s="1017">
        <f t="shared" si="741"/>
        <v>80.393245931976139</v>
      </c>
      <c r="CM67" s="1017">
        <f t="shared" si="741"/>
        <v>81.237375014261886</v>
      </c>
      <c r="CN67" s="1017">
        <f t="shared" si="741"/>
        <v>82.090367451911632</v>
      </c>
      <c r="CO67" s="1017">
        <f t="shared" si="741"/>
        <v>82.952316310156704</v>
      </c>
      <c r="CP67" s="1017">
        <f t="shared" si="741"/>
        <v>83.823315631413351</v>
      </c>
      <c r="CQ67" s="1018">
        <f t="shared" ref="CQ67:DB67" si="742">(((CP67*(1+($B$71*$B$4)))-CP67)/12)+CP67</f>
        <v>84.703460445543186</v>
      </c>
      <c r="CR67" s="1017">
        <f t="shared" si="742"/>
        <v>85.592846780221393</v>
      </c>
      <c r="CS67" s="1017">
        <f t="shared" si="742"/>
        <v>86.491571671413723</v>
      </c>
      <c r="CT67" s="1017">
        <f t="shared" si="742"/>
        <v>87.399733173963568</v>
      </c>
      <c r="CU67" s="1017">
        <f t="shared" si="742"/>
        <v>88.31743037229019</v>
      </c>
      <c r="CV67" s="1017">
        <f t="shared" si="742"/>
        <v>89.244763391199243</v>
      </c>
      <c r="CW67" s="1017">
        <f t="shared" si="742"/>
        <v>90.181833406806831</v>
      </c>
      <c r="CX67" s="1017">
        <f t="shared" si="742"/>
        <v>91.1287426575783</v>
      </c>
      <c r="CY67" s="1017">
        <f t="shared" si="742"/>
        <v>92.085594455482877</v>
      </c>
      <c r="CZ67" s="1017">
        <f t="shared" si="742"/>
        <v>93.052493197265449</v>
      </c>
      <c r="DA67" s="1017">
        <f t="shared" si="742"/>
        <v>94.029544375836736</v>
      </c>
      <c r="DB67" s="1017">
        <f t="shared" si="742"/>
        <v>95.016854591783016</v>
      </c>
      <c r="DC67" s="1018">
        <f t="shared" ref="DC67:DN67" si="743">(((DB67*(1+($B$72*$B$4)))-DB67)/12)+DB67</f>
        <v>96.014531564996744</v>
      </c>
      <c r="DD67" s="1017">
        <f t="shared" si="743"/>
        <v>97.022684146429214</v>
      </c>
      <c r="DE67" s="1017">
        <f t="shared" si="743"/>
        <v>98.041422329966721</v>
      </c>
      <c r="DF67" s="1017">
        <f t="shared" si="743"/>
        <v>99.070857264431368</v>
      </c>
      <c r="DG67" s="1017">
        <f t="shared" si="743"/>
        <v>100.1111012657079</v>
      </c>
      <c r="DH67" s="1017">
        <f t="shared" si="743"/>
        <v>101.16226782899784</v>
      </c>
      <c r="DI67" s="1017">
        <f t="shared" si="743"/>
        <v>102.22447164120231</v>
      </c>
      <c r="DJ67" s="1017">
        <f t="shared" si="743"/>
        <v>103.29782859343494</v>
      </c>
      <c r="DK67" s="1017">
        <f t="shared" si="743"/>
        <v>104.38245579366601</v>
      </c>
      <c r="DL67" s="1017">
        <f t="shared" si="743"/>
        <v>105.47847157949951</v>
      </c>
      <c r="DM67" s="1017">
        <f t="shared" si="743"/>
        <v>106.58599553108425</v>
      </c>
      <c r="DN67" s="1017">
        <f t="shared" si="743"/>
        <v>107.70514848416063</v>
      </c>
      <c r="DO67" s="1018">
        <f t="shared" ref="DO67:DZ67" si="744">(((DN67*(1+($B$75*$B$4)))-DN67)/12)+DN67</f>
        <v>108.51293709779183</v>
      </c>
      <c r="DP67" s="1017">
        <f t="shared" si="744"/>
        <v>109.32678412602527</v>
      </c>
      <c r="DQ67" s="1017">
        <f t="shared" si="744"/>
        <v>110.14673500697046</v>
      </c>
      <c r="DR67" s="1017">
        <f t="shared" si="744"/>
        <v>110.97283551952273</v>
      </c>
      <c r="DS67" s="1017">
        <f t="shared" si="744"/>
        <v>111.80513178591916</v>
      </c>
      <c r="DT67" s="1017">
        <f t="shared" si="744"/>
        <v>112.64367027431355</v>
      </c>
      <c r="DU67" s="1017">
        <f t="shared" si="744"/>
        <v>113.4884978013709</v>
      </c>
      <c r="DV67" s="1017">
        <f t="shared" si="744"/>
        <v>114.33966153488117</v>
      </c>
      <c r="DW67" s="1017">
        <f t="shared" si="744"/>
        <v>115.19720899639279</v>
      </c>
      <c r="DX67" s="1017">
        <f t="shared" si="744"/>
        <v>116.06118806386573</v>
      </c>
      <c r="DY67" s="1017">
        <f t="shared" si="744"/>
        <v>116.93164697434472</v>
      </c>
      <c r="DZ67" s="1017">
        <f t="shared" si="744"/>
        <v>117.8086343266523</v>
      </c>
      <c r="EA67" s="1018">
        <f>(((DZ67*(1+($B$76*$B$4)))-DZ67)/12)+DZ67</f>
        <v>118.6038426083572</v>
      </c>
      <c r="EB67" s="1017">
        <f>(((EA67*(1+($B$76*$B$4)))-EA67)/12)+EA67</f>
        <v>119.40441854596361</v>
      </c>
      <c r="EC67" s="1017">
        <f>(((EB67*(1+($B$76*$B$4)))-EB67)/12)+EB67</f>
        <v>120.21039837114887</v>
      </c>
      <c r="ED67" s="1115">
        <f>(((EC67*(1+($B$76*$B$4)))-EC67)/12)+EC67</f>
        <v>121.02181856015412</v>
      </c>
    </row>
    <row r="68" spans="1:134" ht="18.75" outlineLevel="1" x14ac:dyDescent="0.3">
      <c r="A68" t="s">
        <v>220</v>
      </c>
      <c r="B68" s="170">
        <f>'Growth Prediction Exec Summary'!F7</f>
        <v>0.14000000000000001</v>
      </c>
      <c r="C68" s="1675"/>
      <c r="D68" s="1651"/>
      <c r="E68" s="1651"/>
      <c r="F68" s="1651"/>
      <c r="G68" s="1651"/>
      <c r="H68" s="1651"/>
      <c r="I68" s="1651"/>
      <c r="J68" s="1651"/>
      <c r="K68" s="1651"/>
      <c r="L68" s="974"/>
      <c r="M68" s="975"/>
      <c r="N68" s="1402"/>
      <c r="O68" s="1403"/>
      <c r="P68" s="1403"/>
      <c r="Q68" s="976"/>
      <c r="R68" s="977"/>
      <c r="S68" s="978"/>
      <c r="T68" s="978"/>
      <c r="U68" s="975"/>
      <c r="V68" s="1105">
        <v>8</v>
      </c>
      <c r="W68" s="1112">
        <f t="shared" ref="W68:BB68" si="745">ROUNDUP($V68*(W67/100)/0.8,0)</f>
        <v>4</v>
      </c>
      <c r="X68" s="1015">
        <f t="shared" si="745"/>
        <v>4</v>
      </c>
      <c r="Y68" s="1015">
        <f t="shared" si="745"/>
        <v>4</v>
      </c>
      <c r="Z68" s="1015">
        <f t="shared" si="745"/>
        <v>5</v>
      </c>
      <c r="AA68" s="1015">
        <f t="shared" si="745"/>
        <v>5</v>
      </c>
      <c r="AB68" s="1015">
        <f t="shared" si="745"/>
        <v>5</v>
      </c>
      <c r="AC68" s="1015">
        <f t="shared" si="745"/>
        <v>5</v>
      </c>
      <c r="AD68" s="1015">
        <f t="shared" si="745"/>
        <v>5</v>
      </c>
      <c r="AE68" s="1015">
        <f t="shared" si="745"/>
        <v>5</v>
      </c>
      <c r="AF68" s="1015">
        <f t="shared" si="745"/>
        <v>5</v>
      </c>
      <c r="AG68" s="1015">
        <f t="shared" si="745"/>
        <v>5</v>
      </c>
      <c r="AH68" s="1015">
        <f t="shared" si="745"/>
        <v>5</v>
      </c>
      <c r="AI68" s="1016">
        <f t="shared" si="745"/>
        <v>5</v>
      </c>
      <c r="AJ68" s="1015">
        <f t="shared" si="745"/>
        <v>5</v>
      </c>
      <c r="AK68" s="1015">
        <f t="shared" si="745"/>
        <v>5</v>
      </c>
      <c r="AL68" s="1015">
        <f t="shared" si="745"/>
        <v>5</v>
      </c>
      <c r="AM68" s="1015">
        <f t="shared" si="745"/>
        <v>5</v>
      </c>
      <c r="AN68" s="1015">
        <f t="shared" si="745"/>
        <v>5</v>
      </c>
      <c r="AO68" s="1015">
        <f t="shared" si="745"/>
        <v>5</v>
      </c>
      <c r="AP68" s="1015">
        <f t="shared" si="745"/>
        <v>5</v>
      </c>
      <c r="AQ68" s="1015">
        <f t="shared" si="745"/>
        <v>5</v>
      </c>
      <c r="AR68" s="1015">
        <f t="shared" si="745"/>
        <v>5</v>
      </c>
      <c r="AS68" s="1015">
        <f t="shared" si="745"/>
        <v>5</v>
      </c>
      <c r="AT68" s="1015">
        <f t="shared" si="745"/>
        <v>6</v>
      </c>
      <c r="AU68" s="1016">
        <f t="shared" si="745"/>
        <v>6</v>
      </c>
      <c r="AV68" s="1015">
        <f t="shared" si="745"/>
        <v>6</v>
      </c>
      <c r="AW68" s="1015">
        <f t="shared" si="745"/>
        <v>6</v>
      </c>
      <c r="AX68" s="1015">
        <f t="shared" si="745"/>
        <v>6</v>
      </c>
      <c r="AY68" s="1015">
        <f t="shared" si="745"/>
        <v>6</v>
      </c>
      <c r="AZ68" s="1015">
        <f t="shared" si="745"/>
        <v>6</v>
      </c>
      <c r="BA68" s="1015">
        <f t="shared" si="745"/>
        <v>6</v>
      </c>
      <c r="BB68" s="1015">
        <f t="shared" si="745"/>
        <v>6</v>
      </c>
      <c r="BC68" s="1015">
        <f t="shared" ref="BC68:CH68" si="746">ROUNDUP($V68*(BC67/100)/0.8,0)</f>
        <v>6</v>
      </c>
      <c r="BD68" s="1015">
        <f t="shared" si="746"/>
        <v>6</v>
      </c>
      <c r="BE68" s="1015">
        <f t="shared" si="746"/>
        <v>6</v>
      </c>
      <c r="BF68" s="1015">
        <f t="shared" si="746"/>
        <v>6</v>
      </c>
      <c r="BG68" s="1016">
        <f t="shared" si="746"/>
        <v>6</v>
      </c>
      <c r="BH68" s="1015">
        <f t="shared" si="746"/>
        <v>6</v>
      </c>
      <c r="BI68" s="1015">
        <f t="shared" si="746"/>
        <v>6</v>
      </c>
      <c r="BJ68" s="1015">
        <f t="shared" si="746"/>
        <v>7</v>
      </c>
      <c r="BK68" s="1015">
        <f t="shared" si="746"/>
        <v>7</v>
      </c>
      <c r="BL68" s="1015">
        <f t="shared" si="746"/>
        <v>7</v>
      </c>
      <c r="BM68" s="1015">
        <f t="shared" si="746"/>
        <v>7</v>
      </c>
      <c r="BN68" s="1015">
        <f t="shared" si="746"/>
        <v>7</v>
      </c>
      <c r="BO68" s="1015">
        <f t="shared" si="746"/>
        <v>7</v>
      </c>
      <c r="BP68" s="1015">
        <f t="shared" si="746"/>
        <v>7</v>
      </c>
      <c r="BQ68" s="1015">
        <f t="shared" si="746"/>
        <v>7</v>
      </c>
      <c r="BR68" s="1015">
        <f t="shared" si="746"/>
        <v>7</v>
      </c>
      <c r="BS68" s="1016">
        <f t="shared" si="746"/>
        <v>7</v>
      </c>
      <c r="BT68" s="1015">
        <f t="shared" si="746"/>
        <v>7</v>
      </c>
      <c r="BU68" s="1015">
        <f t="shared" si="746"/>
        <v>7</v>
      </c>
      <c r="BV68" s="1015">
        <f t="shared" si="746"/>
        <v>7</v>
      </c>
      <c r="BW68" s="1015">
        <f t="shared" si="746"/>
        <v>7</v>
      </c>
      <c r="BX68" s="1015">
        <f t="shared" si="746"/>
        <v>7</v>
      </c>
      <c r="BY68" s="1015">
        <f t="shared" si="746"/>
        <v>8</v>
      </c>
      <c r="BZ68" s="1015">
        <f t="shared" si="746"/>
        <v>8</v>
      </c>
      <c r="CA68" s="1015">
        <f t="shared" si="746"/>
        <v>8</v>
      </c>
      <c r="CB68" s="1015">
        <f t="shared" si="746"/>
        <v>8</v>
      </c>
      <c r="CC68" s="1015">
        <f t="shared" si="746"/>
        <v>8</v>
      </c>
      <c r="CD68" s="1015">
        <f t="shared" si="746"/>
        <v>8</v>
      </c>
      <c r="CE68" s="1016">
        <f t="shared" si="746"/>
        <v>8</v>
      </c>
      <c r="CF68" s="1015">
        <f t="shared" si="746"/>
        <v>8</v>
      </c>
      <c r="CG68" s="1015">
        <f t="shared" si="746"/>
        <v>8</v>
      </c>
      <c r="CH68" s="1015">
        <f t="shared" si="746"/>
        <v>8</v>
      </c>
      <c r="CI68" s="1015">
        <f t="shared" ref="CI68:DN68" si="747">ROUNDUP($V68*(CI67/100)/0.8,0)</f>
        <v>8</v>
      </c>
      <c r="CJ68" s="1015">
        <f t="shared" si="747"/>
        <v>8</v>
      </c>
      <c r="CK68" s="1015">
        <f t="shared" si="747"/>
        <v>8</v>
      </c>
      <c r="CL68" s="1015">
        <f t="shared" si="747"/>
        <v>9</v>
      </c>
      <c r="CM68" s="1015">
        <f t="shared" si="747"/>
        <v>9</v>
      </c>
      <c r="CN68" s="1015">
        <f t="shared" si="747"/>
        <v>9</v>
      </c>
      <c r="CO68" s="1015">
        <f t="shared" si="747"/>
        <v>9</v>
      </c>
      <c r="CP68" s="1015">
        <f t="shared" si="747"/>
        <v>9</v>
      </c>
      <c r="CQ68" s="1016">
        <f t="shared" si="747"/>
        <v>9</v>
      </c>
      <c r="CR68" s="1015">
        <f t="shared" si="747"/>
        <v>9</v>
      </c>
      <c r="CS68" s="1015">
        <f t="shared" si="747"/>
        <v>9</v>
      </c>
      <c r="CT68" s="1015">
        <f t="shared" si="747"/>
        <v>9</v>
      </c>
      <c r="CU68" s="1015">
        <f t="shared" si="747"/>
        <v>9</v>
      </c>
      <c r="CV68" s="1015">
        <f t="shared" si="747"/>
        <v>9</v>
      </c>
      <c r="CW68" s="1015">
        <f t="shared" si="747"/>
        <v>10</v>
      </c>
      <c r="CX68" s="1015">
        <f t="shared" si="747"/>
        <v>10</v>
      </c>
      <c r="CY68" s="1015">
        <f t="shared" si="747"/>
        <v>10</v>
      </c>
      <c r="CZ68" s="1015">
        <f t="shared" si="747"/>
        <v>10</v>
      </c>
      <c r="DA68" s="1015">
        <f t="shared" si="747"/>
        <v>10</v>
      </c>
      <c r="DB68" s="1015">
        <f t="shared" si="747"/>
        <v>10</v>
      </c>
      <c r="DC68" s="1016">
        <f t="shared" si="747"/>
        <v>10</v>
      </c>
      <c r="DD68" s="1015">
        <f t="shared" si="747"/>
        <v>10</v>
      </c>
      <c r="DE68" s="1015">
        <f t="shared" si="747"/>
        <v>10</v>
      </c>
      <c r="DF68" s="1015">
        <f t="shared" si="747"/>
        <v>10</v>
      </c>
      <c r="DG68" s="1015">
        <f t="shared" si="747"/>
        <v>11</v>
      </c>
      <c r="DH68" s="1015">
        <f t="shared" si="747"/>
        <v>11</v>
      </c>
      <c r="DI68" s="1015">
        <f t="shared" si="747"/>
        <v>11</v>
      </c>
      <c r="DJ68" s="1015">
        <f t="shared" si="747"/>
        <v>11</v>
      </c>
      <c r="DK68" s="1015">
        <f t="shared" si="747"/>
        <v>11</v>
      </c>
      <c r="DL68" s="1015">
        <f t="shared" si="747"/>
        <v>11</v>
      </c>
      <c r="DM68" s="1015">
        <f t="shared" si="747"/>
        <v>11</v>
      </c>
      <c r="DN68" s="1015">
        <f t="shared" si="747"/>
        <v>11</v>
      </c>
      <c r="DO68" s="1016">
        <f t="shared" ref="DO68:ED68" si="748">ROUNDUP($V68*(DO67/100)/0.8,0)</f>
        <v>11</v>
      </c>
      <c r="DP68" s="1015">
        <f t="shared" si="748"/>
        <v>11</v>
      </c>
      <c r="DQ68" s="1015">
        <f t="shared" si="748"/>
        <v>12</v>
      </c>
      <c r="DR68" s="1015">
        <f t="shared" si="748"/>
        <v>12</v>
      </c>
      <c r="DS68" s="1015">
        <f t="shared" si="748"/>
        <v>12</v>
      </c>
      <c r="DT68" s="1015">
        <f t="shared" si="748"/>
        <v>12</v>
      </c>
      <c r="DU68" s="1015">
        <f t="shared" si="748"/>
        <v>12</v>
      </c>
      <c r="DV68" s="1015">
        <f t="shared" si="748"/>
        <v>12</v>
      </c>
      <c r="DW68" s="1015">
        <f t="shared" si="748"/>
        <v>12</v>
      </c>
      <c r="DX68" s="1015">
        <f t="shared" si="748"/>
        <v>12</v>
      </c>
      <c r="DY68" s="1015">
        <f t="shared" si="748"/>
        <v>12</v>
      </c>
      <c r="DZ68" s="1015">
        <f t="shared" si="748"/>
        <v>12</v>
      </c>
      <c r="EA68" s="1016">
        <f t="shared" si="748"/>
        <v>12</v>
      </c>
      <c r="EB68" s="1015">
        <f t="shared" si="748"/>
        <v>12</v>
      </c>
      <c r="EC68" s="1015">
        <f t="shared" si="748"/>
        <v>13</v>
      </c>
      <c r="ED68" s="1113">
        <f t="shared" si="748"/>
        <v>13</v>
      </c>
    </row>
    <row r="69" spans="1:134" ht="18.75" outlineLevel="1" x14ac:dyDescent="0.3">
      <c r="A69" t="s">
        <v>221</v>
      </c>
      <c r="B69" s="170">
        <f>'Growth Prediction Exec Summary'!G7</f>
        <v>0.14000000000000001</v>
      </c>
      <c r="C69" s="1675"/>
      <c r="D69" s="1648" t="s">
        <v>245</v>
      </c>
      <c r="E69" s="1648"/>
      <c r="F69" s="1648"/>
      <c r="G69" s="1648"/>
      <c r="H69" s="1648"/>
      <c r="I69" s="1648"/>
      <c r="J69" s="1648"/>
      <c r="K69" s="1648"/>
      <c r="L69" s="969"/>
      <c r="M69" s="1330">
        <f>N69*100</f>
        <v>44</v>
      </c>
      <c r="N69" s="1400">
        <f>'PCB Data'!E4/100</f>
        <v>0.44</v>
      </c>
      <c r="O69" s="1401">
        <f>'PCB Data'!I4/100</f>
        <v>0.5</v>
      </c>
      <c r="P69" s="1401">
        <f>'PCB Data'!M4/100</f>
        <v>0.48</v>
      </c>
      <c r="Q69" s="971"/>
      <c r="R69" s="972">
        <f t="shared" si="612"/>
        <v>3.999999999999998E-2</v>
      </c>
      <c r="S69" s="973">
        <v>1</v>
      </c>
      <c r="T69" s="973">
        <v>2</v>
      </c>
      <c r="U69" s="970"/>
      <c r="V69" s="1104"/>
      <c r="W69" s="1108">
        <f>M69</f>
        <v>44</v>
      </c>
      <c r="X69" s="1109">
        <f t="shared" si="724"/>
        <v>44</v>
      </c>
      <c r="Y69" s="1109">
        <f t="shared" si="724"/>
        <v>44</v>
      </c>
      <c r="Z69" s="1109">
        <f>O69*100</f>
        <v>50</v>
      </c>
      <c r="AA69" s="1109">
        <f>Z69</f>
        <v>50</v>
      </c>
      <c r="AB69" s="1109">
        <f>AA69</f>
        <v>50</v>
      </c>
      <c r="AC69" s="1109">
        <f>P69*100</f>
        <v>48</v>
      </c>
      <c r="AD69" s="1109">
        <f>AC69</f>
        <v>48</v>
      </c>
      <c r="AE69" s="1109">
        <f>AD69</f>
        <v>48</v>
      </c>
      <c r="AF69" s="1109">
        <f>AE69</f>
        <v>48</v>
      </c>
      <c r="AG69" s="1109">
        <f>AF69</f>
        <v>48</v>
      </c>
      <c r="AH69" s="1109">
        <f>AG69</f>
        <v>48</v>
      </c>
      <c r="AI69" s="1110">
        <f t="shared" ref="AI69:AT69" si="749">(((AH69*(1+($B$66*$B$4)))-AH69)/12)+AH69</f>
        <v>48.547200000000004</v>
      </c>
      <c r="AJ69" s="1109">
        <f t="shared" si="749"/>
        <v>49.100638080000003</v>
      </c>
      <c r="AK69" s="1109">
        <f t="shared" si="749"/>
        <v>49.660385354112002</v>
      </c>
      <c r="AL69" s="1109">
        <f t="shared" si="749"/>
        <v>50.226513747148879</v>
      </c>
      <c r="AM69" s="1109">
        <f t="shared" si="749"/>
        <v>50.799096003866374</v>
      </c>
      <c r="AN69" s="1109">
        <f t="shared" si="749"/>
        <v>51.378205698310452</v>
      </c>
      <c r="AO69" s="1109">
        <f t="shared" si="749"/>
        <v>51.96391724327119</v>
      </c>
      <c r="AP69" s="1109">
        <f t="shared" si="749"/>
        <v>52.556305899844482</v>
      </c>
      <c r="AQ69" s="1109">
        <f t="shared" si="749"/>
        <v>53.155447787102709</v>
      </c>
      <c r="AR69" s="1109">
        <f t="shared" si="749"/>
        <v>53.761419891875683</v>
      </c>
      <c r="AS69" s="1109">
        <f t="shared" si="749"/>
        <v>54.374300078643067</v>
      </c>
      <c r="AT69" s="1109">
        <f t="shared" si="749"/>
        <v>54.994167099539595</v>
      </c>
      <c r="AU69" s="1110">
        <f t="shared" ref="AU69:BF69" si="750">(((AT69*(1+($B$67*$B$4)))-AT69)/12)+AT69</f>
        <v>55.604602354344486</v>
      </c>
      <c r="AV69" s="1109">
        <f t="shared" si="750"/>
        <v>56.22181344047771</v>
      </c>
      <c r="AW69" s="1109">
        <f t="shared" si="750"/>
        <v>56.845875569667015</v>
      </c>
      <c r="AX69" s="1109">
        <f t="shared" si="750"/>
        <v>57.476864788490317</v>
      </c>
      <c r="AY69" s="1109">
        <f t="shared" si="750"/>
        <v>58.114857987642559</v>
      </c>
      <c r="AZ69" s="1109">
        <f t="shared" si="750"/>
        <v>58.759932911305391</v>
      </c>
      <c r="BA69" s="1109">
        <f t="shared" si="750"/>
        <v>59.41216816662088</v>
      </c>
      <c r="BB69" s="1109">
        <f t="shared" si="750"/>
        <v>60.071643233270372</v>
      </c>
      <c r="BC69" s="1109">
        <f t="shared" si="750"/>
        <v>60.738438473159675</v>
      </c>
      <c r="BD69" s="1109">
        <f t="shared" si="750"/>
        <v>61.412635140211748</v>
      </c>
      <c r="BE69" s="1109">
        <f t="shared" si="750"/>
        <v>62.0943153902681</v>
      </c>
      <c r="BF69" s="1109">
        <f t="shared" si="750"/>
        <v>62.783562291100075</v>
      </c>
      <c r="BG69" s="1110">
        <f t="shared" ref="BG69:BR69" si="751">(((BF69*(1+($B$68*$B$4)))-BF69)/12)+BF69</f>
        <v>63.442789695156627</v>
      </c>
      <c r="BH69" s="1109">
        <f t="shared" si="751"/>
        <v>64.108938986955778</v>
      </c>
      <c r="BI69" s="1109">
        <f t="shared" si="751"/>
        <v>64.782082846318815</v>
      </c>
      <c r="BJ69" s="1109">
        <f t="shared" si="751"/>
        <v>65.462294716205164</v>
      </c>
      <c r="BK69" s="1109">
        <f t="shared" si="751"/>
        <v>66.149648810725324</v>
      </c>
      <c r="BL69" s="1109">
        <f t="shared" si="751"/>
        <v>66.844220123237946</v>
      </c>
      <c r="BM69" s="1109">
        <f t="shared" si="751"/>
        <v>67.546084434531949</v>
      </c>
      <c r="BN69" s="1109">
        <f t="shared" si="751"/>
        <v>68.255318321094535</v>
      </c>
      <c r="BO69" s="1109">
        <f t="shared" si="751"/>
        <v>68.971999163466023</v>
      </c>
      <c r="BP69" s="1109">
        <f t="shared" si="751"/>
        <v>69.696205154682417</v>
      </c>
      <c r="BQ69" s="1109">
        <f t="shared" si="751"/>
        <v>70.428015308806579</v>
      </c>
      <c r="BR69" s="1109">
        <f t="shared" si="751"/>
        <v>71.167509469549046</v>
      </c>
      <c r="BS69" s="1110">
        <f t="shared" ref="BS69:CD69" si="752">(((BR69*(1+($B$69*$B$4)))-BR69)/12)+BR69</f>
        <v>71.914768318979313</v>
      </c>
      <c r="BT69" s="1109">
        <f t="shared" si="752"/>
        <v>72.66987338632859</v>
      </c>
      <c r="BU69" s="1109">
        <f t="shared" si="752"/>
        <v>73.432907056885043</v>
      </c>
      <c r="BV69" s="1109">
        <f t="shared" si="752"/>
        <v>74.203952580982332</v>
      </c>
      <c r="BW69" s="1109">
        <f t="shared" si="752"/>
        <v>74.983094083082648</v>
      </c>
      <c r="BX69" s="1109">
        <f t="shared" si="752"/>
        <v>75.770416570955021</v>
      </c>
      <c r="BY69" s="1109">
        <f t="shared" si="752"/>
        <v>76.566005944950049</v>
      </c>
      <c r="BZ69" s="1109">
        <f t="shared" si="752"/>
        <v>77.369949007372028</v>
      </c>
      <c r="CA69" s="1109">
        <f t="shared" si="752"/>
        <v>78.182333471949434</v>
      </c>
      <c r="CB69" s="1109">
        <f t="shared" si="752"/>
        <v>79.00324797340491</v>
      </c>
      <c r="CC69" s="1109">
        <f t="shared" si="752"/>
        <v>79.832782077125657</v>
      </c>
      <c r="CD69" s="1109">
        <f t="shared" si="752"/>
        <v>80.671026288935479</v>
      </c>
      <c r="CE69" s="1110">
        <f t="shared" ref="CE69:CP69" si="753">(((CD69*(1+($B$70*$B$4)))-CD69)/12)+CD69</f>
        <v>81.518072064969303</v>
      </c>
      <c r="CF69" s="1109">
        <f t="shared" si="753"/>
        <v>82.374011821651479</v>
      </c>
      <c r="CG69" s="1109">
        <f t="shared" si="753"/>
        <v>83.238938945778813</v>
      </c>
      <c r="CH69" s="1109">
        <f t="shared" si="753"/>
        <v>84.112947804709492</v>
      </c>
      <c r="CI69" s="1109">
        <f t="shared" si="753"/>
        <v>84.996133756658935</v>
      </c>
      <c r="CJ69" s="1109">
        <f t="shared" si="753"/>
        <v>85.888593161103856</v>
      </c>
      <c r="CK69" s="1109">
        <f t="shared" si="753"/>
        <v>86.790423389295441</v>
      </c>
      <c r="CL69" s="1109">
        <f t="shared" si="753"/>
        <v>87.701722834883043</v>
      </c>
      <c r="CM69" s="1109">
        <f t="shared" si="753"/>
        <v>88.622590924649316</v>
      </c>
      <c r="CN69" s="1109">
        <f t="shared" si="753"/>
        <v>89.553128129358129</v>
      </c>
      <c r="CO69" s="1109">
        <f t="shared" si="753"/>
        <v>90.493435974716391</v>
      </c>
      <c r="CP69" s="1109">
        <f t="shared" si="753"/>
        <v>91.443617052450918</v>
      </c>
      <c r="CQ69" s="1110">
        <f t="shared" ref="CQ69:DB69" si="754">(((CP69*(1+($B$71*$B$4)))-CP69)/12)+CP69</f>
        <v>92.403775031501652</v>
      </c>
      <c r="CR69" s="1109">
        <f t="shared" si="754"/>
        <v>93.374014669332425</v>
      </c>
      <c r="CS69" s="1109">
        <f t="shared" si="754"/>
        <v>94.354441823360418</v>
      </c>
      <c r="CT69" s="1109">
        <f t="shared" si="754"/>
        <v>95.345163462505695</v>
      </c>
      <c r="CU69" s="1109">
        <f t="shared" si="754"/>
        <v>96.346287678862012</v>
      </c>
      <c r="CV69" s="1109">
        <f t="shared" si="754"/>
        <v>97.357923699490058</v>
      </c>
      <c r="CW69" s="1109">
        <f t="shared" si="754"/>
        <v>98.380181898334712</v>
      </c>
      <c r="CX69" s="1109">
        <f t="shared" si="754"/>
        <v>99.413173808267231</v>
      </c>
      <c r="CY69" s="1109">
        <f t="shared" si="754"/>
        <v>100.45701213325404</v>
      </c>
      <c r="CZ69" s="1109">
        <f t="shared" si="754"/>
        <v>101.5118107606532</v>
      </c>
      <c r="DA69" s="1109">
        <f t="shared" si="754"/>
        <v>102.57768477364006</v>
      </c>
      <c r="DB69" s="1109">
        <f t="shared" si="754"/>
        <v>103.65475046376328</v>
      </c>
      <c r="DC69" s="1110">
        <f t="shared" ref="DC69:DN69" si="755">(((DB69*(1+($B$72*$B$4)))-DB69)/12)+DB69</f>
        <v>104.7431253436328</v>
      </c>
      <c r="DD69" s="1109">
        <f t="shared" si="755"/>
        <v>105.84292815974095</v>
      </c>
      <c r="DE69" s="1109">
        <f t="shared" si="755"/>
        <v>106.95427890541824</v>
      </c>
      <c r="DF69" s="1109">
        <f t="shared" si="755"/>
        <v>108.07729883392513</v>
      </c>
      <c r="DG69" s="1109">
        <f t="shared" si="755"/>
        <v>109.21211047168134</v>
      </c>
      <c r="DH69" s="1109">
        <f t="shared" si="755"/>
        <v>110.358837631634</v>
      </c>
      <c r="DI69" s="1109">
        <f t="shared" si="755"/>
        <v>111.51760542676617</v>
      </c>
      <c r="DJ69" s="1109">
        <f t="shared" si="755"/>
        <v>112.68854028374722</v>
      </c>
      <c r="DK69" s="1109">
        <f t="shared" si="755"/>
        <v>113.87176995672657</v>
      </c>
      <c r="DL69" s="1109">
        <f t="shared" si="755"/>
        <v>115.06742354127219</v>
      </c>
      <c r="DM69" s="1109">
        <f t="shared" si="755"/>
        <v>116.27563148845555</v>
      </c>
      <c r="DN69" s="1109">
        <f t="shared" si="755"/>
        <v>117.49652561908432</v>
      </c>
      <c r="DO69" s="1110">
        <f t="shared" ref="DO69:DZ69" si="756">(((DN69*(1+($B$75*$B$4)))-DN69)/12)+DN69</f>
        <v>118.37774956122746</v>
      </c>
      <c r="DP69" s="1109">
        <f t="shared" si="756"/>
        <v>119.26558268293667</v>
      </c>
      <c r="DQ69" s="1109">
        <f t="shared" si="756"/>
        <v>120.16007455305869</v>
      </c>
      <c r="DR69" s="1109">
        <f t="shared" si="756"/>
        <v>121.06127511220663</v>
      </c>
      <c r="DS69" s="1109">
        <f t="shared" si="756"/>
        <v>121.96923467554818</v>
      </c>
      <c r="DT69" s="1109">
        <f t="shared" si="756"/>
        <v>122.88400393561479</v>
      </c>
      <c r="DU69" s="1109">
        <f t="shared" si="756"/>
        <v>123.8056339651319</v>
      </c>
      <c r="DV69" s="1109">
        <f t="shared" si="756"/>
        <v>124.73417621987039</v>
      </c>
      <c r="DW69" s="1109">
        <f t="shared" si="756"/>
        <v>125.66968254151942</v>
      </c>
      <c r="DX69" s="1109">
        <f t="shared" si="756"/>
        <v>126.61220516058081</v>
      </c>
      <c r="DY69" s="1109">
        <f t="shared" si="756"/>
        <v>127.56179669928517</v>
      </c>
      <c r="DZ69" s="1109">
        <f t="shared" si="756"/>
        <v>128.51851017452981</v>
      </c>
      <c r="EA69" s="1110">
        <f>(((DZ69*(1+($B$76*$B$4)))-DZ69)/12)+DZ69</f>
        <v>129.38601011820788</v>
      </c>
      <c r="EB69" s="1109">
        <f>(((EA69*(1+($B$76*$B$4)))-EA69)/12)+EA69</f>
        <v>130.25936568650579</v>
      </c>
      <c r="EC69" s="1109">
        <f>(((EB69*(1+($B$76*$B$4)))-EB69)/12)+EB69</f>
        <v>131.13861640488969</v>
      </c>
      <c r="ED69" s="1111">
        <f>(((EC69*(1+($B$76*$B$4)))-EC69)/12)+EC69</f>
        <v>132.0238020656227</v>
      </c>
    </row>
    <row r="70" spans="1:134" ht="18.75" outlineLevel="1" x14ac:dyDescent="0.3">
      <c r="A70" t="s">
        <v>223</v>
      </c>
      <c r="B70" s="170">
        <f>'Growth Prediction Exec Summary'!H7</f>
        <v>0.14000000000000001</v>
      </c>
      <c r="C70" s="1675"/>
      <c r="D70" s="1651"/>
      <c r="E70" s="1651"/>
      <c r="F70" s="1651"/>
      <c r="G70" s="1651"/>
      <c r="H70" s="1651"/>
      <c r="I70" s="1651"/>
      <c r="J70" s="1651"/>
      <c r="K70" s="1651"/>
      <c r="L70" s="974"/>
      <c r="M70" s="975"/>
      <c r="N70" s="1402"/>
      <c r="O70" s="1403"/>
      <c r="P70" s="1403"/>
      <c r="Q70" s="976"/>
      <c r="R70" s="977"/>
      <c r="S70" s="1079"/>
      <c r="T70" s="1079"/>
      <c r="U70" s="712"/>
      <c r="V70" s="1105">
        <v>2</v>
      </c>
      <c r="W70" s="1116">
        <f t="shared" ref="W70:BB70" si="757">ROUNDUP($V70*(W69/100)/0.8,0)</f>
        <v>2</v>
      </c>
      <c r="X70" s="1117">
        <f t="shared" si="757"/>
        <v>2</v>
      </c>
      <c r="Y70" s="1117">
        <f t="shared" si="757"/>
        <v>2</v>
      </c>
      <c r="Z70" s="1117">
        <f t="shared" si="757"/>
        <v>2</v>
      </c>
      <c r="AA70" s="1117">
        <f t="shared" si="757"/>
        <v>2</v>
      </c>
      <c r="AB70" s="1117">
        <f t="shared" si="757"/>
        <v>2</v>
      </c>
      <c r="AC70" s="1117">
        <f t="shared" si="757"/>
        <v>2</v>
      </c>
      <c r="AD70" s="1117">
        <f t="shared" si="757"/>
        <v>2</v>
      </c>
      <c r="AE70" s="1117">
        <f t="shared" si="757"/>
        <v>2</v>
      </c>
      <c r="AF70" s="1117">
        <f t="shared" si="757"/>
        <v>2</v>
      </c>
      <c r="AG70" s="1117">
        <f t="shared" si="757"/>
        <v>2</v>
      </c>
      <c r="AH70" s="1117">
        <f t="shared" si="757"/>
        <v>2</v>
      </c>
      <c r="AI70" s="1118">
        <f t="shared" si="757"/>
        <v>2</v>
      </c>
      <c r="AJ70" s="1117">
        <f t="shared" si="757"/>
        <v>2</v>
      </c>
      <c r="AK70" s="1117">
        <f t="shared" si="757"/>
        <v>2</v>
      </c>
      <c r="AL70" s="1117">
        <f t="shared" si="757"/>
        <v>2</v>
      </c>
      <c r="AM70" s="1117">
        <f t="shared" si="757"/>
        <v>2</v>
      </c>
      <c r="AN70" s="1117">
        <f t="shared" si="757"/>
        <v>2</v>
      </c>
      <c r="AO70" s="1117">
        <f t="shared" si="757"/>
        <v>2</v>
      </c>
      <c r="AP70" s="1117">
        <f t="shared" si="757"/>
        <v>2</v>
      </c>
      <c r="AQ70" s="1117">
        <f t="shared" si="757"/>
        <v>2</v>
      </c>
      <c r="AR70" s="1117">
        <f t="shared" si="757"/>
        <v>2</v>
      </c>
      <c r="AS70" s="1117">
        <f t="shared" si="757"/>
        <v>2</v>
      </c>
      <c r="AT70" s="1117">
        <f t="shared" si="757"/>
        <v>2</v>
      </c>
      <c r="AU70" s="1118">
        <f t="shared" si="757"/>
        <v>2</v>
      </c>
      <c r="AV70" s="1117">
        <f t="shared" si="757"/>
        <v>2</v>
      </c>
      <c r="AW70" s="1117">
        <f t="shared" si="757"/>
        <v>2</v>
      </c>
      <c r="AX70" s="1117">
        <f t="shared" si="757"/>
        <v>2</v>
      </c>
      <c r="AY70" s="1117">
        <f t="shared" si="757"/>
        <v>2</v>
      </c>
      <c r="AZ70" s="1117">
        <f t="shared" si="757"/>
        <v>2</v>
      </c>
      <c r="BA70" s="1117">
        <f t="shared" si="757"/>
        <v>2</v>
      </c>
      <c r="BB70" s="1117">
        <f t="shared" si="757"/>
        <v>2</v>
      </c>
      <c r="BC70" s="1117">
        <f t="shared" ref="BC70:CH70" si="758">ROUNDUP($V70*(BC69/100)/0.8,0)</f>
        <v>2</v>
      </c>
      <c r="BD70" s="1117">
        <f t="shared" si="758"/>
        <v>2</v>
      </c>
      <c r="BE70" s="1117">
        <f t="shared" si="758"/>
        <v>2</v>
      </c>
      <c r="BF70" s="1117">
        <f t="shared" si="758"/>
        <v>2</v>
      </c>
      <c r="BG70" s="1118">
        <f t="shared" si="758"/>
        <v>2</v>
      </c>
      <c r="BH70" s="1117">
        <f t="shared" si="758"/>
        <v>2</v>
      </c>
      <c r="BI70" s="1117">
        <f t="shared" si="758"/>
        <v>2</v>
      </c>
      <c r="BJ70" s="1117">
        <f t="shared" si="758"/>
        <v>2</v>
      </c>
      <c r="BK70" s="1117">
        <f t="shared" si="758"/>
        <v>2</v>
      </c>
      <c r="BL70" s="1117">
        <f t="shared" si="758"/>
        <v>2</v>
      </c>
      <c r="BM70" s="1117">
        <f t="shared" si="758"/>
        <v>2</v>
      </c>
      <c r="BN70" s="1117">
        <f t="shared" si="758"/>
        <v>2</v>
      </c>
      <c r="BO70" s="1117">
        <f t="shared" si="758"/>
        <v>2</v>
      </c>
      <c r="BP70" s="1117">
        <f t="shared" si="758"/>
        <v>2</v>
      </c>
      <c r="BQ70" s="1117">
        <f t="shared" si="758"/>
        <v>2</v>
      </c>
      <c r="BR70" s="1117">
        <f t="shared" si="758"/>
        <v>2</v>
      </c>
      <c r="BS70" s="1118">
        <f t="shared" si="758"/>
        <v>2</v>
      </c>
      <c r="BT70" s="1117">
        <f t="shared" si="758"/>
        <v>2</v>
      </c>
      <c r="BU70" s="1117">
        <f t="shared" si="758"/>
        <v>2</v>
      </c>
      <c r="BV70" s="1117">
        <f t="shared" si="758"/>
        <v>2</v>
      </c>
      <c r="BW70" s="1117">
        <f t="shared" si="758"/>
        <v>2</v>
      </c>
      <c r="BX70" s="1117">
        <f t="shared" si="758"/>
        <v>2</v>
      </c>
      <c r="BY70" s="1117">
        <f t="shared" si="758"/>
        <v>2</v>
      </c>
      <c r="BZ70" s="1117">
        <f t="shared" si="758"/>
        <v>2</v>
      </c>
      <c r="CA70" s="1117">
        <f t="shared" si="758"/>
        <v>2</v>
      </c>
      <c r="CB70" s="1117">
        <f t="shared" si="758"/>
        <v>2</v>
      </c>
      <c r="CC70" s="1117">
        <f t="shared" si="758"/>
        <v>2</v>
      </c>
      <c r="CD70" s="1117">
        <f t="shared" si="758"/>
        <v>3</v>
      </c>
      <c r="CE70" s="1118">
        <f t="shared" si="758"/>
        <v>3</v>
      </c>
      <c r="CF70" s="1117">
        <f t="shared" si="758"/>
        <v>3</v>
      </c>
      <c r="CG70" s="1117">
        <f t="shared" si="758"/>
        <v>3</v>
      </c>
      <c r="CH70" s="1117">
        <f t="shared" si="758"/>
        <v>3</v>
      </c>
      <c r="CI70" s="1117">
        <f t="shared" ref="CI70:DN70" si="759">ROUNDUP($V70*(CI69/100)/0.8,0)</f>
        <v>3</v>
      </c>
      <c r="CJ70" s="1117">
        <f t="shared" si="759"/>
        <v>3</v>
      </c>
      <c r="CK70" s="1117">
        <f t="shared" si="759"/>
        <v>3</v>
      </c>
      <c r="CL70" s="1117">
        <f t="shared" si="759"/>
        <v>3</v>
      </c>
      <c r="CM70" s="1117">
        <f t="shared" si="759"/>
        <v>3</v>
      </c>
      <c r="CN70" s="1117">
        <f t="shared" si="759"/>
        <v>3</v>
      </c>
      <c r="CO70" s="1117">
        <f t="shared" si="759"/>
        <v>3</v>
      </c>
      <c r="CP70" s="1117">
        <f t="shared" si="759"/>
        <v>3</v>
      </c>
      <c r="CQ70" s="1118">
        <f t="shared" si="759"/>
        <v>3</v>
      </c>
      <c r="CR70" s="1117">
        <f t="shared" si="759"/>
        <v>3</v>
      </c>
      <c r="CS70" s="1117">
        <f t="shared" si="759"/>
        <v>3</v>
      </c>
      <c r="CT70" s="1117">
        <f t="shared" si="759"/>
        <v>3</v>
      </c>
      <c r="CU70" s="1117">
        <f t="shared" si="759"/>
        <v>3</v>
      </c>
      <c r="CV70" s="1117">
        <f t="shared" si="759"/>
        <v>3</v>
      </c>
      <c r="CW70" s="1117">
        <f t="shared" si="759"/>
        <v>3</v>
      </c>
      <c r="CX70" s="1117">
        <f t="shared" si="759"/>
        <v>3</v>
      </c>
      <c r="CY70" s="1117">
        <f t="shared" si="759"/>
        <v>3</v>
      </c>
      <c r="CZ70" s="1117">
        <f t="shared" si="759"/>
        <v>3</v>
      </c>
      <c r="DA70" s="1117">
        <f t="shared" si="759"/>
        <v>3</v>
      </c>
      <c r="DB70" s="1117">
        <f t="shared" si="759"/>
        <v>3</v>
      </c>
      <c r="DC70" s="1118">
        <f t="shared" si="759"/>
        <v>3</v>
      </c>
      <c r="DD70" s="1117">
        <f t="shared" si="759"/>
        <v>3</v>
      </c>
      <c r="DE70" s="1117">
        <f t="shared" si="759"/>
        <v>3</v>
      </c>
      <c r="DF70" s="1117">
        <f t="shared" si="759"/>
        <v>3</v>
      </c>
      <c r="DG70" s="1117">
        <f t="shared" si="759"/>
        <v>3</v>
      </c>
      <c r="DH70" s="1117">
        <f t="shared" si="759"/>
        <v>3</v>
      </c>
      <c r="DI70" s="1117">
        <f t="shared" si="759"/>
        <v>3</v>
      </c>
      <c r="DJ70" s="1117">
        <f t="shared" si="759"/>
        <v>3</v>
      </c>
      <c r="DK70" s="1117">
        <f t="shared" si="759"/>
        <v>3</v>
      </c>
      <c r="DL70" s="1117">
        <f t="shared" si="759"/>
        <v>3</v>
      </c>
      <c r="DM70" s="1117">
        <f t="shared" si="759"/>
        <v>3</v>
      </c>
      <c r="DN70" s="1117">
        <f t="shared" si="759"/>
        <v>3</v>
      </c>
      <c r="DO70" s="1118">
        <f t="shared" ref="DO70:ED70" si="760">ROUNDUP($V70*(DO69/100)/0.8,0)</f>
        <v>3</v>
      </c>
      <c r="DP70" s="1117">
        <f t="shared" si="760"/>
        <v>3</v>
      </c>
      <c r="DQ70" s="1117">
        <f t="shared" si="760"/>
        <v>4</v>
      </c>
      <c r="DR70" s="1117">
        <f t="shared" si="760"/>
        <v>4</v>
      </c>
      <c r="DS70" s="1117">
        <f t="shared" si="760"/>
        <v>4</v>
      </c>
      <c r="DT70" s="1117">
        <f t="shared" si="760"/>
        <v>4</v>
      </c>
      <c r="DU70" s="1117">
        <f t="shared" si="760"/>
        <v>4</v>
      </c>
      <c r="DV70" s="1117">
        <f t="shared" si="760"/>
        <v>4</v>
      </c>
      <c r="DW70" s="1117">
        <f t="shared" si="760"/>
        <v>4</v>
      </c>
      <c r="DX70" s="1117">
        <f t="shared" si="760"/>
        <v>4</v>
      </c>
      <c r="DY70" s="1117">
        <f t="shared" si="760"/>
        <v>4</v>
      </c>
      <c r="DZ70" s="1117">
        <f t="shared" si="760"/>
        <v>4</v>
      </c>
      <c r="EA70" s="1118">
        <f t="shared" si="760"/>
        <v>4</v>
      </c>
      <c r="EB70" s="1117">
        <f t="shared" si="760"/>
        <v>4</v>
      </c>
      <c r="EC70" s="1117">
        <f t="shared" si="760"/>
        <v>4</v>
      </c>
      <c r="ED70" s="1119">
        <f t="shared" si="760"/>
        <v>4</v>
      </c>
    </row>
    <row r="71" spans="1:134" ht="18.75" outlineLevel="1" x14ac:dyDescent="0.3">
      <c r="A71" t="s">
        <v>224</v>
      </c>
      <c r="B71" s="170">
        <f>'Growth Prediction Exec Summary'!I7</f>
        <v>0.14000000000000001</v>
      </c>
      <c r="C71" s="1675"/>
      <c r="D71" s="1647" t="s">
        <v>246</v>
      </c>
      <c r="E71" s="1648"/>
      <c r="F71" s="1648"/>
      <c r="G71" s="1648"/>
      <c r="H71" s="1648"/>
      <c r="I71" s="1648"/>
      <c r="J71" s="1648"/>
      <c r="K71" s="1648"/>
      <c r="L71" s="1649"/>
      <c r="M71" s="1330">
        <f>N71</f>
        <v>23.200000000000003</v>
      </c>
      <c r="N71" s="1378">
        <f>'PCB Data'!T4+'PCB Data'!W4</f>
        <v>23.200000000000003</v>
      </c>
      <c r="O71" s="1378">
        <f>'PCB Data'!U4+'PCB Data'!X4</f>
        <v>24.02823529411765</v>
      </c>
      <c r="P71" s="1378">
        <f>'PCB Data'!V4+'PCB Data'!Y4</f>
        <v>23.665882352941175</v>
      </c>
      <c r="Q71" s="979"/>
      <c r="R71" s="1390">
        <f>P71-N71</f>
        <v>0.46588235294117197</v>
      </c>
      <c r="S71" s="979"/>
      <c r="T71" s="979"/>
      <c r="U71" s="712"/>
      <c r="V71" s="1106"/>
      <c r="W71" s="1379">
        <f>M71</f>
        <v>23.200000000000003</v>
      </c>
      <c r="X71" s="1380">
        <f>W71</f>
        <v>23.200000000000003</v>
      </c>
      <c r="Y71" s="1380">
        <f>X71</f>
        <v>23.200000000000003</v>
      </c>
      <c r="Z71" s="1380">
        <f>O71</f>
        <v>24.02823529411765</v>
      </c>
      <c r="AA71" s="1380">
        <f>Z71</f>
        <v>24.02823529411765</v>
      </c>
      <c r="AB71" s="1380">
        <f>AA71</f>
        <v>24.02823529411765</v>
      </c>
      <c r="AC71" s="1380">
        <f>P71</f>
        <v>23.665882352941175</v>
      </c>
      <c r="AD71" s="1380">
        <f>AC71</f>
        <v>23.665882352941175</v>
      </c>
      <c r="AE71" s="1380">
        <f>AD71</f>
        <v>23.665882352941175</v>
      </c>
      <c r="AF71" s="1380">
        <f>AE71</f>
        <v>23.665882352941175</v>
      </c>
      <c r="AG71" s="1380">
        <f>AF71</f>
        <v>23.665882352941175</v>
      </c>
      <c r="AH71" s="1380">
        <f>AG71</f>
        <v>23.665882352941175</v>
      </c>
      <c r="AI71" s="1381">
        <f t="shared" ref="AI71" si="761">(((AH71*(1+($B$36*$B$4)))-AH71)/12)+AH71</f>
        <v>23.807877647058824</v>
      </c>
      <c r="AJ71" s="1380">
        <f t="shared" ref="AJ71" si="762">(((AI71*(1+($B$36*$B$4)))-AI71)/12)+AI71</f>
        <v>23.950724912941176</v>
      </c>
      <c r="AK71" s="1380">
        <f t="shared" ref="AK71" si="763">(((AJ71*(1+($B$36*$B$4)))-AJ71)/12)+AJ71</f>
        <v>24.094429262418824</v>
      </c>
      <c r="AL71" s="1380">
        <f t="shared" ref="AL71" si="764">(((AK71*(1+($B$36*$B$4)))-AK71)/12)+AK71</f>
        <v>24.238995837993336</v>
      </c>
      <c r="AM71" s="1380">
        <f t="shared" ref="AM71" si="765">(((AL71*(1+($B$36*$B$4)))-AL71)/12)+AL71</f>
        <v>24.384429813021296</v>
      </c>
      <c r="AN71" s="1380">
        <f t="shared" ref="AN71" si="766">(((AM71*(1+($B$36*$B$4)))-AM71)/12)+AM71</f>
        <v>24.530736391899424</v>
      </c>
      <c r="AO71" s="1380">
        <f t="shared" ref="AO71" si="767">(((AN71*(1+($B$36*$B$4)))-AN71)/12)+AN71</f>
        <v>24.677920810250821</v>
      </c>
      <c r="AP71" s="1380">
        <f t="shared" ref="AP71" si="768">(((AO71*(1+($B$36*$B$4)))-AO71)/12)+AO71</f>
        <v>24.825988335112328</v>
      </c>
      <c r="AQ71" s="1380">
        <f t="shared" ref="AQ71" si="769">(((AP71*(1+($B$36*$B$4)))-AP71)/12)+AP71</f>
        <v>24.974944265123003</v>
      </c>
      <c r="AR71" s="1380">
        <f t="shared" ref="AR71" si="770">(((AQ71*(1+($B$36*$B$4)))-AQ71)/12)+AQ71</f>
        <v>25.124793930713743</v>
      </c>
      <c r="AS71" s="1380">
        <f t="shared" ref="AS71" si="771">(((AR71*(1+($B$36*$B$4)))-AR71)/12)+AR71</f>
        <v>25.275542694298025</v>
      </c>
      <c r="AT71" s="1380">
        <f t="shared" ref="AT71" si="772">(((AS71*(1+($B$36*$B$4)))-AS71)/12)+AS71</f>
        <v>25.427195950463812</v>
      </c>
      <c r="AU71" s="1381">
        <f t="shared" ref="AU71" si="773">(((AT71*(1+($B$37*$B$4)))-AT71)/12)+AT71</f>
        <v>25.579759126166596</v>
      </c>
      <c r="AV71" s="1380">
        <f t="shared" ref="AV71" si="774">(((AU71*(1+($B$37*$B$4)))-AU71)/12)+AU71</f>
        <v>25.733237680923597</v>
      </c>
      <c r="AW71" s="1380">
        <f t="shared" ref="AW71" si="775">(((AV71*(1+($B$37*$B$4)))-AV71)/12)+AV71</f>
        <v>25.887637107009141</v>
      </c>
      <c r="AX71" s="1380">
        <f t="shared" ref="AX71" si="776">(((AW71*(1+($B$37*$B$4)))-AW71)/12)+AW71</f>
        <v>26.042962929651196</v>
      </c>
      <c r="AY71" s="1380">
        <f t="shared" ref="AY71" si="777">(((AX71*(1+($B$37*$B$4)))-AX71)/12)+AX71</f>
        <v>26.199220707229102</v>
      </c>
      <c r="AZ71" s="1380">
        <f t="shared" ref="AZ71" si="778">(((AY71*(1+($B$37*$B$4)))-AY71)/12)+AY71</f>
        <v>26.356416031472477</v>
      </c>
      <c r="BA71" s="1380">
        <f t="shared" ref="BA71" si="779">(((AZ71*(1+($B$37*$B$4)))-AZ71)/12)+AZ71</f>
        <v>26.514554527661311</v>
      </c>
      <c r="BB71" s="1380">
        <f t="shared" ref="BB71" si="780">(((BA71*(1+($B$37*$B$4)))-BA71)/12)+BA71</f>
        <v>26.673641854827277</v>
      </c>
      <c r="BC71" s="1380">
        <f t="shared" ref="BC71" si="781">(((BB71*(1+($B$37*$B$4)))-BB71)/12)+BB71</f>
        <v>26.83368370595624</v>
      </c>
      <c r="BD71" s="1380">
        <f t="shared" ref="BD71" si="782">(((BC71*(1+($B$37*$B$4)))-BC71)/12)+BC71</f>
        <v>26.994685808191978</v>
      </c>
      <c r="BE71" s="1380">
        <f t="shared" ref="BE71" si="783">(((BD71*(1+($B$37*$B$4)))-BD71)/12)+BD71</f>
        <v>27.15665392304113</v>
      </c>
      <c r="BF71" s="1380">
        <f t="shared" ref="BF71" si="784">(((BE71*(1+($B$37*$B$4)))-BE71)/12)+BE71</f>
        <v>27.319593846579377</v>
      </c>
      <c r="BG71" s="1381">
        <f t="shared" ref="BG71" si="785">(((BF71*(1+($B$38*$B$4)))-BF71)/12)+BF71</f>
        <v>27.483511409658853</v>
      </c>
      <c r="BH71" s="1380">
        <f t="shared" ref="BH71" si="786">(((BG71*(1+($B$38*$B$4)))-BG71)/12)+BG71</f>
        <v>27.648412478116807</v>
      </c>
      <c r="BI71" s="1380">
        <f t="shared" ref="BI71" si="787">(((BH71*(1+($B$38*$B$4)))-BH71)/12)+BH71</f>
        <v>27.814302952985507</v>
      </c>
      <c r="BJ71" s="1380">
        <f t="shared" ref="BJ71" si="788">(((BI71*(1+($B$38*$B$4)))-BI71)/12)+BI71</f>
        <v>27.981188770703419</v>
      </c>
      <c r="BK71" s="1380">
        <f t="shared" ref="BK71" si="789">(((BJ71*(1+($B$38*$B$4)))-BJ71)/12)+BJ71</f>
        <v>28.149075903327638</v>
      </c>
      <c r="BL71" s="1380">
        <f t="shared" ref="BL71" si="790">(((BK71*(1+($B$38*$B$4)))-BK71)/12)+BK71</f>
        <v>28.317970358747605</v>
      </c>
      <c r="BM71" s="1380">
        <f t="shared" ref="BM71" si="791">(((BL71*(1+($B$38*$B$4)))-BL71)/12)+BL71</f>
        <v>28.48787818090009</v>
      </c>
      <c r="BN71" s="1380">
        <f t="shared" ref="BN71" si="792">(((BM71*(1+($B$38*$B$4)))-BM71)/12)+BM71</f>
        <v>28.65880544998549</v>
      </c>
      <c r="BO71" s="1380">
        <f t="shared" ref="BO71" si="793">(((BN71*(1+($B$38*$B$4)))-BN71)/12)+BN71</f>
        <v>28.830758282685402</v>
      </c>
      <c r="BP71" s="1380">
        <f t="shared" ref="BP71" si="794">(((BO71*(1+($B$38*$B$4)))-BO71)/12)+BO71</f>
        <v>29.003742832381516</v>
      </c>
      <c r="BQ71" s="1380">
        <f t="shared" ref="BQ71" si="795">(((BP71*(1+($B$38*$B$4)))-BP71)/12)+BP71</f>
        <v>29.177765289375806</v>
      </c>
      <c r="BR71" s="1380">
        <f t="shared" ref="BR71" si="796">(((BQ71*(1+($B$38*$B$4)))-BQ71)/12)+BQ71</f>
        <v>29.35283188111206</v>
      </c>
      <c r="BS71" s="1381">
        <f t="shared" ref="BS71" si="797">(((BR71*(1+($B$39*$B$4)))-BR71)/12)+BR71</f>
        <v>29.528948872398733</v>
      </c>
      <c r="BT71" s="1380">
        <f t="shared" ref="BT71" si="798">(((BS71*(1+($B$39*$B$4)))-BS71)/12)+BS71</f>
        <v>29.706122565633127</v>
      </c>
      <c r="BU71" s="1380">
        <f t="shared" ref="BU71" si="799">(((BT71*(1+($B$39*$B$4)))-BT71)/12)+BT71</f>
        <v>29.884359301026926</v>
      </c>
      <c r="BV71" s="1380">
        <f t="shared" ref="BV71" si="800">(((BU71*(1+($B$39*$B$4)))-BU71)/12)+BU71</f>
        <v>30.063665456833089</v>
      </c>
      <c r="BW71" s="1380">
        <f t="shared" ref="BW71" si="801">(((BV71*(1+($B$39*$B$4)))-BV71)/12)+BV71</f>
        <v>30.244047449574087</v>
      </c>
      <c r="BX71" s="1380">
        <f t="shared" ref="BX71" si="802">(((BW71*(1+($B$39*$B$4)))-BW71)/12)+BW71</f>
        <v>30.425511734271531</v>
      </c>
      <c r="BY71" s="1380">
        <f t="shared" ref="BY71" si="803">(((BX71*(1+($B$39*$B$4)))-BX71)/12)+BX71</f>
        <v>30.608064804677159</v>
      </c>
      <c r="BZ71" s="1380">
        <f t="shared" ref="BZ71" si="804">(((BY71*(1+($B$39*$B$4)))-BY71)/12)+BY71</f>
        <v>30.791713193505224</v>
      </c>
      <c r="CA71" s="1380">
        <f t="shared" ref="CA71" si="805">(((BZ71*(1+($B$39*$B$4)))-BZ71)/12)+BZ71</f>
        <v>30.976463472666254</v>
      </c>
      <c r="CB71" s="1380">
        <f t="shared" ref="CB71" si="806">(((CA71*(1+($B$39*$B$4)))-CA71)/12)+CA71</f>
        <v>31.16232225350225</v>
      </c>
      <c r="CC71" s="1380">
        <f t="shared" ref="CC71" si="807">(((CB71*(1+($B$39*$B$4)))-CB71)/12)+CB71</f>
        <v>31.349296187023263</v>
      </c>
      <c r="CD71" s="1380">
        <f t="shared" ref="CD71" si="808">(((CC71*(1+($B$39*$B$4)))-CC71)/12)+CC71</f>
        <v>31.537391964145403</v>
      </c>
      <c r="CE71" s="1381">
        <f t="shared" ref="CE71" si="809">(((CD71*(1+($B$40*$B$4)))-CD71)/12)+CD71</f>
        <v>31.726616315930276</v>
      </c>
      <c r="CF71" s="1380">
        <f t="shared" ref="CF71" si="810">(((CE71*(1+($B$40*$B$4)))-CE71)/12)+CE71</f>
        <v>31.916976013825856</v>
      </c>
      <c r="CG71" s="1380">
        <f t="shared" ref="CG71" si="811">(((CF71*(1+($B$40*$B$4)))-CF71)/12)+CF71</f>
        <v>32.10847786990881</v>
      </c>
      <c r="CH71" s="1380">
        <f t="shared" ref="CH71" si="812">(((CG71*(1+($B$40*$B$4)))-CG71)/12)+CG71</f>
        <v>32.301128737128266</v>
      </c>
      <c r="CI71" s="1380">
        <f t="shared" ref="CI71" si="813">(((CH71*(1+($B$40*$B$4)))-CH71)/12)+CH71</f>
        <v>32.494935509551034</v>
      </c>
      <c r="CJ71" s="1380">
        <f t="shared" ref="CJ71" si="814">(((CI71*(1+($B$40*$B$4)))-CI71)/12)+CI71</f>
        <v>32.689905122608337</v>
      </c>
      <c r="CK71" s="1380">
        <f t="shared" ref="CK71" si="815">(((CJ71*(1+($B$40*$B$4)))-CJ71)/12)+CJ71</f>
        <v>32.886044553343986</v>
      </c>
      <c r="CL71" s="1380">
        <f t="shared" ref="CL71" si="816">(((CK71*(1+($B$40*$B$4)))-CK71)/12)+CK71</f>
        <v>33.083360820664048</v>
      </c>
      <c r="CM71" s="1380">
        <f t="shared" ref="CM71" si="817">(((CL71*(1+($B$40*$B$4)))-CL71)/12)+CL71</f>
        <v>33.281860985588033</v>
      </c>
      <c r="CN71" s="1380">
        <f t="shared" ref="CN71" si="818">(((CM71*(1+($B$40*$B$4)))-CM71)/12)+CM71</f>
        <v>33.48155215150156</v>
      </c>
      <c r="CO71" s="1380">
        <f t="shared" ref="CO71" si="819">(((CN71*(1+($B$40*$B$4)))-CN71)/12)+CN71</f>
        <v>33.682441464410573</v>
      </c>
      <c r="CP71" s="1380">
        <f t="shared" ref="CP71" si="820">(((CO71*(1+($B$40*$B$4)))-CO71)/12)+CO71</f>
        <v>33.884536113197036</v>
      </c>
      <c r="CQ71" s="1381">
        <f t="shared" ref="CQ71" si="821">(((CP71*(1+($B$41*$B$4)))-CP71)/12)+CP71</f>
        <v>34.087843329876222</v>
      </c>
      <c r="CR71" s="1380">
        <f t="shared" ref="CR71" si="822">(((CQ71*(1+($B$41*$B$4)))-CQ71)/12)+CQ71</f>
        <v>34.292370389855478</v>
      </c>
      <c r="CS71" s="1380">
        <f t="shared" ref="CS71" si="823">(((CR71*(1+($B$41*$B$4)))-CR71)/12)+CR71</f>
        <v>34.498124612194609</v>
      </c>
      <c r="CT71" s="1380">
        <f t="shared" ref="CT71" si="824">(((CS71*(1+($B$41*$B$4)))-CS71)/12)+CS71</f>
        <v>34.705113359867774</v>
      </c>
      <c r="CU71" s="1380">
        <f t="shared" ref="CU71" si="825">(((CT71*(1+($B$41*$B$4)))-CT71)/12)+CT71</f>
        <v>34.913344040026978</v>
      </c>
      <c r="CV71" s="1380">
        <f t="shared" ref="CV71" si="826">(((CU71*(1+($B$41*$B$4)))-CU71)/12)+CU71</f>
        <v>35.122824104267139</v>
      </c>
      <c r="CW71" s="1380">
        <f t="shared" ref="CW71" si="827">(((CV71*(1+($B$41*$B$4)))-CV71)/12)+CV71</f>
        <v>35.33356104889274</v>
      </c>
      <c r="CX71" s="1380">
        <f t="shared" ref="CX71" si="828">(((CW71*(1+($B$41*$B$4)))-CW71)/12)+CW71</f>
        <v>35.545562415186097</v>
      </c>
      <c r="CY71" s="1380">
        <f t="shared" ref="CY71" si="829">(((CX71*(1+($B$41*$B$4)))-CX71)/12)+CX71</f>
        <v>35.758835789677214</v>
      </c>
      <c r="CZ71" s="1380">
        <f t="shared" ref="CZ71" si="830">(((CY71*(1+($B$41*$B$4)))-CY71)/12)+CY71</f>
        <v>35.973388804415279</v>
      </c>
      <c r="DA71" s="1380">
        <f t="shared" ref="DA71" si="831">(((CZ71*(1+($B$41*$B$4)))-CZ71)/12)+CZ71</f>
        <v>36.189229137241767</v>
      </c>
      <c r="DB71" s="1380">
        <f t="shared" ref="DB71" si="832">(((DA71*(1+($B$41*$B$4)))-DA71)/12)+DA71</f>
        <v>36.406364512065217</v>
      </c>
      <c r="DC71" s="1381">
        <f t="shared" ref="DC71" si="833">(((DB71*(1+($B$42*$B$4)))-DB71)/12)+DB71</f>
        <v>36.624802699137611</v>
      </c>
      <c r="DD71" s="1380">
        <f t="shared" ref="DD71" si="834">(((DC71*(1+($B$42*$B$4)))-DC71)/12)+DC71</f>
        <v>36.844551515332434</v>
      </c>
      <c r="DE71" s="1380">
        <f t="shared" ref="DE71" si="835">(((DD71*(1+($B$42*$B$4)))-DD71)/12)+DD71</f>
        <v>37.065618824424426</v>
      </c>
      <c r="DF71" s="1380">
        <f t="shared" ref="DF71" si="836">(((DE71*(1+($B$42*$B$4)))-DE71)/12)+DE71</f>
        <v>37.288012537370975</v>
      </c>
      <c r="DG71" s="1380">
        <f t="shared" ref="DG71" si="837">(((DF71*(1+($B$42*$B$4)))-DF71)/12)+DF71</f>
        <v>37.511740612595204</v>
      </c>
      <c r="DH71" s="1380">
        <f t="shared" ref="DH71" si="838">(((DG71*(1+($B$42*$B$4)))-DG71)/12)+DG71</f>
        <v>37.736811056270774</v>
      </c>
      <c r="DI71" s="1380">
        <f t="shared" ref="DI71" si="839">(((DH71*(1+($B$42*$B$4)))-DH71)/12)+DH71</f>
        <v>37.963231922608401</v>
      </c>
      <c r="DJ71" s="1380">
        <f t="shared" ref="DJ71" si="840">(((DI71*(1+($B$42*$B$4)))-DI71)/12)+DI71</f>
        <v>38.191011314144049</v>
      </c>
      <c r="DK71" s="1380">
        <f t="shared" ref="DK71" si="841">(((DJ71*(1+($B$42*$B$4)))-DJ71)/12)+DJ71</f>
        <v>38.420157382028911</v>
      </c>
      <c r="DL71" s="1380">
        <f t="shared" ref="DL71" si="842">(((DK71*(1+($B$42*$B$4)))-DK71)/12)+DK71</f>
        <v>38.650678326321085</v>
      </c>
      <c r="DM71" s="1380">
        <f t="shared" ref="DM71" si="843">(((DL71*(1+($B$42*$B$4)))-DL71)/12)+DL71</f>
        <v>38.882582396279012</v>
      </c>
      <c r="DN71" s="1380">
        <f t="shared" ref="DN71" si="844">(((DM71*(1+($B$42*$B$4)))-DM71)/12)+DM71</f>
        <v>39.115877890656684</v>
      </c>
      <c r="DO71" s="1381">
        <f t="shared" ref="DO71" si="845">(((DN71*(1+($B$43*$B$4)))-DN71)/12)+DN71</f>
        <v>39.350573158000621</v>
      </c>
      <c r="DP71" s="1380">
        <f t="shared" ref="DP71" si="846">(((DO71*(1+($B$43*$B$4)))-DO71)/12)+DO71</f>
        <v>39.586676596948628</v>
      </c>
      <c r="DQ71" s="1380">
        <f t="shared" ref="DQ71" si="847">(((DP71*(1+($B$43*$B$4)))-DP71)/12)+DP71</f>
        <v>39.824196656530319</v>
      </c>
      <c r="DR71" s="1380">
        <f t="shared" ref="DR71" si="848">(((DQ71*(1+($B$43*$B$4)))-DQ71)/12)+DQ71</f>
        <v>40.063141836469498</v>
      </c>
      <c r="DS71" s="1380">
        <f t="shared" ref="DS71" si="849">(((DR71*(1+($B$43*$B$4)))-DR71)/12)+DR71</f>
        <v>40.303520687488316</v>
      </c>
      <c r="DT71" s="1380">
        <f t="shared" ref="DT71" si="850">(((DS71*(1+($B$43*$B$4)))-DS71)/12)+DS71</f>
        <v>40.545341811613248</v>
      </c>
      <c r="DU71" s="1380">
        <f t="shared" ref="DU71" si="851">(((DT71*(1+($B$43*$B$4)))-DT71)/12)+DT71</f>
        <v>40.788613862482926</v>
      </c>
      <c r="DV71" s="1380">
        <f t="shared" ref="DV71" si="852">(((DU71*(1+($B$43*$B$4)))-DU71)/12)+DU71</f>
        <v>41.033345545657824</v>
      </c>
      <c r="DW71" s="1380">
        <f t="shared" ref="DW71" si="853">(((DV71*(1+($B$43*$B$4)))-DV71)/12)+DV71</f>
        <v>41.27954561893177</v>
      </c>
      <c r="DX71" s="1380">
        <f t="shared" ref="DX71" si="854">(((DW71*(1+($B$43*$B$4)))-DW71)/12)+DW71</f>
        <v>41.527222892645362</v>
      </c>
      <c r="DY71" s="1380">
        <f t="shared" ref="DY71" si="855">(((DX71*(1+($B$43*$B$4)))-DX71)/12)+DX71</f>
        <v>41.776386230001236</v>
      </c>
      <c r="DZ71" s="1380">
        <f t="shared" ref="DZ71" si="856">(((DY71*(1+($B$43*$B$4)))-DY71)/12)+DY71</f>
        <v>42.027044547381244</v>
      </c>
      <c r="EA71" s="1381">
        <f>(((DZ71*(1+($B$44*$B$4)))-DZ71)/12)+DZ71</f>
        <v>42.279206814665535</v>
      </c>
      <c r="EB71" s="1380">
        <f>(((EA71*(1+($B$44*$B$4)))-EA71)/12)+EA71</f>
        <v>42.532882055553529</v>
      </c>
      <c r="EC71" s="1380">
        <f>(((EB71*(1+($B$44*$B$4)))-EB71)/12)+EB71</f>
        <v>42.78807934788685</v>
      </c>
      <c r="ED71" s="1382">
        <f>(((EC71*(1+($B$44*$B$4)))-EC71)/12)+EC71</f>
        <v>43.044807823974168</v>
      </c>
    </row>
    <row r="72" spans="1:134" ht="18.75" outlineLevel="1" x14ac:dyDescent="0.3">
      <c r="A72" t="s">
        <v>226</v>
      </c>
      <c r="B72" s="170">
        <f>'Growth Prediction Exec Summary'!J7</f>
        <v>0.14000000000000001</v>
      </c>
      <c r="C72" s="1675"/>
      <c r="D72" s="1650" t="s">
        <v>247</v>
      </c>
      <c r="E72" s="1651"/>
      <c r="F72" s="1651"/>
      <c r="G72" s="1651"/>
      <c r="H72" s="1651"/>
      <c r="I72" s="1651"/>
      <c r="J72" s="1651"/>
      <c r="K72" s="1651"/>
      <c r="L72" s="1652"/>
      <c r="M72" s="975"/>
      <c r="N72" s="1414">
        <f>'PCB Data'!Q4</f>
        <v>402</v>
      </c>
      <c r="O72" s="1415">
        <f>'PCB Data'!R4</f>
        <v>408</v>
      </c>
      <c r="P72" s="1383">
        <f>'PCB Data'!S4</f>
        <v>397</v>
      </c>
      <c r="Q72" s="976"/>
      <c r="R72" s="977"/>
      <c r="S72" s="976"/>
      <c r="T72" s="976"/>
      <c r="U72" s="975"/>
      <c r="V72" s="1107">
        <f>ROUNDUP((ROUNDUP(N71,0))+((ROUNDUP(N71,0))/7),0)</f>
        <v>28</v>
      </c>
      <c r="W72" s="1383">
        <f>ROUNDUP(W71,0)+(W71/7)</f>
        <v>27.314285714285713</v>
      </c>
      <c r="X72" s="1383">
        <f t="shared" ref="X72" si="857">ROUNDUP(X71,0)+(X71/7)</f>
        <v>27.314285714285713</v>
      </c>
      <c r="Y72" s="1383">
        <f t="shared" ref="Y72" si="858">ROUNDUP(Y71,0)+(Y71/7)</f>
        <v>27.314285714285713</v>
      </c>
      <c r="Z72" s="1383">
        <f t="shared" ref="Z72" si="859">ROUNDUP(Z71,0)+(Z71/7)</f>
        <v>28.432605042016807</v>
      </c>
      <c r="AA72" s="1383">
        <f t="shared" ref="AA72" si="860">ROUNDUP(AA71,0)+(AA71/7)</f>
        <v>28.432605042016807</v>
      </c>
      <c r="AB72" s="1383">
        <f t="shared" ref="AB72" si="861">ROUNDUP(AB71,0)+(AB71/7)</f>
        <v>28.432605042016807</v>
      </c>
      <c r="AC72" s="1383">
        <f t="shared" ref="AC72" si="862">ROUNDUP(AC71,0)+(AC71/7)</f>
        <v>27.380840336134455</v>
      </c>
      <c r="AD72" s="1383">
        <f t="shared" ref="AD72" si="863">ROUNDUP(AD71,0)+(AD71/7)</f>
        <v>27.380840336134455</v>
      </c>
      <c r="AE72" s="1383">
        <f t="shared" ref="AE72" si="864">ROUNDUP(AE71,0)+(AE71/7)</f>
        <v>27.380840336134455</v>
      </c>
      <c r="AF72" s="1383">
        <f t="shared" ref="AF72" si="865">ROUNDUP(AF71,0)+(AF71/7)</f>
        <v>27.380840336134455</v>
      </c>
      <c r="AG72" s="1383">
        <f t="shared" ref="AG72" si="866">ROUNDUP(AG71,0)+(AG71/7)</f>
        <v>27.380840336134455</v>
      </c>
      <c r="AH72" s="1383">
        <f t="shared" ref="AH72" si="867">ROUNDUP(AH71,0)+(AH71/7)</f>
        <v>27.380840336134455</v>
      </c>
      <c r="AI72" s="1383">
        <f t="shared" ref="AI72" si="868">ROUNDUP(AI71,0)+(AI71/7)</f>
        <v>27.40112537815126</v>
      </c>
      <c r="AJ72" s="1383">
        <f t="shared" ref="AJ72" si="869">ROUNDUP(AJ71,0)+(AJ71/7)</f>
        <v>27.421532130420168</v>
      </c>
      <c r="AK72" s="1383">
        <f t="shared" ref="AK72" si="870">ROUNDUP(AK71,0)+(AK71/7)</f>
        <v>28.44206132320269</v>
      </c>
      <c r="AL72" s="1383">
        <f t="shared" ref="AL72" si="871">ROUNDUP(AL71,0)+(AL71/7)</f>
        <v>28.462713691141904</v>
      </c>
      <c r="AM72" s="1383">
        <f t="shared" ref="AM72" si="872">ROUNDUP(AM71,0)+(AM71/7)</f>
        <v>28.483489973288755</v>
      </c>
      <c r="AN72" s="1383">
        <f t="shared" ref="AN72" si="873">ROUNDUP(AN71,0)+(AN71/7)</f>
        <v>28.504390913128489</v>
      </c>
      <c r="AO72" s="1383">
        <f t="shared" ref="AO72" si="874">ROUNDUP(AO71,0)+(AO71/7)</f>
        <v>28.525417258607259</v>
      </c>
      <c r="AP72" s="1383">
        <f t="shared" ref="AP72" si="875">ROUNDUP(AP71,0)+(AP71/7)</f>
        <v>28.546569762158903</v>
      </c>
      <c r="AQ72" s="1383">
        <f t="shared" ref="AQ72" si="876">ROUNDUP(AQ71,0)+(AQ71/7)</f>
        <v>28.567849180731859</v>
      </c>
      <c r="AR72" s="1383">
        <f t="shared" ref="AR72" si="877">ROUNDUP(AR71,0)+(AR71/7)</f>
        <v>29.589256275816251</v>
      </c>
      <c r="AS72" s="1383">
        <f t="shared" ref="AS72" si="878">ROUNDUP(AS71,0)+(AS71/7)</f>
        <v>29.610791813471145</v>
      </c>
      <c r="AT72" s="1383">
        <f t="shared" ref="AT72" si="879">ROUNDUP(AT71,0)+(AT71/7)</f>
        <v>29.632456564351973</v>
      </c>
      <c r="AU72" s="1383">
        <f t="shared" ref="AU72" si="880">ROUNDUP(AU71,0)+(AU71/7)</f>
        <v>29.654251303738086</v>
      </c>
      <c r="AV72" s="1383">
        <f t="shared" ref="AV72" si="881">ROUNDUP(AV71,0)+(AV71/7)</f>
        <v>29.676176811560513</v>
      </c>
      <c r="AW72" s="1383">
        <f t="shared" ref="AW72" si="882">ROUNDUP(AW71,0)+(AW71/7)</f>
        <v>29.698233872429878</v>
      </c>
      <c r="AX72" s="1383">
        <f t="shared" ref="AX72" si="883">ROUNDUP(AX71,0)+(AX71/7)</f>
        <v>30.720423275664455</v>
      </c>
      <c r="AY72" s="1383">
        <f t="shared" ref="AY72" si="884">ROUNDUP(AY71,0)+(AY71/7)</f>
        <v>30.742745815318443</v>
      </c>
      <c r="AZ72" s="1383">
        <f t="shared" ref="AZ72" si="885">ROUNDUP(AZ71,0)+(AZ71/7)</f>
        <v>30.765202290210354</v>
      </c>
      <c r="BA72" s="1383">
        <f t="shared" ref="BA72" si="886">ROUNDUP(BA71,0)+(BA71/7)</f>
        <v>30.787793503951615</v>
      </c>
      <c r="BB72" s="1383">
        <f t="shared" ref="BB72" si="887">ROUNDUP(BB71,0)+(BB71/7)</f>
        <v>30.810520264975324</v>
      </c>
      <c r="BC72" s="1383">
        <f t="shared" ref="BC72" si="888">ROUNDUP(BC71,0)+(BC71/7)</f>
        <v>30.833383386565178</v>
      </c>
      <c r="BD72" s="1383">
        <f t="shared" ref="BD72" si="889">ROUNDUP(BD71,0)+(BD71/7)</f>
        <v>30.85638368688457</v>
      </c>
      <c r="BE72" s="1383">
        <f t="shared" ref="BE72" si="890">ROUNDUP(BE71,0)+(BE71/7)</f>
        <v>31.879521989005877</v>
      </c>
      <c r="BF72" s="1383">
        <f t="shared" ref="BF72" si="891">ROUNDUP(BF71,0)+(BF71/7)</f>
        <v>31.90279912093991</v>
      </c>
      <c r="BG72" s="1383">
        <f t="shared" ref="BG72" si="892">ROUNDUP(BG71,0)+(BG71/7)</f>
        <v>31.926215915665551</v>
      </c>
      <c r="BH72" s="1383">
        <f t="shared" ref="BH72" si="893">ROUNDUP(BH71,0)+(BH71/7)</f>
        <v>31.949773211159545</v>
      </c>
      <c r="BI72" s="1383">
        <f t="shared" ref="BI72" si="894">ROUNDUP(BI71,0)+(BI71/7)</f>
        <v>31.973471850426503</v>
      </c>
      <c r="BJ72" s="1383">
        <f t="shared" ref="BJ72" si="895">ROUNDUP(BJ71,0)+(BJ71/7)</f>
        <v>31.99731268152906</v>
      </c>
      <c r="BK72" s="1383">
        <f t="shared" ref="BK72" si="896">ROUNDUP(BK71,0)+(BK71/7)</f>
        <v>33.021296557618236</v>
      </c>
      <c r="BL72" s="1383">
        <f t="shared" ref="BL72" si="897">ROUNDUP(BL71,0)+(BL71/7)</f>
        <v>33.045424336963947</v>
      </c>
      <c r="BM72" s="1383">
        <f t="shared" ref="BM72" si="898">ROUNDUP(BM71,0)+(BM71/7)</f>
        <v>33.069696882985724</v>
      </c>
      <c r="BN72" s="1383">
        <f t="shared" ref="BN72" si="899">ROUNDUP(BN71,0)+(BN71/7)</f>
        <v>33.094115064283642</v>
      </c>
      <c r="BO72" s="1383">
        <f t="shared" ref="BO72" si="900">ROUNDUP(BO71,0)+(BO71/7)</f>
        <v>33.118679754669344</v>
      </c>
      <c r="BP72" s="1383">
        <f t="shared" ref="BP72" si="901">ROUNDUP(BP71,0)+(BP71/7)</f>
        <v>34.143391833197356</v>
      </c>
      <c r="BQ72" s="1383">
        <f t="shared" ref="BQ72" si="902">ROUNDUP(BQ71,0)+(BQ71/7)</f>
        <v>34.168252184196547</v>
      </c>
      <c r="BR72" s="1383">
        <f t="shared" ref="BR72" si="903">ROUNDUP(BR71,0)+(BR71/7)</f>
        <v>34.193261697301722</v>
      </c>
      <c r="BS72" s="1383">
        <f t="shared" ref="BS72" si="904">ROUNDUP(BS71,0)+(BS71/7)</f>
        <v>34.218421267485532</v>
      </c>
      <c r="BT72" s="1383">
        <f t="shared" ref="BT72" si="905">ROUNDUP(BT71,0)+(BT71/7)</f>
        <v>34.243731795090447</v>
      </c>
      <c r="BU72" s="1383">
        <f t="shared" ref="BU72" si="906">ROUNDUP(BU71,0)+(BU71/7)</f>
        <v>34.269194185860989</v>
      </c>
      <c r="BV72" s="1383">
        <f t="shared" ref="BV72" si="907">ROUNDUP(BV71,0)+(BV71/7)</f>
        <v>35.294809350976152</v>
      </c>
      <c r="BW72" s="1383">
        <f t="shared" ref="BW72" si="908">ROUNDUP(BW71,0)+(BW71/7)</f>
        <v>35.320578207082015</v>
      </c>
      <c r="BX72" s="1383">
        <f t="shared" ref="BX72" si="909">ROUNDUP(BX71,0)+(BX71/7)</f>
        <v>35.346501676324507</v>
      </c>
      <c r="BY72" s="1383">
        <f t="shared" ref="BY72" si="910">ROUNDUP(BY71,0)+(BY71/7)</f>
        <v>35.372580686382449</v>
      </c>
      <c r="BZ72" s="1383">
        <f t="shared" ref="BZ72" si="911">ROUNDUP(BZ71,0)+(BZ71/7)</f>
        <v>35.398816170500744</v>
      </c>
      <c r="CA72" s="1383">
        <f t="shared" ref="CA72" si="912">ROUNDUP(CA71,0)+(CA71/7)</f>
        <v>35.425209067523753</v>
      </c>
      <c r="CB72" s="1383">
        <f t="shared" ref="CB72" si="913">ROUNDUP(CB71,0)+(CB71/7)</f>
        <v>36.451760321928894</v>
      </c>
      <c r="CC72" s="1383">
        <f t="shared" ref="CC72" si="914">ROUNDUP(CC71,0)+(CC71/7)</f>
        <v>36.478470883860467</v>
      </c>
      <c r="CD72" s="1383">
        <f t="shared" ref="CD72" si="915">ROUNDUP(CD71,0)+(CD71/7)</f>
        <v>36.505341709163631</v>
      </c>
      <c r="CE72" s="1383">
        <f t="shared" ref="CE72" si="916">ROUNDUP(CE71,0)+(CE71/7)</f>
        <v>36.532373759418611</v>
      </c>
      <c r="CF72" s="1383">
        <f t="shared" ref="CF72" si="917">ROUNDUP(CF71,0)+(CF71/7)</f>
        <v>36.559568001975123</v>
      </c>
      <c r="CG72" s="1383">
        <f t="shared" ref="CG72" si="918">ROUNDUP(CG71,0)+(CG71/7)</f>
        <v>37.586925409986975</v>
      </c>
      <c r="CH72" s="1383">
        <f t="shared" ref="CH72" si="919">ROUNDUP(CH71,0)+(CH71/7)</f>
        <v>37.614446962446898</v>
      </c>
      <c r="CI72" s="1383">
        <f t="shared" ref="CI72" si="920">ROUNDUP(CI71,0)+(CI71/7)</f>
        <v>37.642133644221573</v>
      </c>
      <c r="CJ72" s="1383">
        <f t="shared" ref="CJ72" si="921">ROUNDUP(CJ71,0)+(CJ71/7)</f>
        <v>37.669986446086902</v>
      </c>
      <c r="CK72" s="1383">
        <f t="shared" ref="CK72" si="922">ROUNDUP(CK71,0)+(CK71/7)</f>
        <v>37.69800636476343</v>
      </c>
      <c r="CL72" s="1383">
        <f t="shared" ref="CL72" si="923">ROUNDUP(CL71,0)+(CL71/7)</f>
        <v>38.726194402952004</v>
      </c>
      <c r="CM72" s="1383">
        <f t="shared" ref="CM72" si="924">ROUNDUP(CM71,0)+(CM71/7)</f>
        <v>38.754551569369717</v>
      </c>
      <c r="CN72" s="1383">
        <f t="shared" ref="CN72" si="925">ROUNDUP(CN71,0)+(CN71/7)</f>
        <v>38.783078878785936</v>
      </c>
      <c r="CO72" s="1383">
        <f t="shared" ref="CO72" si="926">ROUNDUP(CO71,0)+(CO71/7)</f>
        <v>38.811777352058655</v>
      </c>
      <c r="CP72" s="1383">
        <f t="shared" ref="CP72" si="927">ROUNDUP(CP71,0)+(CP71/7)</f>
        <v>38.840648016171002</v>
      </c>
      <c r="CQ72" s="1383">
        <f t="shared" ref="CQ72" si="928">ROUNDUP(CQ71,0)+(CQ71/7)</f>
        <v>39.869691904268031</v>
      </c>
      <c r="CR72" s="1383">
        <f t="shared" ref="CR72" si="929">ROUNDUP(CR71,0)+(CR71/7)</f>
        <v>39.898910055693641</v>
      </c>
      <c r="CS72" s="1383">
        <f t="shared" ref="CS72" si="930">ROUNDUP(CS71,0)+(CS71/7)</f>
        <v>39.928303516027803</v>
      </c>
      <c r="CT72" s="1383">
        <f t="shared" ref="CT72" si="931">ROUNDUP(CT71,0)+(CT71/7)</f>
        <v>39.957873337123971</v>
      </c>
      <c r="CU72" s="1383">
        <f t="shared" ref="CU72" si="932">ROUNDUP(CU71,0)+(CU71/7)</f>
        <v>39.987620577146714</v>
      </c>
      <c r="CV72" s="1383">
        <f t="shared" ref="CV72" si="933">ROUNDUP(CV71,0)+(CV71/7)</f>
        <v>41.017546300609588</v>
      </c>
      <c r="CW72" s="1383">
        <f t="shared" ref="CW72" si="934">ROUNDUP(CW71,0)+(CW71/7)</f>
        <v>41.047651578413252</v>
      </c>
      <c r="CX72" s="1383">
        <f t="shared" ref="CX72" si="935">ROUNDUP(CX71,0)+(CX71/7)</f>
        <v>41.07793748788373</v>
      </c>
      <c r="CY72" s="1383">
        <f t="shared" ref="CY72" si="936">ROUNDUP(CY71,0)+(CY71/7)</f>
        <v>41.108405112811027</v>
      </c>
      <c r="CZ72" s="1383">
        <f t="shared" ref="CZ72" si="937">ROUNDUP(CZ71,0)+(CZ71/7)</f>
        <v>41.139055543487899</v>
      </c>
      <c r="DA72" s="1383">
        <f t="shared" ref="DA72" si="938">ROUNDUP(DA71,0)+(DA71/7)</f>
        <v>42.169889876748826</v>
      </c>
      <c r="DB72" s="1383">
        <f t="shared" ref="DB72" si="939">ROUNDUP(DB71,0)+(DB71/7)</f>
        <v>42.200909216009315</v>
      </c>
      <c r="DC72" s="1383">
        <f t="shared" ref="DC72" si="940">ROUNDUP(DC71,0)+(DC71/7)</f>
        <v>42.232114671305375</v>
      </c>
      <c r="DD72" s="1383">
        <f t="shared" ref="DD72" si="941">ROUNDUP(DD71,0)+(DD71/7)</f>
        <v>42.263507359333204</v>
      </c>
      <c r="DE72" s="1383">
        <f t="shared" ref="DE72" si="942">ROUNDUP(DE71,0)+(DE71/7)</f>
        <v>43.295088403489203</v>
      </c>
      <c r="DF72" s="1383">
        <f t="shared" ref="DF72" si="943">ROUNDUP(DF71,0)+(DF71/7)</f>
        <v>43.326858933910138</v>
      </c>
      <c r="DG72" s="1383">
        <f t="shared" ref="DG72" si="944">ROUNDUP(DG71,0)+(DG71/7)</f>
        <v>43.3588200875136</v>
      </c>
      <c r="DH72" s="1383">
        <f t="shared" ref="DH72" si="945">ROUNDUP(DH71,0)+(DH71/7)</f>
        <v>43.390973008038685</v>
      </c>
      <c r="DI72" s="1383">
        <f t="shared" ref="DI72" si="946">ROUNDUP(DI71,0)+(DI71/7)</f>
        <v>43.423318846086914</v>
      </c>
      <c r="DJ72" s="1383">
        <f t="shared" ref="DJ72" si="947">ROUNDUP(DJ71,0)+(DJ71/7)</f>
        <v>44.455858759163434</v>
      </c>
      <c r="DK72" s="1383">
        <f t="shared" ref="DK72" si="948">ROUNDUP(DK71,0)+(DK71/7)</f>
        <v>44.488593911718418</v>
      </c>
      <c r="DL72" s="1383">
        <f t="shared" ref="DL72" si="949">ROUNDUP(DL71,0)+(DL71/7)</f>
        <v>44.521525475188724</v>
      </c>
      <c r="DM72" s="1383">
        <f t="shared" ref="DM72" si="950">ROUNDUP(DM71,0)+(DM71/7)</f>
        <v>44.554654628039856</v>
      </c>
      <c r="DN72" s="1383">
        <f t="shared" ref="DN72" si="951">ROUNDUP(DN71,0)+(DN71/7)</f>
        <v>45.587982555808097</v>
      </c>
      <c r="DO72" s="1383">
        <f t="shared" ref="DO72" si="952">ROUNDUP(DO71,0)+(DO71/7)</f>
        <v>45.621510451142946</v>
      </c>
      <c r="DP72" s="1383">
        <f t="shared" ref="DP72" si="953">ROUNDUP(DP71,0)+(DP71/7)</f>
        <v>45.655239513849807</v>
      </c>
      <c r="DQ72" s="1383">
        <f t="shared" ref="DQ72" si="954">ROUNDUP(DQ71,0)+(DQ71/7)</f>
        <v>45.689170950932905</v>
      </c>
      <c r="DR72" s="1383">
        <f t="shared" ref="DR72" si="955">ROUNDUP(DR71,0)+(DR71/7)</f>
        <v>46.7233059766385</v>
      </c>
      <c r="DS72" s="1383">
        <f t="shared" ref="DS72" si="956">ROUNDUP(DS71,0)+(DS71/7)</f>
        <v>46.757645812498332</v>
      </c>
      <c r="DT72" s="1383">
        <f t="shared" ref="DT72" si="957">ROUNDUP(DT71,0)+(DT71/7)</f>
        <v>46.792191687373318</v>
      </c>
      <c r="DU72" s="1383">
        <f t="shared" ref="DU72" si="958">ROUNDUP(DU71,0)+(DU71/7)</f>
        <v>46.826944837497564</v>
      </c>
      <c r="DV72" s="1383">
        <f t="shared" ref="DV72" si="959">ROUNDUP(DV71,0)+(DV71/7)</f>
        <v>47.861906506522544</v>
      </c>
      <c r="DW72" s="1383">
        <f t="shared" ref="DW72" si="960">ROUNDUP(DW71,0)+(DW71/7)</f>
        <v>47.897077945561684</v>
      </c>
      <c r="DX72" s="1383">
        <f t="shared" ref="DX72" si="961">ROUNDUP(DX71,0)+(DX71/7)</f>
        <v>47.932460413235049</v>
      </c>
      <c r="DY72" s="1383">
        <f t="shared" ref="DY72" si="962">ROUNDUP(DY71,0)+(DY71/7)</f>
        <v>47.968055175714461</v>
      </c>
      <c r="DZ72" s="1383">
        <f t="shared" ref="DZ72" si="963">ROUNDUP(DZ71,0)+(DZ71/7)</f>
        <v>49.003863506768752</v>
      </c>
      <c r="EA72" s="1383">
        <f t="shared" ref="EA72" si="964">ROUNDUP(EA71,0)+(EA71/7)</f>
        <v>49.039886687809364</v>
      </c>
      <c r="EB72" s="1383">
        <f t="shared" ref="EB72" si="965">ROUNDUP(EB71,0)+(EB71/7)</f>
        <v>49.076126007936217</v>
      </c>
      <c r="EC72" s="1383">
        <f t="shared" ref="EC72" si="966">ROUNDUP(EC71,0)+(EC71/7)</f>
        <v>49.112582763983838</v>
      </c>
      <c r="ED72" s="1383">
        <f t="shared" ref="ED72" si="967">ROUNDUP(ED71,0)+(ED71/7)</f>
        <v>50.149258260567741</v>
      </c>
    </row>
    <row r="73" spans="1:134" ht="18.75" outlineLevel="1" x14ac:dyDescent="0.3">
      <c r="B73" s="170"/>
      <c r="C73" s="1675"/>
      <c r="D73" s="1663" t="s">
        <v>231</v>
      </c>
      <c r="E73" s="1664"/>
      <c r="F73" s="1664"/>
      <c r="G73" s="1664"/>
      <c r="H73" s="1664"/>
      <c r="I73" s="1664"/>
      <c r="J73" s="1664"/>
      <c r="K73" s="1664"/>
      <c r="L73" s="1665"/>
      <c r="M73" s="712"/>
      <c r="N73" s="1492">
        <f>'PCB Data'!Q4*('PCB Data'!N4/100)</f>
        <v>402</v>
      </c>
      <c r="O73" s="1493"/>
      <c r="P73" s="1424"/>
      <c r="Q73" s="979"/>
      <c r="R73" s="1494"/>
      <c r="S73" s="1693" t="s">
        <v>232</v>
      </c>
      <c r="T73" s="1694"/>
      <c r="U73" s="712"/>
      <c r="V73" s="1106"/>
      <c r="W73" s="1424"/>
      <c r="X73" s="1424"/>
      <c r="Y73" s="1424"/>
      <c r="Z73" s="1424"/>
      <c r="AA73" s="1424"/>
      <c r="AB73" s="1424"/>
      <c r="AC73" s="1424"/>
      <c r="AD73" s="1424"/>
      <c r="AE73" s="1424"/>
      <c r="AF73" s="1424"/>
      <c r="AG73" s="1424"/>
      <c r="AH73" s="1424"/>
      <c r="AI73" s="1424"/>
      <c r="AJ73" s="1424"/>
      <c r="AK73" s="1424"/>
      <c r="AL73" s="1424"/>
      <c r="AM73" s="1424"/>
      <c r="AN73" s="1424"/>
      <c r="AO73" s="1424"/>
      <c r="AP73" s="1424"/>
      <c r="AQ73" s="1424"/>
      <c r="AR73" s="1424"/>
      <c r="AS73" s="1424"/>
      <c r="AT73" s="1424"/>
      <c r="AU73" s="1424"/>
      <c r="AV73" s="1424"/>
      <c r="AW73" s="1424"/>
      <c r="AX73" s="1424"/>
      <c r="AY73" s="1424"/>
      <c r="AZ73" s="1424"/>
      <c r="BA73" s="1424"/>
      <c r="BB73" s="1424"/>
      <c r="BC73" s="1424"/>
      <c r="BD73" s="1424"/>
      <c r="BE73" s="1424"/>
      <c r="BF73" s="1424"/>
      <c r="BG73" s="1424"/>
      <c r="BH73" s="1424"/>
      <c r="BI73" s="1424"/>
      <c r="BJ73" s="1424"/>
      <c r="BK73" s="1424"/>
      <c r="BL73" s="1424"/>
      <c r="BM73" s="1424"/>
      <c r="BN73" s="1424"/>
      <c r="BO73" s="1424"/>
      <c r="BP73" s="1424"/>
      <c r="BQ73" s="1424"/>
      <c r="BR73" s="1424"/>
      <c r="BS73" s="1424"/>
      <c r="BT73" s="1424"/>
      <c r="BU73" s="1424"/>
      <c r="BV73" s="1424"/>
      <c r="BW73" s="1424"/>
      <c r="BX73" s="1424"/>
      <c r="BY73" s="1424"/>
      <c r="BZ73" s="1424"/>
      <c r="CA73" s="1424"/>
      <c r="CB73" s="1424"/>
      <c r="CC73" s="1424"/>
      <c r="CD73" s="1424"/>
      <c r="CE73" s="1424"/>
      <c r="CF73" s="1424"/>
      <c r="CG73" s="1424"/>
      <c r="CH73" s="1424"/>
      <c r="CI73" s="1424"/>
      <c r="CJ73" s="1424"/>
      <c r="CK73" s="1424"/>
      <c r="CL73" s="1424"/>
      <c r="CM73" s="1424"/>
      <c r="CN73" s="1424"/>
      <c r="CO73" s="1424"/>
      <c r="CP73" s="1424"/>
      <c r="CQ73" s="1424"/>
      <c r="CR73" s="1424"/>
      <c r="CS73" s="1424"/>
      <c r="CT73" s="1424"/>
      <c r="CU73" s="1424"/>
      <c r="CV73" s="1424"/>
      <c r="CW73" s="1424"/>
      <c r="CX73" s="1424"/>
      <c r="CY73" s="1424"/>
      <c r="CZ73" s="1424"/>
      <c r="DA73" s="1424"/>
      <c r="DB73" s="1424"/>
      <c r="DC73" s="1424"/>
      <c r="DD73" s="1424"/>
      <c r="DE73" s="1424"/>
      <c r="DF73" s="1424"/>
      <c r="DG73" s="1424"/>
      <c r="DH73" s="1424"/>
      <c r="DI73" s="1424"/>
      <c r="DJ73" s="1424"/>
      <c r="DK73" s="1424"/>
      <c r="DL73" s="1424"/>
      <c r="DM73" s="1424"/>
      <c r="DN73" s="1424"/>
      <c r="DO73" s="1424"/>
      <c r="DP73" s="1424"/>
      <c r="DQ73" s="1424"/>
      <c r="DR73" s="1424"/>
      <c r="DS73" s="1424"/>
      <c r="DT73" s="1424"/>
      <c r="DU73" s="1424"/>
      <c r="DV73" s="1424"/>
      <c r="DW73" s="1424"/>
      <c r="DX73" s="1424"/>
      <c r="DY73" s="1424"/>
      <c r="DZ73" s="1424"/>
      <c r="EA73" s="1424"/>
      <c r="EB73" s="1424"/>
      <c r="EC73" s="1424"/>
      <c r="ED73" s="1424"/>
    </row>
    <row r="74" spans="1:134" ht="18.75" outlineLevel="1" x14ac:dyDescent="0.3">
      <c r="B74" s="170"/>
      <c r="C74" s="1675"/>
      <c r="D74" s="1486" t="s">
        <v>233</v>
      </c>
      <c r="E74" s="1383"/>
      <c r="F74" s="1383"/>
      <c r="G74" s="1383"/>
      <c r="H74" s="1383"/>
      <c r="I74" s="1383"/>
      <c r="J74" s="1383"/>
      <c r="K74" s="1383"/>
      <c r="L74" s="1383"/>
      <c r="M74" s="1383"/>
      <c r="N74" s="1495">
        <f>N71/$T$74</f>
        <v>0.48333333333333339</v>
      </c>
      <c r="O74" s="1496">
        <f>O71/$T$74</f>
        <v>0.50058823529411767</v>
      </c>
      <c r="P74" s="1496">
        <f>P71/$T$74</f>
        <v>0.49303921568627446</v>
      </c>
      <c r="Q74" s="1425"/>
      <c r="R74" s="1426"/>
      <c r="S74" s="1383"/>
      <c r="T74" s="1485">
        <f>(S63*T63)+(S65*T65)+(S67*T67)+(S69*T69)</f>
        <v>48</v>
      </c>
      <c r="U74" s="712"/>
      <c r="V74" s="1106"/>
      <c r="W74" s="1424"/>
      <c r="X74" s="1424"/>
      <c r="Y74" s="1424"/>
      <c r="Z74" s="1424"/>
      <c r="AA74" s="1424"/>
      <c r="AB74" s="1424"/>
      <c r="AC74" s="1424"/>
      <c r="AD74" s="1424"/>
      <c r="AE74" s="1424"/>
      <c r="AF74" s="1424"/>
      <c r="AG74" s="1424"/>
      <c r="AH74" s="1424"/>
      <c r="AI74" s="1424"/>
      <c r="AJ74" s="1424"/>
      <c r="AK74" s="1424"/>
      <c r="AL74" s="1424"/>
      <c r="AM74" s="1424"/>
      <c r="AN74" s="1424"/>
      <c r="AO74" s="1424"/>
      <c r="AP74" s="1424"/>
      <c r="AQ74" s="1424"/>
      <c r="AR74" s="1424"/>
      <c r="AS74" s="1424"/>
      <c r="AT74" s="1424"/>
      <c r="AU74" s="1424"/>
      <c r="AV74" s="1424"/>
      <c r="AW74" s="1424"/>
      <c r="AX74" s="1424"/>
      <c r="AY74" s="1424"/>
      <c r="AZ74" s="1424"/>
      <c r="BA74" s="1424"/>
      <c r="BB74" s="1424"/>
      <c r="BC74" s="1424"/>
      <c r="BD74" s="1424"/>
      <c r="BE74" s="1424"/>
      <c r="BF74" s="1424"/>
      <c r="BG74" s="1424"/>
      <c r="BH74" s="1424"/>
      <c r="BI74" s="1424"/>
      <c r="BJ74" s="1424"/>
      <c r="BK74" s="1424"/>
      <c r="BL74" s="1424"/>
      <c r="BM74" s="1424"/>
      <c r="BN74" s="1424"/>
      <c r="BO74" s="1424"/>
      <c r="BP74" s="1424"/>
      <c r="BQ74" s="1424"/>
      <c r="BR74" s="1424"/>
      <c r="BS74" s="1424"/>
      <c r="BT74" s="1424"/>
      <c r="BU74" s="1424"/>
      <c r="BV74" s="1424"/>
      <c r="BW74" s="1424"/>
      <c r="BX74" s="1424"/>
      <c r="BY74" s="1424"/>
      <c r="BZ74" s="1424"/>
      <c r="CA74" s="1424"/>
      <c r="CB74" s="1424"/>
      <c r="CC74" s="1424"/>
      <c r="CD74" s="1424"/>
      <c r="CE74" s="1424"/>
      <c r="CF74" s="1424"/>
      <c r="CG74" s="1424"/>
      <c r="CH74" s="1424"/>
      <c r="CI74" s="1424"/>
      <c r="CJ74" s="1424"/>
      <c r="CK74" s="1424"/>
      <c r="CL74" s="1424"/>
      <c r="CM74" s="1424"/>
      <c r="CN74" s="1424"/>
      <c r="CO74" s="1424"/>
      <c r="CP74" s="1424"/>
      <c r="CQ74" s="1424"/>
      <c r="CR74" s="1424"/>
      <c r="CS74" s="1424"/>
      <c r="CT74" s="1424"/>
      <c r="CU74" s="1424"/>
      <c r="CV74" s="1424"/>
      <c r="CW74" s="1424"/>
      <c r="CX74" s="1424"/>
      <c r="CY74" s="1424"/>
      <c r="CZ74" s="1424"/>
      <c r="DA74" s="1424"/>
      <c r="DB74" s="1424"/>
      <c r="DC74" s="1424"/>
      <c r="DD74" s="1424"/>
      <c r="DE74" s="1424"/>
      <c r="DF74" s="1424"/>
      <c r="DG74" s="1424"/>
      <c r="DH74" s="1424"/>
      <c r="DI74" s="1424"/>
      <c r="DJ74" s="1424"/>
      <c r="DK74" s="1424"/>
      <c r="DL74" s="1424"/>
      <c r="DM74" s="1424"/>
      <c r="DN74" s="1424"/>
      <c r="DO74" s="1424"/>
      <c r="DP74" s="1424"/>
      <c r="DQ74" s="1424"/>
      <c r="DR74" s="1424"/>
      <c r="DS74" s="1424"/>
      <c r="DT74" s="1424"/>
      <c r="DU74" s="1424"/>
      <c r="DV74" s="1424"/>
      <c r="DW74" s="1424"/>
      <c r="DX74" s="1424"/>
      <c r="DY74" s="1424"/>
      <c r="DZ74" s="1424"/>
      <c r="EA74" s="1424"/>
      <c r="EB74" s="1424"/>
      <c r="EC74" s="1424"/>
      <c r="ED74" s="1424"/>
    </row>
    <row r="75" spans="1:134" ht="18.75" x14ac:dyDescent="0.3">
      <c r="A75" t="s">
        <v>227</v>
      </c>
      <c r="B75" s="170">
        <f>'Growth Prediction Exec Summary'!K7</f>
        <v>0.1</v>
      </c>
      <c r="C75" s="1675"/>
      <c r="D75" s="169"/>
      <c r="AI75" s="937"/>
      <c r="AU75" s="937"/>
      <c r="BG75" s="937"/>
      <c r="BS75" s="937"/>
      <c r="CE75" s="937"/>
      <c r="CQ75" s="937"/>
      <c r="DC75" s="937"/>
      <c r="DO75" s="937"/>
      <c r="EA75" s="937"/>
    </row>
    <row r="76" spans="1:134" ht="18.75" outlineLevel="1" x14ac:dyDescent="0.3">
      <c r="A76" t="s">
        <v>229</v>
      </c>
      <c r="B76" s="170">
        <f>'Growth Prediction Exec Summary'!L7</f>
        <v>0.09</v>
      </c>
      <c r="C76" s="1675"/>
      <c r="D76" s="1001" t="s">
        <v>248</v>
      </c>
      <c r="E76" s="985"/>
      <c r="F76" s="985"/>
      <c r="G76" s="985"/>
      <c r="H76" s="985"/>
      <c r="I76" s="985"/>
      <c r="J76" s="985"/>
      <c r="K76" s="985"/>
      <c r="L76" s="990"/>
      <c r="M76" s="985"/>
      <c r="N76" s="993"/>
      <c r="O76" s="985"/>
      <c r="P76" s="985"/>
      <c r="Q76" s="985"/>
      <c r="R76" s="990"/>
      <c r="S76" s="985"/>
      <c r="T76" s="985"/>
      <c r="U76" s="985"/>
      <c r="V76" s="986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1171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1171"/>
      <c r="AV76" s="980"/>
      <c r="AW76" s="980"/>
      <c r="AX76" s="980"/>
      <c r="AY76" s="980"/>
      <c r="AZ76" s="980"/>
      <c r="BA76" s="980"/>
      <c r="BB76" s="980"/>
      <c r="BC76" s="980"/>
      <c r="BD76" s="980"/>
      <c r="BE76" s="980"/>
      <c r="BF76" s="980"/>
      <c r="BG76" s="1171"/>
      <c r="BH76" s="980"/>
      <c r="BI76" s="980"/>
      <c r="BJ76" s="980"/>
      <c r="BK76" s="980"/>
      <c r="BL76" s="980"/>
      <c r="BM76" s="980"/>
      <c r="BN76" s="980"/>
      <c r="BO76" s="980"/>
      <c r="BP76" s="980"/>
      <c r="BQ76" s="980"/>
      <c r="BR76" s="980"/>
      <c r="BS76" s="1171"/>
      <c r="BT76" s="980"/>
      <c r="BU76" s="980"/>
      <c r="BV76" s="980"/>
      <c r="BW76" s="980"/>
      <c r="BX76" s="980"/>
      <c r="BY76" s="980"/>
      <c r="BZ76" s="980"/>
      <c r="CA76" s="980"/>
      <c r="CB76" s="980"/>
      <c r="CC76" s="980"/>
      <c r="CD76" s="980"/>
      <c r="CE76" s="1171"/>
      <c r="CF76" s="980"/>
      <c r="CG76" s="980"/>
      <c r="CH76" s="980"/>
      <c r="CI76" s="980"/>
      <c r="CJ76" s="980"/>
      <c r="CK76" s="980"/>
      <c r="CL76" s="980"/>
      <c r="CM76" s="980"/>
      <c r="CN76" s="980"/>
      <c r="CO76" s="980"/>
      <c r="CP76" s="980"/>
      <c r="CQ76" s="1171"/>
      <c r="CR76" s="980"/>
      <c r="CS76" s="980"/>
      <c r="CT76" s="980"/>
      <c r="CU76" s="980"/>
      <c r="CV76" s="980"/>
      <c r="CW76" s="980"/>
      <c r="CX76" s="980"/>
      <c r="CY76" s="980"/>
      <c r="CZ76" s="980"/>
      <c r="DA76" s="980"/>
      <c r="DB76" s="980"/>
      <c r="DC76" s="1171"/>
      <c r="DD76" s="980"/>
      <c r="DE76" s="980"/>
      <c r="DF76" s="980"/>
      <c r="DG76" s="980"/>
      <c r="DH76" s="980"/>
      <c r="DI76" s="980"/>
      <c r="DJ76" s="980"/>
      <c r="DK76" s="980"/>
      <c r="DL76" s="980"/>
      <c r="DM76" s="980"/>
      <c r="DN76" s="980"/>
      <c r="DO76" s="1171"/>
      <c r="DP76" s="980"/>
      <c r="DQ76" s="980"/>
      <c r="DR76" s="980"/>
      <c r="DS76" s="980"/>
      <c r="DT76" s="980"/>
      <c r="DU76" s="980"/>
      <c r="DV76" s="980"/>
      <c r="DW76" s="980"/>
      <c r="DX76" s="980"/>
      <c r="DY76" s="980"/>
      <c r="DZ76" s="980"/>
      <c r="EA76" s="1171"/>
      <c r="EB76" s="980"/>
      <c r="EC76" s="980"/>
      <c r="ED76" s="980"/>
    </row>
    <row r="77" spans="1:134" ht="18.75" outlineLevel="1" x14ac:dyDescent="0.3">
      <c r="B77" s="169"/>
      <c r="C77" s="1675"/>
      <c r="D77" s="1630" t="s">
        <v>249</v>
      </c>
      <c r="E77" s="1630"/>
      <c r="F77" s="1630"/>
      <c r="G77" s="1630"/>
      <c r="H77" s="1630"/>
      <c r="I77" s="1630"/>
      <c r="J77" s="1630"/>
      <c r="K77" s="1630"/>
      <c r="L77" s="990"/>
      <c r="M77" s="1329">
        <f>N77*100</f>
        <v>83</v>
      </c>
      <c r="N77" s="1404">
        <f>'XFMR Data'!B4/100</f>
        <v>0.83</v>
      </c>
      <c r="O77" s="1405">
        <f>'XFMR Data'!G4/100</f>
        <v>1.05</v>
      </c>
      <c r="P77" s="1405">
        <f>'XFMR Data'!L4/100</f>
        <v>0.98</v>
      </c>
      <c r="Q77" s="987"/>
      <c r="R77" s="994">
        <f>P77-N77</f>
        <v>0.15000000000000002</v>
      </c>
      <c r="S77" s="988">
        <f t="shared" ref="S77:S91" si="968">Q77*100</f>
        <v>0</v>
      </c>
      <c r="T77" s="988"/>
      <c r="U77" s="985"/>
      <c r="V77" s="1101"/>
      <c r="W77" s="1172">
        <f>M77</f>
        <v>83</v>
      </c>
      <c r="X77" s="1173">
        <f>W77</f>
        <v>83</v>
      </c>
      <c r="Y77" s="1173">
        <f>X77</f>
        <v>83</v>
      </c>
      <c r="Z77" s="1173">
        <f>O77*100</f>
        <v>105</v>
      </c>
      <c r="AA77" s="1173">
        <f>Z77</f>
        <v>105</v>
      </c>
      <c r="AB77" s="1173">
        <f>AA77</f>
        <v>105</v>
      </c>
      <c r="AC77" s="1173">
        <f>P77*100</f>
        <v>98</v>
      </c>
      <c r="AD77" s="1173">
        <f>AC77</f>
        <v>98</v>
      </c>
      <c r="AE77" s="1173">
        <f>AD77</f>
        <v>98</v>
      </c>
      <c r="AF77" s="1173">
        <f>AE77</f>
        <v>98</v>
      </c>
      <c r="AG77" s="1173">
        <f>AF77</f>
        <v>98</v>
      </c>
      <c r="AH77" s="1173">
        <f>AG77</f>
        <v>98</v>
      </c>
      <c r="AI77" s="1174">
        <f t="shared" ref="AI77:AT77" si="969">(((AH77*(1+($B$36*$B$4)))-AH77)/12)+AH77</f>
        <v>98.587999999999994</v>
      </c>
      <c r="AJ77" s="1173">
        <f t="shared" si="969"/>
        <v>99.179527999999991</v>
      </c>
      <c r="AK77" s="1173">
        <f t="shared" si="969"/>
        <v>99.774605167999994</v>
      </c>
      <c r="AL77" s="1173">
        <f t="shared" si="969"/>
        <v>100.373252799008</v>
      </c>
      <c r="AM77" s="1173">
        <f t="shared" si="969"/>
        <v>100.97549231580204</v>
      </c>
      <c r="AN77" s="1173">
        <f t="shared" si="969"/>
        <v>101.58134526969685</v>
      </c>
      <c r="AO77" s="1173">
        <f t="shared" si="969"/>
        <v>102.19083334131504</v>
      </c>
      <c r="AP77" s="1173">
        <f t="shared" si="969"/>
        <v>102.80397834136294</v>
      </c>
      <c r="AQ77" s="1173">
        <f t="shared" si="969"/>
        <v>103.42080221141111</v>
      </c>
      <c r="AR77" s="1173">
        <f t="shared" si="969"/>
        <v>104.04132702467959</v>
      </c>
      <c r="AS77" s="1173">
        <f t="shared" si="969"/>
        <v>104.66557498682766</v>
      </c>
      <c r="AT77" s="1173">
        <f t="shared" si="969"/>
        <v>105.29356843674863</v>
      </c>
      <c r="AU77" s="1174">
        <f t="shared" ref="AU77:BF77" si="970">(((AT77*(1+($B$37*$B$4)))-AT77)/12)+AT77</f>
        <v>105.92532984736913</v>
      </c>
      <c r="AV77" s="1173">
        <f t="shared" si="970"/>
        <v>106.56088182645334</v>
      </c>
      <c r="AW77" s="1173">
        <f t="shared" si="970"/>
        <v>107.20024711741206</v>
      </c>
      <c r="AX77" s="1173">
        <f t="shared" si="970"/>
        <v>107.84344860011653</v>
      </c>
      <c r="AY77" s="1173">
        <f t="shared" si="970"/>
        <v>108.49050929171723</v>
      </c>
      <c r="AZ77" s="1173">
        <f t="shared" si="970"/>
        <v>109.14145234746753</v>
      </c>
      <c r="BA77" s="1173">
        <f t="shared" si="970"/>
        <v>109.79630106155234</v>
      </c>
      <c r="BB77" s="1173">
        <f t="shared" si="970"/>
        <v>110.45507886792166</v>
      </c>
      <c r="BC77" s="1173">
        <f t="shared" si="970"/>
        <v>111.11780934112919</v>
      </c>
      <c r="BD77" s="1173">
        <f t="shared" si="970"/>
        <v>111.78451619717596</v>
      </c>
      <c r="BE77" s="1173">
        <f t="shared" si="970"/>
        <v>112.45522329435902</v>
      </c>
      <c r="BF77" s="1173">
        <f t="shared" si="970"/>
        <v>113.12995463412517</v>
      </c>
      <c r="BG77" s="1174">
        <f t="shared" ref="BG77:BR77" si="971">(((BF77*(1+($B$38*$B$4)))-BF77)/12)+BF77</f>
        <v>113.80873436192992</v>
      </c>
      <c r="BH77" s="1173">
        <f t="shared" si="971"/>
        <v>114.4915867681015</v>
      </c>
      <c r="BI77" s="1173">
        <f t="shared" si="971"/>
        <v>115.17853628871011</v>
      </c>
      <c r="BJ77" s="1173">
        <f t="shared" si="971"/>
        <v>115.86960750644236</v>
      </c>
      <c r="BK77" s="1173">
        <f t="shared" si="971"/>
        <v>116.56482515148102</v>
      </c>
      <c r="BL77" s="1173">
        <f t="shared" si="971"/>
        <v>117.2642141023899</v>
      </c>
      <c r="BM77" s="1173">
        <f t="shared" si="971"/>
        <v>117.96779938700423</v>
      </c>
      <c r="BN77" s="1173">
        <f t="shared" si="971"/>
        <v>118.67560618332627</v>
      </c>
      <c r="BO77" s="1173">
        <f t="shared" si="971"/>
        <v>119.38765982042622</v>
      </c>
      <c r="BP77" s="1173">
        <f t="shared" si="971"/>
        <v>120.10398577934878</v>
      </c>
      <c r="BQ77" s="1173">
        <f t="shared" si="971"/>
        <v>120.82460969402487</v>
      </c>
      <c r="BR77" s="1173">
        <f t="shared" si="971"/>
        <v>121.54955735218903</v>
      </c>
      <c r="BS77" s="1174">
        <f t="shared" ref="BS77:CD77" si="972">(((BR77*(1+($B$39*$B$4)))-BR77)/12)+BR77</f>
        <v>122.27885469630216</v>
      </c>
      <c r="BT77" s="1173">
        <f t="shared" si="972"/>
        <v>123.01252782447997</v>
      </c>
      <c r="BU77" s="1173">
        <f t="shared" si="972"/>
        <v>123.75060299142686</v>
      </c>
      <c r="BV77" s="1173">
        <f t="shared" si="972"/>
        <v>124.49310660937542</v>
      </c>
      <c r="BW77" s="1173">
        <f t="shared" si="972"/>
        <v>125.24006524903167</v>
      </c>
      <c r="BX77" s="1173">
        <f t="shared" si="972"/>
        <v>125.99150564052586</v>
      </c>
      <c r="BY77" s="1173">
        <f t="shared" si="972"/>
        <v>126.74745467436901</v>
      </c>
      <c r="BZ77" s="1173">
        <f t="shared" si="972"/>
        <v>127.50793940241522</v>
      </c>
      <c r="CA77" s="1173">
        <f t="shared" si="972"/>
        <v>128.27298703882971</v>
      </c>
      <c r="CB77" s="1173">
        <f t="shared" si="972"/>
        <v>129.0426249610627</v>
      </c>
      <c r="CC77" s="1173">
        <f t="shared" si="972"/>
        <v>129.81688071082908</v>
      </c>
      <c r="CD77" s="1173">
        <f t="shared" si="972"/>
        <v>130.59578199509406</v>
      </c>
      <c r="CE77" s="1174">
        <f t="shared" ref="CE77:CP77" si="973">(((CD77*(1+($B$40*$B$4)))-CD77)/12)+CD77</f>
        <v>131.37935668706461</v>
      </c>
      <c r="CF77" s="1173">
        <f t="shared" si="973"/>
        <v>132.16763282718699</v>
      </c>
      <c r="CG77" s="1173">
        <f t="shared" si="973"/>
        <v>132.96063862415011</v>
      </c>
      <c r="CH77" s="1173">
        <f t="shared" si="973"/>
        <v>133.75840245589501</v>
      </c>
      <c r="CI77" s="1173">
        <f t="shared" si="973"/>
        <v>134.56095287063039</v>
      </c>
      <c r="CJ77" s="1173">
        <f t="shared" si="973"/>
        <v>135.36831858785416</v>
      </c>
      <c r="CK77" s="1173">
        <f t="shared" si="973"/>
        <v>136.1805284993813</v>
      </c>
      <c r="CL77" s="1173">
        <f t="shared" si="973"/>
        <v>136.99761167037758</v>
      </c>
      <c r="CM77" s="1173">
        <f t="shared" si="973"/>
        <v>137.81959734039984</v>
      </c>
      <c r="CN77" s="1173">
        <f t="shared" si="973"/>
        <v>138.64651492444224</v>
      </c>
      <c r="CO77" s="1173">
        <f t="shared" si="973"/>
        <v>139.47839401398889</v>
      </c>
      <c r="CP77" s="1173">
        <f t="shared" si="973"/>
        <v>140.31526437807281</v>
      </c>
      <c r="CQ77" s="1174">
        <f t="shared" ref="CQ77:DB77" si="974">(((CP77*(1+($B$41*$B$4)))-CP77)/12)+CP77</f>
        <v>141.15715596434126</v>
      </c>
      <c r="CR77" s="1173">
        <f t="shared" si="974"/>
        <v>142.0040989001273</v>
      </c>
      <c r="CS77" s="1173">
        <f t="shared" si="974"/>
        <v>142.85612349352806</v>
      </c>
      <c r="CT77" s="1173">
        <f t="shared" si="974"/>
        <v>143.71326023448924</v>
      </c>
      <c r="CU77" s="1173">
        <f t="shared" si="974"/>
        <v>144.57553979589619</v>
      </c>
      <c r="CV77" s="1173">
        <f t="shared" si="974"/>
        <v>145.44299303467156</v>
      </c>
      <c r="CW77" s="1173">
        <f t="shared" si="974"/>
        <v>146.3156509928796</v>
      </c>
      <c r="CX77" s="1173">
        <f t="shared" si="974"/>
        <v>147.19354489883688</v>
      </c>
      <c r="CY77" s="1173">
        <f t="shared" si="974"/>
        <v>148.07670616822989</v>
      </c>
      <c r="CZ77" s="1173">
        <f t="shared" si="974"/>
        <v>148.96516640523927</v>
      </c>
      <c r="DA77" s="1173">
        <f t="shared" si="974"/>
        <v>149.8589574036707</v>
      </c>
      <c r="DB77" s="1173">
        <f t="shared" si="974"/>
        <v>150.75811114809272</v>
      </c>
      <c r="DC77" s="1174">
        <f t="shared" ref="DC77:DN77" si="975">(((DB77*(1+($B$42*$B$4)))-DB77)/12)+DB77</f>
        <v>151.66265981498128</v>
      </c>
      <c r="DD77" s="1173">
        <f t="shared" si="975"/>
        <v>152.57263577387118</v>
      </c>
      <c r="DE77" s="1173">
        <f t="shared" si="975"/>
        <v>153.4880715885144</v>
      </c>
      <c r="DF77" s="1173">
        <f t="shared" si="975"/>
        <v>154.4090000180455</v>
      </c>
      <c r="DG77" s="1173">
        <f t="shared" si="975"/>
        <v>155.33545401815377</v>
      </c>
      <c r="DH77" s="1173">
        <f t="shared" si="975"/>
        <v>156.26746674226268</v>
      </c>
      <c r="DI77" s="1173">
        <f t="shared" si="975"/>
        <v>157.20507154271627</v>
      </c>
      <c r="DJ77" s="1173">
        <f t="shared" si="975"/>
        <v>158.14830197197256</v>
      </c>
      <c r="DK77" s="1173">
        <f t="shared" si="975"/>
        <v>159.09719178380439</v>
      </c>
      <c r="DL77" s="1173">
        <f t="shared" si="975"/>
        <v>160.05177493450722</v>
      </c>
      <c r="DM77" s="1173">
        <f t="shared" si="975"/>
        <v>161.01208558411426</v>
      </c>
      <c r="DN77" s="1173">
        <f t="shared" si="975"/>
        <v>161.97815809761894</v>
      </c>
      <c r="DO77" s="1174">
        <f t="shared" ref="DO77:DZ77" si="976">(((DN77*(1+($B$43*$B$4)))-DN77)/12)+DN77</f>
        <v>162.95002704620467</v>
      </c>
      <c r="DP77" s="1173">
        <f t="shared" si="976"/>
        <v>163.92772720848188</v>
      </c>
      <c r="DQ77" s="1173">
        <f t="shared" si="976"/>
        <v>164.91129357173278</v>
      </c>
      <c r="DR77" s="1173">
        <f t="shared" si="976"/>
        <v>165.90076133316319</v>
      </c>
      <c r="DS77" s="1173">
        <f t="shared" si="976"/>
        <v>166.89616590116216</v>
      </c>
      <c r="DT77" s="1173">
        <f t="shared" si="976"/>
        <v>167.89754289656915</v>
      </c>
      <c r="DU77" s="1173">
        <f t="shared" si="976"/>
        <v>168.90492815394856</v>
      </c>
      <c r="DV77" s="1173">
        <f t="shared" si="976"/>
        <v>169.91835772287226</v>
      </c>
      <c r="DW77" s="1173">
        <f t="shared" si="976"/>
        <v>170.9378678692095</v>
      </c>
      <c r="DX77" s="1173">
        <f t="shared" si="976"/>
        <v>171.96349507642475</v>
      </c>
      <c r="DY77" s="1173">
        <f t="shared" si="976"/>
        <v>172.9952760468833</v>
      </c>
      <c r="DZ77" s="1173">
        <f t="shared" si="976"/>
        <v>174.03324770316459</v>
      </c>
      <c r="EA77" s="1174">
        <f>(((DZ77*(1+($B$44*$B$4)))-DZ77)/12)+DZ77</f>
        <v>175.07744718938358</v>
      </c>
      <c r="EB77" s="1173">
        <f>(((EA77*(1+($B$44*$B$4)))-EA77)/12)+EA77</f>
        <v>176.12791187251989</v>
      </c>
      <c r="EC77" s="1173">
        <f>(((EB77*(1+($B$44*$B$4)))-EB77)/12)+EB77</f>
        <v>177.18467934375502</v>
      </c>
      <c r="ED77" s="1175">
        <f>(((EC77*(1+($B$44*$B$4)))-EC77)/12)+EC77</f>
        <v>178.24778741981754</v>
      </c>
    </row>
    <row r="78" spans="1:134" ht="18.75" outlineLevel="1" x14ac:dyDescent="0.3">
      <c r="A78" s="169">
        <v>82.5</v>
      </c>
      <c r="B78" s="169" t="s">
        <v>250</v>
      </c>
      <c r="C78" s="1675"/>
      <c r="D78" s="1631"/>
      <c r="E78" s="1631"/>
      <c r="F78" s="1631"/>
      <c r="G78" s="1631"/>
      <c r="H78" s="1631"/>
      <c r="I78" s="1631"/>
      <c r="J78" s="1631"/>
      <c r="K78" s="1631"/>
      <c r="L78" s="991"/>
      <c r="M78" s="983"/>
      <c r="N78" s="1406"/>
      <c r="O78" s="1407"/>
      <c r="P78" s="1407"/>
      <c r="Q78" s="984"/>
      <c r="R78" s="995"/>
      <c r="S78" s="989"/>
      <c r="T78" s="989"/>
      <c r="U78" s="983"/>
      <c r="V78" s="1081">
        <v>1</v>
      </c>
      <c r="W78" s="1176">
        <f t="shared" ref="W78:BB78" si="977">ROUNDUP($V78*(W77/100)/0.8,0)</f>
        <v>2</v>
      </c>
      <c r="X78" s="980">
        <f t="shared" si="977"/>
        <v>2</v>
      </c>
      <c r="Y78" s="980">
        <f t="shared" si="977"/>
        <v>2</v>
      </c>
      <c r="Z78" s="980">
        <f t="shared" si="977"/>
        <v>2</v>
      </c>
      <c r="AA78" s="980">
        <f t="shared" si="977"/>
        <v>2</v>
      </c>
      <c r="AB78" s="980">
        <f t="shared" si="977"/>
        <v>2</v>
      </c>
      <c r="AC78" s="980">
        <f t="shared" si="977"/>
        <v>2</v>
      </c>
      <c r="AD78" s="980">
        <f t="shared" si="977"/>
        <v>2</v>
      </c>
      <c r="AE78" s="980">
        <f t="shared" si="977"/>
        <v>2</v>
      </c>
      <c r="AF78" s="980">
        <f t="shared" si="977"/>
        <v>2</v>
      </c>
      <c r="AG78" s="980">
        <f t="shared" si="977"/>
        <v>2</v>
      </c>
      <c r="AH78" s="980">
        <f t="shared" si="977"/>
        <v>2</v>
      </c>
      <c r="AI78" s="1171">
        <f t="shared" si="977"/>
        <v>2</v>
      </c>
      <c r="AJ78" s="980">
        <f t="shared" si="977"/>
        <v>2</v>
      </c>
      <c r="AK78" s="980">
        <f t="shared" si="977"/>
        <v>2</v>
      </c>
      <c r="AL78" s="980">
        <f t="shared" si="977"/>
        <v>2</v>
      </c>
      <c r="AM78" s="980">
        <f t="shared" si="977"/>
        <v>2</v>
      </c>
      <c r="AN78" s="980">
        <f t="shared" si="977"/>
        <v>2</v>
      </c>
      <c r="AO78" s="980">
        <f t="shared" si="977"/>
        <v>2</v>
      </c>
      <c r="AP78" s="980">
        <f t="shared" si="977"/>
        <v>2</v>
      </c>
      <c r="AQ78" s="980">
        <f t="shared" si="977"/>
        <v>2</v>
      </c>
      <c r="AR78" s="980">
        <f t="shared" si="977"/>
        <v>2</v>
      </c>
      <c r="AS78" s="980">
        <f t="shared" si="977"/>
        <v>2</v>
      </c>
      <c r="AT78" s="980">
        <f t="shared" si="977"/>
        <v>2</v>
      </c>
      <c r="AU78" s="1171">
        <f t="shared" si="977"/>
        <v>2</v>
      </c>
      <c r="AV78" s="980">
        <f t="shared" si="977"/>
        <v>2</v>
      </c>
      <c r="AW78" s="980">
        <f t="shared" si="977"/>
        <v>2</v>
      </c>
      <c r="AX78" s="980">
        <f t="shared" si="977"/>
        <v>2</v>
      </c>
      <c r="AY78" s="980">
        <f t="shared" si="977"/>
        <v>2</v>
      </c>
      <c r="AZ78" s="980">
        <f t="shared" si="977"/>
        <v>2</v>
      </c>
      <c r="BA78" s="980">
        <f t="shared" si="977"/>
        <v>2</v>
      </c>
      <c r="BB78" s="980">
        <f t="shared" si="977"/>
        <v>2</v>
      </c>
      <c r="BC78" s="980">
        <f t="shared" ref="BC78:CH78" si="978">ROUNDUP($V78*(BC77/100)/0.8,0)</f>
        <v>2</v>
      </c>
      <c r="BD78" s="980">
        <f t="shared" si="978"/>
        <v>2</v>
      </c>
      <c r="BE78" s="980">
        <f t="shared" si="978"/>
        <v>2</v>
      </c>
      <c r="BF78" s="980">
        <f t="shared" si="978"/>
        <v>2</v>
      </c>
      <c r="BG78" s="1171">
        <f t="shared" si="978"/>
        <v>2</v>
      </c>
      <c r="BH78" s="980">
        <f t="shared" si="978"/>
        <v>2</v>
      </c>
      <c r="BI78" s="980">
        <f t="shared" si="978"/>
        <v>2</v>
      </c>
      <c r="BJ78" s="980">
        <f t="shared" si="978"/>
        <v>2</v>
      </c>
      <c r="BK78" s="980">
        <f t="shared" si="978"/>
        <v>2</v>
      </c>
      <c r="BL78" s="980">
        <f t="shared" si="978"/>
        <v>2</v>
      </c>
      <c r="BM78" s="980">
        <f t="shared" si="978"/>
        <v>2</v>
      </c>
      <c r="BN78" s="980">
        <f t="shared" si="978"/>
        <v>2</v>
      </c>
      <c r="BO78" s="980">
        <f t="shared" si="978"/>
        <v>2</v>
      </c>
      <c r="BP78" s="980">
        <f t="shared" si="978"/>
        <v>2</v>
      </c>
      <c r="BQ78" s="980">
        <f t="shared" si="978"/>
        <v>2</v>
      </c>
      <c r="BR78" s="980">
        <f t="shared" si="978"/>
        <v>2</v>
      </c>
      <c r="BS78" s="1171">
        <f t="shared" si="978"/>
        <v>2</v>
      </c>
      <c r="BT78" s="980">
        <f t="shared" si="978"/>
        <v>2</v>
      </c>
      <c r="BU78" s="980">
        <f t="shared" si="978"/>
        <v>2</v>
      </c>
      <c r="BV78" s="980">
        <f t="shared" si="978"/>
        <v>2</v>
      </c>
      <c r="BW78" s="980">
        <f t="shared" si="978"/>
        <v>2</v>
      </c>
      <c r="BX78" s="980">
        <f t="shared" si="978"/>
        <v>2</v>
      </c>
      <c r="BY78" s="980">
        <f t="shared" si="978"/>
        <v>2</v>
      </c>
      <c r="BZ78" s="980">
        <f t="shared" si="978"/>
        <v>2</v>
      </c>
      <c r="CA78" s="980">
        <f t="shared" si="978"/>
        <v>2</v>
      </c>
      <c r="CB78" s="980">
        <f t="shared" si="978"/>
        <v>2</v>
      </c>
      <c r="CC78" s="980">
        <f t="shared" si="978"/>
        <v>2</v>
      </c>
      <c r="CD78" s="980">
        <f t="shared" si="978"/>
        <v>2</v>
      </c>
      <c r="CE78" s="1171">
        <f t="shared" si="978"/>
        <v>2</v>
      </c>
      <c r="CF78" s="980">
        <f t="shared" si="978"/>
        <v>2</v>
      </c>
      <c r="CG78" s="980">
        <f t="shared" si="978"/>
        <v>2</v>
      </c>
      <c r="CH78" s="980">
        <f t="shared" si="978"/>
        <v>2</v>
      </c>
      <c r="CI78" s="980">
        <f t="shared" ref="CI78:DN78" si="979">ROUNDUP($V78*(CI77/100)/0.8,0)</f>
        <v>2</v>
      </c>
      <c r="CJ78" s="980">
        <f t="shared" si="979"/>
        <v>2</v>
      </c>
      <c r="CK78" s="980">
        <f t="shared" si="979"/>
        <v>2</v>
      </c>
      <c r="CL78" s="980">
        <f t="shared" si="979"/>
        <v>2</v>
      </c>
      <c r="CM78" s="980">
        <f t="shared" si="979"/>
        <v>2</v>
      </c>
      <c r="CN78" s="980">
        <f t="shared" si="979"/>
        <v>2</v>
      </c>
      <c r="CO78" s="980">
        <f t="shared" si="979"/>
        <v>2</v>
      </c>
      <c r="CP78" s="980">
        <f t="shared" si="979"/>
        <v>2</v>
      </c>
      <c r="CQ78" s="1171">
        <f t="shared" si="979"/>
        <v>2</v>
      </c>
      <c r="CR78" s="980">
        <f t="shared" si="979"/>
        <v>2</v>
      </c>
      <c r="CS78" s="980">
        <f t="shared" si="979"/>
        <v>2</v>
      </c>
      <c r="CT78" s="980">
        <f t="shared" si="979"/>
        <v>2</v>
      </c>
      <c r="CU78" s="980">
        <f t="shared" si="979"/>
        <v>2</v>
      </c>
      <c r="CV78" s="980">
        <f t="shared" si="979"/>
        <v>2</v>
      </c>
      <c r="CW78" s="980">
        <f t="shared" si="979"/>
        <v>2</v>
      </c>
      <c r="CX78" s="980">
        <f t="shared" si="979"/>
        <v>2</v>
      </c>
      <c r="CY78" s="980">
        <f t="shared" si="979"/>
        <v>2</v>
      </c>
      <c r="CZ78" s="980">
        <f t="shared" si="979"/>
        <v>2</v>
      </c>
      <c r="DA78" s="980">
        <f t="shared" si="979"/>
        <v>2</v>
      </c>
      <c r="DB78" s="980">
        <f t="shared" si="979"/>
        <v>2</v>
      </c>
      <c r="DC78" s="1171">
        <f t="shared" si="979"/>
        <v>2</v>
      </c>
      <c r="DD78" s="980">
        <f t="shared" si="979"/>
        <v>2</v>
      </c>
      <c r="DE78" s="980">
        <f t="shared" si="979"/>
        <v>2</v>
      </c>
      <c r="DF78" s="980">
        <f t="shared" si="979"/>
        <v>2</v>
      </c>
      <c r="DG78" s="980">
        <f t="shared" si="979"/>
        <v>2</v>
      </c>
      <c r="DH78" s="980">
        <f t="shared" si="979"/>
        <v>2</v>
      </c>
      <c r="DI78" s="980">
        <f t="shared" si="979"/>
        <v>2</v>
      </c>
      <c r="DJ78" s="980">
        <f t="shared" si="979"/>
        <v>2</v>
      </c>
      <c r="DK78" s="980">
        <f t="shared" si="979"/>
        <v>2</v>
      </c>
      <c r="DL78" s="980">
        <f t="shared" si="979"/>
        <v>3</v>
      </c>
      <c r="DM78" s="980">
        <f t="shared" si="979"/>
        <v>3</v>
      </c>
      <c r="DN78" s="980">
        <f t="shared" si="979"/>
        <v>3</v>
      </c>
      <c r="DO78" s="1171">
        <f t="shared" ref="DO78:ED78" si="980">ROUNDUP($V78*(DO77/100)/0.8,0)</f>
        <v>3</v>
      </c>
      <c r="DP78" s="980">
        <f t="shared" si="980"/>
        <v>3</v>
      </c>
      <c r="DQ78" s="980">
        <f t="shared" si="980"/>
        <v>3</v>
      </c>
      <c r="DR78" s="980">
        <f t="shared" si="980"/>
        <v>3</v>
      </c>
      <c r="DS78" s="980">
        <f t="shared" si="980"/>
        <v>3</v>
      </c>
      <c r="DT78" s="980">
        <f t="shared" si="980"/>
        <v>3</v>
      </c>
      <c r="DU78" s="980">
        <f t="shared" si="980"/>
        <v>3</v>
      </c>
      <c r="DV78" s="980">
        <f t="shared" si="980"/>
        <v>3</v>
      </c>
      <c r="DW78" s="980">
        <f t="shared" si="980"/>
        <v>3</v>
      </c>
      <c r="DX78" s="980">
        <f t="shared" si="980"/>
        <v>3</v>
      </c>
      <c r="DY78" s="980">
        <f t="shared" si="980"/>
        <v>3</v>
      </c>
      <c r="DZ78" s="980">
        <f t="shared" si="980"/>
        <v>3</v>
      </c>
      <c r="EA78" s="1171">
        <f t="shared" si="980"/>
        <v>3</v>
      </c>
      <c r="EB78" s="980">
        <f t="shared" si="980"/>
        <v>3</v>
      </c>
      <c r="EC78" s="980">
        <f t="shared" si="980"/>
        <v>3</v>
      </c>
      <c r="ED78" s="1177">
        <f t="shared" si="980"/>
        <v>3</v>
      </c>
    </row>
    <row r="79" spans="1:134" ht="18.75" outlineLevel="1" x14ac:dyDescent="0.3">
      <c r="A79" s="169">
        <v>239</v>
      </c>
      <c r="B79" s="169" t="s">
        <v>251</v>
      </c>
      <c r="C79" s="1675"/>
      <c r="D79" s="1629" t="s">
        <v>252</v>
      </c>
      <c r="E79" s="1629"/>
      <c r="F79" s="1629"/>
      <c r="G79" s="1629"/>
      <c r="H79" s="1629"/>
      <c r="I79" s="1629"/>
      <c r="J79" s="1629"/>
      <c r="K79" s="1629"/>
      <c r="L79" s="992"/>
      <c r="M79" s="1329">
        <f>N79*100</f>
        <v>0</v>
      </c>
      <c r="N79" s="1408"/>
      <c r="O79" s="1409"/>
      <c r="P79" s="1409"/>
      <c r="Q79" s="981"/>
      <c r="R79" s="996">
        <f t="shared" ref="R79:R91" si="981">P79-N79</f>
        <v>0</v>
      </c>
      <c r="S79" s="982">
        <f t="shared" si="968"/>
        <v>0</v>
      </c>
      <c r="T79" s="982"/>
      <c r="U79" s="980"/>
      <c r="V79" s="1102"/>
      <c r="W79" s="1172">
        <f t="shared" ref="W79:W93" si="982">M79</f>
        <v>0</v>
      </c>
      <c r="X79" s="1173">
        <f t="shared" ref="X79:Y93" si="983">W79</f>
        <v>0</v>
      </c>
      <c r="Y79" s="1173">
        <f t="shared" si="983"/>
        <v>0</v>
      </c>
      <c r="Z79" s="1173">
        <f t="shared" ref="Z79:Z93" si="984">O79*100</f>
        <v>0</v>
      </c>
      <c r="AA79" s="1173">
        <f>Z79</f>
        <v>0</v>
      </c>
      <c r="AB79" s="1173">
        <f>AA79</f>
        <v>0</v>
      </c>
      <c r="AC79" s="1173">
        <f t="shared" ref="AC79:AC93" si="985">P79*100</f>
        <v>0</v>
      </c>
      <c r="AD79" s="1173">
        <f>AC79</f>
        <v>0</v>
      </c>
      <c r="AE79" s="1173">
        <f>AD79</f>
        <v>0</v>
      </c>
      <c r="AF79" s="1173">
        <f>AE79</f>
        <v>0</v>
      </c>
      <c r="AG79" s="1173">
        <f>AF79</f>
        <v>0</v>
      </c>
      <c r="AH79" s="1173">
        <f>AG79</f>
        <v>0</v>
      </c>
      <c r="AI79" s="1174">
        <f t="shared" ref="AI79:AT79" si="986">(((AH79*(1+($B$36*$B$4)))-AH79)/12)+AH79</f>
        <v>0</v>
      </c>
      <c r="AJ79" s="1173">
        <f t="shared" si="986"/>
        <v>0</v>
      </c>
      <c r="AK79" s="1173">
        <f t="shared" si="986"/>
        <v>0</v>
      </c>
      <c r="AL79" s="1173">
        <f t="shared" si="986"/>
        <v>0</v>
      </c>
      <c r="AM79" s="1173">
        <f t="shared" si="986"/>
        <v>0</v>
      </c>
      <c r="AN79" s="1173">
        <f t="shared" si="986"/>
        <v>0</v>
      </c>
      <c r="AO79" s="1173">
        <f t="shared" si="986"/>
        <v>0</v>
      </c>
      <c r="AP79" s="1173">
        <f t="shared" si="986"/>
        <v>0</v>
      </c>
      <c r="AQ79" s="1173">
        <f t="shared" si="986"/>
        <v>0</v>
      </c>
      <c r="AR79" s="1173">
        <f t="shared" si="986"/>
        <v>0</v>
      </c>
      <c r="AS79" s="1173">
        <f t="shared" si="986"/>
        <v>0</v>
      </c>
      <c r="AT79" s="1173">
        <f t="shared" si="986"/>
        <v>0</v>
      </c>
      <c r="AU79" s="1174">
        <f t="shared" ref="AU79:BF79" si="987">(((AT79*(1+($B$37*$B$4)))-AT79)/12)+AT79</f>
        <v>0</v>
      </c>
      <c r="AV79" s="1173">
        <f t="shared" si="987"/>
        <v>0</v>
      </c>
      <c r="AW79" s="1173">
        <f t="shared" si="987"/>
        <v>0</v>
      </c>
      <c r="AX79" s="1173">
        <f t="shared" si="987"/>
        <v>0</v>
      </c>
      <c r="AY79" s="1173">
        <f t="shared" si="987"/>
        <v>0</v>
      </c>
      <c r="AZ79" s="1173">
        <f t="shared" si="987"/>
        <v>0</v>
      </c>
      <c r="BA79" s="1173">
        <f t="shared" si="987"/>
        <v>0</v>
      </c>
      <c r="BB79" s="1173">
        <f t="shared" si="987"/>
        <v>0</v>
      </c>
      <c r="BC79" s="1173">
        <f t="shared" si="987"/>
        <v>0</v>
      </c>
      <c r="BD79" s="1173">
        <f t="shared" si="987"/>
        <v>0</v>
      </c>
      <c r="BE79" s="1173">
        <f t="shared" si="987"/>
        <v>0</v>
      </c>
      <c r="BF79" s="1173">
        <f t="shared" si="987"/>
        <v>0</v>
      </c>
      <c r="BG79" s="1174">
        <f t="shared" ref="BG79:BR79" si="988">(((BF79*(1+($B$38*$B$4)))-BF79)/12)+BF79</f>
        <v>0</v>
      </c>
      <c r="BH79" s="1173">
        <f t="shared" si="988"/>
        <v>0</v>
      </c>
      <c r="BI79" s="1173">
        <f t="shared" si="988"/>
        <v>0</v>
      </c>
      <c r="BJ79" s="1173">
        <f t="shared" si="988"/>
        <v>0</v>
      </c>
      <c r="BK79" s="1173">
        <f t="shared" si="988"/>
        <v>0</v>
      </c>
      <c r="BL79" s="1173">
        <f t="shared" si="988"/>
        <v>0</v>
      </c>
      <c r="BM79" s="1173">
        <f t="shared" si="988"/>
        <v>0</v>
      </c>
      <c r="BN79" s="1173">
        <f t="shared" si="988"/>
        <v>0</v>
      </c>
      <c r="BO79" s="1173">
        <f t="shared" si="988"/>
        <v>0</v>
      </c>
      <c r="BP79" s="1173">
        <f t="shared" si="988"/>
        <v>0</v>
      </c>
      <c r="BQ79" s="1173">
        <f t="shared" si="988"/>
        <v>0</v>
      </c>
      <c r="BR79" s="1173">
        <f t="shared" si="988"/>
        <v>0</v>
      </c>
      <c r="BS79" s="1174">
        <f t="shared" ref="BS79:CD79" si="989">(((BR79*(1+($B$39*$B$4)))-BR79)/12)+BR79</f>
        <v>0</v>
      </c>
      <c r="BT79" s="1173">
        <f t="shared" si="989"/>
        <v>0</v>
      </c>
      <c r="BU79" s="1173">
        <f t="shared" si="989"/>
        <v>0</v>
      </c>
      <c r="BV79" s="1173">
        <f t="shared" si="989"/>
        <v>0</v>
      </c>
      <c r="BW79" s="1173">
        <f t="shared" si="989"/>
        <v>0</v>
      </c>
      <c r="BX79" s="1173">
        <f t="shared" si="989"/>
        <v>0</v>
      </c>
      <c r="BY79" s="1173">
        <f t="shared" si="989"/>
        <v>0</v>
      </c>
      <c r="BZ79" s="1173">
        <f t="shared" si="989"/>
        <v>0</v>
      </c>
      <c r="CA79" s="1173">
        <f t="shared" si="989"/>
        <v>0</v>
      </c>
      <c r="CB79" s="1173">
        <f t="shared" si="989"/>
        <v>0</v>
      </c>
      <c r="CC79" s="1173">
        <f t="shared" si="989"/>
        <v>0</v>
      </c>
      <c r="CD79" s="1173">
        <f t="shared" si="989"/>
        <v>0</v>
      </c>
      <c r="CE79" s="1174">
        <f t="shared" ref="CE79:CP79" si="990">(((CD79*(1+($B$40*$B$4)))-CD79)/12)+CD79</f>
        <v>0</v>
      </c>
      <c r="CF79" s="1173">
        <f t="shared" si="990"/>
        <v>0</v>
      </c>
      <c r="CG79" s="1173">
        <f t="shared" si="990"/>
        <v>0</v>
      </c>
      <c r="CH79" s="1173">
        <f t="shared" si="990"/>
        <v>0</v>
      </c>
      <c r="CI79" s="1173">
        <f t="shared" si="990"/>
        <v>0</v>
      </c>
      <c r="CJ79" s="1173">
        <f t="shared" si="990"/>
        <v>0</v>
      </c>
      <c r="CK79" s="1173">
        <f t="shared" si="990"/>
        <v>0</v>
      </c>
      <c r="CL79" s="1173">
        <f t="shared" si="990"/>
        <v>0</v>
      </c>
      <c r="CM79" s="1173">
        <f t="shared" si="990"/>
        <v>0</v>
      </c>
      <c r="CN79" s="1173">
        <f t="shared" si="990"/>
        <v>0</v>
      </c>
      <c r="CO79" s="1173">
        <f t="shared" si="990"/>
        <v>0</v>
      </c>
      <c r="CP79" s="1173">
        <f t="shared" si="990"/>
        <v>0</v>
      </c>
      <c r="CQ79" s="1174">
        <f t="shared" ref="CQ79:DB79" si="991">(((CP79*(1+($B$41*$B$4)))-CP79)/12)+CP79</f>
        <v>0</v>
      </c>
      <c r="CR79" s="1173">
        <f t="shared" si="991"/>
        <v>0</v>
      </c>
      <c r="CS79" s="1173">
        <f t="shared" si="991"/>
        <v>0</v>
      </c>
      <c r="CT79" s="1173">
        <f t="shared" si="991"/>
        <v>0</v>
      </c>
      <c r="CU79" s="1173">
        <f t="shared" si="991"/>
        <v>0</v>
      </c>
      <c r="CV79" s="1173">
        <f t="shared" si="991"/>
        <v>0</v>
      </c>
      <c r="CW79" s="1173">
        <f t="shared" si="991"/>
        <v>0</v>
      </c>
      <c r="CX79" s="1173">
        <f t="shared" si="991"/>
        <v>0</v>
      </c>
      <c r="CY79" s="1173">
        <f t="shared" si="991"/>
        <v>0</v>
      </c>
      <c r="CZ79" s="1173">
        <f t="shared" si="991"/>
        <v>0</v>
      </c>
      <c r="DA79" s="1173">
        <f t="shared" si="991"/>
        <v>0</v>
      </c>
      <c r="DB79" s="1173">
        <f t="shared" si="991"/>
        <v>0</v>
      </c>
      <c r="DC79" s="1174">
        <f t="shared" ref="DC79:DN79" si="992">(((DB79*(1+($B$42*$B$4)))-DB79)/12)+DB79</f>
        <v>0</v>
      </c>
      <c r="DD79" s="1173">
        <f t="shared" si="992"/>
        <v>0</v>
      </c>
      <c r="DE79" s="1173">
        <f t="shared" si="992"/>
        <v>0</v>
      </c>
      <c r="DF79" s="1173">
        <f t="shared" si="992"/>
        <v>0</v>
      </c>
      <c r="DG79" s="1173">
        <f t="shared" si="992"/>
        <v>0</v>
      </c>
      <c r="DH79" s="1173">
        <f t="shared" si="992"/>
        <v>0</v>
      </c>
      <c r="DI79" s="1173">
        <f t="shared" si="992"/>
        <v>0</v>
      </c>
      <c r="DJ79" s="1173">
        <f t="shared" si="992"/>
        <v>0</v>
      </c>
      <c r="DK79" s="1173">
        <f t="shared" si="992"/>
        <v>0</v>
      </c>
      <c r="DL79" s="1173">
        <f t="shared" si="992"/>
        <v>0</v>
      </c>
      <c r="DM79" s="1173">
        <f t="shared" si="992"/>
        <v>0</v>
      </c>
      <c r="DN79" s="1173">
        <f t="shared" si="992"/>
        <v>0</v>
      </c>
      <c r="DO79" s="1174">
        <f t="shared" ref="DO79:DZ79" si="993">(((DN79*(1+($B$43*$B$4)))-DN79)/12)+DN79</f>
        <v>0</v>
      </c>
      <c r="DP79" s="1173">
        <f t="shared" si="993"/>
        <v>0</v>
      </c>
      <c r="DQ79" s="1173">
        <f t="shared" si="993"/>
        <v>0</v>
      </c>
      <c r="DR79" s="1173">
        <f t="shared" si="993"/>
        <v>0</v>
      </c>
      <c r="DS79" s="1173">
        <f t="shared" si="993"/>
        <v>0</v>
      </c>
      <c r="DT79" s="1173">
        <f t="shared" si="993"/>
        <v>0</v>
      </c>
      <c r="DU79" s="1173">
        <f t="shared" si="993"/>
        <v>0</v>
      </c>
      <c r="DV79" s="1173">
        <f t="shared" si="993"/>
        <v>0</v>
      </c>
      <c r="DW79" s="1173">
        <f t="shared" si="993"/>
        <v>0</v>
      </c>
      <c r="DX79" s="1173">
        <f t="shared" si="993"/>
        <v>0</v>
      </c>
      <c r="DY79" s="1173">
        <f t="shared" si="993"/>
        <v>0</v>
      </c>
      <c r="DZ79" s="1173">
        <f t="shared" si="993"/>
        <v>0</v>
      </c>
      <c r="EA79" s="1174">
        <f>(((DZ79*(1+($B$44*$B$4)))-DZ79)/12)+DZ79</f>
        <v>0</v>
      </c>
      <c r="EB79" s="1173">
        <f>(((EA79*(1+($B$44*$B$4)))-EA79)/12)+EA79</f>
        <v>0</v>
      </c>
      <c r="EC79" s="1173">
        <f>(((EB79*(1+($B$44*$B$4)))-EB79)/12)+EB79</f>
        <v>0</v>
      </c>
      <c r="ED79" s="1175">
        <f>(((EC79*(1+($B$44*$B$4)))-EC79)/12)+EC79</f>
        <v>0</v>
      </c>
    </row>
    <row r="80" spans="1:134" ht="18.75" outlineLevel="1" x14ac:dyDescent="0.3">
      <c r="A80" s="169">
        <v>80</v>
      </c>
      <c r="B80" s="169" t="s">
        <v>253</v>
      </c>
      <c r="C80" s="1675"/>
      <c r="D80" s="1629"/>
      <c r="E80" s="1629"/>
      <c r="F80" s="1629"/>
      <c r="G80" s="1629"/>
      <c r="H80" s="1629"/>
      <c r="I80" s="1629"/>
      <c r="J80" s="1629"/>
      <c r="K80" s="1629"/>
      <c r="L80" s="992"/>
      <c r="M80" s="980"/>
      <c r="N80" s="1408"/>
      <c r="O80" s="1409"/>
      <c r="P80" s="1409"/>
      <c r="Q80" s="981"/>
      <c r="R80" s="996"/>
      <c r="S80" s="982"/>
      <c r="T80" s="982"/>
      <c r="U80" s="980"/>
      <c r="V80" s="85">
        <v>1</v>
      </c>
      <c r="W80" s="1178">
        <f t="shared" ref="W80:BB80" si="994">ROUNDUP($V80*(W79/100)/0.8,0)</f>
        <v>0</v>
      </c>
      <c r="X80" s="1179">
        <f t="shared" si="994"/>
        <v>0</v>
      </c>
      <c r="Y80" s="1179">
        <f t="shared" si="994"/>
        <v>0</v>
      </c>
      <c r="Z80" s="1179">
        <f t="shared" si="994"/>
        <v>0</v>
      </c>
      <c r="AA80" s="1179">
        <f t="shared" si="994"/>
        <v>0</v>
      </c>
      <c r="AB80" s="1179">
        <f t="shared" si="994"/>
        <v>0</v>
      </c>
      <c r="AC80" s="1179">
        <f t="shared" si="994"/>
        <v>0</v>
      </c>
      <c r="AD80" s="1179">
        <f t="shared" si="994"/>
        <v>0</v>
      </c>
      <c r="AE80" s="1179">
        <f t="shared" si="994"/>
        <v>0</v>
      </c>
      <c r="AF80" s="1179">
        <f t="shared" si="994"/>
        <v>0</v>
      </c>
      <c r="AG80" s="1179">
        <f t="shared" si="994"/>
        <v>0</v>
      </c>
      <c r="AH80" s="1179">
        <f t="shared" si="994"/>
        <v>0</v>
      </c>
      <c r="AI80" s="1180">
        <f t="shared" si="994"/>
        <v>0</v>
      </c>
      <c r="AJ80" s="1179">
        <f t="shared" si="994"/>
        <v>0</v>
      </c>
      <c r="AK80" s="1179">
        <f t="shared" si="994"/>
        <v>0</v>
      </c>
      <c r="AL80" s="1179">
        <f t="shared" si="994"/>
        <v>0</v>
      </c>
      <c r="AM80" s="1179">
        <f t="shared" si="994"/>
        <v>0</v>
      </c>
      <c r="AN80" s="1179">
        <f t="shared" si="994"/>
        <v>0</v>
      </c>
      <c r="AO80" s="1179">
        <f t="shared" si="994"/>
        <v>0</v>
      </c>
      <c r="AP80" s="1179">
        <f t="shared" si="994"/>
        <v>0</v>
      </c>
      <c r="AQ80" s="1179">
        <f t="shared" si="994"/>
        <v>0</v>
      </c>
      <c r="AR80" s="1179">
        <f t="shared" si="994"/>
        <v>0</v>
      </c>
      <c r="AS80" s="1179">
        <f t="shared" si="994"/>
        <v>0</v>
      </c>
      <c r="AT80" s="1179">
        <f t="shared" si="994"/>
        <v>0</v>
      </c>
      <c r="AU80" s="1180">
        <f t="shared" si="994"/>
        <v>0</v>
      </c>
      <c r="AV80" s="1179">
        <f t="shared" si="994"/>
        <v>0</v>
      </c>
      <c r="AW80" s="1179">
        <f t="shared" si="994"/>
        <v>0</v>
      </c>
      <c r="AX80" s="1179">
        <f t="shared" si="994"/>
        <v>0</v>
      </c>
      <c r="AY80" s="1179">
        <f t="shared" si="994"/>
        <v>0</v>
      </c>
      <c r="AZ80" s="1179">
        <f t="shared" si="994"/>
        <v>0</v>
      </c>
      <c r="BA80" s="1179">
        <f t="shared" si="994"/>
        <v>0</v>
      </c>
      <c r="BB80" s="1179">
        <f t="shared" si="994"/>
        <v>0</v>
      </c>
      <c r="BC80" s="1179">
        <f t="shared" ref="BC80:CH80" si="995">ROUNDUP($V80*(BC79/100)/0.8,0)</f>
        <v>0</v>
      </c>
      <c r="BD80" s="1179">
        <f t="shared" si="995"/>
        <v>0</v>
      </c>
      <c r="BE80" s="1179">
        <f t="shared" si="995"/>
        <v>0</v>
      </c>
      <c r="BF80" s="1179">
        <f t="shared" si="995"/>
        <v>0</v>
      </c>
      <c r="BG80" s="1180">
        <f t="shared" si="995"/>
        <v>0</v>
      </c>
      <c r="BH80" s="1179">
        <f t="shared" si="995"/>
        <v>0</v>
      </c>
      <c r="BI80" s="1179">
        <f t="shared" si="995"/>
        <v>0</v>
      </c>
      <c r="BJ80" s="1179">
        <f t="shared" si="995"/>
        <v>0</v>
      </c>
      <c r="BK80" s="1179">
        <f t="shared" si="995"/>
        <v>0</v>
      </c>
      <c r="BL80" s="1179">
        <f t="shared" si="995"/>
        <v>0</v>
      </c>
      <c r="BM80" s="1179">
        <f t="shared" si="995"/>
        <v>0</v>
      </c>
      <c r="BN80" s="1179">
        <f t="shared" si="995"/>
        <v>0</v>
      </c>
      <c r="BO80" s="1179">
        <f t="shared" si="995"/>
        <v>0</v>
      </c>
      <c r="BP80" s="1179">
        <f t="shared" si="995"/>
        <v>0</v>
      </c>
      <c r="BQ80" s="1179">
        <f t="shared" si="995"/>
        <v>0</v>
      </c>
      <c r="BR80" s="1179">
        <f t="shared" si="995"/>
        <v>0</v>
      </c>
      <c r="BS80" s="1180">
        <f t="shared" si="995"/>
        <v>0</v>
      </c>
      <c r="BT80" s="1179">
        <f t="shared" si="995"/>
        <v>0</v>
      </c>
      <c r="BU80" s="1179">
        <f t="shared" si="995"/>
        <v>0</v>
      </c>
      <c r="BV80" s="1179">
        <f t="shared" si="995"/>
        <v>0</v>
      </c>
      <c r="BW80" s="1179">
        <f t="shared" si="995"/>
        <v>0</v>
      </c>
      <c r="BX80" s="1179">
        <f t="shared" si="995"/>
        <v>0</v>
      </c>
      <c r="BY80" s="1179">
        <f t="shared" si="995"/>
        <v>0</v>
      </c>
      <c r="BZ80" s="1179">
        <f t="shared" si="995"/>
        <v>0</v>
      </c>
      <c r="CA80" s="1179">
        <f t="shared" si="995"/>
        <v>0</v>
      </c>
      <c r="CB80" s="1179">
        <f t="shared" si="995"/>
        <v>0</v>
      </c>
      <c r="CC80" s="1179">
        <f t="shared" si="995"/>
        <v>0</v>
      </c>
      <c r="CD80" s="1179">
        <f t="shared" si="995"/>
        <v>0</v>
      </c>
      <c r="CE80" s="1180">
        <f t="shared" si="995"/>
        <v>0</v>
      </c>
      <c r="CF80" s="1179">
        <f t="shared" si="995"/>
        <v>0</v>
      </c>
      <c r="CG80" s="1179">
        <f t="shared" si="995"/>
        <v>0</v>
      </c>
      <c r="CH80" s="1179">
        <f t="shared" si="995"/>
        <v>0</v>
      </c>
      <c r="CI80" s="1179">
        <f t="shared" ref="CI80:DN80" si="996">ROUNDUP($V80*(CI79/100)/0.8,0)</f>
        <v>0</v>
      </c>
      <c r="CJ80" s="1179">
        <f t="shared" si="996"/>
        <v>0</v>
      </c>
      <c r="CK80" s="1179">
        <f t="shared" si="996"/>
        <v>0</v>
      </c>
      <c r="CL80" s="1179">
        <f t="shared" si="996"/>
        <v>0</v>
      </c>
      <c r="CM80" s="1179">
        <f t="shared" si="996"/>
        <v>0</v>
      </c>
      <c r="CN80" s="1179">
        <f t="shared" si="996"/>
        <v>0</v>
      </c>
      <c r="CO80" s="1179">
        <f t="shared" si="996"/>
        <v>0</v>
      </c>
      <c r="CP80" s="1179">
        <f t="shared" si="996"/>
        <v>0</v>
      </c>
      <c r="CQ80" s="1180">
        <f t="shared" si="996"/>
        <v>0</v>
      </c>
      <c r="CR80" s="1179">
        <f t="shared" si="996"/>
        <v>0</v>
      </c>
      <c r="CS80" s="1179">
        <f t="shared" si="996"/>
        <v>0</v>
      </c>
      <c r="CT80" s="1179">
        <f t="shared" si="996"/>
        <v>0</v>
      </c>
      <c r="CU80" s="1179">
        <f t="shared" si="996"/>
        <v>0</v>
      </c>
      <c r="CV80" s="1179">
        <f t="shared" si="996"/>
        <v>0</v>
      </c>
      <c r="CW80" s="1179">
        <f t="shared" si="996"/>
        <v>0</v>
      </c>
      <c r="CX80" s="1179">
        <f t="shared" si="996"/>
        <v>0</v>
      </c>
      <c r="CY80" s="1179">
        <f t="shared" si="996"/>
        <v>0</v>
      </c>
      <c r="CZ80" s="1179">
        <f t="shared" si="996"/>
        <v>0</v>
      </c>
      <c r="DA80" s="1179">
        <f t="shared" si="996"/>
        <v>0</v>
      </c>
      <c r="DB80" s="1179">
        <f t="shared" si="996"/>
        <v>0</v>
      </c>
      <c r="DC80" s="1180">
        <f t="shared" si="996"/>
        <v>0</v>
      </c>
      <c r="DD80" s="1179">
        <f t="shared" si="996"/>
        <v>0</v>
      </c>
      <c r="DE80" s="1179">
        <f t="shared" si="996"/>
        <v>0</v>
      </c>
      <c r="DF80" s="1179">
        <f t="shared" si="996"/>
        <v>0</v>
      </c>
      <c r="DG80" s="1179">
        <f t="shared" si="996"/>
        <v>0</v>
      </c>
      <c r="DH80" s="1179">
        <f t="shared" si="996"/>
        <v>0</v>
      </c>
      <c r="DI80" s="1179">
        <f t="shared" si="996"/>
        <v>0</v>
      </c>
      <c r="DJ80" s="1179">
        <f t="shared" si="996"/>
        <v>0</v>
      </c>
      <c r="DK80" s="1179">
        <f t="shared" si="996"/>
        <v>0</v>
      </c>
      <c r="DL80" s="1179">
        <f t="shared" si="996"/>
        <v>0</v>
      </c>
      <c r="DM80" s="1179">
        <f t="shared" si="996"/>
        <v>0</v>
      </c>
      <c r="DN80" s="1179">
        <f t="shared" si="996"/>
        <v>0</v>
      </c>
      <c r="DO80" s="1180">
        <f t="shared" ref="DO80:ED80" si="997">ROUNDUP($V80*(DO79/100)/0.8,0)</f>
        <v>0</v>
      </c>
      <c r="DP80" s="1179">
        <f t="shared" si="997"/>
        <v>0</v>
      </c>
      <c r="DQ80" s="1179">
        <f t="shared" si="997"/>
        <v>0</v>
      </c>
      <c r="DR80" s="1179">
        <f t="shared" si="997"/>
        <v>0</v>
      </c>
      <c r="DS80" s="1179">
        <f t="shared" si="997"/>
        <v>0</v>
      </c>
      <c r="DT80" s="1179">
        <f t="shared" si="997"/>
        <v>0</v>
      </c>
      <c r="DU80" s="1179">
        <f t="shared" si="997"/>
        <v>0</v>
      </c>
      <c r="DV80" s="1179">
        <f t="shared" si="997"/>
        <v>0</v>
      </c>
      <c r="DW80" s="1179">
        <f t="shared" si="997"/>
        <v>0</v>
      </c>
      <c r="DX80" s="1179">
        <f t="shared" si="997"/>
        <v>0</v>
      </c>
      <c r="DY80" s="1179">
        <f t="shared" si="997"/>
        <v>0</v>
      </c>
      <c r="DZ80" s="1179">
        <f t="shared" si="997"/>
        <v>0</v>
      </c>
      <c r="EA80" s="1180">
        <f t="shared" si="997"/>
        <v>0</v>
      </c>
      <c r="EB80" s="1179">
        <f t="shared" si="997"/>
        <v>0</v>
      </c>
      <c r="EC80" s="1179">
        <f t="shared" si="997"/>
        <v>0</v>
      </c>
      <c r="ED80" s="1181">
        <f t="shared" si="997"/>
        <v>0</v>
      </c>
    </row>
    <row r="81" spans="1:134" ht="18.75" outlineLevel="1" x14ac:dyDescent="0.3">
      <c r="A81" s="169">
        <v>400</v>
      </c>
      <c r="B81" s="169" t="s">
        <v>254</v>
      </c>
      <c r="C81" s="1675"/>
      <c r="D81" s="1630" t="s">
        <v>255</v>
      </c>
      <c r="E81" s="1630"/>
      <c r="F81" s="1630"/>
      <c r="G81" s="1630"/>
      <c r="H81" s="1630"/>
      <c r="I81" s="1630"/>
      <c r="J81" s="1630"/>
      <c r="K81" s="1630"/>
      <c r="L81" s="990"/>
      <c r="M81" s="1329">
        <f>N81*100</f>
        <v>61</v>
      </c>
      <c r="N81" s="1404">
        <f>'XFMR Data'!C4/100</f>
        <v>0.61</v>
      </c>
      <c r="O81" s="1405">
        <f>'XFMR Data'!H4/100</f>
        <v>0.59</v>
      </c>
      <c r="P81" s="1405">
        <f>'XFMR Data'!M4/100</f>
        <v>0.5</v>
      </c>
      <c r="Q81" s="987"/>
      <c r="R81" s="994">
        <f t="shared" si="981"/>
        <v>-0.10999999999999999</v>
      </c>
      <c r="S81" s="988">
        <f t="shared" si="968"/>
        <v>0</v>
      </c>
      <c r="T81" s="988"/>
      <c r="U81" s="985"/>
      <c r="V81" s="1101"/>
      <c r="W81" s="1182">
        <f t="shared" si="982"/>
        <v>61</v>
      </c>
      <c r="X81" s="1183">
        <f t="shared" si="983"/>
        <v>61</v>
      </c>
      <c r="Y81" s="1183">
        <f t="shared" si="983"/>
        <v>61</v>
      </c>
      <c r="Z81" s="1183">
        <f t="shared" si="984"/>
        <v>59</v>
      </c>
      <c r="AA81" s="1183">
        <f>Z81</f>
        <v>59</v>
      </c>
      <c r="AB81" s="1183">
        <f>AA81</f>
        <v>59</v>
      </c>
      <c r="AC81" s="1183">
        <f t="shared" si="985"/>
        <v>50</v>
      </c>
      <c r="AD81" s="1183">
        <f>AC81</f>
        <v>50</v>
      </c>
      <c r="AE81" s="1183">
        <f>AD81</f>
        <v>50</v>
      </c>
      <c r="AF81" s="1183">
        <f>AE81</f>
        <v>50</v>
      </c>
      <c r="AG81" s="1183">
        <f>AF81</f>
        <v>50</v>
      </c>
      <c r="AH81" s="1183">
        <f>AG81</f>
        <v>50</v>
      </c>
      <c r="AI81" s="1184">
        <f t="shared" ref="AI81:AT81" si="998">(((AH81*(1+($B$36*$B$4)))-AH81)/12)+AH81</f>
        <v>50.3</v>
      </c>
      <c r="AJ81" s="1183">
        <f t="shared" si="998"/>
        <v>50.601799999999997</v>
      </c>
      <c r="AK81" s="1183">
        <f t="shared" si="998"/>
        <v>50.905410799999999</v>
      </c>
      <c r="AL81" s="1183">
        <f t="shared" si="998"/>
        <v>51.210843264799998</v>
      </c>
      <c r="AM81" s="1183">
        <f t="shared" si="998"/>
        <v>51.518108324388798</v>
      </c>
      <c r="AN81" s="1183">
        <f t="shared" si="998"/>
        <v>51.82721697433513</v>
      </c>
      <c r="AO81" s="1183">
        <f t="shared" si="998"/>
        <v>52.138180276181139</v>
      </c>
      <c r="AP81" s="1183">
        <f t="shared" si="998"/>
        <v>52.451009357838224</v>
      </c>
      <c r="AQ81" s="1183">
        <f t="shared" si="998"/>
        <v>52.765715413985255</v>
      </c>
      <c r="AR81" s="1183">
        <f t="shared" si="998"/>
        <v>53.082309706469168</v>
      </c>
      <c r="AS81" s="1183">
        <f t="shared" si="998"/>
        <v>53.400803564707985</v>
      </c>
      <c r="AT81" s="1183">
        <f t="shared" si="998"/>
        <v>53.721208386096237</v>
      </c>
      <c r="AU81" s="1184">
        <f t="shared" ref="AU81:BF81" si="999">(((AT81*(1+($B$37*$B$4)))-AT81)/12)+AT81</f>
        <v>54.043535636412813</v>
      </c>
      <c r="AV81" s="1183">
        <f t="shared" si="999"/>
        <v>54.367796850231286</v>
      </c>
      <c r="AW81" s="1183">
        <f t="shared" si="999"/>
        <v>54.694003631332677</v>
      </c>
      <c r="AX81" s="1183">
        <f t="shared" si="999"/>
        <v>55.022167653120675</v>
      </c>
      <c r="AY81" s="1183">
        <f t="shared" si="999"/>
        <v>55.3523006590394</v>
      </c>
      <c r="AZ81" s="1183">
        <f t="shared" si="999"/>
        <v>55.684414462993637</v>
      </c>
      <c r="BA81" s="1183">
        <f t="shared" si="999"/>
        <v>56.018520949771599</v>
      </c>
      <c r="BB81" s="1183">
        <f t="shared" si="999"/>
        <v>56.354632075470228</v>
      </c>
      <c r="BC81" s="1183">
        <f t="shared" si="999"/>
        <v>56.692759867923051</v>
      </c>
      <c r="BD81" s="1183">
        <f t="shared" si="999"/>
        <v>57.032916427130587</v>
      </c>
      <c r="BE81" s="1183">
        <f t="shared" si="999"/>
        <v>57.37511392569337</v>
      </c>
      <c r="BF81" s="1183">
        <f t="shared" si="999"/>
        <v>57.719364609247528</v>
      </c>
      <c r="BG81" s="1184">
        <f t="shared" ref="BG81:BR81" si="1000">(((BF81*(1+($B$38*$B$4)))-BF81)/12)+BF81</f>
        <v>58.06568079690301</v>
      </c>
      <c r="BH81" s="1183">
        <f t="shared" si="1000"/>
        <v>58.414074881684428</v>
      </c>
      <c r="BI81" s="1183">
        <f t="shared" si="1000"/>
        <v>58.764559330974535</v>
      </c>
      <c r="BJ81" s="1183">
        <f t="shared" si="1000"/>
        <v>59.117146686960382</v>
      </c>
      <c r="BK81" s="1183">
        <f t="shared" si="1000"/>
        <v>59.471849567082145</v>
      </c>
      <c r="BL81" s="1183">
        <f t="shared" si="1000"/>
        <v>59.828680664484637</v>
      </c>
      <c r="BM81" s="1183">
        <f t="shared" si="1000"/>
        <v>60.187652748471542</v>
      </c>
      <c r="BN81" s="1183">
        <f t="shared" si="1000"/>
        <v>60.54877866496237</v>
      </c>
      <c r="BO81" s="1183">
        <f t="shared" si="1000"/>
        <v>60.912071336952145</v>
      </c>
      <c r="BP81" s="1183">
        <f t="shared" si="1000"/>
        <v>61.277543764973856</v>
      </c>
      <c r="BQ81" s="1183">
        <f t="shared" si="1000"/>
        <v>61.645209027563702</v>
      </c>
      <c r="BR81" s="1183">
        <f t="shared" si="1000"/>
        <v>62.015080281729084</v>
      </c>
      <c r="BS81" s="1184">
        <f t="shared" ref="BS81:CD81" si="1001">(((BR81*(1+($B$39*$B$4)))-BR81)/12)+BR81</f>
        <v>62.387170763419462</v>
      </c>
      <c r="BT81" s="1183">
        <f t="shared" si="1001"/>
        <v>62.761493787999981</v>
      </c>
      <c r="BU81" s="1183">
        <f t="shared" si="1001"/>
        <v>63.138062750727983</v>
      </c>
      <c r="BV81" s="1183">
        <f t="shared" si="1001"/>
        <v>63.516891127232348</v>
      </c>
      <c r="BW81" s="1183">
        <f t="shared" si="1001"/>
        <v>63.897992473995743</v>
      </c>
      <c r="BX81" s="1183">
        <f t="shared" si="1001"/>
        <v>64.281380428839725</v>
      </c>
      <c r="BY81" s="1183">
        <f t="shared" si="1001"/>
        <v>64.667068711412767</v>
      </c>
      <c r="BZ81" s="1183">
        <f t="shared" si="1001"/>
        <v>65.055071123681245</v>
      </c>
      <c r="CA81" s="1183">
        <f t="shared" si="1001"/>
        <v>65.445401550423327</v>
      </c>
      <c r="CB81" s="1183">
        <f t="shared" si="1001"/>
        <v>65.838073959725861</v>
      </c>
      <c r="CC81" s="1183">
        <f t="shared" si="1001"/>
        <v>66.23310240348421</v>
      </c>
      <c r="CD81" s="1183">
        <f t="shared" si="1001"/>
        <v>66.630501017905118</v>
      </c>
      <c r="CE81" s="1184">
        <f t="shared" ref="CE81:CP81" si="1002">(((CD81*(1+($B$40*$B$4)))-CD81)/12)+CD81</f>
        <v>67.030284024012545</v>
      </c>
      <c r="CF81" s="1183">
        <f t="shared" si="1002"/>
        <v>67.432465728156615</v>
      </c>
      <c r="CG81" s="1183">
        <f t="shared" si="1002"/>
        <v>67.837060522525547</v>
      </c>
      <c r="CH81" s="1183">
        <f t="shared" si="1002"/>
        <v>68.244082885660703</v>
      </c>
      <c r="CI81" s="1183">
        <f t="shared" si="1002"/>
        <v>68.653547382974665</v>
      </c>
      <c r="CJ81" s="1183">
        <f t="shared" si="1002"/>
        <v>69.065468667272512</v>
      </c>
      <c r="CK81" s="1183">
        <f t="shared" si="1002"/>
        <v>69.479861479276153</v>
      </c>
      <c r="CL81" s="1183">
        <f t="shared" si="1002"/>
        <v>69.896740648151805</v>
      </c>
      <c r="CM81" s="1183">
        <f t="shared" si="1002"/>
        <v>70.316121092040717</v>
      </c>
      <c r="CN81" s="1183">
        <f t="shared" si="1002"/>
        <v>70.738017818592965</v>
      </c>
      <c r="CO81" s="1183">
        <f t="shared" si="1002"/>
        <v>71.162445925504528</v>
      </c>
      <c r="CP81" s="1183">
        <f t="shared" si="1002"/>
        <v>71.589420601057554</v>
      </c>
      <c r="CQ81" s="1184">
        <f t="shared" ref="CQ81:DB81" si="1003">(((CP81*(1+($B$41*$B$4)))-CP81)/12)+CP81</f>
        <v>72.018957124663899</v>
      </c>
      <c r="CR81" s="1183">
        <f t="shared" si="1003"/>
        <v>72.451070867411886</v>
      </c>
      <c r="CS81" s="1183">
        <f t="shared" si="1003"/>
        <v>72.885777292616353</v>
      </c>
      <c r="CT81" s="1183">
        <f t="shared" si="1003"/>
        <v>73.323091956372053</v>
      </c>
      <c r="CU81" s="1183">
        <f t="shared" si="1003"/>
        <v>73.76303050811029</v>
      </c>
      <c r="CV81" s="1183">
        <f t="shared" si="1003"/>
        <v>74.205608691158957</v>
      </c>
      <c r="CW81" s="1183">
        <f t="shared" si="1003"/>
        <v>74.650842343305911</v>
      </c>
      <c r="CX81" s="1183">
        <f t="shared" si="1003"/>
        <v>75.098747397365742</v>
      </c>
      <c r="CY81" s="1183">
        <f t="shared" si="1003"/>
        <v>75.549339881749944</v>
      </c>
      <c r="CZ81" s="1183">
        <f t="shared" si="1003"/>
        <v>76.002635921040451</v>
      </c>
      <c r="DA81" s="1183">
        <f t="shared" si="1003"/>
        <v>76.458651736566694</v>
      </c>
      <c r="DB81" s="1183">
        <f t="shared" si="1003"/>
        <v>76.917403646986088</v>
      </c>
      <c r="DC81" s="1184">
        <f t="shared" ref="DC81:DN81" si="1004">(((DB81*(1+($B$42*$B$4)))-DB81)/12)+DB81</f>
        <v>77.378908068868</v>
      </c>
      <c r="DD81" s="1183">
        <f t="shared" si="1004"/>
        <v>77.843181517281209</v>
      </c>
      <c r="DE81" s="1183">
        <f t="shared" si="1004"/>
        <v>78.310240606384895</v>
      </c>
      <c r="DF81" s="1183">
        <f t="shared" si="1004"/>
        <v>78.780102050023203</v>
      </c>
      <c r="DG81" s="1183">
        <f t="shared" si="1004"/>
        <v>79.252782662323341</v>
      </c>
      <c r="DH81" s="1183">
        <f t="shared" si="1004"/>
        <v>79.728299358297278</v>
      </c>
      <c r="DI81" s="1183">
        <f t="shared" si="1004"/>
        <v>80.206669154447056</v>
      </c>
      <c r="DJ81" s="1183">
        <f t="shared" si="1004"/>
        <v>80.687909169373739</v>
      </c>
      <c r="DK81" s="1183">
        <f t="shared" si="1004"/>
        <v>81.172036624389989</v>
      </c>
      <c r="DL81" s="1183">
        <f t="shared" si="1004"/>
        <v>81.659068844136328</v>
      </c>
      <c r="DM81" s="1183">
        <f t="shared" si="1004"/>
        <v>82.149023257201151</v>
      </c>
      <c r="DN81" s="1183">
        <f t="shared" si="1004"/>
        <v>82.641917396744361</v>
      </c>
      <c r="DO81" s="1184">
        <f t="shared" ref="DO81:DZ81" si="1005">(((DN81*(1+($B$43*$B$4)))-DN81)/12)+DN81</f>
        <v>83.137768901124829</v>
      </c>
      <c r="DP81" s="1183">
        <f t="shared" si="1005"/>
        <v>83.636595514531578</v>
      </c>
      <c r="DQ81" s="1183">
        <f t="shared" si="1005"/>
        <v>84.138415087618768</v>
      </c>
      <c r="DR81" s="1183">
        <f t="shared" si="1005"/>
        <v>84.643245578144473</v>
      </c>
      <c r="DS81" s="1183">
        <f t="shared" si="1005"/>
        <v>85.151105051613342</v>
      </c>
      <c r="DT81" s="1183">
        <f t="shared" si="1005"/>
        <v>85.662011681923019</v>
      </c>
      <c r="DU81" s="1183">
        <f t="shared" si="1005"/>
        <v>86.17598375201456</v>
      </c>
      <c r="DV81" s="1183">
        <f t="shared" si="1005"/>
        <v>86.693039654526643</v>
      </c>
      <c r="DW81" s="1183">
        <f t="shared" si="1005"/>
        <v>87.213197892453806</v>
      </c>
      <c r="DX81" s="1183">
        <f t="shared" si="1005"/>
        <v>87.736477079808523</v>
      </c>
      <c r="DY81" s="1183">
        <f t="shared" si="1005"/>
        <v>88.262895942287372</v>
      </c>
      <c r="DZ81" s="1183">
        <f t="shared" si="1005"/>
        <v>88.792473317941102</v>
      </c>
      <c r="EA81" s="1184">
        <f>(((DZ81*(1+($B$44*$B$4)))-DZ81)/12)+DZ81</f>
        <v>89.325228157848755</v>
      </c>
      <c r="EB81" s="1183">
        <f>(((EA81*(1+($B$44*$B$4)))-EA81)/12)+EA81</f>
        <v>89.861179526795851</v>
      </c>
      <c r="EC81" s="1183">
        <f>(((EB81*(1+($B$44*$B$4)))-EB81)/12)+EB81</f>
        <v>90.400346603956621</v>
      </c>
      <c r="ED81" s="1185">
        <f>(((EC81*(1+($B$44*$B$4)))-EC81)/12)+EC81</f>
        <v>90.942748683580362</v>
      </c>
    </row>
    <row r="82" spans="1:134" ht="18.75" outlineLevel="1" x14ac:dyDescent="0.3">
      <c r="A82" s="169">
        <v>28</v>
      </c>
      <c r="B82" s="169" t="s">
        <v>256</v>
      </c>
      <c r="C82" s="1675"/>
      <c r="D82" s="1631"/>
      <c r="E82" s="1631"/>
      <c r="F82" s="1631"/>
      <c r="G82" s="1631"/>
      <c r="H82" s="1631"/>
      <c r="I82" s="1631"/>
      <c r="J82" s="1631"/>
      <c r="K82" s="1631"/>
      <c r="L82" s="991"/>
      <c r="M82" s="983"/>
      <c r="N82" s="1406"/>
      <c r="O82" s="1407"/>
      <c r="P82" s="1407"/>
      <c r="Q82" s="984"/>
      <c r="R82" s="995"/>
      <c r="S82" s="989"/>
      <c r="T82" s="989"/>
      <c r="U82" s="983"/>
      <c r="V82" s="1081">
        <v>1</v>
      </c>
      <c r="W82" s="1176">
        <f t="shared" ref="W82:BB82" si="1006">ROUNDUP($V82*(W81/100)/0.8,0)</f>
        <v>1</v>
      </c>
      <c r="X82" s="980">
        <f t="shared" si="1006"/>
        <v>1</v>
      </c>
      <c r="Y82" s="980">
        <f t="shared" si="1006"/>
        <v>1</v>
      </c>
      <c r="Z82" s="980">
        <f t="shared" si="1006"/>
        <v>1</v>
      </c>
      <c r="AA82" s="980">
        <f t="shared" si="1006"/>
        <v>1</v>
      </c>
      <c r="AB82" s="980">
        <f t="shared" si="1006"/>
        <v>1</v>
      </c>
      <c r="AC82" s="980">
        <f t="shared" si="1006"/>
        <v>1</v>
      </c>
      <c r="AD82" s="980">
        <f t="shared" si="1006"/>
        <v>1</v>
      </c>
      <c r="AE82" s="980">
        <f t="shared" si="1006"/>
        <v>1</v>
      </c>
      <c r="AF82" s="980">
        <f t="shared" si="1006"/>
        <v>1</v>
      </c>
      <c r="AG82" s="980">
        <f t="shared" si="1006"/>
        <v>1</v>
      </c>
      <c r="AH82" s="980">
        <f t="shared" si="1006"/>
        <v>1</v>
      </c>
      <c r="AI82" s="1171">
        <f t="shared" si="1006"/>
        <v>1</v>
      </c>
      <c r="AJ82" s="980">
        <f t="shared" si="1006"/>
        <v>1</v>
      </c>
      <c r="AK82" s="980">
        <f t="shared" si="1006"/>
        <v>1</v>
      </c>
      <c r="AL82" s="980">
        <f t="shared" si="1006"/>
        <v>1</v>
      </c>
      <c r="AM82" s="980">
        <f t="shared" si="1006"/>
        <v>1</v>
      </c>
      <c r="AN82" s="980">
        <f t="shared" si="1006"/>
        <v>1</v>
      </c>
      <c r="AO82" s="980">
        <f t="shared" si="1006"/>
        <v>1</v>
      </c>
      <c r="AP82" s="980">
        <f t="shared" si="1006"/>
        <v>1</v>
      </c>
      <c r="AQ82" s="980">
        <f t="shared" si="1006"/>
        <v>1</v>
      </c>
      <c r="AR82" s="980">
        <f t="shared" si="1006"/>
        <v>1</v>
      </c>
      <c r="AS82" s="980">
        <f t="shared" si="1006"/>
        <v>1</v>
      </c>
      <c r="AT82" s="980">
        <f t="shared" si="1006"/>
        <v>1</v>
      </c>
      <c r="AU82" s="1171">
        <f t="shared" si="1006"/>
        <v>1</v>
      </c>
      <c r="AV82" s="980">
        <f t="shared" si="1006"/>
        <v>1</v>
      </c>
      <c r="AW82" s="980">
        <f t="shared" si="1006"/>
        <v>1</v>
      </c>
      <c r="AX82" s="980">
        <f t="shared" si="1006"/>
        <v>1</v>
      </c>
      <c r="AY82" s="980">
        <f t="shared" si="1006"/>
        <v>1</v>
      </c>
      <c r="AZ82" s="980">
        <f t="shared" si="1006"/>
        <v>1</v>
      </c>
      <c r="BA82" s="980">
        <f t="shared" si="1006"/>
        <v>1</v>
      </c>
      <c r="BB82" s="980">
        <f t="shared" si="1006"/>
        <v>1</v>
      </c>
      <c r="BC82" s="980">
        <f t="shared" ref="BC82:CH82" si="1007">ROUNDUP($V82*(BC81/100)/0.8,0)</f>
        <v>1</v>
      </c>
      <c r="BD82" s="980">
        <f t="shared" si="1007"/>
        <v>1</v>
      </c>
      <c r="BE82" s="980">
        <f t="shared" si="1007"/>
        <v>1</v>
      </c>
      <c r="BF82" s="980">
        <f t="shared" si="1007"/>
        <v>1</v>
      </c>
      <c r="BG82" s="1171">
        <f t="shared" si="1007"/>
        <v>1</v>
      </c>
      <c r="BH82" s="980">
        <f t="shared" si="1007"/>
        <v>1</v>
      </c>
      <c r="BI82" s="980">
        <f t="shared" si="1007"/>
        <v>1</v>
      </c>
      <c r="BJ82" s="980">
        <f t="shared" si="1007"/>
        <v>1</v>
      </c>
      <c r="BK82" s="980">
        <f t="shared" si="1007"/>
        <v>1</v>
      </c>
      <c r="BL82" s="980">
        <f t="shared" si="1007"/>
        <v>1</v>
      </c>
      <c r="BM82" s="980">
        <f t="shared" si="1007"/>
        <v>1</v>
      </c>
      <c r="BN82" s="980">
        <f t="shared" si="1007"/>
        <v>1</v>
      </c>
      <c r="BO82" s="980">
        <f t="shared" si="1007"/>
        <v>1</v>
      </c>
      <c r="BP82" s="980">
        <f t="shared" si="1007"/>
        <v>1</v>
      </c>
      <c r="BQ82" s="980">
        <f t="shared" si="1007"/>
        <v>1</v>
      </c>
      <c r="BR82" s="980">
        <f t="shared" si="1007"/>
        <v>1</v>
      </c>
      <c r="BS82" s="1171">
        <f t="shared" si="1007"/>
        <v>1</v>
      </c>
      <c r="BT82" s="980">
        <f t="shared" si="1007"/>
        <v>1</v>
      </c>
      <c r="BU82" s="980">
        <f t="shared" si="1007"/>
        <v>1</v>
      </c>
      <c r="BV82" s="980">
        <f t="shared" si="1007"/>
        <v>1</v>
      </c>
      <c r="BW82" s="980">
        <f t="shared" si="1007"/>
        <v>1</v>
      </c>
      <c r="BX82" s="980">
        <f t="shared" si="1007"/>
        <v>1</v>
      </c>
      <c r="BY82" s="980">
        <f t="shared" si="1007"/>
        <v>1</v>
      </c>
      <c r="BZ82" s="980">
        <f t="shared" si="1007"/>
        <v>1</v>
      </c>
      <c r="CA82" s="980">
        <f t="shared" si="1007"/>
        <v>1</v>
      </c>
      <c r="CB82" s="980">
        <f t="shared" si="1007"/>
        <v>1</v>
      </c>
      <c r="CC82" s="980">
        <f t="shared" si="1007"/>
        <v>1</v>
      </c>
      <c r="CD82" s="980">
        <f t="shared" si="1007"/>
        <v>1</v>
      </c>
      <c r="CE82" s="1171">
        <f t="shared" si="1007"/>
        <v>1</v>
      </c>
      <c r="CF82" s="980">
        <f t="shared" si="1007"/>
        <v>1</v>
      </c>
      <c r="CG82" s="980">
        <f t="shared" si="1007"/>
        <v>1</v>
      </c>
      <c r="CH82" s="980">
        <f t="shared" si="1007"/>
        <v>1</v>
      </c>
      <c r="CI82" s="980">
        <f t="shared" ref="CI82:DN82" si="1008">ROUNDUP($V82*(CI81/100)/0.8,0)</f>
        <v>1</v>
      </c>
      <c r="CJ82" s="980">
        <f t="shared" si="1008"/>
        <v>1</v>
      </c>
      <c r="CK82" s="980">
        <f t="shared" si="1008"/>
        <v>1</v>
      </c>
      <c r="CL82" s="980">
        <f t="shared" si="1008"/>
        <v>1</v>
      </c>
      <c r="CM82" s="980">
        <f t="shared" si="1008"/>
        <v>1</v>
      </c>
      <c r="CN82" s="980">
        <f t="shared" si="1008"/>
        <v>1</v>
      </c>
      <c r="CO82" s="980">
        <f t="shared" si="1008"/>
        <v>1</v>
      </c>
      <c r="CP82" s="980">
        <f t="shared" si="1008"/>
        <v>1</v>
      </c>
      <c r="CQ82" s="1171">
        <f t="shared" si="1008"/>
        <v>1</v>
      </c>
      <c r="CR82" s="980">
        <f t="shared" si="1008"/>
        <v>1</v>
      </c>
      <c r="CS82" s="980">
        <f t="shared" si="1008"/>
        <v>1</v>
      </c>
      <c r="CT82" s="980">
        <f t="shared" si="1008"/>
        <v>1</v>
      </c>
      <c r="CU82" s="980">
        <f t="shared" si="1008"/>
        <v>1</v>
      </c>
      <c r="CV82" s="980">
        <f t="shared" si="1008"/>
        <v>1</v>
      </c>
      <c r="CW82" s="980">
        <f t="shared" si="1008"/>
        <v>1</v>
      </c>
      <c r="CX82" s="980">
        <f t="shared" si="1008"/>
        <v>1</v>
      </c>
      <c r="CY82" s="980">
        <f t="shared" si="1008"/>
        <v>1</v>
      </c>
      <c r="CZ82" s="980">
        <f t="shared" si="1008"/>
        <v>1</v>
      </c>
      <c r="DA82" s="980">
        <f t="shared" si="1008"/>
        <v>1</v>
      </c>
      <c r="DB82" s="980">
        <f t="shared" si="1008"/>
        <v>1</v>
      </c>
      <c r="DC82" s="1171">
        <f t="shared" si="1008"/>
        <v>1</v>
      </c>
      <c r="DD82" s="980">
        <f t="shared" si="1008"/>
        <v>1</v>
      </c>
      <c r="DE82" s="980">
        <f t="shared" si="1008"/>
        <v>1</v>
      </c>
      <c r="DF82" s="980">
        <f t="shared" si="1008"/>
        <v>1</v>
      </c>
      <c r="DG82" s="980">
        <f t="shared" si="1008"/>
        <v>1</v>
      </c>
      <c r="DH82" s="980">
        <f t="shared" si="1008"/>
        <v>1</v>
      </c>
      <c r="DI82" s="980">
        <f t="shared" si="1008"/>
        <v>2</v>
      </c>
      <c r="DJ82" s="980">
        <f t="shared" si="1008"/>
        <v>2</v>
      </c>
      <c r="DK82" s="980">
        <f t="shared" si="1008"/>
        <v>2</v>
      </c>
      <c r="DL82" s="980">
        <f t="shared" si="1008"/>
        <v>2</v>
      </c>
      <c r="DM82" s="980">
        <f t="shared" si="1008"/>
        <v>2</v>
      </c>
      <c r="DN82" s="980">
        <f t="shared" si="1008"/>
        <v>2</v>
      </c>
      <c r="DO82" s="1171">
        <f t="shared" ref="DO82:ED82" si="1009">ROUNDUP($V82*(DO81/100)/0.8,0)</f>
        <v>2</v>
      </c>
      <c r="DP82" s="980">
        <f t="shared" si="1009"/>
        <v>2</v>
      </c>
      <c r="DQ82" s="980">
        <f t="shared" si="1009"/>
        <v>2</v>
      </c>
      <c r="DR82" s="980">
        <f t="shared" si="1009"/>
        <v>2</v>
      </c>
      <c r="DS82" s="980">
        <f t="shared" si="1009"/>
        <v>2</v>
      </c>
      <c r="DT82" s="980">
        <f t="shared" si="1009"/>
        <v>2</v>
      </c>
      <c r="DU82" s="980">
        <f t="shared" si="1009"/>
        <v>2</v>
      </c>
      <c r="DV82" s="980">
        <f t="shared" si="1009"/>
        <v>2</v>
      </c>
      <c r="DW82" s="980">
        <f t="shared" si="1009"/>
        <v>2</v>
      </c>
      <c r="DX82" s="980">
        <f t="shared" si="1009"/>
        <v>2</v>
      </c>
      <c r="DY82" s="980">
        <f t="shared" si="1009"/>
        <v>2</v>
      </c>
      <c r="DZ82" s="980">
        <f t="shared" si="1009"/>
        <v>2</v>
      </c>
      <c r="EA82" s="1171">
        <f t="shared" si="1009"/>
        <v>2</v>
      </c>
      <c r="EB82" s="980">
        <f t="shared" si="1009"/>
        <v>2</v>
      </c>
      <c r="EC82" s="980">
        <f t="shared" si="1009"/>
        <v>2</v>
      </c>
      <c r="ED82" s="1177">
        <f t="shared" si="1009"/>
        <v>2</v>
      </c>
    </row>
    <row r="83" spans="1:134" ht="18.75" outlineLevel="1" x14ac:dyDescent="0.3">
      <c r="A83" s="169">
        <v>100</v>
      </c>
      <c r="B83" s="169" t="s">
        <v>257</v>
      </c>
      <c r="C83" s="1675"/>
      <c r="D83" s="1629" t="s">
        <v>258</v>
      </c>
      <c r="E83" s="1629"/>
      <c r="F83" s="1629"/>
      <c r="G83" s="1629"/>
      <c r="H83" s="1629"/>
      <c r="I83" s="1629"/>
      <c r="J83" s="1629"/>
      <c r="K83" s="1629"/>
      <c r="L83" s="992"/>
      <c r="M83" s="1329">
        <f>N83*100</f>
        <v>0</v>
      </c>
      <c r="N83" s="1408"/>
      <c r="O83" s="1409"/>
      <c r="P83" s="1409"/>
      <c r="Q83" s="981"/>
      <c r="R83" s="996">
        <f t="shared" si="981"/>
        <v>0</v>
      </c>
      <c r="S83" s="982">
        <f t="shared" si="968"/>
        <v>0</v>
      </c>
      <c r="T83" s="982"/>
      <c r="U83" s="980"/>
      <c r="V83" s="1102"/>
      <c r="W83" s="1172">
        <f t="shared" si="982"/>
        <v>0</v>
      </c>
      <c r="X83" s="1173">
        <f t="shared" si="983"/>
        <v>0</v>
      </c>
      <c r="Y83" s="1173">
        <f t="shared" si="983"/>
        <v>0</v>
      </c>
      <c r="Z83" s="1173">
        <f t="shared" si="984"/>
        <v>0</v>
      </c>
      <c r="AA83" s="1173">
        <f>Z83</f>
        <v>0</v>
      </c>
      <c r="AB83" s="1173">
        <f>AA83</f>
        <v>0</v>
      </c>
      <c r="AC83" s="1173">
        <f t="shared" si="985"/>
        <v>0</v>
      </c>
      <c r="AD83" s="1173">
        <f>AC83</f>
        <v>0</v>
      </c>
      <c r="AE83" s="1173">
        <f>AD83</f>
        <v>0</v>
      </c>
      <c r="AF83" s="1173">
        <f>AE83</f>
        <v>0</v>
      </c>
      <c r="AG83" s="1173">
        <f>AF83</f>
        <v>0</v>
      </c>
      <c r="AH83" s="1173">
        <f>AG83</f>
        <v>0</v>
      </c>
      <c r="AI83" s="1174">
        <f t="shared" ref="AI83:AT83" si="1010">(((AH83*(1+($B$36*$B$4)))-AH83)/12)+AH83</f>
        <v>0</v>
      </c>
      <c r="AJ83" s="1173">
        <f t="shared" si="1010"/>
        <v>0</v>
      </c>
      <c r="AK83" s="1173">
        <f t="shared" si="1010"/>
        <v>0</v>
      </c>
      <c r="AL83" s="1173">
        <f t="shared" si="1010"/>
        <v>0</v>
      </c>
      <c r="AM83" s="1173">
        <f t="shared" si="1010"/>
        <v>0</v>
      </c>
      <c r="AN83" s="1173">
        <f t="shared" si="1010"/>
        <v>0</v>
      </c>
      <c r="AO83" s="1173">
        <f t="shared" si="1010"/>
        <v>0</v>
      </c>
      <c r="AP83" s="1173">
        <f t="shared" si="1010"/>
        <v>0</v>
      </c>
      <c r="AQ83" s="1173">
        <f t="shared" si="1010"/>
        <v>0</v>
      </c>
      <c r="AR83" s="1173">
        <f t="shared" si="1010"/>
        <v>0</v>
      </c>
      <c r="AS83" s="1173">
        <f t="shared" si="1010"/>
        <v>0</v>
      </c>
      <c r="AT83" s="1173">
        <f t="shared" si="1010"/>
        <v>0</v>
      </c>
      <c r="AU83" s="1174">
        <f t="shared" ref="AU83:BF83" si="1011">(((AT83*(1+($B$37*$B$4)))-AT83)/12)+AT83</f>
        <v>0</v>
      </c>
      <c r="AV83" s="1173">
        <f t="shared" si="1011"/>
        <v>0</v>
      </c>
      <c r="AW83" s="1173">
        <f t="shared" si="1011"/>
        <v>0</v>
      </c>
      <c r="AX83" s="1173">
        <f t="shared" si="1011"/>
        <v>0</v>
      </c>
      <c r="AY83" s="1173">
        <f t="shared" si="1011"/>
        <v>0</v>
      </c>
      <c r="AZ83" s="1173">
        <f t="shared" si="1011"/>
        <v>0</v>
      </c>
      <c r="BA83" s="1173">
        <f t="shared" si="1011"/>
        <v>0</v>
      </c>
      <c r="BB83" s="1173">
        <f t="shared" si="1011"/>
        <v>0</v>
      </c>
      <c r="BC83" s="1173">
        <f t="shared" si="1011"/>
        <v>0</v>
      </c>
      <c r="BD83" s="1173">
        <f t="shared" si="1011"/>
        <v>0</v>
      </c>
      <c r="BE83" s="1173">
        <f t="shared" si="1011"/>
        <v>0</v>
      </c>
      <c r="BF83" s="1173">
        <f t="shared" si="1011"/>
        <v>0</v>
      </c>
      <c r="BG83" s="1174">
        <f t="shared" ref="BG83:BR83" si="1012">(((BF83*(1+($B$38*$B$4)))-BF83)/12)+BF83</f>
        <v>0</v>
      </c>
      <c r="BH83" s="1173">
        <f t="shared" si="1012"/>
        <v>0</v>
      </c>
      <c r="BI83" s="1173">
        <f t="shared" si="1012"/>
        <v>0</v>
      </c>
      <c r="BJ83" s="1173">
        <f t="shared" si="1012"/>
        <v>0</v>
      </c>
      <c r="BK83" s="1173">
        <f t="shared" si="1012"/>
        <v>0</v>
      </c>
      <c r="BL83" s="1173">
        <f t="shared" si="1012"/>
        <v>0</v>
      </c>
      <c r="BM83" s="1173">
        <f t="shared" si="1012"/>
        <v>0</v>
      </c>
      <c r="BN83" s="1173">
        <f t="shared" si="1012"/>
        <v>0</v>
      </c>
      <c r="BO83" s="1173">
        <f t="shared" si="1012"/>
        <v>0</v>
      </c>
      <c r="BP83" s="1173">
        <f t="shared" si="1012"/>
        <v>0</v>
      </c>
      <c r="BQ83" s="1173">
        <f t="shared" si="1012"/>
        <v>0</v>
      </c>
      <c r="BR83" s="1173">
        <f t="shared" si="1012"/>
        <v>0</v>
      </c>
      <c r="BS83" s="1174">
        <f t="shared" ref="BS83:CD83" si="1013">(((BR83*(1+($B$39*$B$4)))-BR83)/12)+BR83</f>
        <v>0</v>
      </c>
      <c r="BT83" s="1173">
        <f t="shared" si="1013"/>
        <v>0</v>
      </c>
      <c r="BU83" s="1173">
        <f t="shared" si="1013"/>
        <v>0</v>
      </c>
      <c r="BV83" s="1173">
        <f t="shared" si="1013"/>
        <v>0</v>
      </c>
      <c r="BW83" s="1173">
        <f t="shared" si="1013"/>
        <v>0</v>
      </c>
      <c r="BX83" s="1173">
        <f t="shared" si="1013"/>
        <v>0</v>
      </c>
      <c r="BY83" s="1173">
        <f t="shared" si="1013"/>
        <v>0</v>
      </c>
      <c r="BZ83" s="1173">
        <f t="shared" si="1013"/>
        <v>0</v>
      </c>
      <c r="CA83" s="1173">
        <f t="shared" si="1013"/>
        <v>0</v>
      </c>
      <c r="CB83" s="1173">
        <f t="shared" si="1013"/>
        <v>0</v>
      </c>
      <c r="CC83" s="1173">
        <f t="shared" si="1013"/>
        <v>0</v>
      </c>
      <c r="CD83" s="1173">
        <f t="shared" si="1013"/>
        <v>0</v>
      </c>
      <c r="CE83" s="1174">
        <f t="shared" ref="CE83:CP83" si="1014">(((CD83*(1+($B$40*$B$4)))-CD83)/12)+CD83</f>
        <v>0</v>
      </c>
      <c r="CF83" s="1173">
        <f t="shared" si="1014"/>
        <v>0</v>
      </c>
      <c r="CG83" s="1173">
        <f t="shared" si="1014"/>
        <v>0</v>
      </c>
      <c r="CH83" s="1173">
        <f t="shared" si="1014"/>
        <v>0</v>
      </c>
      <c r="CI83" s="1173">
        <f t="shared" si="1014"/>
        <v>0</v>
      </c>
      <c r="CJ83" s="1173">
        <f t="shared" si="1014"/>
        <v>0</v>
      </c>
      <c r="CK83" s="1173">
        <f t="shared" si="1014"/>
        <v>0</v>
      </c>
      <c r="CL83" s="1173">
        <f t="shared" si="1014"/>
        <v>0</v>
      </c>
      <c r="CM83" s="1173">
        <f t="shared" si="1014"/>
        <v>0</v>
      </c>
      <c r="CN83" s="1173">
        <f t="shared" si="1014"/>
        <v>0</v>
      </c>
      <c r="CO83" s="1173">
        <f t="shared" si="1014"/>
        <v>0</v>
      </c>
      <c r="CP83" s="1173">
        <f t="shared" si="1014"/>
        <v>0</v>
      </c>
      <c r="CQ83" s="1174">
        <f t="shared" ref="CQ83:DB83" si="1015">(((CP83*(1+($B$41*$B$4)))-CP83)/12)+CP83</f>
        <v>0</v>
      </c>
      <c r="CR83" s="1173">
        <f t="shared" si="1015"/>
        <v>0</v>
      </c>
      <c r="CS83" s="1173">
        <f t="shared" si="1015"/>
        <v>0</v>
      </c>
      <c r="CT83" s="1173">
        <f t="shared" si="1015"/>
        <v>0</v>
      </c>
      <c r="CU83" s="1173">
        <f t="shared" si="1015"/>
        <v>0</v>
      </c>
      <c r="CV83" s="1173">
        <f t="shared" si="1015"/>
        <v>0</v>
      </c>
      <c r="CW83" s="1173">
        <f t="shared" si="1015"/>
        <v>0</v>
      </c>
      <c r="CX83" s="1173">
        <f t="shared" si="1015"/>
        <v>0</v>
      </c>
      <c r="CY83" s="1173">
        <f t="shared" si="1015"/>
        <v>0</v>
      </c>
      <c r="CZ83" s="1173">
        <f t="shared" si="1015"/>
        <v>0</v>
      </c>
      <c r="DA83" s="1173">
        <f t="shared" si="1015"/>
        <v>0</v>
      </c>
      <c r="DB83" s="1173">
        <f t="shared" si="1015"/>
        <v>0</v>
      </c>
      <c r="DC83" s="1174">
        <f t="shared" ref="DC83:DN83" si="1016">(((DB83*(1+($B$42*$B$4)))-DB83)/12)+DB83</f>
        <v>0</v>
      </c>
      <c r="DD83" s="1173">
        <f t="shared" si="1016"/>
        <v>0</v>
      </c>
      <c r="DE83" s="1173">
        <f t="shared" si="1016"/>
        <v>0</v>
      </c>
      <c r="DF83" s="1173">
        <f t="shared" si="1016"/>
        <v>0</v>
      </c>
      <c r="DG83" s="1173">
        <f t="shared" si="1016"/>
        <v>0</v>
      </c>
      <c r="DH83" s="1173">
        <f t="shared" si="1016"/>
        <v>0</v>
      </c>
      <c r="DI83" s="1173">
        <f t="shared" si="1016"/>
        <v>0</v>
      </c>
      <c r="DJ83" s="1173">
        <f t="shared" si="1016"/>
        <v>0</v>
      </c>
      <c r="DK83" s="1173">
        <f t="shared" si="1016"/>
        <v>0</v>
      </c>
      <c r="DL83" s="1173">
        <f t="shared" si="1016"/>
        <v>0</v>
      </c>
      <c r="DM83" s="1173">
        <f t="shared" si="1016"/>
        <v>0</v>
      </c>
      <c r="DN83" s="1173">
        <f t="shared" si="1016"/>
        <v>0</v>
      </c>
      <c r="DO83" s="1174">
        <f t="shared" ref="DO83:DZ83" si="1017">(((DN83*(1+($B$43*$B$4)))-DN83)/12)+DN83</f>
        <v>0</v>
      </c>
      <c r="DP83" s="1173">
        <f t="shared" si="1017"/>
        <v>0</v>
      </c>
      <c r="DQ83" s="1173">
        <f t="shared" si="1017"/>
        <v>0</v>
      </c>
      <c r="DR83" s="1173">
        <f t="shared" si="1017"/>
        <v>0</v>
      </c>
      <c r="DS83" s="1173">
        <f t="shared" si="1017"/>
        <v>0</v>
      </c>
      <c r="DT83" s="1173">
        <f t="shared" si="1017"/>
        <v>0</v>
      </c>
      <c r="DU83" s="1173">
        <f t="shared" si="1017"/>
        <v>0</v>
      </c>
      <c r="DV83" s="1173">
        <f t="shared" si="1017"/>
        <v>0</v>
      </c>
      <c r="DW83" s="1173">
        <f t="shared" si="1017"/>
        <v>0</v>
      </c>
      <c r="DX83" s="1173">
        <f t="shared" si="1017"/>
        <v>0</v>
      </c>
      <c r="DY83" s="1173">
        <f t="shared" si="1017"/>
        <v>0</v>
      </c>
      <c r="DZ83" s="1173">
        <f t="shared" si="1017"/>
        <v>0</v>
      </c>
      <c r="EA83" s="1174">
        <f>(((DZ83*(1+($B$44*$B$4)))-DZ83)/12)+DZ83</f>
        <v>0</v>
      </c>
      <c r="EB83" s="1173">
        <f>(((EA83*(1+($B$44*$B$4)))-EA83)/12)+EA83</f>
        <v>0</v>
      </c>
      <c r="EC83" s="1173">
        <f>(((EB83*(1+($B$44*$B$4)))-EB83)/12)+EB83</f>
        <v>0</v>
      </c>
      <c r="ED83" s="1175">
        <f>(((EC83*(1+($B$44*$B$4)))-EC83)/12)+EC83</f>
        <v>0</v>
      </c>
    </row>
    <row r="84" spans="1:134" ht="18.75" outlineLevel="1" x14ac:dyDescent="0.3">
      <c r="A84" s="169">
        <v>200</v>
      </c>
      <c r="B84" s="169" t="s">
        <v>259</v>
      </c>
      <c r="C84" s="1675"/>
      <c r="D84" s="1629"/>
      <c r="E84" s="1629"/>
      <c r="F84" s="1629"/>
      <c r="G84" s="1629"/>
      <c r="H84" s="1629"/>
      <c r="I84" s="1629"/>
      <c r="J84" s="1629"/>
      <c r="K84" s="1629"/>
      <c r="L84" s="992"/>
      <c r="M84" s="980"/>
      <c r="N84" s="1408"/>
      <c r="O84" s="1409"/>
      <c r="P84" s="1409"/>
      <c r="Q84" s="981"/>
      <c r="R84" s="996"/>
      <c r="S84" s="982"/>
      <c r="T84" s="982"/>
      <c r="U84" s="980"/>
      <c r="V84" s="85">
        <v>1</v>
      </c>
      <c r="W84" s="1178">
        <f t="shared" ref="W84:BB84" si="1018">ROUNDUP($V84*(W83/100)/0.8,0)</f>
        <v>0</v>
      </c>
      <c r="X84" s="1179">
        <f t="shared" si="1018"/>
        <v>0</v>
      </c>
      <c r="Y84" s="1179">
        <f t="shared" si="1018"/>
        <v>0</v>
      </c>
      <c r="Z84" s="1179">
        <f t="shared" si="1018"/>
        <v>0</v>
      </c>
      <c r="AA84" s="1179">
        <f t="shared" si="1018"/>
        <v>0</v>
      </c>
      <c r="AB84" s="1179">
        <f t="shared" si="1018"/>
        <v>0</v>
      </c>
      <c r="AC84" s="1179">
        <f t="shared" si="1018"/>
        <v>0</v>
      </c>
      <c r="AD84" s="1179">
        <f t="shared" si="1018"/>
        <v>0</v>
      </c>
      <c r="AE84" s="1179">
        <f t="shared" si="1018"/>
        <v>0</v>
      </c>
      <c r="AF84" s="1179">
        <f t="shared" si="1018"/>
        <v>0</v>
      </c>
      <c r="AG84" s="1179">
        <f t="shared" si="1018"/>
        <v>0</v>
      </c>
      <c r="AH84" s="1179">
        <f t="shared" si="1018"/>
        <v>0</v>
      </c>
      <c r="AI84" s="1180">
        <f t="shared" si="1018"/>
        <v>0</v>
      </c>
      <c r="AJ84" s="1179">
        <f t="shared" si="1018"/>
        <v>0</v>
      </c>
      <c r="AK84" s="1179">
        <f t="shared" si="1018"/>
        <v>0</v>
      </c>
      <c r="AL84" s="1179">
        <f t="shared" si="1018"/>
        <v>0</v>
      </c>
      <c r="AM84" s="1179">
        <f t="shared" si="1018"/>
        <v>0</v>
      </c>
      <c r="AN84" s="1179">
        <f t="shared" si="1018"/>
        <v>0</v>
      </c>
      <c r="AO84" s="1179">
        <f t="shared" si="1018"/>
        <v>0</v>
      </c>
      <c r="AP84" s="1179">
        <f t="shared" si="1018"/>
        <v>0</v>
      </c>
      <c r="AQ84" s="1179">
        <f t="shared" si="1018"/>
        <v>0</v>
      </c>
      <c r="AR84" s="1179">
        <f t="shared" si="1018"/>
        <v>0</v>
      </c>
      <c r="AS84" s="1179">
        <f t="shared" si="1018"/>
        <v>0</v>
      </c>
      <c r="AT84" s="1179">
        <f t="shared" si="1018"/>
        <v>0</v>
      </c>
      <c r="AU84" s="1180">
        <f t="shared" si="1018"/>
        <v>0</v>
      </c>
      <c r="AV84" s="1179">
        <f t="shared" si="1018"/>
        <v>0</v>
      </c>
      <c r="AW84" s="1179">
        <f t="shared" si="1018"/>
        <v>0</v>
      </c>
      <c r="AX84" s="1179">
        <f t="shared" si="1018"/>
        <v>0</v>
      </c>
      <c r="AY84" s="1179">
        <f t="shared" si="1018"/>
        <v>0</v>
      </c>
      <c r="AZ84" s="1179">
        <f t="shared" si="1018"/>
        <v>0</v>
      </c>
      <c r="BA84" s="1179">
        <f t="shared" si="1018"/>
        <v>0</v>
      </c>
      <c r="BB84" s="1179">
        <f t="shared" si="1018"/>
        <v>0</v>
      </c>
      <c r="BC84" s="1179">
        <f t="shared" ref="BC84:CH84" si="1019">ROUNDUP($V84*(BC83/100)/0.8,0)</f>
        <v>0</v>
      </c>
      <c r="BD84" s="1179">
        <f t="shared" si="1019"/>
        <v>0</v>
      </c>
      <c r="BE84" s="1179">
        <f t="shared" si="1019"/>
        <v>0</v>
      </c>
      <c r="BF84" s="1179">
        <f t="shared" si="1019"/>
        <v>0</v>
      </c>
      <c r="BG84" s="1180">
        <f t="shared" si="1019"/>
        <v>0</v>
      </c>
      <c r="BH84" s="1179">
        <f t="shared" si="1019"/>
        <v>0</v>
      </c>
      <c r="BI84" s="1179">
        <f t="shared" si="1019"/>
        <v>0</v>
      </c>
      <c r="BJ84" s="1179">
        <f t="shared" si="1019"/>
        <v>0</v>
      </c>
      <c r="BK84" s="1179">
        <f t="shared" si="1019"/>
        <v>0</v>
      </c>
      <c r="BL84" s="1179">
        <f t="shared" si="1019"/>
        <v>0</v>
      </c>
      <c r="BM84" s="1179">
        <f t="shared" si="1019"/>
        <v>0</v>
      </c>
      <c r="BN84" s="1179">
        <f t="shared" si="1019"/>
        <v>0</v>
      </c>
      <c r="BO84" s="1179">
        <f t="shared" si="1019"/>
        <v>0</v>
      </c>
      <c r="BP84" s="1179">
        <f t="shared" si="1019"/>
        <v>0</v>
      </c>
      <c r="BQ84" s="1179">
        <f t="shared" si="1019"/>
        <v>0</v>
      </c>
      <c r="BR84" s="1179">
        <f t="shared" si="1019"/>
        <v>0</v>
      </c>
      <c r="BS84" s="1180">
        <f t="shared" si="1019"/>
        <v>0</v>
      </c>
      <c r="BT84" s="1179">
        <f t="shared" si="1019"/>
        <v>0</v>
      </c>
      <c r="BU84" s="1179">
        <f t="shared" si="1019"/>
        <v>0</v>
      </c>
      <c r="BV84" s="1179">
        <f t="shared" si="1019"/>
        <v>0</v>
      </c>
      <c r="BW84" s="1179">
        <f t="shared" si="1019"/>
        <v>0</v>
      </c>
      <c r="BX84" s="1179">
        <f t="shared" si="1019"/>
        <v>0</v>
      </c>
      <c r="BY84" s="1179">
        <f t="shared" si="1019"/>
        <v>0</v>
      </c>
      <c r="BZ84" s="1179">
        <f t="shared" si="1019"/>
        <v>0</v>
      </c>
      <c r="CA84" s="1179">
        <f t="shared" si="1019"/>
        <v>0</v>
      </c>
      <c r="CB84" s="1179">
        <f t="shared" si="1019"/>
        <v>0</v>
      </c>
      <c r="CC84" s="1179">
        <f t="shared" si="1019"/>
        <v>0</v>
      </c>
      <c r="CD84" s="1179">
        <f t="shared" si="1019"/>
        <v>0</v>
      </c>
      <c r="CE84" s="1180">
        <f t="shared" si="1019"/>
        <v>0</v>
      </c>
      <c r="CF84" s="1179">
        <f t="shared" si="1019"/>
        <v>0</v>
      </c>
      <c r="CG84" s="1179">
        <f t="shared" si="1019"/>
        <v>0</v>
      </c>
      <c r="CH84" s="1179">
        <f t="shared" si="1019"/>
        <v>0</v>
      </c>
      <c r="CI84" s="1179">
        <f t="shared" ref="CI84:DN84" si="1020">ROUNDUP($V84*(CI83/100)/0.8,0)</f>
        <v>0</v>
      </c>
      <c r="CJ84" s="1179">
        <f t="shared" si="1020"/>
        <v>0</v>
      </c>
      <c r="CK84" s="1179">
        <f t="shared" si="1020"/>
        <v>0</v>
      </c>
      <c r="CL84" s="1179">
        <f t="shared" si="1020"/>
        <v>0</v>
      </c>
      <c r="CM84" s="1179">
        <f t="shared" si="1020"/>
        <v>0</v>
      </c>
      <c r="CN84" s="1179">
        <f t="shared" si="1020"/>
        <v>0</v>
      </c>
      <c r="CO84" s="1179">
        <f t="shared" si="1020"/>
        <v>0</v>
      </c>
      <c r="CP84" s="1179">
        <f t="shared" si="1020"/>
        <v>0</v>
      </c>
      <c r="CQ84" s="1180">
        <f t="shared" si="1020"/>
        <v>0</v>
      </c>
      <c r="CR84" s="1179">
        <f t="shared" si="1020"/>
        <v>0</v>
      </c>
      <c r="CS84" s="1179">
        <f t="shared" si="1020"/>
        <v>0</v>
      </c>
      <c r="CT84" s="1179">
        <f t="shared" si="1020"/>
        <v>0</v>
      </c>
      <c r="CU84" s="1179">
        <f t="shared" si="1020"/>
        <v>0</v>
      </c>
      <c r="CV84" s="1179">
        <f t="shared" si="1020"/>
        <v>0</v>
      </c>
      <c r="CW84" s="1179">
        <f t="shared" si="1020"/>
        <v>0</v>
      </c>
      <c r="CX84" s="1179">
        <f t="shared" si="1020"/>
        <v>0</v>
      </c>
      <c r="CY84" s="1179">
        <f t="shared" si="1020"/>
        <v>0</v>
      </c>
      <c r="CZ84" s="1179">
        <f t="shared" si="1020"/>
        <v>0</v>
      </c>
      <c r="DA84" s="1179">
        <f t="shared" si="1020"/>
        <v>0</v>
      </c>
      <c r="DB84" s="1179">
        <f t="shared" si="1020"/>
        <v>0</v>
      </c>
      <c r="DC84" s="1180">
        <f t="shared" si="1020"/>
        <v>0</v>
      </c>
      <c r="DD84" s="1179">
        <f t="shared" si="1020"/>
        <v>0</v>
      </c>
      <c r="DE84" s="1179">
        <f t="shared" si="1020"/>
        <v>0</v>
      </c>
      <c r="DF84" s="1179">
        <f t="shared" si="1020"/>
        <v>0</v>
      </c>
      <c r="DG84" s="1179">
        <f t="shared" si="1020"/>
        <v>0</v>
      </c>
      <c r="DH84" s="1179">
        <f t="shared" si="1020"/>
        <v>0</v>
      </c>
      <c r="DI84" s="1179">
        <f t="shared" si="1020"/>
        <v>0</v>
      </c>
      <c r="DJ84" s="1179">
        <f t="shared" si="1020"/>
        <v>0</v>
      </c>
      <c r="DK84" s="1179">
        <f t="shared" si="1020"/>
        <v>0</v>
      </c>
      <c r="DL84" s="1179">
        <f t="shared" si="1020"/>
        <v>0</v>
      </c>
      <c r="DM84" s="1179">
        <f t="shared" si="1020"/>
        <v>0</v>
      </c>
      <c r="DN84" s="1179">
        <f t="shared" si="1020"/>
        <v>0</v>
      </c>
      <c r="DO84" s="1180">
        <f t="shared" ref="DO84:ED84" si="1021">ROUNDUP($V84*(DO83/100)/0.8,0)</f>
        <v>0</v>
      </c>
      <c r="DP84" s="1179">
        <f t="shared" si="1021"/>
        <v>0</v>
      </c>
      <c r="DQ84" s="1179">
        <f t="shared" si="1021"/>
        <v>0</v>
      </c>
      <c r="DR84" s="1179">
        <f t="shared" si="1021"/>
        <v>0</v>
      </c>
      <c r="DS84" s="1179">
        <f t="shared" si="1021"/>
        <v>0</v>
      </c>
      <c r="DT84" s="1179">
        <f t="shared" si="1021"/>
        <v>0</v>
      </c>
      <c r="DU84" s="1179">
        <f t="shared" si="1021"/>
        <v>0</v>
      </c>
      <c r="DV84" s="1179">
        <f t="shared" si="1021"/>
        <v>0</v>
      </c>
      <c r="DW84" s="1179">
        <f t="shared" si="1021"/>
        <v>0</v>
      </c>
      <c r="DX84" s="1179">
        <f t="shared" si="1021"/>
        <v>0</v>
      </c>
      <c r="DY84" s="1179">
        <f t="shared" si="1021"/>
        <v>0</v>
      </c>
      <c r="DZ84" s="1179">
        <f t="shared" si="1021"/>
        <v>0</v>
      </c>
      <c r="EA84" s="1180">
        <f t="shared" si="1021"/>
        <v>0</v>
      </c>
      <c r="EB84" s="1179">
        <f t="shared" si="1021"/>
        <v>0</v>
      </c>
      <c r="EC84" s="1179">
        <f t="shared" si="1021"/>
        <v>0</v>
      </c>
      <c r="ED84" s="1181">
        <f t="shared" si="1021"/>
        <v>0</v>
      </c>
    </row>
    <row r="85" spans="1:134" ht="18.75" outlineLevel="1" x14ac:dyDescent="0.3">
      <c r="A85" s="1188">
        <f>V25/SUM(V9,V14)</f>
        <v>234.05555555555554</v>
      </c>
      <c r="B85" s="169" t="s">
        <v>260</v>
      </c>
      <c r="C85" s="1675"/>
      <c r="D85" s="1630" t="s">
        <v>261</v>
      </c>
      <c r="E85" s="1630"/>
      <c r="F85" s="1630"/>
      <c r="G85" s="1630"/>
      <c r="H85" s="1630"/>
      <c r="I85" s="1630"/>
      <c r="J85" s="1630"/>
      <c r="K85" s="1630"/>
      <c r="L85" s="990"/>
      <c r="M85" s="1329">
        <f>N85*100</f>
        <v>35</v>
      </c>
      <c r="N85" s="1404">
        <f>'XFMR Data'!D4/100</f>
        <v>0.35</v>
      </c>
      <c r="O85" s="1405">
        <f>'XFMR Data'!I4/100</f>
        <v>0.37</v>
      </c>
      <c r="P85" s="1405">
        <f>'XFMR Data'!N4/100</f>
        <v>0.35</v>
      </c>
      <c r="Q85" s="987"/>
      <c r="R85" s="994">
        <f t="shared" si="981"/>
        <v>0</v>
      </c>
      <c r="S85" s="988">
        <f t="shared" si="968"/>
        <v>0</v>
      </c>
      <c r="T85" s="988"/>
      <c r="U85" s="985"/>
      <c r="V85" s="1101"/>
      <c r="W85" s="1182">
        <f t="shared" si="982"/>
        <v>35</v>
      </c>
      <c r="X85" s="1183">
        <f t="shared" si="983"/>
        <v>35</v>
      </c>
      <c r="Y85" s="1183">
        <f t="shared" si="983"/>
        <v>35</v>
      </c>
      <c r="Z85" s="1183">
        <f t="shared" si="984"/>
        <v>37</v>
      </c>
      <c r="AA85" s="1183">
        <f>Z85</f>
        <v>37</v>
      </c>
      <c r="AB85" s="1183">
        <f>AA85</f>
        <v>37</v>
      </c>
      <c r="AC85" s="1183">
        <f t="shared" si="985"/>
        <v>35</v>
      </c>
      <c r="AD85" s="1183">
        <f>AC85</f>
        <v>35</v>
      </c>
      <c r="AE85" s="1183">
        <f>AD85</f>
        <v>35</v>
      </c>
      <c r="AF85" s="1183">
        <f>AE85</f>
        <v>35</v>
      </c>
      <c r="AG85" s="1183">
        <f>AF85</f>
        <v>35</v>
      </c>
      <c r="AH85" s="1183">
        <f>AG85</f>
        <v>35</v>
      </c>
      <c r="AI85" s="1184">
        <f t="shared" ref="AI85:AT85" si="1022">(((AH85*(1+($B$36*$B$4)))-AH85)/12)+AH85</f>
        <v>35.21</v>
      </c>
      <c r="AJ85" s="1183">
        <f t="shared" si="1022"/>
        <v>35.421260000000004</v>
      </c>
      <c r="AK85" s="1183">
        <f t="shared" si="1022"/>
        <v>35.633787560000002</v>
      </c>
      <c r="AL85" s="1183">
        <f t="shared" si="1022"/>
        <v>35.847590285359999</v>
      </c>
      <c r="AM85" s="1183">
        <f t="shared" si="1022"/>
        <v>36.062675827072162</v>
      </c>
      <c r="AN85" s="1183">
        <f t="shared" si="1022"/>
        <v>36.279051882034594</v>
      </c>
      <c r="AO85" s="1183">
        <f t="shared" si="1022"/>
        <v>36.496726193326801</v>
      </c>
      <c r="AP85" s="1183">
        <f t="shared" si="1022"/>
        <v>36.715706550486765</v>
      </c>
      <c r="AQ85" s="1183">
        <f t="shared" si="1022"/>
        <v>36.936000789789688</v>
      </c>
      <c r="AR85" s="1183">
        <f t="shared" si="1022"/>
        <v>37.157616794528423</v>
      </c>
      <c r="AS85" s="1183">
        <f t="shared" si="1022"/>
        <v>37.380562495295592</v>
      </c>
      <c r="AT85" s="1183">
        <f t="shared" si="1022"/>
        <v>37.604845870267368</v>
      </c>
      <c r="AU85" s="1184">
        <f t="shared" ref="AU85:BF85" si="1023">(((AT85*(1+($B$37*$B$4)))-AT85)/12)+AT85</f>
        <v>37.830474945488973</v>
      </c>
      <c r="AV85" s="1183">
        <f t="shared" si="1023"/>
        <v>38.057457795161909</v>
      </c>
      <c r="AW85" s="1183">
        <f t="shared" si="1023"/>
        <v>38.285802541932881</v>
      </c>
      <c r="AX85" s="1183">
        <f t="shared" si="1023"/>
        <v>38.515517357184478</v>
      </c>
      <c r="AY85" s="1183">
        <f t="shared" si="1023"/>
        <v>38.746610461327585</v>
      </c>
      <c r="AZ85" s="1183">
        <f t="shared" si="1023"/>
        <v>38.979090124095549</v>
      </c>
      <c r="BA85" s="1183">
        <f t="shared" si="1023"/>
        <v>39.212964664840122</v>
      </c>
      <c r="BB85" s="1183">
        <f t="shared" si="1023"/>
        <v>39.448242452829163</v>
      </c>
      <c r="BC85" s="1183">
        <f t="shared" si="1023"/>
        <v>39.684931907546137</v>
      </c>
      <c r="BD85" s="1183">
        <f t="shared" si="1023"/>
        <v>39.923041498991417</v>
      </c>
      <c r="BE85" s="1183">
        <f t="shared" si="1023"/>
        <v>40.162579747985362</v>
      </c>
      <c r="BF85" s="1183">
        <f t="shared" si="1023"/>
        <v>40.403555226473273</v>
      </c>
      <c r="BG85" s="1184">
        <f t="shared" ref="BG85:BR85" si="1024">(((BF85*(1+($B$38*$B$4)))-BF85)/12)+BF85</f>
        <v>40.645976557832114</v>
      </c>
      <c r="BH85" s="1183">
        <f t="shared" si="1024"/>
        <v>40.889852417179107</v>
      </c>
      <c r="BI85" s="1183">
        <f t="shared" si="1024"/>
        <v>41.135191531682182</v>
      </c>
      <c r="BJ85" s="1183">
        <f t="shared" si="1024"/>
        <v>41.382002680872276</v>
      </c>
      <c r="BK85" s="1183">
        <f t="shared" si="1024"/>
        <v>41.630294696957506</v>
      </c>
      <c r="BL85" s="1183">
        <f t="shared" si="1024"/>
        <v>41.880076465139254</v>
      </c>
      <c r="BM85" s="1183">
        <f t="shared" si="1024"/>
        <v>42.131356923930092</v>
      </c>
      <c r="BN85" s="1183">
        <f t="shared" si="1024"/>
        <v>42.384145065473675</v>
      </c>
      <c r="BO85" s="1183">
        <f t="shared" si="1024"/>
        <v>42.638449935866518</v>
      </c>
      <c r="BP85" s="1183">
        <f t="shared" si="1024"/>
        <v>42.894280635481721</v>
      </c>
      <c r="BQ85" s="1183">
        <f t="shared" si="1024"/>
        <v>43.151646319294613</v>
      </c>
      <c r="BR85" s="1183">
        <f t="shared" si="1024"/>
        <v>43.410556197210383</v>
      </c>
      <c r="BS85" s="1184">
        <f t="shared" ref="BS85:CD85" si="1025">(((BR85*(1+($B$39*$B$4)))-BR85)/12)+BR85</f>
        <v>43.671019534393643</v>
      </c>
      <c r="BT85" s="1183">
        <f t="shared" si="1025"/>
        <v>43.933045651600004</v>
      </c>
      <c r="BU85" s="1183">
        <f t="shared" si="1025"/>
        <v>44.196643925509605</v>
      </c>
      <c r="BV85" s="1183">
        <f t="shared" si="1025"/>
        <v>44.461823789062663</v>
      </c>
      <c r="BW85" s="1183">
        <f t="shared" si="1025"/>
        <v>44.728594731797038</v>
      </c>
      <c r="BX85" s="1183">
        <f t="shared" si="1025"/>
        <v>44.996966300187822</v>
      </c>
      <c r="BY85" s="1183">
        <f t="shared" si="1025"/>
        <v>45.266948097988951</v>
      </c>
      <c r="BZ85" s="1183">
        <f t="shared" si="1025"/>
        <v>45.538549786576887</v>
      </c>
      <c r="CA85" s="1183">
        <f t="shared" si="1025"/>
        <v>45.811781085296346</v>
      </c>
      <c r="CB85" s="1183">
        <f t="shared" si="1025"/>
        <v>46.086651771808121</v>
      </c>
      <c r="CC85" s="1183">
        <f t="shared" si="1025"/>
        <v>46.363171682438967</v>
      </c>
      <c r="CD85" s="1183">
        <f t="shared" si="1025"/>
        <v>46.641350712533601</v>
      </c>
      <c r="CE85" s="1184">
        <f t="shared" ref="CE85:CP85" si="1026">(((CD85*(1+($B$40*$B$4)))-CD85)/12)+CD85</f>
        <v>46.921198816808804</v>
      </c>
      <c r="CF85" s="1183">
        <f t="shared" si="1026"/>
        <v>47.202726009709657</v>
      </c>
      <c r="CG85" s="1183">
        <f t="shared" si="1026"/>
        <v>47.485942365767912</v>
      </c>
      <c r="CH85" s="1183">
        <f t="shared" si="1026"/>
        <v>47.770858019962517</v>
      </c>
      <c r="CI85" s="1183">
        <f t="shared" si="1026"/>
        <v>48.057483168082292</v>
      </c>
      <c r="CJ85" s="1183">
        <f t="shared" si="1026"/>
        <v>48.345828067090785</v>
      </c>
      <c r="CK85" s="1183">
        <f t="shared" si="1026"/>
        <v>48.635903035493328</v>
      </c>
      <c r="CL85" s="1183">
        <f t="shared" si="1026"/>
        <v>48.927718453706291</v>
      </c>
      <c r="CM85" s="1183">
        <f t="shared" si="1026"/>
        <v>49.221284764428532</v>
      </c>
      <c r="CN85" s="1183">
        <f t="shared" si="1026"/>
        <v>49.516612473015101</v>
      </c>
      <c r="CO85" s="1183">
        <f t="shared" si="1026"/>
        <v>49.813712147853195</v>
      </c>
      <c r="CP85" s="1183">
        <f t="shared" si="1026"/>
        <v>50.112594420740315</v>
      </c>
      <c r="CQ85" s="1184">
        <f t="shared" ref="CQ85:DB85" si="1027">(((CP85*(1+($B$41*$B$4)))-CP85)/12)+CP85</f>
        <v>50.413269987264755</v>
      </c>
      <c r="CR85" s="1183">
        <f t="shared" si="1027"/>
        <v>50.715749607188343</v>
      </c>
      <c r="CS85" s="1183">
        <f t="shared" si="1027"/>
        <v>51.02004410483147</v>
      </c>
      <c r="CT85" s="1183">
        <f t="shared" si="1027"/>
        <v>51.326164369460457</v>
      </c>
      <c r="CU85" s="1183">
        <f t="shared" si="1027"/>
        <v>51.634121355677223</v>
      </c>
      <c r="CV85" s="1183">
        <f t="shared" si="1027"/>
        <v>51.943926083811284</v>
      </c>
      <c r="CW85" s="1183">
        <f t="shared" si="1027"/>
        <v>52.255589640314156</v>
      </c>
      <c r="CX85" s="1183">
        <f t="shared" si="1027"/>
        <v>52.56912317815604</v>
      </c>
      <c r="CY85" s="1183">
        <f t="shared" si="1027"/>
        <v>52.884537917224975</v>
      </c>
      <c r="CZ85" s="1183">
        <f t="shared" si="1027"/>
        <v>53.201845144728324</v>
      </c>
      <c r="DA85" s="1183">
        <f t="shared" si="1027"/>
        <v>53.521056215596694</v>
      </c>
      <c r="DB85" s="1183">
        <f t="shared" si="1027"/>
        <v>53.842182552890272</v>
      </c>
      <c r="DC85" s="1184">
        <f t="shared" ref="DC85:DN85" si="1028">(((DB85*(1+($B$42*$B$4)))-DB85)/12)+DB85</f>
        <v>54.165235648207613</v>
      </c>
      <c r="DD85" s="1183">
        <f t="shared" si="1028"/>
        <v>54.490227062096857</v>
      </c>
      <c r="DE85" s="1183">
        <f t="shared" si="1028"/>
        <v>54.817168424469436</v>
      </c>
      <c r="DF85" s="1183">
        <f t="shared" si="1028"/>
        <v>55.146071435016253</v>
      </c>
      <c r="DG85" s="1183">
        <f t="shared" si="1028"/>
        <v>55.47694786362635</v>
      </c>
      <c r="DH85" s="1183">
        <f t="shared" si="1028"/>
        <v>55.809809550808112</v>
      </c>
      <c r="DI85" s="1183">
        <f t="shared" si="1028"/>
        <v>56.144668408112963</v>
      </c>
      <c r="DJ85" s="1183">
        <f t="shared" si="1028"/>
        <v>56.481536418561639</v>
      </c>
      <c r="DK85" s="1183">
        <f t="shared" si="1028"/>
        <v>56.820425637073008</v>
      </c>
      <c r="DL85" s="1183">
        <f t="shared" si="1028"/>
        <v>57.161348190895445</v>
      </c>
      <c r="DM85" s="1183">
        <f t="shared" si="1028"/>
        <v>57.504316280040818</v>
      </c>
      <c r="DN85" s="1183">
        <f t="shared" si="1028"/>
        <v>57.849342177721063</v>
      </c>
      <c r="DO85" s="1184">
        <f t="shared" ref="DO85:DZ85" si="1029">(((DN85*(1+($B$43*$B$4)))-DN85)/12)+DN85</f>
        <v>58.196438230787393</v>
      </c>
      <c r="DP85" s="1183">
        <f t="shared" si="1029"/>
        <v>58.545616860172117</v>
      </c>
      <c r="DQ85" s="1183">
        <f t="shared" si="1029"/>
        <v>58.896890561333151</v>
      </c>
      <c r="DR85" s="1183">
        <f t="shared" si="1029"/>
        <v>59.250271904701151</v>
      </c>
      <c r="DS85" s="1183">
        <f t="shared" si="1029"/>
        <v>59.605773536129355</v>
      </c>
      <c r="DT85" s="1183">
        <f t="shared" si="1029"/>
        <v>59.963408177346132</v>
      </c>
      <c r="DU85" s="1183">
        <f t="shared" si="1029"/>
        <v>60.323188626410207</v>
      </c>
      <c r="DV85" s="1183">
        <f t="shared" si="1029"/>
        <v>60.685127758168669</v>
      </c>
      <c r="DW85" s="1183">
        <f t="shared" si="1029"/>
        <v>61.04923852471768</v>
      </c>
      <c r="DX85" s="1183">
        <f t="shared" si="1029"/>
        <v>61.415533955865989</v>
      </c>
      <c r="DY85" s="1183">
        <f t="shared" si="1029"/>
        <v>61.784027159601187</v>
      </c>
      <c r="DZ85" s="1183">
        <f t="shared" si="1029"/>
        <v>62.154731322558796</v>
      </c>
      <c r="EA85" s="1184">
        <f>(((DZ85*(1+($B$44*$B$4)))-DZ85)/12)+DZ85</f>
        <v>62.527659710494149</v>
      </c>
      <c r="EB85" s="1183">
        <f>(((EA85*(1+($B$44*$B$4)))-EA85)/12)+EA85</f>
        <v>62.902825668757117</v>
      </c>
      <c r="EC85" s="1183">
        <f>(((EB85*(1+($B$44*$B$4)))-EB85)/12)+EB85</f>
        <v>63.280242622769663</v>
      </c>
      <c r="ED85" s="1185">
        <f>(((EC85*(1+($B$44*$B$4)))-EC85)/12)+EC85</f>
        <v>63.659924078506279</v>
      </c>
    </row>
    <row r="86" spans="1:134" ht="18.75" outlineLevel="1" x14ac:dyDescent="0.3">
      <c r="B86" s="169"/>
      <c r="C86" s="1675"/>
      <c r="D86" s="1631"/>
      <c r="E86" s="1631"/>
      <c r="F86" s="1631"/>
      <c r="G86" s="1631"/>
      <c r="H86" s="1631"/>
      <c r="I86" s="1631"/>
      <c r="J86" s="1631"/>
      <c r="K86" s="1631"/>
      <c r="L86" s="991"/>
      <c r="M86" s="983"/>
      <c r="N86" s="1406"/>
      <c r="O86" s="1407"/>
      <c r="P86" s="1407"/>
      <c r="Q86" s="984"/>
      <c r="R86" s="995"/>
      <c r="S86" s="989"/>
      <c r="T86" s="989"/>
      <c r="U86" s="983"/>
      <c r="V86" s="1081">
        <v>3</v>
      </c>
      <c r="W86" s="1176">
        <f t="shared" ref="W86:BB86" si="1030">ROUNDUP($V86*(W85/100)/0.8,0)</f>
        <v>2</v>
      </c>
      <c r="X86" s="980">
        <f t="shared" si="1030"/>
        <v>2</v>
      </c>
      <c r="Y86" s="980">
        <f t="shared" si="1030"/>
        <v>2</v>
      </c>
      <c r="Z86" s="980">
        <f t="shared" si="1030"/>
        <v>2</v>
      </c>
      <c r="AA86" s="980">
        <f t="shared" si="1030"/>
        <v>2</v>
      </c>
      <c r="AB86" s="980">
        <f t="shared" si="1030"/>
        <v>2</v>
      </c>
      <c r="AC86" s="980">
        <f t="shared" si="1030"/>
        <v>2</v>
      </c>
      <c r="AD86" s="980">
        <f t="shared" si="1030"/>
        <v>2</v>
      </c>
      <c r="AE86" s="980">
        <f t="shared" si="1030"/>
        <v>2</v>
      </c>
      <c r="AF86" s="980">
        <f t="shared" si="1030"/>
        <v>2</v>
      </c>
      <c r="AG86" s="980">
        <f t="shared" si="1030"/>
        <v>2</v>
      </c>
      <c r="AH86" s="980">
        <f t="shared" si="1030"/>
        <v>2</v>
      </c>
      <c r="AI86" s="1171">
        <f t="shared" si="1030"/>
        <v>2</v>
      </c>
      <c r="AJ86" s="980">
        <f t="shared" si="1030"/>
        <v>2</v>
      </c>
      <c r="AK86" s="980">
        <f t="shared" si="1030"/>
        <v>2</v>
      </c>
      <c r="AL86" s="980">
        <f t="shared" si="1030"/>
        <v>2</v>
      </c>
      <c r="AM86" s="980">
        <f t="shared" si="1030"/>
        <v>2</v>
      </c>
      <c r="AN86" s="980">
        <f t="shared" si="1030"/>
        <v>2</v>
      </c>
      <c r="AO86" s="980">
        <f t="shared" si="1030"/>
        <v>2</v>
      </c>
      <c r="AP86" s="980">
        <f t="shared" si="1030"/>
        <v>2</v>
      </c>
      <c r="AQ86" s="980">
        <f t="shared" si="1030"/>
        <v>2</v>
      </c>
      <c r="AR86" s="980">
        <f t="shared" si="1030"/>
        <v>2</v>
      </c>
      <c r="AS86" s="980">
        <f t="shared" si="1030"/>
        <v>2</v>
      </c>
      <c r="AT86" s="980">
        <f t="shared" si="1030"/>
        <v>2</v>
      </c>
      <c r="AU86" s="1171">
        <f t="shared" si="1030"/>
        <v>2</v>
      </c>
      <c r="AV86" s="980">
        <f t="shared" si="1030"/>
        <v>2</v>
      </c>
      <c r="AW86" s="980">
        <f t="shared" si="1030"/>
        <v>2</v>
      </c>
      <c r="AX86" s="980">
        <f t="shared" si="1030"/>
        <v>2</v>
      </c>
      <c r="AY86" s="980">
        <f t="shared" si="1030"/>
        <v>2</v>
      </c>
      <c r="AZ86" s="980">
        <f t="shared" si="1030"/>
        <v>2</v>
      </c>
      <c r="BA86" s="980">
        <f t="shared" si="1030"/>
        <v>2</v>
      </c>
      <c r="BB86" s="980">
        <f t="shared" si="1030"/>
        <v>2</v>
      </c>
      <c r="BC86" s="980">
        <f t="shared" ref="BC86:CH86" si="1031">ROUNDUP($V86*(BC85/100)/0.8,0)</f>
        <v>2</v>
      </c>
      <c r="BD86" s="980">
        <f t="shared" si="1031"/>
        <v>2</v>
      </c>
      <c r="BE86" s="980">
        <f t="shared" si="1031"/>
        <v>2</v>
      </c>
      <c r="BF86" s="980">
        <f t="shared" si="1031"/>
        <v>2</v>
      </c>
      <c r="BG86" s="1171">
        <f t="shared" si="1031"/>
        <v>2</v>
      </c>
      <c r="BH86" s="980">
        <f t="shared" si="1031"/>
        <v>2</v>
      </c>
      <c r="BI86" s="980">
        <f t="shared" si="1031"/>
        <v>2</v>
      </c>
      <c r="BJ86" s="980">
        <f t="shared" si="1031"/>
        <v>2</v>
      </c>
      <c r="BK86" s="980">
        <f t="shared" si="1031"/>
        <v>2</v>
      </c>
      <c r="BL86" s="980">
        <f t="shared" si="1031"/>
        <v>2</v>
      </c>
      <c r="BM86" s="980">
        <f t="shared" si="1031"/>
        <v>2</v>
      </c>
      <c r="BN86" s="980">
        <f t="shared" si="1031"/>
        <v>2</v>
      </c>
      <c r="BO86" s="980">
        <f t="shared" si="1031"/>
        <v>2</v>
      </c>
      <c r="BP86" s="980">
        <f t="shared" si="1031"/>
        <v>2</v>
      </c>
      <c r="BQ86" s="980">
        <f t="shared" si="1031"/>
        <v>2</v>
      </c>
      <c r="BR86" s="980">
        <f t="shared" si="1031"/>
        <v>2</v>
      </c>
      <c r="BS86" s="1171">
        <f t="shared" si="1031"/>
        <v>2</v>
      </c>
      <c r="BT86" s="980">
        <f t="shared" si="1031"/>
        <v>2</v>
      </c>
      <c r="BU86" s="980">
        <f t="shared" si="1031"/>
        <v>2</v>
      </c>
      <c r="BV86" s="980">
        <f t="shared" si="1031"/>
        <v>2</v>
      </c>
      <c r="BW86" s="980">
        <f t="shared" si="1031"/>
        <v>2</v>
      </c>
      <c r="BX86" s="980">
        <f t="shared" si="1031"/>
        <v>2</v>
      </c>
      <c r="BY86" s="980">
        <f t="shared" si="1031"/>
        <v>2</v>
      </c>
      <c r="BZ86" s="980">
        <f t="shared" si="1031"/>
        <v>2</v>
      </c>
      <c r="CA86" s="980">
        <f t="shared" si="1031"/>
        <v>2</v>
      </c>
      <c r="CB86" s="980">
        <f t="shared" si="1031"/>
        <v>2</v>
      </c>
      <c r="CC86" s="980">
        <f t="shared" si="1031"/>
        <v>2</v>
      </c>
      <c r="CD86" s="980">
        <f t="shared" si="1031"/>
        <v>2</v>
      </c>
      <c r="CE86" s="1171">
        <f t="shared" si="1031"/>
        <v>2</v>
      </c>
      <c r="CF86" s="980">
        <f t="shared" si="1031"/>
        <v>2</v>
      </c>
      <c r="CG86" s="980">
        <f t="shared" si="1031"/>
        <v>2</v>
      </c>
      <c r="CH86" s="980">
        <f t="shared" si="1031"/>
        <v>2</v>
      </c>
      <c r="CI86" s="980">
        <f t="shared" ref="CI86:DN86" si="1032">ROUNDUP($V86*(CI85/100)/0.8,0)</f>
        <v>2</v>
      </c>
      <c r="CJ86" s="980">
        <f t="shared" si="1032"/>
        <v>2</v>
      </c>
      <c r="CK86" s="980">
        <f t="shared" si="1032"/>
        <v>2</v>
      </c>
      <c r="CL86" s="980">
        <f t="shared" si="1032"/>
        <v>2</v>
      </c>
      <c r="CM86" s="980">
        <f t="shared" si="1032"/>
        <v>2</v>
      </c>
      <c r="CN86" s="980">
        <f t="shared" si="1032"/>
        <v>2</v>
      </c>
      <c r="CO86" s="980">
        <f t="shared" si="1032"/>
        <v>2</v>
      </c>
      <c r="CP86" s="980">
        <f t="shared" si="1032"/>
        <v>2</v>
      </c>
      <c r="CQ86" s="1171">
        <f t="shared" si="1032"/>
        <v>2</v>
      </c>
      <c r="CR86" s="980">
        <f t="shared" si="1032"/>
        <v>2</v>
      </c>
      <c r="CS86" s="980">
        <f t="shared" si="1032"/>
        <v>2</v>
      </c>
      <c r="CT86" s="980">
        <f t="shared" si="1032"/>
        <v>2</v>
      </c>
      <c r="CU86" s="980">
        <f t="shared" si="1032"/>
        <v>2</v>
      </c>
      <c r="CV86" s="980">
        <f t="shared" si="1032"/>
        <v>2</v>
      </c>
      <c r="CW86" s="980">
        <f t="shared" si="1032"/>
        <v>2</v>
      </c>
      <c r="CX86" s="980">
        <f t="shared" si="1032"/>
        <v>2</v>
      </c>
      <c r="CY86" s="980">
        <f t="shared" si="1032"/>
        <v>2</v>
      </c>
      <c r="CZ86" s="980">
        <f t="shared" si="1032"/>
        <v>2</v>
      </c>
      <c r="DA86" s="980">
        <f t="shared" si="1032"/>
        <v>3</v>
      </c>
      <c r="DB86" s="980">
        <f t="shared" si="1032"/>
        <v>3</v>
      </c>
      <c r="DC86" s="1171">
        <f t="shared" si="1032"/>
        <v>3</v>
      </c>
      <c r="DD86" s="980">
        <f t="shared" si="1032"/>
        <v>3</v>
      </c>
      <c r="DE86" s="980">
        <f t="shared" si="1032"/>
        <v>3</v>
      </c>
      <c r="DF86" s="980">
        <f t="shared" si="1032"/>
        <v>3</v>
      </c>
      <c r="DG86" s="980">
        <f t="shared" si="1032"/>
        <v>3</v>
      </c>
      <c r="DH86" s="980">
        <f t="shared" si="1032"/>
        <v>3</v>
      </c>
      <c r="DI86" s="980">
        <f t="shared" si="1032"/>
        <v>3</v>
      </c>
      <c r="DJ86" s="980">
        <f t="shared" si="1032"/>
        <v>3</v>
      </c>
      <c r="DK86" s="980">
        <f t="shared" si="1032"/>
        <v>3</v>
      </c>
      <c r="DL86" s="980">
        <f t="shared" si="1032"/>
        <v>3</v>
      </c>
      <c r="DM86" s="980">
        <f t="shared" si="1032"/>
        <v>3</v>
      </c>
      <c r="DN86" s="980">
        <f t="shared" si="1032"/>
        <v>3</v>
      </c>
      <c r="DO86" s="1171">
        <f t="shared" ref="DO86:ED86" si="1033">ROUNDUP($V86*(DO85/100)/0.8,0)</f>
        <v>3</v>
      </c>
      <c r="DP86" s="980">
        <f t="shared" si="1033"/>
        <v>3</v>
      </c>
      <c r="DQ86" s="980">
        <f t="shared" si="1033"/>
        <v>3</v>
      </c>
      <c r="DR86" s="980">
        <f t="shared" si="1033"/>
        <v>3</v>
      </c>
      <c r="DS86" s="980">
        <f t="shared" si="1033"/>
        <v>3</v>
      </c>
      <c r="DT86" s="980">
        <f t="shared" si="1033"/>
        <v>3</v>
      </c>
      <c r="DU86" s="980">
        <f t="shared" si="1033"/>
        <v>3</v>
      </c>
      <c r="DV86" s="980">
        <f t="shared" si="1033"/>
        <v>3</v>
      </c>
      <c r="DW86" s="980">
        <f t="shared" si="1033"/>
        <v>3</v>
      </c>
      <c r="DX86" s="980">
        <f t="shared" si="1033"/>
        <v>3</v>
      </c>
      <c r="DY86" s="980">
        <f t="shared" si="1033"/>
        <v>3</v>
      </c>
      <c r="DZ86" s="980">
        <f t="shared" si="1033"/>
        <v>3</v>
      </c>
      <c r="EA86" s="1171">
        <f t="shared" si="1033"/>
        <v>3</v>
      </c>
      <c r="EB86" s="980">
        <f t="shared" si="1033"/>
        <v>3</v>
      </c>
      <c r="EC86" s="980">
        <f t="shared" si="1033"/>
        <v>3</v>
      </c>
      <c r="ED86" s="1177">
        <f t="shared" si="1033"/>
        <v>3</v>
      </c>
    </row>
    <row r="87" spans="1:134" ht="18.75" outlineLevel="1" x14ac:dyDescent="0.3">
      <c r="B87" s="169"/>
      <c r="C87" s="1675"/>
      <c r="D87" s="1629" t="s">
        <v>262</v>
      </c>
      <c r="E87" s="1629"/>
      <c r="F87" s="1629"/>
      <c r="G87" s="1629"/>
      <c r="H87" s="1629"/>
      <c r="I87" s="1629"/>
      <c r="J87" s="1629"/>
      <c r="K87" s="1629"/>
      <c r="L87" s="992"/>
      <c r="M87" s="1329">
        <f>N87*100</f>
        <v>26</v>
      </c>
      <c r="N87" s="1408">
        <f>'XFMR Data'!E4/100</f>
        <v>0.26</v>
      </c>
      <c r="O87" s="1409">
        <f>'XFMR Data'!J4/100</f>
        <v>0.26</v>
      </c>
      <c r="P87" s="1409">
        <f>'XFMR Data'!O4/100</f>
        <v>0.25</v>
      </c>
      <c r="Q87" s="981"/>
      <c r="R87" s="996">
        <f t="shared" si="981"/>
        <v>-1.0000000000000009E-2</v>
      </c>
      <c r="S87" s="982">
        <f t="shared" si="968"/>
        <v>0</v>
      </c>
      <c r="T87" s="982"/>
      <c r="U87" s="980"/>
      <c r="V87" s="1102"/>
      <c r="W87" s="1172">
        <f t="shared" si="982"/>
        <v>26</v>
      </c>
      <c r="X87" s="1173">
        <f t="shared" si="983"/>
        <v>26</v>
      </c>
      <c r="Y87" s="1173">
        <f t="shared" si="983"/>
        <v>26</v>
      </c>
      <c r="Z87" s="1173">
        <f t="shared" si="984"/>
        <v>26</v>
      </c>
      <c r="AA87" s="1173">
        <f>Z87</f>
        <v>26</v>
      </c>
      <c r="AB87" s="1173">
        <f>AA87</f>
        <v>26</v>
      </c>
      <c r="AC87" s="1173">
        <f t="shared" si="985"/>
        <v>25</v>
      </c>
      <c r="AD87" s="1173">
        <f>AC87</f>
        <v>25</v>
      </c>
      <c r="AE87" s="1173">
        <f>AD87</f>
        <v>25</v>
      </c>
      <c r="AF87" s="1173">
        <f>AE87</f>
        <v>25</v>
      </c>
      <c r="AG87" s="1173">
        <f>AF87</f>
        <v>25</v>
      </c>
      <c r="AH87" s="1173">
        <f>AG87</f>
        <v>25</v>
      </c>
      <c r="AI87" s="1174">
        <f t="shared" ref="AI87:AT87" si="1034">(((AH87*(1+($B$36*$B$4)))-AH87)/12)+AH87</f>
        <v>25.15</v>
      </c>
      <c r="AJ87" s="1173">
        <f t="shared" si="1034"/>
        <v>25.300899999999999</v>
      </c>
      <c r="AK87" s="1173">
        <f t="shared" si="1034"/>
        <v>25.452705399999999</v>
      </c>
      <c r="AL87" s="1173">
        <f t="shared" si="1034"/>
        <v>25.605421632399999</v>
      </c>
      <c r="AM87" s="1173">
        <f t="shared" si="1034"/>
        <v>25.759054162194399</v>
      </c>
      <c r="AN87" s="1173">
        <f t="shared" si="1034"/>
        <v>25.913608487167565</v>
      </c>
      <c r="AO87" s="1173">
        <f t="shared" si="1034"/>
        <v>26.069090138090569</v>
      </c>
      <c r="AP87" s="1173">
        <f t="shared" si="1034"/>
        <v>26.225504678919112</v>
      </c>
      <c r="AQ87" s="1173">
        <f t="shared" si="1034"/>
        <v>26.382857706992628</v>
      </c>
      <c r="AR87" s="1173">
        <f t="shared" si="1034"/>
        <v>26.541154853234584</v>
      </c>
      <c r="AS87" s="1173">
        <f t="shared" si="1034"/>
        <v>26.700401782353993</v>
      </c>
      <c r="AT87" s="1173">
        <f t="shared" si="1034"/>
        <v>26.860604193048118</v>
      </c>
      <c r="AU87" s="1174">
        <f t="shared" ref="AU87:BF87" si="1035">(((AT87*(1+($B$37*$B$4)))-AT87)/12)+AT87</f>
        <v>27.021767818206406</v>
      </c>
      <c r="AV87" s="1173">
        <f t="shared" si="1035"/>
        <v>27.183898425115643</v>
      </c>
      <c r="AW87" s="1173">
        <f t="shared" si="1035"/>
        <v>27.347001815666339</v>
      </c>
      <c r="AX87" s="1173">
        <f t="shared" si="1035"/>
        <v>27.511083826560338</v>
      </c>
      <c r="AY87" s="1173">
        <f t="shared" si="1035"/>
        <v>27.6761503295197</v>
      </c>
      <c r="AZ87" s="1173">
        <f t="shared" si="1035"/>
        <v>27.842207231496818</v>
      </c>
      <c r="BA87" s="1173">
        <f t="shared" si="1035"/>
        <v>28.009260474885799</v>
      </c>
      <c r="BB87" s="1173">
        <f t="shared" si="1035"/>
        <v>28.177316037735114</v>
      </c>
      <c r="BC87" s="1173">
        <f t="shared" si="1035"/>
        <v>28.346379933961526</v>
      </c>
      <c r="BD87" s="1173">
        <f t="shared" si="1035"/>
        <v>28.516458213565294</v>
      </c>
      <c r="BE87" s="1173">
        <f t="shared" si="1035"/>
        <v>28.687556962846685</v>
      </c>
      <c r="BF87" s="1173">
        <f t="shared" si="1035"/>
        <v>28.859682304623764</v>
      </c>
      <c r="BG87" s="1174">
        <f t="shared" ref="BG87:BR87" si="1036">(((BF87*(1+($B$38*$B$4)))-BF87)/12)+BF87</f>
        <v>29.032840398451505</v>
      </c>
      <c r="BH87" s="1173">
        <f t="shared" si="1036"/>
        <v>29.207037440842214</v>
      </c>
      <c r="BI87" s="1173">
        <f t="shared" si="1036"/>
        <v>29.382279665487268</v>
      </c>
      <c r="BJ87" s="1173">
        <f t="shared" si="1036"/>
        <v>29.558573343480191</v>
      </c>
      <c r="BK87" s="1173">
        <f t="shared" si="1036"/>
        <v>29.735924783541073</v>
      </c>
      <c r="BL87" s="1173">
        <f t="shared" si="1036"/>
        <v>29.914340332242318</v>
      </c>
      <c r="BM87" s="1173">
        <f t="shared" si="1036"/>
        <v>30.093826374235771</v>
      </c>
      <c r="BN87" s="1173">
        <f t="shared" si="1036"/>
        <v>30.274389332481185</v>
      </c>
      <c r="BO87" s="1173">
        <f t="shared" si="1036"/>
        <v>30.456035668476073</v>
      </c>
      <c r="BP87" s="1173">
        <f t="shared" si="1036"/>
        <v>30.638771882486928</v>
      </c>
      <c r="BQ87" s="1173">
        <f t="shared" si="1036"/>
        <v>30.822604513781851</v>
      </c>
      <c r="BR87" s="1173">
        <f t="shared" si="1036"/>
        <v>31.007540140864542</v>
      </c>
      <c r="BS87" s="1174">
        <f t="shared" ref="BS87:CD87" si="1037">(((BR87*(1+($B$39*$B$4)))-BR87)/12)+BR87</f>
        <v>31.193585381709731</v>
      </c>
      <c r="BT87" s="1173">
        <f t="shared" si="1037"/>
        <v>31.380746893999991</v>
      </c>
      <c r="BU87" s="1173">
        <f t="shared" si="1037"/>
        <v>31.569031375363991</v>
      </c>
      <c r="BV87" s="1173">
        <f t="shared" si="1037"/>
        <v>31.758445563616174</v>
      </c>
      <c r="BW87" s="1173">
        <f t="shared" si="1037"/>
        <v>31.948996236997871</v>
      </c>
      <c r="BX87" s="1173">
        <f t="shared" si="1037"/>
        <v>32.140690214419863</v>
      </c>
      <c r="BY87" s="1173">
        <f t="shared" si="1037"/>
        <v>32.333534355706384</v>
      </c>
      <c r="BZ87" s="1173">
        <f t="shared" si="1037"/>
        <v>32.527535561840622</v>
      </c>
      <c r="CA87" s="1173">
        <f t="shared" si="1037"/>
        <v>32.722700775211663</v>
      </c>
      <c r="CB87" s="1173">
        <f t="shared" si="1037"/>
        <v>32.919036979862931</v>
      </c>
      <c r="CC87" s="1173">
        <f t="shared" si="1037"/>
        <v>33.116551201742105</v>
      </c>
      <c r="CD87" s="1173">
        <f t="shared" si="1037"/>
        <v>33.315250508952559</v>
      </c>
      <c r="CE87" s="1174">
        <f t="shared" ref="CE87:CP87" si="1038">(((CD87*(1+($B$40*$B$4)))-CD87)/12)+CD87</f>
        <v>33.515142012006272</v>
      </c>
      <c r="CF87" s="1173">
        <f t="shared" si="1038"/>
        <v>33.716232864078307</v>
      </c>
      <c r="CG87" s="1173">
        <f t="shared" si="1038"/>
        <v>33.918530261262774</v>
      </c>
      <c r="CH87" s="1173">
        <f t="shared" si="1038"/>
        <v>34.122041442830351</v>
      </c>
      <c r="CI87" s="1173">
        <f t="shared" si="1038"/>
        <v>34.326773691487332</v>
      </c>
      <c r="CJ87" s="1173">
        <f t="shared" si="1038"/>
        <v>34.532734333636256</v>
      </c>
      <c r="CK87" s="1173">
        <f t="shared" si="1038"/>
        <v>34.739930739638076</v>
      </c>
      <c r="CL87" s="1173">
        <f t="shared" si="1038"/>
        <v>34.948370324075903</v>
      </c>
      <c r="CM87" s="1173">
        <f t="shared" si="1038"/>
        <v>35.158060546020359</v>
      </c>
      <c r="CN87" s="1173">
        <f t="shared" si="1038"/>
        <v>35.369008909296483</v>
      </c>
      <c r="CO87" s="1173">
        <f t="shared" si="1038"/>
        <v>35.581222962752264</v>
      </c>
      <c r="CP87" s="1173">
        <f t="shared" si="1038"/>
        <v>35.794710300528777</v>
      </c>
      <c r="CQ87" s="1174">
        <f t="shared" ref="CQ87:DB87" si="1039">(((CP87*(1+($B$41*$B$4)))-CP87)/12)+CP87</f>
        <v>36.00947856233195</v>
      </c>
      <c r="CR87" s="1173">
        <f t="shared" si="1039"/>
        <v>36.225535433705943</v>
      </c>
      <c r="CS87" s="1173">
        <f t="shared" si="1039"/>
        <v>36.442888646308177</v>
      </c>
      <c r="CT87" s="1173">
        <f t="shared" si="1039"/>
        <v>36.661545978186027</v>
      </c>
      <c r="CU87" s="1173">
        <f t="shared" si="1039"/>
        <v>36.881515254055145</v>
      </c>
      <c r="CV87" s="1173">
        <f t="shared" si="1039"/>
        <v>37.102804345579479</v>
      </c>
      <c r="CW87" s="1173">
        <f t="shared" si="1039"/>
        <v>37.325421171652955</v>
      </c>
      <c r="CX87" s="1173">
        <f t="shared" si="1039"/>
        <v>37.549373698682871</v>
      </c>
      <c r="CY87" s="1173">
        <f t="shared" si="1039"/>
        <v>37.774669940874972</v>
      </c>
      <c r="CZ87" s="1173">
        <f t="shared" si="1039"/>
        <v>38.001317960520225</v>
      </c>
      <c r="DA87" s="1173">
        <f t="shared" si="1039"/>
        <v>38.229325868283347</v>
      </c>
      <c r="DB87" s="1173">
        <f t="shared" si="1039"/>
        <v>38.458701823493044</v>
      </c>
      <c r="DC87" s="1174">
        <f t="shared" ref="DC87:DN87" si="1040">(((DB87*(1+($B$42*$B$4)))-DB87)/12)+DB87</f>
        <v>38.689454034434</v>
      </c>
      <c r="DD87" s="1173">
        <f t="shared" si="1040"/>
        <v>38.921590758640605</v>
      </c>
      <c r="DE87" s="1173">
        <f t="shared" si="1040"/>
        <v>39.155120303192447</v>
      </c>
      <c r="DF87" s="1173">
        <f t="shared" si="1040"/>
        <v>39.390051025011601</v>
      </c>
      <c r="DG87" s="1173">
        <f t="shared" si="1040"/>
        <v>39.62639133116167</v>
      </c>
      <c r="DH87" s="1173">
        <f t="shared" si="1040"/>
        <v>39.864149679148639</v>
      </c>
      <c r="DI87" s="1173">
        <f t="shared" si="1040"/>
        <v>40.103334577223528</v>
      </c>
      <c r="DJ87" s="1173">
        <f t="shared" si="1040"/>
        <v>40.34395458468687</v>
      </c>
      <c r="DK87" s="1173">
        <f t="shared" si="1040"/>
        <v>40.586018312194994</v>
      </c>
      <c r="DL87" s="1173">
        <f t="shared" si="1040"/>
        <v>40.829534422068164</v>
      </c>
      <c r="DM87" s="1173">
        <f t="shared" si="1040"/>
        <v>41.074511628600575</v>
      </c>
      <c r="DN87" s="1173">
        <f t="shared" si="1040"/>
        <v>41.320958698372181</v>
      </c>
      <c r="DO87" s="1174">
        <f t="shared" ref="DO87:DZ87" si="1041">(((DN87*(1+($B$43*$B$4)))-DN87)/12)+DN87</f>
        <v>41.568884450562415</v>
      </c>
      <c r="DP87" s="1173">
        <f t="shared" si="1041"/>
        <v>41.818297757265789</v>
      </c>
      <c r="DQ87" s="1173">
        <f t="shared" si="1041"/>
        <v>42.069207543809384</v>
      </c>
      <c r="DR87" s="1173">
        <f t="shared" si="1041"/>
        <v>42.321622789072237</v>
      </c>
      <c r="DS87" s="1173">
        <f t="shared" si="1041"/>
        <v>42.575552525806671</v>
      </c>
      <c r="DT87" s="1173">
        <f t="shared" si="1041"/>
        <v>42.83100584096151</v>
      </c>
      <c r="DU87" s="1173">
        <f t="shared" si="1041"/>
        <v>43.08799187600728</v>
      </c>
      <c r="DV87" s="1173">
        <f t="shared" si="1041"/>
        <v>43.346519827263322</v>
      </c>
      <c r="DW87" s="1173">
        <f t="shared" si="1041"/>
        <v>43.606598946226903</v>
      </c>
      <c r="DX87" s="1173">
        <f t="shared" si="1041"/>
        <v>43.868238539904262</v>
      </c>
      <c r="DY87" s="1173">
        <f t="shared" si="1041"/>
        <v>44.131447971143686</v>
      </c>
      <c r="DZ87" s="1173">
        <f t="shared" si="1041"/>
        <v>44.396236658970551</v>
      </c>
      <c r="EA87" s="1174">
        <f>(((DZ87*(1+($B$44*$B$4)))-DZ87)/12)+DZ87</f>
        <v>44.662614078924378</v>
      </c>
      <c r="EB87" s="1173">
        <f>(((EA87*(1+($B$44*$B$4)))-EA87)/12)+EA87</f>
        <v>44.930589763397926</v>
      </c>
      <c r="EC87" s="1173">
        <f>(((EB87*(1+($B$44*$B$4)))-EB87)/12)+EB87</f>
        <v>45.20017330197831</v>
      </c>
      <c r="ED87" s="1175">
        <f>(((EC87*(1+($B$44*$B$4)))-EC87)/12)+EC87</f>
        <v>45.471374341790181</v>
      </c>
    </row>
    <row r="88" spans="1:134" ht="18.75" outlineLevel="1" x14ac:dyDescent="0.3">
      <c r="B88" s="169"/>
      <c r="C88" s="1675"/>
      <c r="D88" s="1629"/>
      <c r="E88" s="1629"/>
      <c r="F88" s="1629"/>
      <c r="G88" s="1629"/>
      <c r="H88" s="1629"/>
      <c r="I88" s="1629"/>
      <c r="J88" s="1629"/>
      <c r="K88" s="1629"/>
      <c r="L88" s="992"/>
      <c r="M88" s="980"/>
      <c r="N88" s="1408"/>
      <c r="O88" s="1409"/>
      <c r="P88" s="1409"/>
      <c r="Q88" s="981"/>
      <c r="R88" s="996"/>
      <c r="S88" s="982"/>
      <c r="T88" s="982"/>
      <c r="U88" s="980"/>
      <c r="V88" s="85">
        <v>1</v>
      </c>
      <c r="W88" s="1178">
        <f t="shared" ref="W88:BB88" si="1042">ROUNDUP($V88*(W87/100)/0.8,0)</f>
        <v>1</v>
      </c>
      <c r="X88" s="1179">
        <f t="shared" si="1042"/>
        <v>1</v>
      </c>
      <c r="Y88" s="1179">
        <f t="shared" si="1042"/>
        <v>1</v>
      </c>
      <c r="Z88" s="1179">
        <f t="shared" si="1042"/>
        <v>1</v>
      </c>
      <c r="AA88" s="1179">
        <f t="shared" si="1042"/>
        <v>1</v>
      </c>
      <c r="AB88" s="1179">
        <f t="shared" si="1042"/>
        <v>1</v>
      </c>
      <c r="AC88" s="1179">
        <f t="shared" si="1042"/>
        <v>1</v>
      </c>
      <c r="AD88" s="1179">
        <f t="shared" si="1042"/>
        <v>1</v>
      </c>
      <c r="AE88" s="1179">
        <f t="shared" si="1042"/>
        <v>1</v>
      </c>
      <c r="AF88" s="1179">
        <f t="shared" si="1042"/>
        <v>1</v>
      </c>
      <c r="AG88" s="1179">
        <f t="shared" si="1042"/>
        <v>1</v>
      </c>
      <c r="AH88" s="1179">
        <f t="shared" si="1042"/>
        <v>1</v>
      </c>
      <c r="AI88" s="1180">
        <f t="shared" si="1042"/>
        <v>1</v>
      </c>
      <c r="AJ88" s="1179">
        <f t="shared" si="1042"/>
        <v>1</v>
      </c>
      <c r="AK88" s="1179">
        <f t="shared" si="1042"/>
        <v>1</v>
      </c>
      <c r="AL88" s="1179">
        <f t="shared" si="1042"/>
        <v>1</v>
      </c>
      <c r="AM88" s="1179">
        <f t="shared" si="1042"/>
        <v>1</v>
      </c>
      <c r="AN88" s="1179">
        <f t="shared" si="1042"/>
        <v>1</v>
      </c>
      <c r="AO88" s="1179">
        <f t="shared" si="1042"/>
        <v>1</v>
      </c>
      <c r="AP88" s="1179">
        <f t="shared" si="1042"/>
        <v>1</v>
      </c>
      <c r="AQ88" s="1179">
        <f t="shared" si="1042"/>
        <v>1</v>
      </c>
      <c r="AR88" s="1179">
        <f t="shared" si="1042"/>
        <v>1</v>
      </c>
      <c r="AS88" s="1179">
        <f t="shared" si="1042"/>
        <v>1</v>
      </c>
      <c r="AT88" s="1179">
        <f t="shared" si="1042"/>
        <v>1</v>
      </c>
      <c r="AU88" s="1180">
        <f t="shared" si="1042"/>
        <v>1</v>
      </c>
      <c r="AV88" s="1179">
        <f t="shared" si="1042"/>
        <v>1</v>
      </c>
      <c r="AW88" s="1179">
        <f t="shared" si="1042"/>
        <v>1</v>
      </c>
      <c r="AX88" s="1179">
        <f t="shared" si="1042"/>
        <v>1</v>
      </c>
      <c r="AY88" s="1179">
        <f t="shared" si="1042"/>
        <v>1</v>
      </c>
      <c r="AZ88" s="1179">
        <f t="shared" si="1042"/>
        <v>1</v>
      </c>
      <c r="BA88" s="1179">
        <f t="shared" si="1042"/>
        <v>1</v>
      </c>
      <c r="BB88" s="1179">
        <f t="shared" si="1042"/>
        <v>1</v>
      </c>
      <c r="BC88" s="1179">
        <f t="shared" ref="BC88:CH88" si="1043">ROUNDUP($V88*(BC87/100)/0.8,0)</f>
        <v>1</v>
      </c>
      <c r="BD88" s="1179">
        <f t="shared" si="1043"/>
        <v>1</v>
      </c>
      <c r="BE88" s="1179">
        <f t="shared" si="1043"/>
        <v>1</v>
      </c>
      <c r="BF88" s="1179">
        <f t="shared" si="1043"/>
        <v>1</v>
      </c>
      <c r="BG88" s="1180">
        <f t="shared" si="1043"/>
        <v>1</v>
      </c>
      <c r="BH88" s="1179">
        <f t="shared" si="1043"/>
        <v>1</v>
      </c>
      <c r="BI88" s="1179">
        <f t="shared" si="1043"/>
        <v>1</v>
      </c>
      <c r="BJ88" s="1179">
        <f t="shared" si="1043"/>
        <v>1</v>
      </c>
      <c r="BK88" s="1179">
        <f t="shared" si="1043"/>
        <v>1</v>
      </c>
      <c r="BL88" s="1179">
        <f t="shared" si="1043"/>
        <v>1</v>
      </c>
      <c r="BM88" s="1179">
        <f t="shared" si="1043"/>
        <v>1</v>
      </c>
      <c r="BN88" s="1179">
        <f t="shared" si="1043"/>
        <v>1</v>
      </c>
      <c r="BO88" s="1179">
        <f t="shared" si="1043"/>
        <v>1</v>
      </c>
      <c r="BP88" s="1179">
        <f t="shared" si="1043"/>
        <v>1</v>
      </c>
      <c r="BQ88" s="1179">
        <f t="shared" si="1043"/>
        <v>1</v>
      </c>
      <c r="BR88" s="1179">
        <f t="shared" si="1043"/>
        <v>1</v>
      </c>
      <c r="BS88" s="1180">
        <f t="shared" si="1043"/>
        <v>1</v>
      </c>
      <c r="BT88" s="1179">
        <f t="shared" si="1043"/>
        <v>1</v>
      </c>
      <c r="BU88" s="1179">
        <f t="shared" si="1043"/>
        <v>1</v>
      </c>
      <c r="BV88" s="1179">
        <f t="shared" si="1043"/>
        <v>1</v>
      </c>
      <c r="BW88" s="1179">
        <f t="shared" si="1043"/>
        <v>1</v>
      </c>
      <c r="BX88" s="1179">
        <f t="shared" si="1043"/>
        <v>1</v>
      </c>
      <c r="BY88" s="1179">
        <f t="shared" si="1043"/>
        <v>1</v>
      </c>
      <c r="BZ88" s="1179">
        <f t="shared" si="1043"/>
        <v>1</v>
      </c>
      <c r="CA88" s="1179">
        <f t="shared" si="1043"/>
        <v>1</v>
      </c>
      <c r="CB88" s="1179">
        <f t="shared" si="1043"/>
        <v>1</v>
      </c>
      <c r="CC88" s="1179">
        <f t="shared" si="1043"/>
        <v>1</v>
      </c>
      <c r="CD88" s="1179">
        <f t="shared" si="1043"/>
        <v>1</v>
      </c>
      <c r="CE88" s="1180">
        <f t="shared" si="1043"/>
        <v>1</v>
      </c>
      <c r="CF88" s="1179">
        <f t="shared" si="1043"/>
        <v>1</v>
      </c>
      <c r="CG88" s="1179">
        <f t="shared" si="1043"/>
        <v>1</v>
      </c>
      <c r="CH88" s="1179">
        <f t="shared" si="1043"/>
        <v>1</v>
      </c>
      <c r="CI88" s="1179">
        <f t="shared" ref="CI88:DN88" si="1044">ROUNDUP($V88*(CI87/100)/0.8,0)</f>
        <v>1</v>
      </c>
      <c r="CJ88" s="1179">
        <f t="shared" si="1044"/>
        <v>1</v>
      </c>
      <c r="CK88" s="1179">
        <f t="shared" si="1044"/>
        <v>1</v>
      </c>
      <c r="CL88" s="1179">
        <f t="shared" si="1044"/>
        <v>1</v>
      </c>
      <c r="CM88" s="1179">
        <f t="shared" si="1044"/>
        <v>1</v>
      </c>
      <c r="CN88" s="1179">
        <f t="shared" si="1044"/>
        <v>1</v>
      </c>
      <c r="CO88" s="1179">
        <f t="shared" si="1044"/>
        <v>1</v>
      </c>
      <c r="CP88" s="1179">
        <f t="shared" si="1044"/>
        <v>1</v>
      </c>
      <c r="CQ88" s="1180">
        <f t="shared" si="1044"/>
        <v>1</v>
      </c>
      <c r="CR88" s="1179">
        <f t="shared" si="1044"/>
        <v>1</v>
      </c>
      <c r="CS88" s="1179">
        <f t="shared" si="1044"/>
        <v>1</v>
      </c>
      <c r="CT88" s="1179">
        <f t="shared" si="1044"/>
        <v>1</v>
      </c>
      <c r="CU88" s="1179">
        <f t="shared" si="1044"/>
        <v>1</v>
      </c>
      <c r="CV88" s="1179">
        <f t="shared" si="1044"/>
        <v>1</v>
      </c>
      <c r="CW88" s="1179">
        <f t="shared" si="1044"/>
        <v>1</v>
      </c>
      <c r="CX88" s="1179">
        <f t="shared" si="1044"/>
        <v>1</v>
      </c>
      <c r="CY88" s="1179">
        <f t="shared" si="1044"/>
        <v>1</v>
      </c>
      <c r="CZ88" s="1179">
        <f t="shared" si="1044"/>
        <v>1</v>
      </c>
      <c r="DA88" s="1179">
        <f t="shared" si="1044"/>
        <v>1</v>
      </c>
      <c r="DB88" s="1179">
        <f t="shared" si="1044"/>
        <v>1</v>
      </c>
      <c r="DC88" s="1180">
        <f t="shared" si="1044"/>
        <v>1</v>
      </c>
      <c r="DD88" s="1179">
        <f t="shared" si="1044"/>
        <v>1</v>
      </c>
      <c r="DE88" s="1179">
        <f t="shared" si="1044"/>
        <v>1</v>
      </c>
      <c r="DF88" s="1179">
        <f t="shared" si="1044"/>
        <v>1</v>
      </c>
      <c r="DG88" s="1179">
        <f t="shared" si="1044"/>
        <v>1</v>
      </c>
      <c r="DH88" s="1179">
        <f t="shared" si="1044"/>
        <v>1</v>
      </c>
      <c r="DI88" s="1179">
        <f t="shared" si="1044"/>
        <v>1</v>
      </c>
      <c r="DJ88" s="1179">
        <f t="shared" si="1044"/>
        <v>1</v>
      </c>
      <c r="DK88" s="1179">
        <f t="shared" si="1044"/>
        <v>1</v>
      </c>
      <c r="DL88" s="1179">
        <f t="shared" si="1044"/>
        <v>1</v>
      </c>
      <c r="DM88" s="1179">
        <f t="shared" si="1044"/>
        <v>1</v>
      </c>
      <c r="DN88" s="1179">
        <f t="shared" si="1044"/>
        <v>1</v>
      </c>
      <c r="DO88" s="1180">
        <f t="shared" ref="DO88:ED88" si="1045">ROUNDUP($V88*(DO87/100)/0.8,0)</f>
        <v>1</v>
      </c>
      <c r="DP88" s="1179">
        <f t="shared" si="1045"/>
        <v>1</v>
      </c>
      <c r="DQ88" s="1179">
        <f t="shared" si="1045"/>
        <v>1</v>
      </c>
      <c r="DR88" s="1179">
        <f t="shared" si="1045"/>
        <v>1</v>
      </c>
      <c r="DS88" s="1179">
        <f t="shared" si="1045"/>
        <v>1</v>
      </c>
      <c r="DT88" s="1179">
        <f t="shared" si="1045"/>
        <v>1</v>
      </c>
      <c r="DU88" s="1179">
        <f t="shared" si="1045"/>
        <v>1</v>
      </c>
      <c r="DV88" s="1179">
        <f t="shared" si="1045"/>
        <v>1</v>
      </c>
      <c r="DW88" s="1179">
        <f t="shared" si="1045"/>
        <v>1</v>
      </c>
      <c r="DX88" s="1179">
        <f t="shared" si="1045"/>
        <v>1</v>
      </c>
      <c r="DY88" s="1179">
        <f t="shared" si="1045"/>
        <v>1</v>
      </c>
      <c r="DZ88" s="1179">
        <f t="shared" si="1045"/>
        <v>1</v>
      </c>
      <c r="EA88" s="1180">
        <f t="shared" si="1045"/>
        <v>1</v>
      </c>
      <c r="EB88" s="1179">
        <f t="shared" si="1045"/>
        <v>1</v>
      </c>
      <c r="EC88" s="1179">
        <f t="shared" si="1045"/>
        <v>1</v>
      </c>
      <c r="ED88" s="1181">
        <f t="shared" si="1045"/>
        <v>1</v>
      </c>
    </row>
    <row r="89" spans="1:134" ht="18.75" outlineLevel="1" x14ac:dyDescent="0.3">
      <c r="B89" s="169"/>
      <c r="C89" s="1675"/>
      <c r="D89" s="1630" t="s">
        <v>263</v>
      </c>
      <c r="E89" s="1630"/>
      <c r="F89" s="1630"/>
      <c r="G89" s="1630"/>
      <c r="H89" s="1630"/>
      <c r="I89" s="1630"/>
      <c r="J89" s="1630"/>
      <c r="K89" s="1630"/>
      <c r="L89" s="990"/>
      <c r="M89" s="1329">
        <f>N89*100</f>
        <v>0</v>
      </c>
      <c r="N89" s="1404"/>
      <c r="O89" s="1405"/>
      <c r="P89" s="1405"/>
      <c r="Q89" s="987"/>
      <c r="R89" s="994">
        <f t="shared" si="981"/>
        <v>0</v>
      </c>
      <c r="S89" s="988">
        <f t="shared" si="968"/>
        <v>0</v>
      </c>
      <c r="T89" s="988"/>
      <c r="U89" s="985"/>
      <c r="V89" s="1101"/>
      <c r="W89" s="1182">
        <f t="shared" si="982"/>
        <v>0</v>
      </c>
      <c r="X89" s="1183">
        <f t="shared" si="983"/>
        <v>0</v>
      </c>
      <c r="Y89" s="1183">
        <f t="shared" si="983"/>
        <v>0</v>
      </c>
      <c r="Z89" s="1183">
        <f t="shared" si="984"/>
        <v>0</v>
      </c>
      <c r="AA89" s="1183">
        <f>Z89</f>
        <v>0</v>
      </c>
      <c r="AB89" s="1183">
        <f>AA89</f>
        <v>0</v>
      </c>
      <c r="AC89" s="1183">
        <f t="shared" si="985"/>
        <v>0</v>
      </c>
      <c r="AD89" s="1183">
        <f>AC89</f>
        <v>0</v>
      </c>
      <c r="AE89" s="1183">
        <f>AD89</f>
        <v>0</v>
      </c>
      <c r="AF89" s="1183">
        <f>AE89</f>
        <v>0</v>
      </c>
      <c r="AG89" s="1183">
        <f>AF89</f>
        <v>0</v>
      </c>
      <c r="AH89" s="1183">
        <f>AG89</f>
        <v>0</v>
      </c>
      <c r="AI89" s="1184">
        <f t="shared" ref="AI89:AT89" si="1046">(((AH89*(1+($B$36*$B$4)))-AH89)/12)+AH89</f>
        <v>0</v>
      </c>
      <c r="AJ89" s="1183">
        <f t="shared" si="1046"/>
        <v>0</v>
      </c>
      <c r="AK89" s="1183">
        <f t="shared" si="1046"/>
        <v>0</v>
      </c>
      <c r="AL89" s="1183">
        <f t="shared" si="1046"/>
        <v>0</v>
      </c>
      <c r="AM89" s="1183">
        <f t="shared" si="1046"/>
        <v>0</v>
      </c>
      <c r="AN89" s="1183">
        <f t="shared" si="1046"/>
        <v>0</v>
      </c>
      <c r="AO89" s="1183">
        <f t="shared" si="1046"/>
        <v>0</v>
      </c>
      <c r="AP89" s="1183">
        <f t="shared" si="1046"/>
        <v>0</v>
      </c>
      <c r="AQ89" s="1183">
        <f t="shared" si="1046"/>
        <v>0</v>
      </c>
      <c r="AR89" s="1183">
        <f t="shared" si="1046"/>
        <v>0</v>
      </c>
      <c r="AS89" s="1183">
        <f t="shared" si="1046"/>
        <v>0</v>
      </c>
      <c r="AT89" s="1183">
        <f t="shared" si="1046"/>
        <v>0</v>
      </c>
      <c r="AU89" s="1184">
        <f t="shared" ref="AU89:BF89" si="1047">(((AT89*(1+($B$37*$B$4)))-AT89)/12)+AT89</f>
        <v>0</v>
      </c>
      <c r="AV89" s="1183">
        <f t="shared" si="1047"/>
        <v>0</v>
      </c>
      <c r="AW89" s="1183">
        <f t="shared" si="1047"/>
        <v>0</v>
      </c>
      <c r="AX89" s="1183">
        <f t="shared" si="1047"/>
        <v>0</v>
      </c>
      <c r="AY89" s="1183">
        <f t="shared" si="1047"/>
        <v>0</v>
      </c>
      <c r="AZ89" s="1183">
        <f t="shared" si="1047"/>
        <v>0</v>
      </c>
      <c r="BA89" s="1183">
        <f t="shared" si="1047"/>
        <v>0</v>
      </c>
      <c r="BB89" s="1183">
        <f t="shared" si="1047"/>
        <v>0</v>
      </c>
      <c r="BC89" s="1183">
        <f t="shared" si="1047"/>
        <v>0</v>
      </c>
      <c r="BD89" s="1183">
        <f t="shared" si="1047"/>
        <v>0</v>
      </c>
      <c r="BE89" s="1183">
        <f t="shared" si="1047"/>
        <v>0</v>
      </c>
      <c r="BF89" s="1183">
        <f t="shared" si="1047"/>
        <v>0</v>
      </c>
      <c r="BG89" s="1184">
        <f t="shared" ref="BG89:BR89" si="1048">(((BF89*(1+($B$38*$B$4)))-BF89)/12)+BF89</f>
        <v>0</v>
      </c>
      <c r="BH89" s="1183">
        <f t="shared" si="1048"/>
        <v>0</v>
      </c>
      <c r="BI89" s="1183">
        <f t="shared" si="1048"/>
        <v>0</v>
      </c>
      <c r="BJ89" s="1183">
        <f t="shared" si="1048"/>
        <v>0</v>
      </c>
      <c r="BK89" s="1183">
        <f t="shared" si="1048"/>
        <v>0</v>
      </c>
      <c r="BL89" s="1183">
        <f t="shared" si="1048"/>
        <v>0</v>
      </c>
      <c r="BM89" s="1183">
        <f t="shared" si="1048"/>
        <v>0</v>
      </c>
      <c r="BN89" s="1183">
        <f t="shared" si="1048"/>
        <v>0</v>
      </c>
      <c r="BO89" s="1183">
        <f t="shared" si="1048"/>
        <v>0</v>
      </c>
      <c r="BP89" s="1183">
        <f t="shared" si="1048"/>
        <v>0</v>
      </c>
      <c r="BQ89" s="1183">
        <f t="shared" si="1048"/>
        <v>0</v>
      </c>
      <c r="BR89" s="1183">
        <f t="shared" si="1048"/>
        <v>0</v>
      </c>
      <c r="BS89" s="1184">
        <f t="shared" ref="BS89:CD89" si="1049">(((BR89*(1+($B$39*$B$4)))-BR89)/12)+BR89</f>
        <v>0</v>
      </c>
      <c r="BT89" s="1183">
        <f t="shared" si="1049"/>
        <v>0</v>
      </c>
      <c r="BU89" s="1183">
        <f t="shared" si="1049"/>
        <v>0</v>
      </c>
      <c r="BV89" s="1183">
        <f t="shared" si="1049"/>
        <v>0</v>
      </c>
      <c r="BW89" s="1183">
        <f t="shared" si="1049"/>
        <v>0</v>
      </c>
      <c r="BX89" s="1183">
        <f t="shared" si="1049"/>
        <v>0</v>
      </c>
      <c r="BY89" s="1183">
        <f t="shared" si="1049"/>
        <v>0</v>
      </c>
      <c r="BZ89" s="1183">
        <f t="shared" si="1049"/>
        <v>0</v>
      </c>
      <c r="CA89" s="1183">
        <f t="shared" si="1049"/>
        <v>0</v>
      </c>
      <c r="CB89" s="1183">
        <f t="shared" si="1049"/>
        <v>0</v>
      </c>
      <c r="CC89" s="1183">
        <f t="shared" si="1049"/>
        <v>0</v>
      </c>
      <c r="CD89" s="1183">
        <f t="shared" si="1049"/>
        <v>0</v>
      </c>
      <c r="CE89" s="1184">
        <f t="shared" ref="CE89:CP89" si="1050">(((CD89*(1+($B$40*$B$4)))-CD89)/12)+CD89</f>
        <v>0</v>
      </c>
      <c r="CF89" s="1183">
        <f t="shared" si="1050"/>
        <v>0</v>
      </c>
      <c r="CG89" s="1183">
        <f t="shared" si="1050"/>
        <v>0</v>
      </c>
      <c r="CH89" s="1183">
        <f t="shared" si="1050"/>
        <v>0</v>
      </c>
      <c r="CI89" s="1183">
        <f t="shared" si="1050"/>
        <v>0</v>
      </c>
      <c r="CJ89" s="1183">
        <f t="shared" si="1050"/>
        <v>0</v>
      </c>
      <c r="CK89" s="1183">
        <f t="shared" si="1050"/>
        <v>0</v>
      </c>
      <c r="CL89" s="1183">
        <f t="shared" si="1050"/>
        <v>0</v>
      </c>
      <c r="CM89" s="1183">
        <f t="shared" si="1050"/>
        <v>0</v>
      </c>
      <c r="CN89" s="1183">
        <f t="shared" si="1050"/>
        <v>0</v>
      </c>
      <c r="CO89" s="1183">
        <f t="shared" si="1050"/>
        <v>0</v>
      </c>
      <c r="CP89" s="1183">
        <f t="shared" si="1050"/>
        <v>0</v>
      </c>
      <c r="CQ89" s="1184">
        <f t="shared" ref="CQ89:DB89" si="1051">(((CP89*(1+($B$41*$B$4)))-CP89)/12)+CP89</f>
        <v>0</v>
      </c>
      <c r="CR89" s="1183">
        <f t="shared" si="1051"/>
        <v>0</v>
      </c>
      <c r="CS89" s="1183">
        <f t="shared" si="1051"/>
        <v>0</v>
      </c>
      <c r="CT89" s="1183">
        <f t="shared" si="1051"/>
        <v>0</v>
      </c>
      <c r="CU89" s="1183">
        <f t="shared" si="1051"/>
        <v>0</v>
      </c>
      <c r="CV89" s="1183">
        <f t="shared" si="1051"/>
        <v>0</v>
      </c>
      <c r="CW89" s="1183">
        <f t="shared" si="1051"/>
        <v>0</v>
      </c>
      <c r="CX89" s="1183">
        <f t="shared" si="1051"/>
        <v>0</v>
      </c>
      <c r="CY89" s="1183">
        <f t="shared" si="1051"/>
        <v>0</v>
      </c>
      <c r="CZ89" s="1183">
        <f t="shared" si="1051"/>
        <v>0</v>
      </c>
      <c r="DA89" s="1183">
        <f t="shared" si="1051"/>
        <v>0</v>
      </c>
      <c r="DB89" s="1183">
        <f t="shared" si="1051"/>
        <v>0</v>
      </c>
      <c r="DC89" s="1184">
        <f t="shared" ref="DC89:DN89" si="1052">(((DB89*(1+($B$42*$B$4)))-DB89)/12)+DB89</f>
        <v>0</v>
      </c>
      <c r="DD89" s="1183">
        <f t="shared" si="1052"/>
        <v>0</v>
      </c>
      <c r="DE89" s="1183">
        <f t="shared" si="1052"/>
        <v>0</v>
      </c>
      <c r="DF89" s="1183">
        <f t="shared" si="1052"/>
        <v>0</v>
      </c>
      <c r="DG89" s="1183">
        <f t="shared" si="1052"/>
        <v>0</v>
      </c>
      <c r="DH89" s="1183">
        <f t="shared" si="1052"/>
        <v>0</v>
      </c>
      <c r="DI89" s="1183">
        <f t="shared" si="1052"/>
        <v>0</v>
      </c>
      <c r="DJ89" s="1183">
        <f t="shared" si="1052"/>
        <v>0</v>
      </c>
      <c r="DK89" s="1183">
        <f t="shared" si="1052"/>
        <v>0</v>
      </c>
      <c r="DL89" s="1183">
        <f t="shared" si="1052"/>
        <v>0</v>
      </c>
      <c r="DM89" s="1183">
        <f t="shared" si="1052"/>
        <v>0</v>
      </c>
      <c r="DN89" s="1183">
        <f t="shared" si="1052"/>
        <v>0</v>
      </c>
      <c r="DO89" s="1184">
        <f t="shared" ref="DO89:DZ89" si="1053">(((DN89*(1+($B$43*$B$4)))-DN89)/12)+DN89</f>
        <v>0</v>
      </c>
      <c r="DP89" s="1183">
        <f t="shared" si="1053"/>
        <v>0</v>
      </c>
      <c r="DQ89" s="1183">
        <f t="shared" si="1053"/>
        <v>0</v>
      </c>
      <c r="DR89" s="1183">
        <f t="shared" si="1053"/>
        <v>0</v>
      </c>
      <c r="DS89" s="1183">
        <f t="shared" si="1053"/>
        <v>0</v>
      </c>
      <c r="DT89" s="1183">
        <f t="shared" si="1053"/>
        <v>0</v>
      </c>
      <c r="DU89" s="1183">
        <f t="shared" si="1053"/>
        <v>0</v>
      </c>
      <c r="DV89" s="1183">
        <f t="shared" si="1053"/>
        <v>0</v>
      </c>
      <c r="DW89" s="1183">
        <f t="shared" si="1053"/>
        <v>0</v>
      </c>
      <c r="DX89" s="1183">
        <f t="shared" si="1053"/>
        <v>0</v>
      </c>
      <c r="DY89" s="1183">
        <f t="shared" si="1053"/>
        <v>0</v>
      </c>
      <c r="DZ89" s="1183">
        <f t="shared" si="1053"/>
        <v>0</v>
      </c>
      <c r="EA89" s="1184">
        <f>(((DZ89*(1+($B$44*$B$4)))-DZ89)/12)+DZ89</f>
        <v>0</v>
      </c>
      <c r="EB89" s="1183">
        <f>(((EA89*(1+($B$44*$B$4)))-EA89)/12)+EA89</f>
        <v>0</v>
      </c>
      <c r="EC89" s="1183">
        <f>(((EB89*(1+($B$44*$B$4)))-EB89)/12)+EB89</f>
        <v>0</v>
      </c>
      <c r="ED89" s="1185">
        <f>(((EC89*(1+($B$44*$B$4)))-EC89)/12)+EC89</f>
        <v>0</v>
      </c>
    </row>
    <row r="90" spans="1:134" ht="18.75" outlineLevel="1" x14ac:dyDescent="0.3">
      <c r="B90" s="169"/>
      <c r="C90" s="1675"/>
      <c r="D90" s="1631"/>
      <c r="E90" s="1631"/>
      <c r="F90" s="1631"/>
      <c r="G90" s="1631"/>
      <c r="H90" s="1631"/>
      <c r="I90" s="1631"/>
      <c r="J90" s="1631"/>
      <c r="K90" s="1631"/>
      <c r="L90" s="991"/>
      <c r="M90" s="983"/>
      <c r="N90" s="1406"/>
      <c r="O90" s="1407"/>
      <c r="P90" s="1407"/>
      <c r="Q90" s="984"/>
      <c r="R90" s="995"/>
      <c r="S90" s="989"/>
      <c r="T90" s="989"/>
      <c r="U90" s="983"/>
      <c r="V90" s="1081">
        <v>1</v>
      </c>
      <c r="W90" s="1176">
        <f t="shared" ref="W90:BB90" si="1054">ROUNDUP($V90*(W89/100)/0.8,0)</f>
        <v>0</v>
      </c>
      <c r="X90" s="980">
        <f t="shared" si="1054"/>
        <v>0</v>
      </c>
      <c r="Y90" s="980">
        <f t="shared" si="1054"/>
        <v>0</v>
      </c>
      <c r="Z90" s="980">
        <f t="shared" si="1054"/>
        <v>0</v>
      </c>
      <c r="AA90" s="980">
        <f t="shared" si="1054"/>
        <v>0</v>
      </c>
      <c r="AB90" s="980">
        <f t="shared" si="1054"/>
        <v>0</v>
      </c>
      <c r="AC90" s="980">
        <f t="shared" si="1054"/>
        <v>0</v>
      </c>
      <c r="AD90" s="980">
        <f t="shared" si="1054"/>
        <v>0</v>
      </c>
      <c r="AE90" s="980">
        <f t="shared" si="1054"/>
        <v>0</v>
      </c>
      <c r="AF90" s="980">
        <f t="shared" si="1054"/>
        <v>0</v>
      </c>
      <c r="AG90" s="980">
        <f t="shared" si="1054"/>
        <v>0</v>
      </c>
      <c r="AH90" s="980">
        <f t="shared" si="1054"/>
        <v>0</v>
      </c>
      <c r="AI90" s="1171">
        <f t="shared" si="1054"/>
        <v>0</v>
      </c>
      <c r="AJ90" s="980">
        <f t="shared" si="1054"/>
        <v>0</v>
      </c>
      <c r="AK90" s="980">
        <f t="shared" si="1054"/>
        <v>0</v>
      </c>
      <c r="AL90" s="980">
        <f t="shared" si="1054"/>
        <v>0</v>
      </c>
      <c r="AM90" s="980">
        <f t="shared" si="1054"/>
        <v>0</v>
      </c>
      <c r="AN90" s="980">
        <f t="shared" si="1054"/>
        <v>0</v>
      </c>
      <c r="AO90" s="980">
        <f t="shared" si="1054"/>
        <v>0</v>
      </c>
      <c r="AP90" s="980">
        <f t="shared" si="1054"/>
        <v>0</v>
      </c>
      <c r="AQ90" s="980">
        <f t="shared" si="1054"/>
        <v>0</v>
      </c>
      <c r="AR90" s="980">
        <f t="shared" si="1054"/>
        <v>0</v>
      </c>
      <c r="AS90" s="980">
        <f t="shared" si="1054"/>
        <v>0</v>
      </c>
      <c r="AT90" s="980">
        <f t="shared" si="1054"/>
        <v>0</v>
      </c>
      <c r="AU90" s="1171">
        <f t="shared" si="1054"/>
        <v>0</v>
      </c>
      <c r="AV90" s="980">
        <f t="shared" si="1054"/>
        <v>0</v>
      </c>
      <c r="AW90" s="980">
        <f t="shared" si="1054"/>
        <v>0</v>
      </c>
      <c r="AX90" s="980">
        <f t="shared" si="1054"/>
        <v>0</v>
      </c>
      <c r="AY90" s="980">
        <f t="shared" si="1054"/>
        <v>0</v>
      </c>
      <c r="AZ90" s="980">
        <f t="shared" si="1054"/>
        <v>0</v>
      </c>
      <c r="BA90" s="980">
        <f t="shared" si="1054"/>
        <v>0</v>
      </c>
      <c r="BB90" s="980">
        <f t="shared" si="1054"/>
        <v>0</v>
      </c>
      <c r="BC90" s="980">
        <f t="shared" ref="BC90:CH90" si="1055">ROUNDUP($V90*(BC89/100)/0.8,0)</f>
        <v>0</v>
      </c>
      <c r="BD90" s="980">
        <f t="shared" si="1055"/>
        <v>0</v>
      </c>
      <c r="BE90" s="980">
        <f t="shared" si="1055"/>
        <v>0</v>
      </c>
      <c r="BF90" s="980">
        <f t="shared" si="1055"/>
        <v>0</v>
      </c>
      <c r="BG90" s="1171">
        <f t="shared" si="1055"/>
        <v>0</v>
      </c>
      <c r="BH90" s="980">
        <f t="shared" si="1055"/>
        <v>0</v>
      </c>
      <c r="BI90" s="980">
        <f t="shared" si="1055"/>
        <v>0</v>
      </c>
      <c r="BJ90" s="980">
        <f t="shared" si="1055"/>
        <v>0</v>
      </c>
      <c r="BK90" s="980">
        <f t="shared" si="1055"/>
        <v>0</v>
      </c>
      <c r="BL90" s="980">
        <f t="shared" si="1055"/>
        <v>0</v>
      </c>
      <c r="BM90" s="980">
        <f t="shared" si="1055"/>
        <v>0</v>
      </c>
      <c r="BN90" s="980">
        <f t="shared" si="1055"/>
        <v>0</v>
      </c>
      <c r="BO90" s="980">
        <f t="shared" si="1055"/>
        <v>0</v>
      </c>
      <c r="BP90" s="980">
        <f t="shared" si="1055"/>
        <v>0</v>
      </c>
      <c r="BQ90" s="980">
        <f t="shared" si="1055"/>
        <v>0</v>
      </c>
      <c r="BR90" s="980">
        <f t="shared" si="1055"/>
        <v>0</v>
      </c>
      <c r="BS90" s="1171">
        <f t="shared" si="1055"/>
        <v>0</v>
      </c>
      <c r="BT90" s="980">
        <f t="shared" si="1055"/>
        <v>0</v>
      </c>
      <c r="BU90" s="980">
        <f t="shared" si="1055"/>
        <v>0</v>
      </c>
      <c r="BV90" s="980">
        <f t="shared" si="1055"/>
        <v>0</v>
      </c>
      <c r="BW90" s="980">
        <f t="shared" si="1055"/>
        <v>0</v>
      </c>
      <c r="BX90" s="980">
        <f t="shared" si="1055"/>
        <v>0</v>
      </c>
      <c r="BY90" s="980">
        <f t="shared" si="1055"/>
        <v>0</v>
      </c>
      <c r="BZ90" s="980">
        <f t="shared" si="1055"/>
        <v>0</v>
      </c>
      <c r="CA90" s="980">
        <f t="shared" si="1055"/>
        <v>0</v>
      </c>
      <c r="CB90" s="980">
        <f t="shared" si="1055"/>
        <v>0</v>
      </c>
      <c r="CC90" s="980">
        <f t="shared" si="1055"/>
        <v>0</v>
      </c>
      <c r="CD90" s="980">
        <f t="shared" si="1055"/>
        <v>0</v>
      </c>
      <c r="CE90" s="1171">
        <f t="shared" si="1055"/>
        <v>0</v>
      </c>
      <c r="CF90" s="980">
        <f t="shared" si="1055"/>
        <v>0</v>
      </c>
      <c r="CG90" s="980">
        <f t="shared" si="1055"/>
        <v>0</v>
      </c>
      <c r="CH90" s="980">
        <f t="shared" si="1055"/>
        <v>0</v>
      </c>
      <c r="CI90" s="980">
        <f t="shared" ref="CI90:DN90" si="1056">ROUNDUP($V90*(CI89/100)/0.8,0)</f>
        <v>0</v>
      </c>
      <c r="CJ90" s="980">
        <f t="shared" si="1056"/>
        <v>0</v>
      </c>
      <c r="CK90" s="980">
        <f t="shared" si="1056"/>
        <v>0</v>
      </c>
      <c r="CL90" s="980">
        <f t="shared" si="1056"/>
        <v>0</v>
      </c>
      <c r="CM90" s="980">
        <f t="shared" si="1056"/>
        <v>0</v>
      </c>
      <c r="CN90" s="980">
        <f t="shared" si="1056"/>
        <v>0</v>
      </c>
      <c r="CO90" s="980">
        <f t="shared" si="1056"/>
        <v>0</v>
      </c>
      <c r="CP90" s="980">
        <f t="shared" si="1056"/>
        <v>0</v>
      </c>
      <c r="CQ90" s="1171">
        <f t="shared" si="1056"/>
        <v>0</v>
      </c>
      <c r="CR90" s="980">
        <f t="shared" si="1056"/>
        <v>0</v>
      </c>
      <c r="CS90" s="980">
        <f t="shared" si="1056"/>
        <v>0</v>
      </c>
      <c r="CT90" s="980">
        <f t="shared" si="1056"/>
        <v>0</v>
      </c>
      <c r="CU90" s="980">
        <f t="shared" si="1056"/>
        <v>0</v>
      </c>
      <c r="CV90" s="980">
        <f t="shared" si="1056"/>
        <v>0</v>
      </c>
      <c r="CW90" s="980">
        <f t="shared" si="1056"/>
        <v>0</v>
      </c>
      <c r="CX90" s="980">
        <f t="shared" si="1056"/>
        <v>0</v>
      </c>
      <c r="CY90" s="980">
        <f t="shared" si="1056"/>
        <v>0</v>
      </c>
      <c r="CZ90" s="980">
        <f t="shared" si="1056"/>
        <v>0</v>
      </c>
      <c r="DA90" s="980">
        <f t="shared" si="1056"/>
        <v>0</v>
      </c>
      <c r="DB90" s="980">
        <f t="shared" si="1056"/>
        <v>0</v>
      </c>
      <c r="DC90" s="1171">
        <f t="shared" si="1056"/>
        <v>0</v>
      </c>
      <c r="DD90" s="980">
        <f t="shared" si="1056"/>
        <v>0</v>
      </c>
      <c r="DE90" s="980">
        <f t="shared" si="1056"/>
        <v>0</v>
      </c>
      <c r="DF90" s="980">
        <f t="shared" si="1056"/>
        <v>0</v>
      </c>
      <c r="DG90" s="980">
        <f t="shared" si="1056"/>
        <v>0</v>
      </c>
      <c r="DH90" s="980">
        <f t="shared" si="1056"/>
        <v>0</v>
      </c>
      <c r="DI90" s="980">
        <f t="shared" si="1056"/>
        <v>0</v>
      </c>
      <c r="DJ90" s="980">
        <f t="shared" si="1056"/>
        <v>0</v>
      </c>
      <c r="DK90" s="980">
        <f t="shared" si="1056"/>
        <v>0</v>
      </c>
      <c r="DL90" s="980">
        <f t="shared" si="1056"/>
        <v>0</v>
      </c>
      <c r="DM90" s="980">
        <f t="shared" si="1056"/>
        <v>0</v>
      </c>
      <c r="DN90" s="980">
        <f t="shared" si="1056"/>
        <v>0</v>
      </c>
      <c r="DO90" s="1171">
        <f t="shared" ref="DO90:ED90" si="1057">ROUNDUP($V90*(DO89/100)/0.8,0)</f>
        <v>0</v>
      </c>
      <c r="DP90" s="980">
        <f t="shared" si="1057"/>
        <v>0</v>
      </c>
      <c r="DQ90" s="980">
        <f t="shared" si="1057"/>
        <v>0</v>
      </c>
      <c r="DR90" s="980">
        <f t="shared" si="1057"/>
        <v>0</v>
      </c>
      <c r="DS90" s="980">
        <f t="shared" si="1057"/>
        <v>0</v>
      </c>
      <c r="DT90" s="980">
        <f t="shared" si="1057"/>
        <v>0</v>
      </c>
      <c r="DU90" s="980">
        <f t="shared" si="1057"/>
        <v>0</v>
      </c>
      <c r="DV90" s="980">
        <f t="shared" si="1057"/>
        <v>0</v>
      </c>
      <c r="DW90" s="980">
        <f t="shared" si="1057"/>
        <v>0</v>
      </c>
      <c r="DX90" s="980">
        <f t="shared" si="1057"/>
        <v>0</v>
      </c>
      <c r="DY90" s="980">
        <f t="shared" si="1057"/>
        <v>0</v>
      </c>
      <c r="DZ90" s="980">
        <f t="shared" si="1057"/>
        <v>0</v>
      </c>
      <c r="EA90" s="1171">
        <f t="shared" si="1057"/>
        <v>0</v>
      </c>
      <c r="EB90" s="980">
        <f t="shared" si="1057"/>
        <v>0</v>
      </c>
      <c r="EC90" s="980">
        <f t="shared" si="1057"/>
        <v>0</v>
      </c>
      <c r="ED90" s="1177">
        <f t="shared" si="1057"/>
        <v>0</v>
      </c>
    </row>
    <row r="91" spans="1:134" ht="18.75" outlineLevel="1" x14ac:dyDescent="0.3">
      <c r="B91" s="169"/>
      <c r="C91" s="1675"/>
      <c r="D91" s="1629" t="s">
        <v>264</v>
      </c>
      <c r="E91" s="1629"/>
      <c r="F91" s="1629"/>
      <c r="G91" s="1629"/>
      <c r="H91" s="1629"/>
      <c r="I91" s="1629"/>
      <c r="J91" s="1629"/>
      <c r="K91" s="1629"/>
      <c r="L91" s="992"/>
      <c r="M91" s="1329">
        <f>N91*100</f>
        <v>0</v>
      </c>
      <c r="N91" s="1408"/>
      <c r="O91" s="1409"/>
      <c r="P91" s="1409"/>
      <c r="Q91" s="981"/>
      <c r="R91" s="996">
        <f t="shared" si="981"/>
        <v>0</v>
      </c>
      <c r="S91" s="982">
        <f t="shared" si="968"/>
        <v>0</v>
      </c>
      <c r="T91" s="982"/>
      <c r="U91" s="980"/>
      <c r="V91" s="1102"/>
      <c r="W91" s="1172">
        <f t="shared" si="982"/>
        <v>0</v>
      </c>
      <c r="X91" s="1173">
        <f t="shared" si="983"/>
        <v>0</v>
      </c>
      <c r="Y91" s="1173">
        <f t="shared" si="983"/>
        <v>0</v>
      </c>
      <c r="Z91" s="1173">
        <f t="shared" si="984"/>
        <v>0</v>
      </c>
      <c r="AA91" s="1173">
        <f>Z91</f>
        <v>0</v>
      </c>
      <c r="AB91" s="1173">
        <f>AA91</f>
        <v>0</v>
      </c>
      <c r="AC91" s="1173">
        <f t="shared" si="985"/>
        <v>0</v>
      </c>
      <c r="AD91" s="1173">
        <f>AC91</f>
        <v>0</v>
      </c>
      <c r="AE91" s="1173">
        <f>AD91</f>
        <v>0</v>
      </c>
      <c r="AF91" s="1173">
        <f>AE91</f>
        <v>0</v>
      </c>
      <c r="AG91" s="1173">
        <f>AF91</f>
        <v>0</v>
      </c>
      <c r="AH91" s="1173">
        <f>AG91</f>
        <v>0</v>
      </c>
      <c r="AI91" s="1174">
        <f t="shared" ref="AI91:AT91" si="1058">(((AH91*(1+($B$36*$B$4)))-AH91)/12)+AH91</f>
        <v>0</v>
      </c>
      <c r="AJ91" s="1173">
        <f t="shared" si="1058"/>
        <v>0</v>
      </c>
      <c r="AK91" s="1173">
        <f t="shared" si="1058"/>
        <v>0</v>
      </c>
      <c r="AL91" s="1173">
        <f t="shared" si="1058"/>
        <v>0</v>
      </c>
      <c r="AM91" s="1173">
        <f t="shared" si="1058"/>
        <v>0</v>
      </c>
      <c r="AN91" s="1173">
        <f t="shared" si="1058"/>
        <v>0</v>
      </c>
      <c r="AO91" s="1173">
        <f t="shared" si="1058"/>
        <v>0</v>
      </c>
      <c r="AP91" s="1173">
        <f t="shared" si="1058"/>
        <v>0</v>
      </c>
      <c r="AQ91" s="1173">
        <f t="shared" si="1058"/>
        <v>0</v>
      </c>
      <c r="AR91" s="1173">
        <f t="shared" si="1058"/>
        <v>0</v>
      </c>
      <c r="AS91" s="1173">
        <f t="shared" si="1058"/>
        <v>0</v>
      </c>
      <c r="AT91" s="1173">
        <f t="shared" si="1058"/>
        <v>0</v>
      </c>
      <c r="AU91" s="1174">
        <f t="shared" ref="AU91:BF91" si="1059">(((AT91*(1+($B$37*$B$4)))-AT91)/12)+AT91</f>
        <v>0</v>
      </c>
      <c r="AV91" s="1173">
        <f t="shared" si="1059"/>
        <v>0</v>
      </c>
      <c r="AW91" s="1173">
        <f t="shared" si="1059"/>
        <v>0</v>
      </c>
      <c r="AX91" s="1173">
        <f t="shared" si="1059"/>
        <v>0</v>
      </c>
      <c r="AY91" s="1173">
        <f t="shared" si="1059"/>
        <v>0</v>
      </c>
      <c r="AZ91" s="1173">
        <f t="shared" si="1059"/>
        <v>0</v>
      </c>
      <c r="BA91" s="1173">
        <f t="shared" si="1059"/>
        <v>0</v>
      </c>
      <c r="BB91" s="1173">
        <f t="shared" si="1059"/>
        <v>0</v>
      </c>
      <c r="BC91" s="1173">
        <f t="shared" si="1059"/>
        <v>0</v>
      </c>
      <c r="BD91" s="1173">
        <f t="shared" si="1059"/>
        <v>0</v>
      </c>
      <c r="BE91" s="1173">
        <f t="shared" si="1059"/>
        <v>0</v>
      </c>
      <c r="BF91" s="1173">
        <f t="shared" si="1059"/>
        <v>0</v>
      </c>
      <c r="BG91" s="1174">
        <f t="shared" ref="BG91:BR91" si="1060">(((BF91*(1+($B$38*$B$4)))-BF91)/12)+BF91</f>
        <v>0</v>
      </c>
      <c r="BH91" s="1173">
        <f t="shared" si="1060"/>
        <v>0</v>
      </c>
      <c r="BI91" s="1173">
        <f t="shared" si="1060"/>
        <v>0</v>
      </c>
      <c r="BJ91" s="1173">
        <f t="shared" si="1060"/>
        <v>0</v>
      </c>
      <c r="BK91" s="1173">
        <f t="shared" si="1060"/>
        <v>0</v>
      </c>
      <c r="BL91" s="1173">
        <f t="shared" si="1060"/>
        <v>0</v>
      </c>
      <c r="BM91" s="1173">
        <f t="shared" si="1060"/>
        <v>0</v>
      </c>
      <c r="BN91" s="1173">
        <f t="shared" si="1060"/>
        <v>0</v>
      </c>
      <c r="BO91" s="1173">
        <f t="shared" si="1060"/>
        <v>0</v>
      </c>
      <c r="BP91" s="1173">
        <f t="shared" si="1060"/>
        <v>0</v>
      </c>
      <c r="BQ91" s="1173">
        <f t="shared" si="1060"/>
        <v>0</v>
      </c>
      <c r="BR91" s="1173">
        <f t="shared" si="1060"/>
        <v>0</v>
      </c>
      <c r="BS91" s="1174">
        <f t="shared" ref="BS91:CD91" si="1061">(((BR91*(1+($B$39*$B$4)))-BR91)/12)+BR91</f>
        <v>0</v>
      </c>
      <c r="BT91" s="1173">
        <f t="shared" si="1061"/>
        <v>0</v>
      </c>
      <c r="BU91" s="1173">
        <f t="shared" si="1061"/>
        <v>0</v>
      </c>
      <c r="BV91" s="1173">
        <f t="shared" si="1061"/>
        <v>0</v>
      </c>
      <c r="BW91" s="1173">
        <f t="shared" si="1061"/>
        <v>0</v>
      </c>
      <c r="BX91" s="1173">
        <f t="shared" si="1061"/>
        <v>0</v>
      </c>
      <c r="BY91" s="1173">
        <f t="shared" si="1061"/>
        <v>0</v>
      </c>
      <c r="BZ91" s="1173">
        <f t="shared" si="1061"/>
        <v>0</v>
      </c>
      <c r="CA91" s="1173">
        <f t="shared" si="1061"/>
        <v>0</v>
      </c>
      <c r="CB91" s="1173">
        <f t="shared" si="1061"/>
        <v>0</v>
      </c>
      <c r="CC91" s="1173">
        <f t="shared" si="1061"/>
        <v>0</v>
      </c>
      <c r="CD91" s="1173">
        <f t="shared" si="1061"/>
        <v>0</v>
      </c>
      <c r="CE91" s="1174">
        <f t="shared" ref="CE91:CP91" si="1062">(((CD91*(1+($B$40*$B$4)))-CD91)/12)+CD91</f>
        <v>0</v>
      </c>
      <c r="CF91" s="1173">
        <f t="shared" si="1062"/>
        <v>0</v>
      </c>
      <c r="CG91" s="1173">
        <f t="shared" si="1062"/>
        <v>0</v>
      </c>
      <c r="CH91" s="1173">
        <f t="shared" si="1062"/>
        <v>0</v>
      </c>
      <c r="CI91" s="1173">
        <f t="shared" si="1062"/>
        <v>0</v>
      </c>
      <c r="CJ91" s="1173">
        <f t="shared" si="1062"/>
        <v>0</v>
      </c>
      <c r="CK91" s="1173">
        <f t="shared" si="1062"/>
        <v>0</v>
      </c>
      <c r="CL91" s="1173">
        <f t="shared" si="1062"/>
        <v>0</v>
      </c>
      <c r="CM91" s="1173">
        <f t="shared" si="1062"/>
        <v>0</v>
      </c>
      <c r="CN91" s="1173">
        <f t="shared" si="1062"/>
        <v>0</v>
      </c>
      <c r="CO91" s="1173">
        <f t="shared" si="1062"/>
        <v>0</v>
      </c>
      <c r="CP91" s="1173">
        <f t="shared" si="1062"/>
        <v>0</v>
      </c>
      <c r="CQ91" s="1174">
        <f t="shared" ref="CQ91:DB91" si="1063">(((CP91*(1+($B$41*$B$4)))-CP91)/12)+CP91</f>
        <v>0</v>
      </c>
      <c r="CR91" s="1173">
        <f t="shared" si="1063"/>
        <v>0</v>
      </c>
      <c r="CS91" s="1173">
        <f t="shared" si="1063"/>
        <v>0</v>
      </c>
      <c r="CT91" s="1173">
        <f t="shared" si="1063"/>
        <v>0</v>
      </c>
      <c r="CU91" s="1173">
        <f t="shared" si="1063"/>
        <v>0</v>
      </c>
      <c r="CV91" s="1173">
        <f t="shared" si="1063"/>
        <v>0</v>
      </c>
      <c r="CW91" s="1173">
        <f t="shared" si="1063"/>
        <v>0</v>
      </c>
      <c r="CX91" s="1173">
        <f t="shared" si="1063"/>
        <v>0</v>
      </c>
      <c r="CY91" s="1173">
        <f t="shared" si="1063"/>
        <v>0</v>
      </c>
      <c r="CZ91" s="1173">
        <f t="shared" si="1063"/>
        <v>0</v>
      </c>
      <c r="DA91" s="1173">
        <f t="shared" si="1063"/>
        <v>0</v>
      </c>
      <c r="DB91" s="1173">
        <f t="shared" si="1063"/>
        <v>0</v>
      </c>
      <c r="DC91" s="1174">
        <f t="shared" ref="DC91:DN91" si="1064">(((DB91*(1+($B$42*$B$4)))-DB91)/12)+DB91</f>
        <v>0</v>
      </c>
      <c r="DD91" s="1173">
        <f t="shared" si="1064"/>
        <v>0</v>
      </c>
      <c r="DE91" s="1173">
        <f t="shared" si="1064"/>
        <v>0</v>
      </c>
      <c r="DF91" s="1173">
        <f t="shared" si="1064"/>
        <v>0</v>
      </c>
      <c r="DG91" s="1173">
        <f t="shared" si="1064"/>
        <v>0</v>
      </c>
      <c r="DH91" s="1173">
        <f t="shared" si="1064"/>
        <v>0</v>
      </c>
      <c r="DI91" s="1173">
        <f t="shared" si="1064"/>
        <v>0</v>
      </c>
      <c r="DJ91" s="1173">
        <f t="shared" si="1064"/>
        <v>0</v>
      </c>
      <c r="DK91" s="1173">
        <f t="shared" si="1064"/>
        <v>0</v>
      </c>
      <c r="DL91" s="1173">
        <f t="shared" si="1064"/>
        <v>0</v>
      </c>
      <c r="DM91" s="1173">
        <f t="shared" si="1064"/>
        <v>0</v>
      </c>
      <c r="DN91" s="1173">
        <f t="shared" si="1064"/>
        <v>0</v>
      </c>
      <c r="DO91" s="1174">
        <f t="shared" ref="DO91:DZ91" si="1065">(((DN91*(1+($B$43*$B$4)))-DN91)/12)+DN91</f>
        <v>0</v>
      </c>
      <c r="DP91" s="1173">
        <f t="shared" si="1065"/>
        <v>0</v>
      </c>
      <c r="DQ91" s="1173">
        <f t="shared" si="1065"/>
        <v>0</v>
      </c>
      <c r="DR91" s="1173">
        <f t="shared" si="1065"/>
        <v>0</v>
      </c>
      <c r="DS91" s="1173">
        <f t="shared" si="1065"/>
        <v>0</v>
      </c>
      <c r="DT91" s="1173">
        <f t="shared" si="1065"/>
        <v>0</v>
      </c>
      <c r="DU91" s="1173">
        <f t="shared" si="1065"/>
        <v>0</v>
      </c>
      <c r="DV91" s="1173">
        <f t="shared" si="1065"/>
        <v>0</v>
      </c>
      <c r="DW91" s="1173">
        <f t="shared" si="1065"/>
        <v>0</v>
      </c>
      <c r="DX91" s="1173">
        <f t="shared" si="1065"/>
        <v>0</v>
      </c>
      <c r="DY91" s="1173">
        <f t="shared" si="1065"/>
        <v>0</v>
      </c>
      <c r="DZ91" s="1173">
        <f t="shared" si="1065"/>
        <v>0</v>
      </c>
      <c r="EA91" s="1174">
        <f>(((DZ91*(1+($B$44*$B$4)))-DZ91)/12)+DZ91</f>
        <v>0</v>
      </c>
      <c r="EB91" s="1173">
        <f>(((EA91*(1+($B$44*$B$4)))-EA91)/12)+EA91</f>
        <v>0</v>
      </c>
      <c r="EC91" s="1173">
        <f>(((EB91*(1+($B$44*$B$4)))-EB91)/12)+EB91</f>
        <v>0</v>
      </c>
      <c r="ED91" s="1175">
        <f>(((EC91*(1+($B$44*$B$4)))-EC91)/12)+EC91</f>
        <v>0</v>
      </c>
    </row>
    <row r="92" spans="1:134" ht="18.75" outlineLevel="1" x14ac:dyDescent="0.3">
      <c r="B92" s="169"/>
      <c r="C92" s="1675"/>
      <c r="D92" s="1629"/>
      <c r="E92" s="1629"/>
      <c r="F92" s="1629"/>
      <c r="G92" s="1629"/>
      <c r="H92" s="1629"/>
      <c r="I92" s="1629"/>
      <c r="J92" s="1629"/>
      <c r="K92" s="1629"/>
      <c r="L92" s="992"/>
      <c r="M92" s="980"/>
      <c r="N92" s="1408"/>
      <c r="O92" s="1409"/>
      <c r="P92" s="1409"/>
      <c r="Q92" s="981"/>
      <c r="R92" s="996"/>
      <c r="S92" s="982"/>
      <c r="T92" s="982"/>
      <c r="U92" s="980"/>
      <c r="V92" s="85">
        <v>1</v>
      </c>
      <c r="W92" s="1178">
        <f t="shared" ref="W92:BB92" si="1066">ROUNDUP($V92*(W91/100)/0.8,0)</f>
        <v>0</v>
      </c>
      <c r="X92" s="1179">
        <f t="shared" si="1066"/>
        <v>0</v>
      </c>
      <c r="Y92" s="1179">
        <f t="shared" si="1066"/>
        <v>0</v>
      </c>
      <c r="Z92" s="1179">
        <f t="shared" si="1066"/>
        <v>0</v>
      </c>
      <c r="AA92" s="1179">
        <f t="shared" si="1066"/>
        <v>0</v>
      </c>
      <c r="AB92" s="1179">
        <f t="shared" si="1066"/>
        <v>0</v>
      </c>
      <c r="AC92" s="1179">
        <f t="shared" si="1066"/>
        <v>0</v>
      </c>
      <c r="AD92" s="1179">
        <f t="shared" si="1066"/>
        <v>0</v>
      </c>
      <c r="AE92" s="1179">
        <f t="shared" si="1066"/>
        <v>0</v>
      </c>
      <c r="AF92" s="1179">
        <f t="shared" si="1066"/>
        <v>0</v>
      </c>
      <c r="AG92" s="1179">
        <f t="shared" si="1066"/>
        <v>0</v>
      </c>
      <c r="AH92" s="1179">
        <f t="shared" si="1066"/>
        <v>0</v>
      </c>
      <c r="AI92" s="1180">
        <f t="shared" si="1066"/>
        <v>0</v>
      </c>
      <c r="AJ92" s="1179">
        <f t="shared" si="1066"/>
        <v>0</v>
      </c>
      <c r="AK92" s="1179">
        <f t="shared" si="1066"/>
        <v>0</v>
      </c>
      <c r="AL92" s="1179">
        <f t="shared" si="1066"/>
        <v>0</v>
      </c>
      <c r="AM92" s="1179">
        <f t="shared" si="1066"/>
        <v>0</v>
      </c>
      <c r="AN92" s="1179">
        <f t="shared" si="1066"/>
        <v>0</v>
      </c>
      <c r="AO92" s="1179">
        <f t="shared" si="1066"/>
        <v>0</v>
      </c>
      <c r="AP92" s="1179">
        <f t="shared" si="1066"/>
        <v>0</v>
      </c>
      <c r="AQ92" s="1179">
        <f t="shared" si="1066"/>
        <v>0</v>
      </c>
      <c r="AR92" s="1179">
        <f t="shared" si="1066"/>
        <v>0</v>
      </c>
      <c r="AS92" s="1179">
        <f t="shared" si="1066"/>
        <v>0</v>
      </c>
      <c r="AT92" s="1179">
        <f t="shared" si="1066"/>
        <v>0</v>
      </c>
      <c r="AU92" s="1180">
        <f t="shared" si="1066"/>
        <v>0</v>
      </c>
      <c r="AV92" s="1179">
        <f t="shared" si="1066"/>
        <v>0</v>
      </c>
      <c r="AW92" s="1179">
        <f t="shared" si="1066"/>
        <v>0</v>
      </c>
      <c r="AX92" s="1179">
        <f t="shared" si="1066"/>
        <v>0</v>
      </c>
      <c r="AY92" s="1179">
        <f t="shared" si="1066"/>
        <v>0</v>
      </c>
      <c r="AZ92" s="1179">
        <f t="shared" si="1066"/>
        <v>0</v>
      </c>
      <c r="BA92" s="1179">
        <f t="shared" si="1066"/>
        <v>0</v>
      </c>
      <c r="BB92" s="1179">
        <f t="shared" si="1066"/>
        <v>0</v>
      </c>
      <c r="BC92" s="1179">
        <f t="shared" ref="BC92:CH92" si="1067">ROUNDUP($V92*(BC91/100)/0.8,0)</f>
        <v>0</v>
      </c>
      <c r="BD92" s="1179">
        <f t="shared" si="1067"/>
        <v>0</v>
      </c>
      <c r="BE92" s="1179">
        <f t="shared" si="1067"/>
        <v>0</v>
      </c>
      <c r="BF92" s="1179">
        <f t="shared" si="1067"/>
        <v>0</v>
      </c>
      <c r="BG92" s="1180">
        <f t="shared" si="1067"/>
        <v>0</v>
      </c>
      <c r="BH92" s="1179">
        <f t="shared" si="1067"/>
        <v>0</v>
      </c>
      <c r="BI92" s="1179">
        <f t="shared" si="1067"/>
        <v>0</v>
      </c>
      <c r="BJ92" s="1179">
        <f t="shared" si="1067"/>
        <v>0</v>
      </c>
      <c r="BK92" s="1179">
        <f t="shared" si="1067"/>
        <v>0</v>
      </c>
      <c r="BL92" s="1179">
        <f t="shared" si="1067"/>
        <v>0</v>
      </c>
      <c r="BM92" s="1179">
        <f t="shared" si="1067"/>
        <v>0</v>
      </c>
      <c r="BN92" s="1179">
        <f t="shared" si="1067"/>
        <v>0</v>
      </c>
      <c r="BO92" s="1179">
        <f t="shared" si="1067"/>
        <v>0</v>
      </c>
      <c r="BP92" s="1179">
        <f t="shared" si="1067"/>
        <v>0</v>
      </c>
      <c r="BQ92" s="1179">
        <f t="shared" si="1067"/>
        <v>0</v>
      </c>
      <c r="BR92" s="1179">
        <f t="shared" si="1067"/>
        <v>0</v>
      </c>
      <c r="BS92" s="1180">
        <f t="shared" si="1067"/>
        <v>0</v>
      </c>
      <c r="BT92" s="1179">
        <f t="shared" si="1067"/>
        <v>0</v>
      </c>
      <c r="BU92" s="1179">
        <f t="shared" si="1067"/>
        <v>0</v>
      </c>
      <c r="BV92" s="1179">
        <f t="shared" si="1067"/>
        <v>0</v>
      </c>
      <c r="BW92" s="1179">
        <f t="shared" si="1067"/>
        <v>0</v>
      </c>
      <c r="BX92" s="1179">
        <f t="shared" si="1067"/>
        <v>0</v>
      </c>
      <c r="BY92" s="1179">
        <f t="shared" si="1067"/>
        <v>0</v>
      </c>
      <c r="BZ92" s="1179">
        <f t="shared" si="1067"/>
        <v>0</v>
      </c>
      <c r="CA92" s="1179">
        <f t="shared" si="1067"/>
        <v>0</v>
      </c>
      <c r="CB92" s="1179">
        <f t="shared" si="1067"/>
        <v>0</v>
      </c>
      <c r="CC92" s="1179">
        <f t="shared" si="1067"/>
        <v>0</v>
      </c>
      <c r="CD92" s="1179">
        <f t="shared" si="1067"/>
        <v>0</v>
      </c>
      <c r="CE92" s="1180">
        <f t="shared" si="1067"/>
        <v>0</v>
      </c>
      <c r="CF92" s="1179">
        <f t="shared" si="1067"/>
        <v>0</v>
      </c>
      <c r="CG92" s="1179">
        <f t="shared" si="1067"/>
        <v>0</v>
      </c>
      <c r="CH92" s="1179">
        <f t="shared" si="1067"/>
        <v>0</v>
      </c>
      <c r="CI92" s="1179">
        <f t="shared" ref="CI92:DN92" si="1068">ROUNDUP($V92*(CI91/100)/0.8,0)</f>
        <v>0</v>
      </c>
      <c r="CJ92" s="1179">
        <f t="shared" si="1068"/>
        <v>0</v>
      </c>
      <c r="CK92" s="1179">
        <f t="shared" si="1068"/>
        <v>0</v>
      </c>
      <c r="CL92" s="1179">
        <f t="shared" si="1068"/>
        <v>0</v>
      </c>
      <c r="CM92" s="1179">
        <f t="shared" si="1068"/>
        <v>0</v>
      </c>
      <c r="CN92" s="1179">
        <f t="shared" si="1068"/>
        <v>0</v>
      </c>
      <c r="CO92" s="1179">
        <f t="shared" si="1068"/>
        <v>0</v>
      </c>
      <c r="CP92" s="1179">
        <f t="shared" si="1068"/>
        <v>0</v>
      </c>
      <c r="CQ92" s="1180">
        <f t="shared" si="1068"/>
        <v>0</v>
      </c>
      <c r="CR92" s="1179">
        <f t="shared" si="1068"/>
        <v>0</v>
      </c>
      <c r="CS92" s="1179">
        <f t="shared" si="1068"/>
        <v>0</v>
      </c>
      <c r="CT92" s="1179">
        <f t="shared" si="1068"/>
        <v>0</v>
      </c>
      <c r="CU92" s="1179">
        <f t="shared" si="1068"/>
        <v>0</v>
      </c>
      <c r="CV92" s="1179">
        <f t="shared" si="1068"/>
        <v>0</v>
      </c>
      <c r="CW92" s="1179">
        <f t="shared" si="1068"/>
        <v>0</v>
      </c>
      <c r="CX92" s="1179">
        <f t="shared" si="1068"/>
        <v>0</v>
      </c>
      <c r="CY92" s="1179">
        <f t="shared" si="1068"/>
        <v>0</v>
      </c>
      <c r="CZ92" s="1179">
        <f t="shared" si="1068"/>
        <v>0</v>
      </c>
      <c r="DA92" s="1179">
        <f t="shared" si="1068"/>
        <v>0</v>
      </c>
      <c r="DB92" s="1179">
        <f t="shared" si="1068"/>
        <v>0</v>
      </c>
      <c r="DC92" s="1180">
        <f t="shared" si="1068"/>
        <v>0</v>
      </c>
      <c r="DD92" s="1179">
        <f t="shared" si="1068"/>
        <v>0</v>
      </c>
      <c r="DE92" s="1179">
        <f t="shared" si="1068"/>
        <v>0</v>
      </c>
      <c r="DF92" s="1179">
        <f t="shared" si="1068"/>
        <v>0</v>
      </c>
      <c r="DG92" s="1179">
        <f t="shared" si="1068"/>
        <v>0</v>
      </c>
      <c r="DH92" s="1179">
        <f t="shared" si="1068"/>
        <v>0</v>
      </c>
      <c r="DI92" s="1179">
        <f t="shared" si="1068"/>
        <v>0</v>
      </c>
      <c r="DJ92" s="1179">
        <f t="shared" si="1068"/>
        <v>0</v>
      </c>
      <c r="DK92" s="1179">
        <f t="shared" si="1068"/>
        <v>0</v>
      </c>
      <c r="DL92" s="1179">
        <f t="shared" si="1068"/>
        <v>0</v>
      </c>
      <c r="DM92" s="1179">
        <f t="shared" si="1068"/>
        <v>0</v>
      </c>
      <c r="DN92" s="1179">
        <f t="shared" si="1068"/>
        <v>0</v>
      </c>
      <c r="DO92" s="1180">
        <f t="shared" ref="DO92:ED92" si="1069">ROUNDUP($V92*(DO91/100)/0.8,0)</f>
        <v>0</v>
      </c>
      <c r="DP92" s="1179">
        <f t="shared" si="1069"/>
        <v>0</v>
      </c>
      <c r="DQ92" s="1179">
        <f t="shared" si="1069"/>
        <v>0</v>
      </c>
      <c r="DR92" s="1179">
        <f t="shared" si="1069"/>
        <v>0</v>
      </c>
      <c r="DS92" s="1179">
        <f t="shared" si="1069"/>
        <v>0</v>
      </c>
      <c r="DT92" s="1179">
        <f t="shared" si="1069"/>
        <v>0</v>
      </c>
      <c r="DU92" s="1179">
        <f t="shared" si="1069"/>
        <v>0</v>
      </c>
      <c r="DV92" s="1179">
        <f t="shared" si="1069"/>
        <v>0</v>
      </c>
      <c r="DW92" s="1179">
        <f t="shared" si="1069"/>
        <v>0</v>
      </c>
      <c r="DX92" s="1179">
        <f t="shared" si="1069"/>
        <v>0</v>
      </c>
      <c r="DY92" s="1179">
        <f t="shared" si="1069"/>
        <v>0</v>
      </c>
      <c r="DZ92" s="1179">
        <f t="shared" si="1069"/>
        <v>0</v>
      </c>
      <c r="EA92" s="1180">
        <f t="shared" si="1069"/>
        <v>0</v>
      </c>
      <c r="EB92" s="1179">
        <f t="shared" si="1069"/>
        <v>0</v>
      </c>
      <c r="EC92" s="1179">
        <f t="shared" si="1069"/>
        <v>0</v>
      </c>
      <c r="ED92" s="1181">
        <f t="shared" si="1069"/>
        <v>0</v>
      </c>
    </row>
    <row r="93" spans="1:134" ht="18.75" outlineLevel="1" x14ac:dyDescent="0.3">
      <c r="B93" s="169"/>
      <c r="C93" s="1675"/>
      <c r="D93" s="1630" t="s">
        <v>265</v>
      </c>
      <c r="E93" s="1630"/>
      <c r="F93" s="1630"/>
      <c r="G93" s="1630"/>
      <c r="H93" s="1630"/>
      <c r="I93" s="1630"/>
      <c r="J93" s="1630"/>
      <c r="K93" s="1630"/>
      <c r="L93" s="990"/>
      <c r="M93" s="1329">
        <f>N93*100</f>
        <v>72</v>
      </c>
      <c r="N93" s="1404">
        <f>'XFMR Data'!F4/100</f>
        <v>0.72</v>
      </c>
      <c r="O93" s="1405">
        <f>'XFMR Data'!K4/100</f>
        <v>0.67</v>
      </c>
      <c r="P93" s="1405">
        <f>'XFMR Data'!P4/100</f>
        <v>0.57999999999999996</v>
      </c>
      <c r="Q93" s="987"/>
      <c r="R93" s="994">
        <f>P93-N93</f>
        <v>-0.14000000000000001</v>
      </c>
      <c r="S93" s="988">
        <v>10</v>
      </c>
      <c r="T93" s="988">
        <v>1</v>
      </c>
      <c r="U93" s="985"/>
      <c r="V93" s="1101"/>
      <c r="W93" s="1182">
        <f t="shared" si="982"/>
        <v>72</v>
      </c>
      <c r="X93" s="1183">
        <f t="shared" si="983"/>
        <v>72</v>
      </c>
      <c r="Y93" s="1183">
        <f t="shared" si="983"/>
        <v>72</v>
      </c>
      <c r="Z93" s="1183">
        <f t="shared" si="984"/>
        <v>67</v>
      </c>
      <c r="AA93" s="1183">
        <f>Z93</f>
        <v>67</v>
      </c>
      <c r="AB93" s="1183">
        <f>AA93</f>
        <v>67</v>
      </c>
      <c r="AC93" s="1183">
        <f t="shared" si="985"/>
        <v>57.999999999999993</v>
      </c>
      <c r="AD93" s="1183">
        <f>AC93</f>
        <v>57.999999999999993</v>
      </c>
      <c r="AE93" s="1183">
        <f>AD93</f>
        <v>57.999999999999993</v>
      </c>
      <c r="AF93" s="1183">
        <f>AE93</f>
        <v>57.999999999999993</v>
      </c>
      <c r="AG93" s="1183">
        <f>AF93</f>
        <v>57.999999999999993</v>
      </c>
      <c r="AH93" s="1183">
        <f>AG93</f>
        <v>57.999999999999993</v>
      </c>
      <c r="AI93" s="1184">
        <f t="shared" ref="AI93:AT93" si="1070">(((AH93*(1+($B$36*$B$4)))-AH93)/12)+AH93</f>
        <v>58.347999999999992</v>
      </c>
      <c r="AJ93" s="1183">
        <f t="shared" si="1070"/>
        <v>58.698087999999991</v>
      </c>
      <c r="AK93" s="1183">
        <f t="shared" si="1070"/>
        <v>59.050276527999991</v>
      </c>
      <c r="AL93" s="1183">
        <f t="shared" si="1070"/>
        <v>59.404578187167992</v>
      </c>
      <c r="AM93" s="1183">
        <f t="shared" si="1070"/>
        <v>59.761005656290997</v>
      </c>
      <c r="AN93" s="1183">
        <f t="shared" si="1070"/>
        <v>60.119571690228746</v>
      </c>
      <c r="AO93" s="1183">
        <f t="shared" si="1070"/>
        <v>60.480289120370117</v>
      </c>
      <c r="AP93" s="1183">
        <f t="shared" si="1070"/>
        <v>60.843170855092339</v>
      </c>
      <c r="AQ93" s="1183">
        <f t="shared" si="1070"/>
        <v>61.208229880222895</v>
      </c>
      <c r="AR93" s="1183">
        <f t="shared" si="1070"/>
        <v>61.575479259504235</v>
      </c>
      <c r="AS93" s="1183">
        <f t="shared" si="1070"/>
        <v>61.944932135061258</v>
      </c>
      <c r="AT93" s="1183">
        <f t="shared" si="1070"/>
        <v>62.316601727871628</v>
      </c>
      <c r="AU93" s="1184">
        <f t="shared" ref="AU93:BF93" si="1071">(((AT93*(1+($B$37*$B$4)))-AT93)/12)+AT93</f>
        <v>62.69050133823886</v>
      </c>
      <c r="AV93" s="1183">
        <f t="shared" si="1071"/>
        <v>63.066644346268291</v>
      </c>
      <c r="AW93" s="1183">
        <f t="shared" si="1071"/>
        <v>63.445044212345898</v>
      </c>
      <c r="AX93" s="1183">
        <f t="shared" si="1071"/>
        <v>63.825714477619975</v>
      </c>
      <c r="AY93" s="1183">
        <f t="shared" si="1071"/>
        <v>64.208668764485694</v>
      </c>
      <c r="AZ93" s="1183">
        <f t="shared" si="1071"/>
        <v>64.593920777072611</v>
      </c>
      <c r="BA93" s="1183">
        <f t="shared" si="1071"/>
        <v>64.981484301735051</v>
      </c>
      <c r="BB93" s="1183">
        <f t="shared" si="1071"/>
        <v>65.37137320754546</v>
      </c>
      <c r="BC93" s="1183">
        <f t="shared" si="1071"/>
        <v>65.76360144679073</v>
      </c>
      <c r="BD93" s="1183">
        <f t="shared" si="1071"/>
        <v>66.158183055471468</v>
      </c>
      <c r="BE93" s="1183">
        <f t="shared" si="1071"/>
        <v>66.555132153804294</v>
      </c>
      <c r="BF93" s="1183">
        <f t="shared" si="1071"/>
        <v>66.954462946727119</v>
      </c>
      <c r="BG93" s="1184">
        <f t="shared" ref="BG93:BR93" si="1072">(((BF93*(1+($B$38*$B$4)))-BF93)/12)+BF93</f>
        <v>67.356189724407486</v>
      </c>
      <c r="BH93" s="1183">
        <f t="shared" si="1072"/>
        <v>67.760326862753928</v>
      </c>
      <c r="BI93" s="1183">
        <f t="shared" si="1072"/>
        <v>68.166888823930449</v>
      </c>
      <c r="BJ93" s="1183">
        <f t="shared" si="1072"/>
        <v>68.575890156874038</v>
      </c>
      <c r="BK93" s="1183">
        <f t="shared" si="1072"/>
        <v>68.987345497815284</v>
      </c>
      <c r="BL93" s="1183">
        <f t="shared" si="1072"/>
        <v>69.401269570802171</v>
      </c>
      <c r="BM93" s="1183">
        <f t="shared" si="1072"/>
        <v>69.81767718822698</v>
      </c>
      <c r="BN93" s="1183">
        <f t="shared" si="1072"/>
        <v>70.236583251356336</v>
      </c>
      <c r="BO93" s="1183">
        <f t="shared" si="1072"/>
        <v>70.658002750864469</v>
      </c>
      <c r="BP93" s="1183">
        <f t="shared" si="1072"/>
        <v>71.081950767369662</v>
      </c>
      <c r="BQ93" s="1183">
        <f t="shared" si="1072"/>
        <v>71.508442471973879</v>
      </c>
      <c r="BR93" s="1183">
        <f t="shared" si="1072"/>
        <v>71.93749312680572</v>
      </c>
      <c r="BS93" s="1184">
        <f t="shared" ref="BS93:CD93" si="1073">(((BR93*(1+($B$39*$B$4)))-BR93)/12)+BR93</f>
        <v>72.369118085566555</v>
      </c>
      <c r="BT93" s="1183">
        <f t="shared" si="1073"/>
        <v>72.80333279407995</v>
      </c>
      <c r="BU93" s="1183">
        <f t="shared" si="1073"/>
        <v>73.240152790844434</v>
      </c>
      <c r="BV93" s="1183">
        <f t="shared" si="1073"/>
        <v>73.679593707589504</v>
      </c>
      <c r="BW93" s="1183">
        <f t="shared" si="1073"/>
        <v>74.121671269835048</v>
      </c>
      <c r="BX93" s="1183">
        <f t="shared" si="1073"/>
        <v>74.566401297454064</v>
      </c>
      <c r="BY93" s="1183">
        <f t="shared" si="1073"/>
        <v>75.013799705238796</v>
      </c>
      <c r="BZ93" s="1183">
        <f t="shared" si="1073"/>
        <v>75.463882503470231</v>
      </c>
      <c r="CA93" s="1183">
        <f t="shared" si="1073"/>
        <v>75.916665798491053</v>
      </c>
      <c r="CB93" s="1183">
        <f t="shared" si="1073"/>
        <v>76.372165793281994</v>
      </c>
      <c r="CC93" s="1183">
        <f t="shared" si="1073"/>
        <v>76.830398788041691</v>
      </c>
      <c r="CD93" s="1183">
        <f t="shared" si="1073"/>
        <v>77.291381180769946</v>
      </c>
      <c r="CE93" s="1184">
        <f t="shared" ref="CE93:CP93" si="1074">(((CD93*(1+($B$40*$B$4)))-CD93)/12)+CD93</f>
        <v>77.755129467854573</v>
      </c>
      <c r="CF93" s="1183">
        <f t="shared" si="1074"/>
        <v>78.221660244661706</v>
      </c>
      <c r="CG93" s="1183">
        <f t="shared" si="1074"/>
        <v>78.690990206129669</v>
      </c>
      <c r="CH93" s="1183">
        <f t="shared" si="1074"/>
        <v>79.163136147366444</v>
      </c>
      <c r="CI93" s="1183">
        <f t="shared" si="1074"/>
        <v>79.638114964250647</v>
      </c>
      <c r="CJ93" s="1183">
        <f t="shared" si="1074"/>
        <v>80.115943654036158</v>
      </c>
      <c r="CK93" s="1183">
        <f t="shared" si="1074"/>
        <v>80.596639315960374</v>
      </c>
      <c r="CL93" s="1183">
        <f t="shared" si="1074"/>
        <v>81.080219151856141</v>
      </c>
      <c r="CM93" s="1183">
        <f t="shared" si="1074"/>
        <v>81.566700466767273</v>
      </c>
      <c r="CN93" s="1183">
        <f t="shared" si="1074"/>
        <v>82.056100669567883</v>
      </c>
      <c r="CO93" s="1183">
        <f t="shared" si="1074"/>
        <v>82.548437273585293</v>
      </c>
      <c r="CP93" s="1183">
        <f t="shared" si="1074"/>
        <v>83.043727897226802</v>
      </c>
      <c r="CQ93" s="1184">
        <f t="shared" ref="CQ93:DB93" si="1075">(((CP93*(1+($B$41*$B$4)))-CP93)/12)+CP93</f>
        <v>83.541990264610163</v>
      </c>
      <c r="CR93" s="1183">
        <f t="shared" si="1075"/>
        <v>84.043242206197817</v>
      </c>
      <c r="CS93" s="1183">
        <f t="shared" si="1075"/>
        <v>84.547501659435</v>
      </c>
      <c r="CT93" s="1183">
        <f t="shared" si="1075"/>
        <v>85.054786669391603</v>
      </c>
      <c r="CU93" s="1183">
        <f t="shared" si="1075"/>
        <v>85.56511538940795</v>
      </c>
      <c r="CV93" s="1183">
        <f t="shared" si="1075"/>
        <v>86.078506081744393</v>
      </c>
      <c r="CW93" s="1183">
        <f t="shared" si="1075"/>
        <v>86.594977118234866</v>
      </c>
      <c r="CX93" s="1183">
        <f t="shared" si="1075"/>
        <v>87.114546980944269</v>
      </c>
      <c r="CY93" s="1183">
        <f t="shared" si="1075"/>
        <v>87.637234262829935</v>
      </c>
      <c r="CZ93" s="1183">
        <f t="shared" si="1075"/>
        <v>88.163057668406921</v>
      </c>
      <c r="DA93" s="1183">
        <f t="shared" si="1075"/>
        <v>88.692036014417369</v>
      </c>
      <c r="DB93" s="1183">
        <f t="shared" si="1075"/>
        <v>89.22418823050387</v>
      </c>
      <c r="DC93" s="1184">
        <f t="shared" ref="DC93:DN93" si="1076">(((DB93*(1+($B$42*$B$4)))-DB93)/12)+DB93</f>
        <v>89.759533359886888</v>
      </c>
      <c r="DD93" s="1183">
        <f t="shared" si="1076"/>
        <v>90.298090560046205</v>
      </c>
      <c r="DE93" s="1183">
        <f t="shared" si="1076"/>
        <v>90.839879103406489</v>
      </c>
      <c r="DF93" s="1183">
        <f t="shared" si="1076"/>
        <v>91.384918378026924</v>
      </c>
      <c r="DG93" s="1183">
        <f t="shared" si="1076"/>
        <v>91.933227888295079</v>
      </c>
      <c r="DH93" s="1183">
        <f t="shared" si="1076"/>
        <v>92.48482725562485</v>
      </c>
      <c r="DI93" s="1183">
        <f t="shared" si="1076"/>
        <v>93.039736219158598</v>
      </c>
      <c r="DJ93" s="1183">
        <f t="shared" si="1076"/>
        <v>93.597974636473552</v>
      </c>
      <c r="DK93" s="1183">
        <f t="shared" si="1076"/>
        <v>94.159562484292394</v>
      </c>
      <c r="DL93" s="1183">
        <f t="shared" si="1076"/>
        <v>94.724519859198153</v>
      </c>
      <c r="DM93" s="1183">
        <f t="shared" si="1076"/>
        <v>95.292866978353345</v>
      </c>
      <c r="DN93" s="1183">
        <f t="shared" si="1076"/>
        <v>95.864624180223473</v>
      </c>
      <c r="DO93" s="1184">
        <f t="shared" ref="DO93:DZ93" si="1077">(((DN93*(1+($B$43*$B$4)))-DN93)/12)+DN93</f>
        <v>96.439811925304809</v>
      </c>
      <c r="DP93" s="1183">
        <f t="shared" si="1077"/>
        <v>97.018450796856641</v>
      </c>
      <c r="DQ93" s="1183">
        <f t="shared" si="1077"/>
        <v>97.600561501637785</v>
      </c>
      <c r="DR93" s="1183">
        <f t="shared" si="1077"/>
        <v>98.186164870647616</v>
      </c>
      <c r="DS93" s="1183">
        <f t="shared" si="1077"/>
        <v>98.775281859871498</v>
      </c>
      <c r="DT93" s="1183">
        <f t="shared" si="1077"/>
        <v>99.367933551030731</v>
      </c>
      <c r="DU93" s="1183">
        <f t="shared" si="1077"/>
        <v>99.964141152336921</v>
      </c>
      <c r="DV93" s="1183">
        <f t="shared" si="1077"/>
        <v>100.56392599925094</v>
      </c>
      <c r="DW93" s="1183">
        <f t="shared" si="1077"/>
        <v>101.16730955524645</v>
      </c>
      <c r="DX93" s="1183">
        <f t="shared" si="1077"/>
        <v>101.77431341257792</v>
      </c>
      <c r="DY93" s="1183">
        <f t="shared" si="1077"/>
        <v>102.3849592930534</v>
      </c>
      <c r="DZ93" s="1183">
        <f t="shared" si="1077"/>
        <v>102.99926904881173</v>
      </c>
      <c r="EA93" s="1184">
        <f>(((DZ93*(1+($B$44*$B$4)))-DZ93)/12)+DZ93</f>
        <v>103.61726466310459</v>
      </c>
      <c r="EB93" s="1183">
        <f>(((EA93*(1+($B$44*$B$4)))-EA93)/12)+EA93</f>
        <v>104.23896825108322</v>
      </c>
      <c r="EC93" s="1183">
        <f>(((EB93*(1+($B$44*$B$4)))-EB93)/12)+EB93</f>
        <v>104.86440206058973</v>
      </c>
      <c r="ED93" s="1185">
        <f>(((EC93*(1+($B$44*$B$4)))-EC93)/12)+EC93</f>
        <v>105.49358847295326</v>
      </c>
    </row>
    <row r="94" spans="1:134" ht="18.75" outlineLevel="1" x14ac:dyDescent="0.3">
      <c r="B94" s="169"/>
      <c r="C94" s="1675"/>
      <c r="D94" s="1631"/>
      <c r="E94" s="1631"/>
      <c r="F94" s="1631"/>
      <c r="G94" s="1631"/>
      <c r="H94" s="1631"/>
      <c r="I94" s="1631"/>
      <c r="J94" s="1631"/>
      <c r="K94" s="1631"/>
      <c r="L94" s="991"/>
      <c r="M94" s="983"/>
      <c r="N94" s="1406"/>
      <c r="O94" s="1407"/>
      <c r="P94" s="1407"/>
      <c r="Q94" s="984"/>
      <c r="R94" s="995"/>
      <c r="S94" s="989"/>
      <c r="T94" s="989"/>
      <c r="U94" s="983"/>
      <c r="V94" s="1081">
        <v>1</v>
      </c>
      <c r="W94" s="1176">
        <f t="shared" ref="W94:BB94" si="1078">ROUNDUP($V94*(W93/100)/0.8,0)</f>
        <v>1</v>
      </c>
      <c r="X94" s="980">
        <f t="shared" si="1078"/>
        <v>1</v>
      </c>
      <c r="Y94" s="980">
        <f t="shared" si="1078"/>
        <v>1</v>
      </c>
      <c r="Z94" s="980">
        <f t="shared" si="1078"/>
        <v>1</v>
      </c>
      <c r="AA94" s="980">
        <f t="shared" si="1078"/>
        <v>1</v>
      </c>
      <c r="AB94" s="980">
        <f t="shared" si="1078"/>
        <v>1</v>
      </c>
      <c r="AC94" s="980">
        <f t="shared" si="1078"/>
        <v>1</v>
      </c>
      <c r="AD94" s="980">
        <f t="shared" si="1078"/>
        <v>1</v>
      </c>
      <c r="AE94" s="980">
        <f t="shared" si="1078"/>
        <v>1</v>
      </c>
      <c r="AF94" s="980">
        <f t="shared" si="1078"/>
        <v>1</v>
      </c>
      <c r="AG94" s="980">
        <f t="shared" si="1078"/>
        <v>1</v>
      </c>
      <c r="AH94" s="980">
        <f t="shared" si="1078"/>
        <v>1</v>
      </c>
      <c r="AI94" s="1171">
        <f t="shared" si="1078"/>
        <v>1</v>
      </c>
      <c r="AJ94" s="980">
        <f t="shared" si="1078"/>
        <v>1</v>
      </c>
      <c r="AK94" s="980">
        <f t="shared" si="1078"/>
        <v>1</v>
      </c>
      <c r="AL94" s="980">
        <f t="shared" si="1078"/>
        <v>1</v>
      </c>
      <c r="AM94" s="980">
        <f t="shared" si="1078"/>
        <v>1</v>
      </c>
      <c r="AN94" s="980">
        <f t="shared" si="1078"/>
        <v>1</v>
      </c>
      <c r="AO94" s="980">
        <f t="shared" si="1078"/>
        <v>1</v>
      </c>
      <c r="AP94" s="980">
        <f t="shared" si="1078"/>
        <v>1</v>
      </c>
      <c r="AQ94" s="980">
        <f t="shared" si="1078"/>
        <v>1</v>
      </c>
      <c r="AR94" s="980">
        <f t="shared" si="1078"/>
        <v>1</v>
      </c>
      <c r="AS94" s="980">
        <f t="shared" si="1078"/>
        <v>1</v>
      </c>
      <c r="AT94" s="980">
        <f t="shared" si="1078"/>
        <v>1</v>
      </c>
      <c r="AU94" s="1171">
        <f t="shared" si="1078"/>
        <v>1</v>
      </c>
      <c r="AV94" s="980">
        <f t="shared" si="1078"/>
        <v>1</v>
      </c>
      <c r="AW94" s="980">
        <f t="shared" si="1078"/>
        <v>1</v>
      </c>
      <c r="AX94" s="980">
        <f t="shared" si="1078"/>
        <v>1</v>
      </c>
      <c r="AY94" s="980">
        <f t="shared" si="1078"/>
        <v>1</v>
      </c>
      <c r="AZ94" s="980">
        <f t="shared" si="1078"/>
        <v>1</v>
      </c>
      <c r="BA94" s="980">
        <f t="shared" si="1078"/>
        <v>1</v>
      </c>
      <c r="BB94" s="980">
        <f t="shared" si="1078"/>
        <v>1</v>
      </c>
      <c r="BC94" s="980">
        <f t="shared" ref="BC94:CH94" si="1079">ROUNDUP($V94*(BC93/100)/0.8,0)</f>
        <v>1</v>
      </c>
      <c r="BD94" s="980">
        <f t="shared" si="1079"/>
        <v>1</v>
      </c>
      <c r="BE94" s="980">
        <f t="shared" si="1079"/>
        <v>1</v>
      </c>
      <c r="BF94" s="980">
        <f t="shared" si="1079"/>
        <v>1</v>
      </c>
      <c r="BG94" s="1171">
        <f t="shared" si="1079"/>
        <v>1</v>
      </c>
      <c r="BH94" s="980">
        <f t="shared" si="1079"/>
        <v>1</v>
      </c>
      <c r="BI94" s="980">
        <f t="shared" si="1079"/>
        <v>1</v>
      </c>
      <c r="BJ94" s="980">
        <f t="shared" si="1079"/>
        <v>1</v>
      </c>
      <c r="BK94" s="980">
        <f t="shared" si="1079"/>
        <v>1</v>
      </c>
      <c r="BL94" s="980">
        <f t="shared" si="1079"/>
        <v>1</v>
      </c>
      <c r="BM94" s="980">
        <f t="shared" si="1079"/>
        <v>1</v>
      </c>
      <c r="BN94" s="980">
        <f t="shared" si="1079"/>
        <v>1</v>
      </c>
      <c r="BO94" s="980">
        <f t="shared" si="1079"/>
        <v>1</v>
      </c>
      <c r="BP94" s="980">
        <f t="shared" si="1079"/>
        <v>1</v>
      </c>
      <c r="BQ94" s="980">
        <f t="shared" si="1079"/>
        <v>1</v>
      </c>
      <c r="BR94" s="980">
        <f t="shared" si="1079"/>
        <v>1</v>
      </c>
      <c r="BS94" s="1171">
        <f t="shared" si="1079"/>
        <v>1</v>
      </c>
      <c r="BT94" s="980">
        <f t="shared" si="1079"/>
        <v>1</v>
      </c>
      <c r="BU94" s="980">
        <f t="shared" si="1079"/>
        <v>1</v>
      </c>
      <c r="BV94" s="980">
        <f t="shared" si="1079"/>
        <v>1</v>
      </c>
      <c r="BW94" s="980">
        <f t="shared" si="1079"/>
        <v>1</v>
      </c>
      <c r="BX94" s="980">
        <f t="shared" si="1079"/>
        <v>1</v>
      </c>
      <c r="BY94" s="980">
        <f t="shared" si="1079"/>
        <v>1</v>
      </c>
      <c r="BZ94" s="980">
        <f t="shared" si="1079"/>
        <v>1</v>
      </c>
      <c r="CA94" s="980">
        <f t="shared" si="1079"/>
        <v>1</v>
      </c>
      <c r="CB94" s="980">
        <f t="shared" si="1079"/>
        <v>1</v>
      </c>
      <c r="CC94" s="980">
        <f t="shared" si="1079"/>
        <v>1</v>
      </c>
      <c r="CD94" s="980">
        <f t="shared" si="1079"/>
        <v>1</v>
      </c>
      <c r="CE94" s="1171">
        <f t="shared" si="1079"/>
        <v>1</v>
      </c>
      <c r="CF94" s="980">
        <f t="shared" si="1079"/>
        <v>1</v>
      </c>
      <c r="CG94" s="980">
        <f t="shared" si="1079"/>
        <v>1</v>
      </c>
      <c r="CH94" s="980">
        <f t="shared" si="1079"/>
        <v>1</v>
      </c>
      <c r="CI94" s="980">
        <f t="shared" ref="CI94:DN94" si="1080">ROUNDUP($V94*(CI93/100)/0.8,0)</f>
        <v>1</v>
      </c>
      <c r="CJ94" s="980">
        <f t="shared" si="1080"/>
        <v>2</v>
      </c>
      <c r="CK94" s="980">
        <f t="shared" si="1080"/>
        <v>2</v>
      </c>
      <c r="CL94" s="980">
        <f t="shared" si="1080"/>
        <v>2</v>
      </c>
      <c r="CM94" s="980">
        <f t="shared" si="1080"/>
        <v>2</v>
      </c>
      <c r="CN94" s="980">
        <f t="shared" si="1080"/>
        <v>2</v>
      </c>
      <c r="CO94" s="980">
        <f t="shared" si="1080"/>
        <v>2</v>
      </c>
      <c r="CP94" s="980">
        <f t="shared" si="1080"/>
        <v>2</v>
      </c>
      <c r="CQ94" s="1171">
        <f t="shared" si="1080"/>
        <v>2</v>
      </c>
      <c r="CR94" s="980">
        <f t="shared" si="1080"/>
        <v>2</v>
      </c>
      <c r="CS94" s="980">
        <f t="shared" si="1080"/>
        <v>2</v>
      </c>
      <c r="CT94" s="980">
        <f t="shared" si="1080"/>
        <v>2</v>
      </c>
      <c r="CU94" s="980">
        <f t="shared" si="1080"/>
        <v>2</v>
      </c>
      <c r="CV94" s="980">
        <f t="shared" si="1080"/>
        <v>2</v>
      </c>
      <c r="CW94" s="980">
        <f t="shared" si="1080"/>
        <v>2</v>
      </c>
      <c r="CX94" s="980">
        <f t="shared" si="1080"/>
        <v>2</v>
      </c>
      <c r="CY94" s="980">
        <f t="shared" si="1080"/>
        <v>2</v>
      </c>
      <c r="CZ94" s="980">
        <f t="shared" si="1080"/>
        <v>2</v>
      </c>
      <c r="DA94" s="980">
        <f t="shared" si="1080"/>
        <v>2</v>
      </c>
      <c r="DB94" s="980">
        <f t="shared" si="1080"/>
        <v>2</v>
      </c>
      <c r="DC94" s="1171">
        <f t="shared" si="1080"/>
        <v>2</v>
      </c>
      <c r="DD94" s="980">
        <f t="shared" si="1080"/>
        <v>2</v>
      </c>
      <c r="DE94" s="980">
        <f t="shared" si="1080"/>
        <v>2</v>
      </c>
      <c r="DF94" s="980">
        <f t="shared" si="1080"/>
        <v>2</v>
      </c>
      <c r="DG94" s="980">
        <f t="shared" si="1080"/>
        <v>2</v>
      </c>
      <c r="DH94" s="980">
        <f t="shared" si="1080"/>
        <v>2</v>
      </c>
      <c r="DI94" s="980">
        <f t="shared" si="1080"/>
        <v>2</v>
      </c>
      <c r="DJ94" s="980">
        <f t="shared" si="1080"/>
        <v>2</v>
      </c>
      <c r="DK94" s="980">
        <f t="shared" si="1080"/>
        <v>2</v>
      </c>
      <c r="DL94" s="980">
        <f t="shared" si="1080"/>
        <v>2</v>
      </c>
      <c r="DM94" s="980">
        <f t="shared" si="1080"/>
        <v>2</v>
      </c>
      <c r="DN94" s="980">
        <f t="shared" si="1080"/>
        <v>2</v>
      </c>
      <c r="DO94" s="1171">
        <f t="shared" ref="DO94:ED94" si="1081">ROUNDUP($V94*(DO93/100)/0.8,0)</f>
        <v>2</v>
      </c>
      <c r="DP94" s="980">
        <f t="shared" si="1081"/>
        <v>2</v>
      </c>
      <c r="DQ94" s="980">
        <f t="shared" si="1081"/>
        <v>2</v>
      </c>
      <c r="DR94" s="980">
        <f t="shared" si="1081"/>
        <v>2</v>
      </c>
      <c r="DS94" s="980">
        <f t="shared" si="1081"/>
        <v>2</v>
      </c>
      <c r="DT94" s="980">
        <f t="shared" si="1081"/>
        <v>2</v>
      </c>
      <c r="DU94" s="980">
        <f t="shared" si="1081"/>
        <v>2</v>
      </c>
      <c r="DV94" s="980">
        <f t="shared" si="1081"/>
        <v>2</v>
      </c>
      <c r="DW94" s="980">
        <f t="shared" si="1081"/>
        <v>2</v>
      </c>
      <c r="DX94" s="980">
        <f t="shared" si="1081"/>
        <v>2</v>
      </c>
      <c r="DY94" s="980">
        <f t="shared" si="1081"/>
        <v>2</v>
      </c>
      <c r="DZ94" s="980">
        <f t="shared" si="1081"/>
        <v>2</v>
      </c>
      <c r="EA94" s="1171">
        <f t="shared" si="1081"/>
        <v>2</v>
      </c>
      <c r="EB94" s="980">
        <f t="shared" si="1081"/>
        <v>2</v>
      </c>
      <c r="EC94" s="980">
        <f t="shared" si="1081"/>
        <v>2</v>
      </c>
      <c r="ED94" s="1177">
        <f t="shared" si="1081"/>
        <v>2</v>
      </c>
    </row>
    <row r="95" spans="1:134" ht="18.75" outlineLevel="1" x14ac:dyDescent="0.3">
      <c r="B95" s="169"/>
      <c r="C95" s="1675"/>
      <c r="D95" s="1653" t="s">
        <v>228</v>
      </c>
      <c r="E95" s="1630"/>
      <c r="F95" s="1630"/>
      <c r="G95" s="1630"/>
      <c r="H95" s="1630"/>
      <c r="I95" s="1630"/>
      <c r="J95" s="1630"/>
      <c r="K95" s="1630"/>
      <c r="L95" s="1654"/>
      <c r="M95" s="1329">
        <f>N95</f>
        <v>7.0516078431372557</v>
      </c>
      <c r="N95" s="1369">
        <f>'XFMR Data'!W4</f>
        <v>7.0516078431372557</v>
      </c>
      <c r="O95" s="1370">
        <f>'XFMR Data'!X4</f>
        <v>7.6382745098039218</v>
      </c>
      <c r="P95" s="1370">
        <f>'XFMR Data'!Y4</f>
        <v>6.8894117647058826</v>
      </c>
      <c r="Q95" s="981"/>
      <c r="R95" s="1389">
        <f>P95-N95</f>
        <v>-0.16219607843137318</v>
      </c>
      <c r="S95" s="981"/>
      <c r="T95" s="981"/>
      <c r="U95" s="980"/>
      <c r="V95" s="1102"/>
      <c r="W95" s="1172">
        <f>M95</f>
        <v>7.0516078431372557</v>
      </c>
      <c r="X95" s="1173">
        <f>W95</f>
        <v>7.0516078431372557</v>
      </c>
      <c r="Y95" s="1173">
        <f>X95</f>
        <v>7.0516078431372557</v>
      </c>
      <c r="Z95" s="1173">
        <f>O95</f>
        <v>7.6382745098039218</v>
      </c>
      <c r="AA95" s="1173">
        <f>Z95</f>
        <v>7.6382745098039218</v>
      </c>
      <c r="AB95" s="1173">
        <f>AA95</f>
        <v>7.6382745098039218</v>
      </c>
      <c r="AC95" s="1173">
        <f>P95</f>
        <v>6.8894117647058826</v>
      </c>
      <c r="AD95" s="1173">
        <f>AC95</f>
        <v>6.8894117647058826</v>
      </c>
      <c r="AE95" s="1173">
        <f>AD95</f>
        <v>6.8894117647058826</v>
      </c>
      <c r="AF95" s="1173">
        <f>AE95</f>
        <v>6.8894117647058826</v>
      </c>
      <c r="AG95" s="1173">
        <f>AF95</f>
        <v>6.8894117647058826</v>
      </c>
      <c r="AH95" s="1173">
        <f>AG95</f>
        <v>6.8894117647058826</v>
      </c>
      <c r="AI95" s="1174">
        <f t="shared" ref="AI95:AT95" si="1082">(((AH95*(1+($B$36*$B$4)))-AH95)/12)+AH95</f>
        <v>6.9307482352941179</v>
      </c>
      <c r="AJ95" s="1173">
        <f t="shared" si="1082"/>
        <v>6.9723327247058826</v>
      </c>
      <c r="AK95" s="1173">
        <f t="shared" si="1082"/>
        <v>7.0141667210541181</v>
      </c>
      <c r="AL95" s="1173">
        <f t="shared" si="1082"/>
        <v>7.056251721380443</v>
      </c>
      <c r="AM95" s="1173">
        <f t="shared" si="1082"/>
        <v>7.0985892317087256</v>
      </c>
      <c r="AN95" s="1173">
        <f t="shared" si="1082"/>
        <v>7.1411807670989784</v>
      </c>
      <c r="AO95" s="1173">
        <f t="shared" si="1082"/>
        <v>7.1840278517015719</v>
      </c>
      <c r="AP95" s="1173">
        <f t="shared" si="1082"/>
        <v>7.2271320188117816</v>
      </c>
      <c r="AQ95" s="1173">
        <f t="shared" si="1082"/>
        <v>7.2704948109246521</v>
      </c>
      <c r="AR95" s="1173">
        <f t="shared" si="1082"/>
        <v>7.3141177797901999</v>
      </c>
      <c r="AS95" s="1173">
        <f t="shared" si="1082"/>
        <v>7.3580024864689415</v>
      </c>
      <c r="AT95" s="1173">
        <f t="shared" si="1082"/>
        <v>7.4021505013877551</v>
      </c>
      <c r="AU95" s="1174">
        <f t="shared" ref="AU95:BF95" si="1083">(((AT95*(1+($B$37*$B$4)))-AT95)/12)+AT95</f>
        <v>7.4465634043960813</v>
      </c>
      <c r="AV95" s="1173">
        <f t="shared" si="1083"/>
        <v>7.4912427848224574</v>
      </c>
      <c r="AW95" s="1173">
        <f t="shared" si="1083"/>
        <v>7.5361902415313917</v>
      </c>
      <c r="AX95" s="1173">
        <f t="shared" si="1083"/>
        <v>7.5814073829805801</v>
      </c>
      <c r="AY95" s="1173">
        <f t="shared" si="1083"/>
        <v>7.6268958272784637</v>
      </c>
      <c r="AZ95" s="1173">
        <f t="shared" si="1083"/>
        <v>7.6726572022421342</v>
      </c>
      <c r="BA95" s="1173">
        <f t="shared" si="1083"/>
        <v>7.7186931454555872</v>
      </c>
      <c r="BB95" s="1173">
        <f t="shared" si="1083"/>
        <v>7.7650053043283211</v>
      </c>
      <c r="BC95" s="1173">
        <f t="shared" si="1083"/>
        <v>7.8115953361542907</v>
      </c>
      <c r="BD95" s="1173">
        <f t="shared" si="1083"/>
        <v>7.8584649081712161</v>
      </c>
      <c r="BE95" s="1173">
        <f t="shared" si="1083"/>
        <v>7.9056156976202434</v>
      </c>
      <c r="BF95" s="1173">
        <f t="shared" si="1083"/>
        <v>7.9530493918059646</v>
      </c>
      <c r="BG95" s="1174">
        <f t="shared" ref="BG95:BR95" si="1084">(((BF95*(1+($B$38*$B$4)))-BF95)/12)+BF95</f>
        <v>8.0007676881568006</v>
      </c>
      <c r="BH95" s="1173">
        <f t="shared" si="1084"/>
        <v>8.048772294285742</v>
      </c>
      <c r="BI95" s="1173">
        <f t="shared" si="1084"/>
        <v>8.0970649280514557</v>
      </c>
      <c r="BJ95" s="1173">
        <f t="shared" si="1084"/>
        <v>8.1456473176197655</v>
      </c>
      <c r="BK95" s="1173">
        <f t="shared" si="1084"/>
        <v>8.1945212015254842</v>
      </c>
      <c r="BL95" s="1173">
        <f t="shared" si="1084"/>
        <v>8.2436883287346365</v>
      </c>
      <c r="BM95" s="1173">
        <f t="shared" si="1084"/>
        <v>8.2931504587070446</v>
      </c>
      <c r="BN95" s="1173">
        <f t="shared" si="1084"/>
        <v>8.3429093614592862</v>
      </c>
      <c r="BO95" s="1173">
        <f t="shared" si="1084"/>
        <v>8.3929668176280412</v>
      </c>
      <c r="BP95" s="1173">
        <f t="shared" si="1084"/>
        <v>8.4433246185338096</v>
      </c>
      <c r="BQ95" s="1173">
        <f t="shared" si="1084"/>
        <v>8.4939845662450129</v>
      </c>
      <c r="BR95" s="1173">
        <f t="shared" si="1084"/>
        <v>8.5449484736424832</v>
      </c>
      <c r="BS95" s="1174">
        <f t="shared" ref="BS95:CD95" si="1085">(((BR95*(1+($B$39*$B$4)))-BR95)/12)+BR95</f>
        <v>8.5962181644843376</v>
      </c>
      <c r="BT95" s="1173">
        <f t="shared" si="1085"/>
        <v>8.647795473471243</v>
      </c>
      <c r="BU95" s="1173">
        <f t="shared" si="1085"/>
        <v>8.6996822463120704</v>
      </c>
      <c r="BV95" s="1173">
        <f t="shared" si="1085"/>
        <v>8.7518803397899436</v>
      </c>
      <c r="BW95" s="1173">
        <f t="shared" si="1085"/>
        <v>8.8043916218286835</v>
      </c>
      <c r="BX95" s="1173">
        <f t="shared" si="1085"/>
        <v>8.8572179715596562</v>
      </c>
      <c r="BY95" s="1173">
        <f t="shared" si="1085"/>
        <v>8.910361279389015</v>
      </c>
      <c r="BZ95" s="1173">
        <f t="shared" si="1085"/>
        <v>8.9638234470653497</v>
      </c>
      <c r="CA95" s="1173">
        <f t="shared" si="1085"/>
        <v>9.0176063877477421</v>
      </c>
      <c r="CB95" s="1173">
        <f t="shared" si="1085"/>
        <v>9.0717120260742288</v>
      </c>
      <c r="CC95" s="1173">
        <f t="shared" si="1085"/>
        <v>9.1261422982306737</v>
      </c>
      <c r="CD95" s="1173">
        <f t="shared" si="1085"/>
        <v>9.1808991520200571</v>
      </c>
      <c r="CE95" s="1174">
        <f t="shared" ref="CE95:CP95" si="1086">(((CD95*(1+($B$40*$B$4)))-CD95)/12)+CD95</f>
        <v>9.235984546932178</v>
      </c>
      <c r="CF95" s="1173">
        <f t="shared" si="1086"/>
        <v>9.2914004542137718</v>
      </c>
      <c r="CG95" s="1173">
        <f t="shared" si="1086"/>
        <v>9.3471488569390537</v>
      </c>
      <c r="CH95" s="1173">
        <f t="shared" si="1086"/>
        <v>9.403231750080689</v>
      </c>
      <c r="CI95" s="1173">
        <f t="shared" si="1086"/>
        <v>9.4596511405811725</v>
      </c>
      <c r="CJ95" s="1173">
        <f t="shared" si="1086"/>
        <v>9.5164090474246592</v>
      </c>
      <c r="CK95" s="1173">
        <f t="shared" si="1086"/>
        <v>9.5735075017092068</v>
      </c>
      <c r="CL95" s="1173">
        <f t="shared" si="1086"/>
        <v>9.6309485467194627</v>
      </c>
      <c r="CM95" s="1173">
        <f t="shared" si="1086"/>
        <v>9.6887342379997801</v>
      </c>
      <c r="CN95" s="1173">
        <f t="shared" si="1086"/>
        <v>9.7468666434277793</v>
      </c>
      <c r="CO95" s="1173">
        <f t="shared" si="1086"/>
        <v>9.8053478432883452</v>
      </c>
      <c r="CP95" s="1173">
        <f t="shared" si="1086"/>
        <v>9.8641799303480759</v>
      </c>
      <c r="CQ95" s="1174">
        <f t="shared" ref="CQ95:DB95" si="1087">(((CP95*(1+($B$41*$B$4)))-CP95)/12)+CP95</f>
        <v>9.9233650099301638</v>
      </c>
      <c r="CR95" s="1173">
        <f t="shared" si="1087"/>
        <v>9.9829051999897445</v>
      </c>
      <c r="CS95" s="1173">
        <f t="shared" si="1087"/>
        <v>10.042802631189684</v>
      </c>
      <c r="CT95" s="1173">
        <f t="shared" si="1087"/>
        <v>10.103059446976822</v>
      </c>
      <c r="CU95" s="1173">
        <f t="shared" si="1087"/>
        <v>10.163677803658683</v>
      </c>
      <c r="CV95" s="1173">
        <f t="shared" si="1087"/>
        <v>10.224659870480634</v>
      </c>
      <c r="CW95" s="1173">
        <f t="shared" si="1087"/>
        <v>10.286007829703518</v>
      </c>
      <c r="CX95" s="1173">
        <f t="shared" si="1087"/>
        <v>10.347723876681739</v>
      </c>
      <c r="CY95" s="1173">
        <f t="shared" si="1087"/>
        <v>10.409810219941829</v>
      </c>
      <c r="CZ95" s="1173">
        <f t="shared" si="1087"/>
        <v>10.47226908126148</v>
      </c>
      <c r="DA95" s="1173">
        <f t="shared" si="1087"/>
        <v>10.53510269574905</v>
      </c>
      <c r="DB95" s="1173">
        <f t="shared" si="1087"/>
        <v>10.598313311923544</v>
      </c>
      <c r="DC95" s="1174">
        <f t="shared" ref="DC95:DN95" si="1088">(((DB95*(1+($B$42*$B$4)))-DB95)/12)+DB95</f>
        <v>10.661903191795085</v>
      </c>
      <c r="DD95" s="1173">
        <f t="shared" si="1088"/>
        <v>10.725874610945855</v>
      </c>
      <c r="DE95" s="1173">
        <f t="shared" si="1088"/>
        <v>10.79022985861153</v>
      </c>
      <c r="DF95" s="1173">
        <f t="shared" si="1088"/>
        <v>10.8549712377632</v>
      </c>
      <c r="DG95" s="1173">
        <f t="shared" si="1088"/>
        <v>10.92010106518978</v>
      </c>
      <c r="DH95" s="1173">
        <f t="shared" si="1088"/>
        <v>10.985621671580919</v>
      </c>
      <c r="DI95" s="1173">
        <f t="shared" si="1088"/>
        <v>11.051535401610405</v>
      </c>
      <c r="DJ95" s="1173">
        <f t="shared" si="1088"/>
        <v>11.117844614020067</v>
      </c>
      <c r="DK95" s="1173">
        <f t="shared" si="1088"/>
        <v>11.184551681704187</v>
      </c>
      <c r="DL95" s="1173">
        <f t="shared" si="1088"/>
        <v>11.251658991794413</v>
      </c>
      <c r="DM95" s="1173">
        <f t="shared" si="1088"/>
        <v>11.319168945745179</v>
      </c>
      <c r="DN95" s="1173">
        <f t="shared" si="1088"/>
        <v>11.38708395941965</v>
      </c>
      <c r="DO95" s="1174">
        <f t="shared" ref="DO95:DZ95" si="1089">(((DN95*(1+($B$43*$B$4)))-DN95)/12)+DN95</f>
        <v>11.455406463176168</v>
      </c>
      <c r="DP95" s="1173">
        <f t="shared" si="1089"/>
        <v>11.524138901955224</v>
      </c>
      <c r="DQ95" s="1173">
        <f t="shared" si="1089"/>
        <v>11.593283735366956</v>
      </c>
      <c r="DR95" s="1173">
        <f t="shared" si="1089"/>
        <v>11.662843437779157</v>
      </c>
      <c r="DS95" s="1173">
        <f t="shared" si="1089"/>
        <v>11.732820498405832</v>
      </c>
      <c r="DT95" s="1173">
        <f t="shared" si="1089"/>
        <v>11.803217421396267</v>
      </c>
      <c r="DU95" s="1173">
        <f t="shared" si="1089"/>
        <v>11.874036725924645</v>
      </c>
      <c r="DV95" s="1173">
        <f t="shared" si="1089"/>
        <v>11.945280946280192</v>
      </c>
      <c r="DW95" s="1173">
        <f t="shared" si="1089"/>
        <v>12.016952631957874</v>
      </c>
      <c r="DX95" s="1173">
        <f t="shared" si="1089"/>
        <v>12.089054347749622</v>
      </c>
      <c r="DY95" s="1173">
        <f t="shared" si="1089"/>
        <v>12.161588673836119</v>
      </c>
      <c r="DZ95" s="1173">
        <f t="shared" si="1089"/>
        <v>12.234558205879136</v>
      </c>
      <c r="EA95" s="1174">
        <f>(((DZ95*(1+($B$44*$B$4)))-DZ95)/12)+DZ95</f>
        <v>12.307965555114411</v>
      </c>
      <c r="EB95" s="1173">
        <f>(((EA95*(1+($B$44*$B$4)))-EA95)/12)+EA95</f>
        <v>12.381813348445098</v>
      </c>
      <c r="EC95" s="1173">
        <f>(((EB95*(1+($B$44*$B$4)))-EB95)/12)+EB95</f>
        <v>12.456104228535768</v>
      </c>
      <c r="ED95" s="1175">
        <f>(((EC95*(1+($B$44*$B$4)))-EC95)/12)+EC95</f>
        <v>12.530840853906982</v>
      </c>
    </row>
    <row r="96" spans="1:134" ht="18.75" outlineLevel="1" x14ac:dyDescent="0.3">
      <c r="B96" s="169"/>
      <c r="C96" s="1675"/>
      <c r="D96" s="1655" t="s">
        <v>230</v>
      </c>
      <c r="E96" s="1631"/>
      <c r="F96" s="1631"/>
      <c r="G96" s="1631"/>
      <c r="H96" s="1631"/>
      <c r="I96" s="1631"/>
      <c r="J96" s="1631"/>
      <c r="K96" s="1631"/>
      <c r="L96" s="1656"/>
      <c r="M96" s="983"/>
      <c r="N96" s="1416">
        <f>'XFMR Data'!T4</f>
        <v>247</v>
      </c>
      <c r="O96" s="1417">
        <f>'XFMR Data'!U63</f>
        <v>185</v>
      </c>
      <c r="P96" s="1371">
        <f>'XFMR Data'!V63</f>
        <v>186</v>
      </c>
      <c r="Q96" s="984"/>
      <c r="R96" s="995"/>
      <c r="S96" s="984"/>
      <c r="T96" s="984"/>
      <c r="U96" s="1004"/>
      <c r="V96" s="1103">
        <f>ROUNDUP((ROUNDUP(N95,0))+((ROUNDUP(N95,0))/7),0)</f>
        <v>10</v>
      </c>
      <c r="W96" s="1371">
        <f>ROUNDUP(W95,0)+(W95/7)</f>
        <v>9.0073725490196086</v>
      </c>
      <c r="X96" s="1371">
        <f t="shared" ref="X96:AI96" si="1090">ROUNDUP(X95,0)+(X95/7)</f>
        <v>9.0073725490196086</v>
      </c>
      <c r="Y96" s="1371">
        <f t="shared" si="1090"/>
        <v>9.0073725490196086</v>
      </c>
      <c r="Z96" s="1371">
        <f t="shared" si="1090"/>
        <v>9.091182072829131</v>
      </c>
      <c r="AA96" s="1371">
        <f t="shared" si="1090"/>
        <v>9.091182072829131</v>
      </c>
      <c r="AB96" s="1371">
        <f t="shared" si="1090"/>
        <v>9.091182072829131</v>
      </c>
      <c r="AC96" s="1371">
        <f t="shared" si="1090"/>
        <v>7.9842016806722693</v>
      </c>
      <c r="AD96" s="1371">
        <f t="shared" si="1090"/>
        <v>7.9842016806722693</v>
      </c>
      <c r="AE96" s="1371">
        <f t="shared" si="1090"/>
        <v>7.9842016806722693</v>
      </c>
      <c r="AF96" s="1371">
        <f t="shared" si="1090"/>
        <v>7.9842016806722693</v>
      </c>
      <c r="AG96" s="1371">
        <f t="shared" si="1090"/>
        <v>7.9842016806722693</v>
      </c>
      <c r="AH96" s="1371">
        <f t="shared" si="1090"/>
        <v>7.9842016806722693</v>
      </c>
      <c r="AI96" s="1371">
        <f t="shared" si="1090"/>
        <v>7.9901068907563024</v>
      </c>
      <c r="AJ96" s="1371">
        <f t="shared" ref="AJ96" si="1091">ROUNDUP(AJ95,0)+(AJ95/7)</f>
        <v>7.9960475321008406</v>
      </c>
      <c r="AK96" s="1371">
        <f t="shared" ref="AK96" si="1092">ROUNDUP(AK95,0)+(AK95/7)</f>
        <v>9.0020238172934448</v>
      </c>
      <c r="AL96" s="1371">
        <f t="shared" ref="AL96" si="1093">ROUNDUP(AL95,0)+(AL95/7)</f>
        <v>9.0080359601972066</v>
      </c>
      <c r="AM96" s="1371">
        <f t="shared" ref="AM96" si="1094">ROUNDUP(AM95,0)+(AM95/7)</f>
        <v>9.0140841759583896</v>
      </c>
      <c r="AN96" s="1371">
        <f t="shared" ref="AN96" si="1095">ROUNDUP(AN95,0)+(AN95/7)</f>
        <v>9.0201686810141393</v>
      </c>
      <c r="AO96" s="1371">
        <f t="shared" ref="AO96" si="1096">ROUNDUP(AO95,0)+(AO95/7)</f>
        <v>9.0262896931002246</v>
      </c>
      <c r="AP96" s="1371">
        <f t="shared" ref="AP96" si="1097">ROUNDUP(AP95,0)+(AP95/7)</f>
        <v>9.0324474312588254</v>
      </c>
      <c r="AQ96" s="1371">
        <f t="shared" ref="AQ96" si="1098">ROUNDUP(AQ95,0)+(AQ95/7)</f>
        <v>9.038642115846379</v>
      </c>
      <c r="AR96" s="1371">
        <f t="shared" ref="AR96" si="1099">ROUNDUP(AR95,0)+(AR95/7)</f>
        <v>9.0448739685414576</v>
      </c>
      <c r="AS96" s="1371">
        <f t="shared" ref="AS96" si="1100">ROUNDUP(AS95,0)+(AS95/7)</f>
        <v>9.0511432123527058</v>
      </c>
      <c r="AT96" s="1371">
        <f t="shared" ref="AT96:AU96" si="1101">ROUNDUP(AT95,0)+(AT95/7)</f>
        <v>9.0574500716268229</v>
      </c>
      <c r="AU96" s="1371">
        <f t="shared" si="1101"/>
        <v>9.0637947720565837</v>
      </c>
      <c r="AV96" s="1371">
        <f t="shared" ref="AV96" si="1102">ROUNDUP(AV95,0)+(AV95/7)</f>
        <v>9.0701775406889222</v>
      </c>
      <c r="AW96" s="1371">
        <f t="shared" ref="AW96" si="1103">ROUNDUP(AW95,0)+(AW95/7)</f>
        <v>9.0765986059330555</v>
      </c>
      <c r="AX96" s="1371">
        <f t="shared" ref="AX96" si="1104">ROUNDUP(AX95,0)+(AX95/7)</f>
        <v>9.0830581975686542</v>
      </c>
      <c r="AY96" s="1371">
        <f t="shared" ref="AY96" si="1105">ROUNDUP(AY95,0)+(AY95/7)</f>
        <v>9.089556546754066</v>
      </c>
      <c r="AZ96" s="1371">
        <f t="shared" ref="AZ96" si="1106">ROUNDUP(AZ95,0)+(AZ95/7)</f>
        <v>9.0960938860345912</v>
      </c>
      <c r="BA96" s="1371">
        <f t="shared" ref="BA96" si="1107">ROUNDUP(BA95,0)+(BA95/7)</f>
        <v>9.1026704493507982</v>
      </c>
      <c r="BB96" s="1371">
        <f t="shared" ref="BB96" si="1108">ROUNDUP(BB95,0)+(BB95/7)</f>
        <v>9.1092864720469038</v>
      </c>
      <c r="BC96" s="1371">
        <f t="shared" ref="BC96" si="1109">ROUNDUP(BC95,0)+(BC95/7)</f>
        <v>9.1159421908791849</v>
      </c>
      <c r="BD96" s="1371">
        <f t="shared" ref="BD96" si="1110">ROUNDUP(BD95,0)+(BD95/7)</f>
        <v>9.1226378440244602</v>
      </c>
      <c r="BE96" s="1371">
        <f t="shared" ref="BE96" si="1111">ROUNDUP(BE95,0)+(BE95/7)</f>
        <v>9.1293736710886062</v>
      </c>
      <c r="BF96" s="1371">
        <f t="shared" ref="BF96:BG96" si="1112">ROUNDUP(BF95,0)+(BF95/7)</f>
        <v>9.1361499131151369</v>
      </c>
      <c r="BG96" s="1371">
        <f t="shared" si="1112"/>
        <v>10.142966812593828</v>
      </c>
      <c r="BH96" s="1371">
        <f t="shared" ref="BH96" si="1113">ROUNDUP(BH95,0)+(BH95/7)</f>
        <v>10.149824613469391</v>
      </c>
      <c r="BI96" s="1371">
        <f t="shared" ref="BI96" si="1114">ROUNDUP(BI95,0)+(BI95/7)</f>
        <v>10.156723561150208</v>
      </c>
      <c r="BJ96" s="1371">
        <f t="shared" ref="BJ96" si="1115">ROUNDUP(BJ95,0)+(BJ95/7)</f>
        <v>10.16366390251711</v>
      </c>
      <c r="BK96" s="1371">
        <f t="shared" ref="BK96" si="1116">ROUNDUP(BK95,0)+(BK95/7)</f>
        <v>10.170645885932212</v>
      </c>
      <c r="BL96" s="1371">
        <f t="shared" ref="BL96" si="1117">ROUNDUP(BL95,0)+(BL95/7)</f>
        <v>10.177669761247806</v>
      </c>
      <c r="BM96" s="1371">
        <f t="shared" ref="BM96" si="1118">ROUNDUP(BM95,0)+(BM95/7)</f>
        <v>10.184735779815291</v>
      </c>
      <c r="BN96" s="1371">
        <f t="shared" ref="BN96" si="1119">ROUNDUP(BN95,0)+(BN95/7)</f>
        <v>10.191844194494184</v>
      </c>
      <c r="BO96" s="1371">
        <f t="shared" ref="BO96" si="1120">ROUNDUP(BO95,0)+(BO95/7)</f>
        <v>10.19899525966115</v>
      </c>
      <c r="BP96" s="1371">
        <f t="shared" ref="BP96" si="1121">ROUNDUP(BP95,0)+(BP95/7)</f>
        <v>10.206189231219115</v>
      </c>
      <c r="BQ96" s="1371">
        <f t="shared" ref="BQ96" si="1122">ROUNDUP(BQ95,0)+(BQ95/7)</f>
        <v>10.213426366606431</v>
      </c>
      <c r="BR96" s="1371">
        <f t="shared" ref="BR96:BS96" si="1123">ROUNDUP(BR95,0)+(BR95/7)</f>
        <v>10.22070692480607</v>
      </c>
      <c r="BS96" s="1371">
        <f t="shared" si="1123"/>
        <v>10.228031166354905</v>
      </c>
      <c r="BT96" s="1371">
        <f t="shared" ref="BT96" si="1124">ROUNDUP(BT95,0)+(BT95/7)</f>
        <v>10.235399353353035</v>
      </c>
      <c r="BU96" s="1371">
        <f t="shared" ref="BU96" si="1125">ROUNDUP(BU95,0)+(BU95/7)</f>
        <v>10.242811749473153</v>
      </c>
      <c r="BV96" s="1371">
        <f t="shared" ref="BV96" si="1126">ROUNDUP(BV95,0)+(BV95/7)</f>
        <v>10.250268619969992</v>
      </c>
      <c r="BW96" s="1371">
        <f t="shared" ref="BW96" si="1127">ROUNDUP(BW95,0)+(BW95/7)</f>
        <v>10.257770231689811</v>
      </c>
      <c r="BX96" s="1371">
        <f t="shared" ref="BX96" si="1128">ROUNDUP(BX95,0)+(BX95/7)</f>
        <v>10.26531685307995</v>
      </c>
      <c r="BY96" s="1371">
        <f t="shared" ref="BY96" si="1129">ROUNDUP(BY95,0)+(BY95/7)</f>
        <v>10.272908754198431</v>
      </c>
      <c r="BZ96" s="1371">
        <f t="shared" ref="BZ96" si="1130">ROUNDUP(BZ95,0)+(BZ95/7)</f>
        <v>10.280546206723621</v>
      </c>
      <c r="CA96" s="1371">
        <f t="shared" ref="CA96" si="1131">ROUNDUP(CA95,0)+(CA95/7)</f>
        <v>11.288229483963963</v>
      </c>
      <c r="CB96" s="1371">
        <f t="shared" ref="CB96" si="1132">ROUNDUP(CB95,0)+(CB95/7)</f>
        <v>11.295958860867747</v>
      </c>
      <c r="CC96" s="1371">
        <f t="shared" ref="CC96" si="1133">ROUNDUP(CC95,0)+(CC95/7)</f>
        <v>11.303734614032953</v>
      </c>
      <c r="CD96" s="1371">
        <f t="shared" ref="CD96:CE96" si="1134">ROUNDUP(CD95,0)+(CD95/7)</f>
        <v>11.311557021717151</v>
      </c>
      <c r="CE96" s="1371">
        <f t="shared" si="1134"/>
        <v>11.319426363847453</v>
      </c>
      <c r="CF96" s="1371">
        <f t="shared" ref="CF96" si="1135">ROUNDUP(CF95,0)+(CF95/7)</f>
        <v>11.327342922030539</v>
      </c>
      <c r="CG96" s="1371">
        <f t="shared" ref="CG96" si="1136">ROUNDUP(CG95,0)+(CG95/7)</f>
        <v>11.335306979562722</v>
      </c>
      <c r="CH96" s="1371">
        <f t="shared" ref="CH96" si="1137">ROUNDUP(CH95,0)+(CH95/7)</f>
        <v>11.343318821440098</v>
      </c>
      <c r="CI96" s="1371">
        <f t="shared" ref="CI96" si="1138">ROUNDUP(CI95,0)+(CI95/7)</f>
        <v>11.351378734368739</v>
      </c>
      <c r="CJ96" s="1371">
        <f t="shared" ref="CJ96" si="1139">ROUNDUP(CJ95,0)+(CJ95/7)</f>
        <v>11.359487006774952</v>
      </c>
      <c r="CK96" s="1371">
        <f t="shared" ref="CK96" si="1140">ROUNDUP(CK95,0)+(CK95/7)</f>
        <v>11.367643928815601</v>
      </c>
      <c r="CL96" s="1371">
        <f t="shared" ref="CL96" si="1141">ROUNDUP(CL95,0)+(CL95/7)</f>
        <v>11.375849792388495</v>
      </c>
      <c r="CM96" s="1371">
        <f t="shared" ref="CM96" si="1142">ROUNDUP(CM95,0)+(CM95/7)</f>
        <v>11.384104891142826</v>
      </c>
      <c r="CN96" s="1371">
        <f t="shared" ref="CN96" si="1143">ROUNDUP(CN95,0)+(CN95/7)</f>
        <v>11.392409520489682</v>
      </c>
      <c r="CO96" s="1371">
        <f t="shared" ref="CO96" si="1144">ROUNDUP(CO95,0)+(CO95/7)</f>
        <v>11.400763977612622</v>
      </c>
      <c r="CP96" s="1371">
        <f t="shared" ref="CP96:CQ96" si="1145">ROUNDUP(CP95,0)+(CP95/7)</f>
        <v>11.409168561478296</v>
      </c>
      <c r="CQ96" s="1371">
        <f t="shared" si="1145"/>
        <v>11.417623572847166</v>
      </c>
      <c r="CR96" s="1371">
        <f t="shared" ref="CR96" si="1146">ROUNDUP(CR95,0)+(CR95/7)</f>
        <v>11.42612931428425</v>
      </c>
      <c r="CS96" s="1371">
        <f t="shared" ref="CS96" si="1147">ROUNDUP(CS95,0)+(CS95/7)</f>
        <v>12.434686090169954</v>
      </c>
      <c r="CT96" s="1371">
        <f t="shared" ref="CT96" si="1148">ROUNDUP(CT95,0)+(CT95/7)</f>
        <v>12.443294206710975</v>
      </c>
      <c r="CU96" s="1371">
        <f t="shared" ref="CU96" si="1149">ROUNDUP(CU95,0)+(CU95/7)</f>
        <v>12.451953971951241</v>
      </c>
      <c r="CV96" s="1371">
        <f t="shared" ref="CV96" si="1150">ROUNDUP(CV95,0)+(CV95/7)</f>
        <v>12.460665695782948</v>
      </c>
      <c r="CW96" s="1371">
        <f t="shared" ref="CW96" si="1151">ROUNDUP(CW95,0)+(CW95/7)</f>
        <v>12.469429689957645</v>
      </c>
      <c r="CX96" s="1371">
        <f t="shared" ref="CX96" si="1152">ROUNDUP(CX95,0)+(CX95/7)</f>
        <v>12.478246268097392</v>
      </c>
      <c r="CY96" s="1371">
        <f t="shared" ref="CY96" si="1153">ROUNDUP(CY95,0)+(CY95/7)</f>
        <v>12.487115745705976</v>
      </c>
      <c r="CZ96" s="1371">
        <f t="shared" ref="CZ96" si="1154">ROUNDUP(CZ95,0)+(CZ95/7)</f>
        <v>12.496038440180211</v>
      </c>
      <c r="DA96" s="1371">
        <f t="shared" ref="DA96" si="1155">ROUNDUP(DA95,0)+(DA95/7)</f>
        <v>12.505014670821293</v>
      </c>
      <c r="DB96" s="1371">
        <f t="shared" ref="DB96:DC96" si="1156">ROUNDUP(DB95,0)+(DB95/7)</f>
        <v>12.51404475884622</v>
      </c>
      <c r="DC96" s="1371">
        <f t="shared" si="1156"/>
        <v>12.523129027399298</v>
      </c>
      <c r="DD96" s="1371">
        <f t="shared" ref="DD96" si="1157">ROUNDUP(DD95,0)+(DD95/7)</f>
        <v>12.532267801563693</v>
      </c>
      <c r="DE96" s="1371">
        <f t="shared" ref="DE96" si="1158">ROUNDUP(DE95,0)+(DE95/7)</f>
        <v>12.541461408373076</v>
      </c>
      <c r="DF96" s="1371">
        <f t="shared" ref="DF96" si="1159">ROUNDUP(DF95,0)+(DF95/7)</f>
        <v>12.550710176823314</v>
      </c>
      <c r="DG96" s="1371">
        <f t="shared" ref="DG96" si="1160">ROUNDUP(DG95,0)+(DG95/7)</f>
        <v>12.560014437884254</v>
      </c>
      <c r="DH96" s="1371">
        <f t="shared" ref="DH96" si="1161">ROUNDUP(DH95,0)+(DH95/7)</f>
        <v>12.569374524511559</v>
      </c>
      <c r="DI96" s="1371">
        <f t="shared" ref="DI96" si="1162">ROUNDUP(DI95,0)+(DI95/7)</f>
        <v>13.57879077165863</v>
      </c>
      <c r="DJ96" s="1371">
        <f t="shared" ref="DJ96" si="1163">ROUNDUP(DJ95,0)+(DJ95/7)</f>
        <v>13.588263516288581</v>
      </c>
      <c r="DK96" s="1371">
        <f t="shared" ref="DK96" si="1164">ROUNDUP(DK95,0)+(DK95/7)</f>
        <v>13.597793097386312</v>
      </c>
      <c r="DL96" s="1371">
        <f t="shared" ref="DL96" si="1165">ROUNDUP(DL95,0)+(DL95/7)</f>
        <v>13.607379855970631</v>
      </c>
      <c r="DM96" s="1371">
        <f t="shared" ref="DM96" si="1166">ROUNDUP(DM95,0)+(DM95/7)</f>
        <v>13.617024135106455</v>
      </c>
      <c r="DN96" s="1371">
        <f t="shared" ref="DN96:DO96" si="1167">ROUNDUP(DN95,0)+(DN95/7)</f>
        <v>13.626726279917094</v>
      </c>
      <c r="DO96" s="1371">
        <f t="shared" si="1167"/>
        <v>13.636486637596596</v>
      </c>
      <c r="DP96" s="1371">
        <f t="shared" ref="DP96" si="1168">ROUNDUP(DP95,0)+(DP95/7)</f>
        <v>13.646305557422174</v>
      </c>
      <c r="DQ96" s="1371">
        <f t="shared" ref="DQ96" si="1169">ROUNDUP(DQ95,0)+(DQ95/7)</f>
        <v>13.656183390766708</v>
      </c>
      <c r="DR96" s="1371">
        <f t="shared" ref="DR96" si="1170">ROUNDUP(DR95,0)+(DR95/7)</f>
        <v>13.666120491111307</v>
      </c>
      <c r="DS96" s="1371">
        <f t="shared" ref="DS96" si="1171">ROUNDUP(DS95,0)+(DS95/7)</f>
        <v>13.676117214057976</v>
      </c>
      <c r="DT96" s="1371">
        <f t="shared" ref="DT96" si="1172">ROUNDUP(DT95,0)+(DT95/7)</f>
        <v>13.686173917342323</v>
      </c>
      <c r="DU96" s="1371">
        <f t="shared" ref="DU96" si="1173">ROUNDUP(DU95,0)+(DU95/7)</f>
        <v>13.696290960846378</v>
      </c>
      <c r="DV96" s="1371">
        <f t="shared" ref="DV96" si="1174">ROUNDUP(DV95,0)+(DV95/7)</f>
        <v>13.706468706611457</v>
      </c>
      <c r="DW96" s="1371">
        <f t="shared" ref="DW96" si="1175">ROUNDUP(DW95,0)+(DW95/7)</f>
        <v>14.716707518851125</v>
      </c>
      <c r="DX96" s="1371">
        <f t="shared" ref="DX96" si="1176">ROUNDUP(DX95,0)+(DX95/7)</f>
        <v>14.727007763964231</v>
      </c>
      <c r="DY96" s="1371">
        <f t="shared" ref="DY96" si="1177">ROUNDUP(DY95,0)+(DY95/7)</f>
        <v>14.737369810548017</v>
      </c>
      <c r="DZ96" s="1371">
        <f t="shared" ref="DZ96:EA96" si="1178">ROUNDUP(DZ95,0)+(DZ95/7)</f>
        <v>14.747794029411304</v>
      </c>
      <c r="EA96" s="1371">
        <f t="shared" si="1178"/>
        <v>14.758280793587772</v>
      </c>
      <c r="EB96" s="1371">
        <f t="shared" ref="EB96" si="1179">ROUNDUP(EB95,0)+(EB95/7)</f>
        <v>14.768830478349299</v>
      </c>
      <c r="EC96" s="1371">
        <f t="shared" ref="EC96" si="1180">ROUNDUP(EC95,0)+(EC95/7)</f>
        <v>14.779443461219396</v>
      </c>
      <c r="ED96" s="1371">
        <f t="shared" ref="ED96" si="1181">ROUNDUP(ED95,0)+(ED95/7)</f>
        <v>14.790120121986712</v>
      </c>
    </row>
    <row r="97" spans="2:134" ht="18.75" outlineLevel="1" x14ac:dyDescent="0.3">
      <c r="B97" s="169"/>
      <c r="C97" s="1675"/>
      <c r="D97" s="1641" t="s">
        <v>231</v>
      </c>
      <c r="E97" s="1642"/>
      <c r="F97" s="1642"/>
      <c r="G97" s="1642"/>
      <c r="H97" s="1642"/>
      <c r="I97" s="1642"/>
      <c r="J97" s="1642"/>
      <c r="K97" s="1642"/>
      <c r="L97" s="1643"/>
      <c r="M97" s="980"/>
      <c r="N97" s="1427">
        <f>'XFMR Data'!T4*('XFMR Data'!Q4/100)</f>
        <v>224.77</v>
      </c>
      <c r="O97" s="1428"/>
      <c r="P97" s="1427"/>
      <c r="Q97" s="981"/>
      <c r="R97" s="981"/>
      <c r="S97" s="1695" t="s">
        <v>232</v>
      </c>
      <c r="T97" s="1696"/>
      <c r="U97" s="1102"/>
      <c r="V97" s="1102"/>
      <c r="W97" s="1427"/>
      <c r="X97" s="1427"/>
      <c r="Y97" s="1427"/>
      <c r="Z97" s="1427"/>
      <c r="AA97" s="1427"/>
      <c r="AB97" s="1427"/>
      <c r="AC97" s="1427"/>
      <c r="AD97" s="1427"/>
      <c r="AE97" s="1427"/>
      <c r="AF97" s="1427"/>
      <c r="AG97" s="1427"/>
      <c r="AH97" s="1427"/>
      <c r="AI97" s="1427"/>
      <c r="AJ97" s="1427"/>
      <c r="AK97" s="1427"/>
      <c r="AL97" s="1427"/>
      <c r="AM97" s="1427"/>
      <c r="AN97" s="1427"/>
      <c r="AO97" s="1427"/>
      <c r="AP97" s="1427"/>
      <c r="AQ97" s="1427"/>
      <c r="AR97" s="1427"/>
      <c r="AS97" s="1427"/>
      <c r="AT97" s="1427"/>
      <c r="AU97" s="1427"/>
      <c r="AV97" s="1427"/>
      <c r="AW97" s="1427"/>
      <c r="AX97" s="1427"/>
      <c r="AY97" s="1427"/>
      <c r="AZ97" s="1427"/>
      <c r="BA97" s="1427"/>
      <c r="BB97" s="1427"/>
      <c r="BC97" s="1427"/>
      <c r="BD97" s="1427"/>
      <c r="BE97" s="1427"/>
      <c r="BF97" s="1427"/>
      <c r="BG97" s="1427"/>
      <c r="BH97" s="1427"/>
      <c r="BI97" s="1427"/>
      <c r="BJ97" s="1427"/>
      <c r="BK97" s="1427"/>
      <c r="BL97" s="1427"/>
      <c r="BM97" s="1427"/>
      <c r="BN97" s="1427"/>
      <c r="BO97" s="1427"/>
      <c r="BP97" s="1427"/>
      <c r="BQ97" s="1427"/>
      <c r="BR97" s="1427"/>
      <c r="BS97" s="1427"/>
      <c r="BT97" s="1427"/>
      <c r="BU97" s="1427"/>
      <c r="BV97" s="1427"/>
      <c r="BW97" s="1427"/>
      <c r="BX97" s="1427"/>
      <c r="BY97" s="1427"/>
      <c r="BZ97" s="1427"/>
      <c r="CA97" s="1427"/>
      <c r="CB97" s="1427"/>
      <c r="CC97" s="1427"/>
      <c r="CD97" s="1427"/>
      <c r="CE97" s="1427"/>
      <c r="CF97" s="1427"/>
      <c r="CG97" s="1427"/>
      <c r="CH97" s="1427"/>
      <c r="CI97" s="1427"/>
      <c r="CJ97" s="1427"/>
      <c r="CK97" s="1427"/>
      <c r="CL97" s="1427"/>
      <c r="CM97" s="1427"/>
      <c r="CN97" s="1427"/>
      <c r="CO97" s="1427"/>
      <c r="CP97" s="1427"/>
      <c r="CQ97" s="1427"/>
      <c r="CR97" s="1427"/>
      <c r="CS97" s="1427"/>
      <c r="CT97" s="1427"/>
      <c r="CU97" s="1427"/>
      <c r="CV97" s="1427"/>
      <c r="CW97" s="1427"/>
      <c r="CX97" s="1427"/>
      <c r="CY97" s="1427"/>
      <c r="CZ97" s="1427"/>
      <c r="DA97" s="1427"/>
      <c r="DB97" s="1427"/>
      <c r="DC97" s="1427"/>
      <c r="DD97" s="1427"/>
      <c r="DE97" s="1427"/>
      <c r="DF97" s="1427"/>
      <c r="DG97" s="1427"/>
      <c r="DH97" s="1427"/>
      <c r="DI97" s="1427"/>
      <c r="DJ97" s="1427"/>
      <c r="DK97" s="1427"/>
      <c r="DL97" s="1427"/>
      <c r="DM97" s="1427"/>
      <c r="DN97" s="1427"/>
      <c r="DO97" s="1427"/>
      <c r="DP97" s="1427"/>
      <c r="DQ97" s="1427"/>
      <c r="DR97" s="1427"/>
      <c r="DS97" s="1427"/>
      <c r="DT97" s="1427"/>
      <c r="DU97" s="1427"/>
      <c r="DV97" s="1427"/>
      <c r="DW97" s="1427"/>
      <c r="DX97" s="1427"/>
      <c r="DY97" s="1427"/>
      <c r="DZ97" s="1427"/>
      <c r="EA97" s="1427"/>
      <c r="EB97" s="1427"/>
      <c r="EC97" s="1427"/>
      <c r="ED97" s="1427"/>
    </row>
    <row r="98" spans="2:134" ht="18.75" outlineLevel="1" x14ac:dyDescent="0.3">
      <c r="B98" s="169"/>
      <c r="C98" s="1675"/>
      <c r="D98" s="1501" t="s">
        <v>233</v>
      </c>
      <c r="E98" s="1502"/>
      <c r="F98" s="1502"/>
      <c r="G98" s="1502"/>
      <c r="H98" s="1502"/>
      <c r="I98" s="1502"/>
      <c r="J98" s="1502"/>
      <c r="K98" s="1502"/>
      <c r="L98" s="1502"/>
      <c r="M98" s="1502"/>
      <c r="N98" s="1498">
        <f>N95/$T$98</f>
        <v>0.70516078431372553</v>
      </c>
      <c r="O98" s="1498">
        <f t="shared" ref="O98:P98" si="1182">O95/$T$98</f>
        <v>0.76382745098039218</v>
      </c>
      <c r="P98" s="1498">
        <f t="shared" si="1182"/>
        <v>0.68894117647058828</v>
      </c>
      <c r="Q98" s="1499"/>
      <c r="R98" s="1500"/>
      <c r="S98" s="1371"/>
      <c r="T98" s="1497">
        <f>((S93*T93))</f>
        <v>10</v>
      </c>
      <c r="U98" s="1102"/>
      <c r="V98" s="1102"/>
      <c r="W98" s="1427"/>
      <c r="X98" s="1427"/>
      <c r="Y98" s="1427"/>
      <c r="Z98" s="1427"/>
      <c r="AA98" s="1427"/>
      <c r="AB98" s="1427"/>
      <c r="AC98" s="1427"/>
      <c r="AD98" s="1427"/>
      <c r="AE98" s="1427"/>
      <c r="AF98" s="1427"/>
      <c r="AG98" s="1427"/>
      <c r="AH98" s="1427"/>
      <c r="AI98" s="1427"/>
      <c r="AJ98" s="1427"/>
      <c r="AK98" s="1427"/>
      <c r="AL98" s="1427"/>
      <c r="AM98" s="1427"/>
      <c r="AN98" s="1427"/>
      <c r="AO98" s="1427"/>
      <c r="AP98" s="1427"/>
      <c r="AQ98" s="1427"/>
      <c r="AR98" s="1427"/>
      <c r="AS98" s="1427"/>
      <c r="AT98" s="1427"/>
      <c r="AU98" s="1427"/>
      <c r="AV98" s="1427"/>
      <c r="AW98" s="1427"/>
      <c r="AX98" s="1427"/>
      <c r="AY98" s="1427"/>
      <c r="AZ98" s="1427"/>
      <c r="BA98" s="1427"/>
      <c r="BB98" s="1427"/>
      <c r="BC98" s="1427"/>
      <c r="BD98" s="1427"/>
      <c r="BE98" s="1427"/>
      <c r="BF98" s="1427"/>
      <c r="BG98" s="1427"/>
      <c r="BH98" s="1427"/>
      <c r="BI98" s="1427"/>
      <c r="BJ98" s="1427"/>
      <c r="BK98" s="1427"/>
      <c r="BL98" s="1427"/>
      <c r="BM98" s="1427"/>
      <c r="BN98" s="1427"/>
      <c r="BO98" s="1427"/>
      <c r="BP98" s="1427"/>
      <c r="BQ98" s="1427"/>
      <c r="BR98" s="1427"/>
      <c r="BS98" s="1427"/>
      <c r="BT98" s="1427"/>
      <c r="BU98" s="1427"/>
      <c r="BV98" s="1427"/>
      <c r="BW98" s="1427"/>
      <c r="BX98" s="1427"/>
      <c r="BY98" s="1427"/>
      <c r="BZ98" s="1427"/>
      <c r="CA98" s="1427"/>
      <c r="CB98" s="1427"/>
      <c r="CC98" s="1427"/>
      <c r="CD98" s="1427"/>
      <c r="CE98" s="1427"/>
      <c r="CF98" s="1427"/>
      <c r="CG98" s="1427"/>
      <c r="CH98" s="1427"/>
      <c r="CI98" s="1427"/>
      <c r="CJ98" s="1427"/>
      <c r="CK98" s="1427"/>
      <c r="CL98" s="1427"/>
      <c r="CM98" s="1427"/>
      <c r="CN98" s="1427"/>
      <c r="CO98" s="1427"/>
      <c r="CP98" s="1427"/>
      <c r="CQ98" s="1427"/>
      <c r="CR98" s="1427"/>
      <c r="CS98" s="1427"/>
      <c r="CT98" s="1427"/>
      <c r="CU98" s="1427"/>
      <c r="CV98" s="1427"/>
      <c r="CW98" s="1427"/>
      <c r="CX98" s="1427"/>
      <c r="CY98" s="1427"/>
      <c r="CZ98" s="1427"/>
      <c r="DA98" s="1427"/>
      <c r="DB98" s="1427"/>
      <c r="DC98" s="1427"/>
      <c r="DD98" s="1427"/>
      <c r="DE98" s="1427"/>
      <c r="DF98" s="1427"/>
      <c r="DG98" s="1427"/>
      <c r="DH98" s="1427"/>
      <c r="DI98" s="1427"/>
      <c r="DJ98" s="1427"/>
      <c r="DK98" s="1427"/>
      <c r="DL98" s="1427"/>
      <c r="DM98" s="1427"/>
      <c r="DN98" s="1427"/>
      <c r="DO98" s="1427"/>
      <c r="DP98" s="1427"/>
      <c r="DQ98" s="1427"/>
      <c r="DR98" s="1427"/>
      <c r="DS98" s="1427"/>
      <c r="DT98" s="1427"/>
      <c r="DU98" s="1427"/>
      <c r="DV98" s="1427"/>
      <c r="DW98" s="1427"/>
      <c r="DX98" s="1427"/>
      <c r="DY98" s="1427"/>
      <c r="DZ98" s="1427"/>
      <c r="EA98" s="1427"/>
      <c r="EB98" s="1427"/>
      <c r="EC98" s="1427"/>
      <c r="ED98" s="1427"/>
    </row>
    <row r="99" spans="2:134" ht="18.75" x14ac:dyDescent="0.3">
      <c r="B99" s="169"/>
      <c r="C99" s="1675"/>
      <c r="D99" s="169"/>
      <c r="AI99" s="937"/>
      <c r="AU99" s="937"/>
      <c r="BG99" s="937"/>
      <c r="BS99" s="937"/>
      <c r="CE99" s="937"/>
      <c r="CQ99" s="937"/>
      <c r="DC99" s="937"/>
      <c r="DO99" s="937"/>
      <c r="EA99" s="937"/>
    </row>
    <row r="100" spans="2:134" ht="18.75" outlineLevel="1" x14ac:dyDescent="0.3">
      <c r="C100" s="1279"/>
      <c r="D100" s="1019" t="s">
        <v>266</v>
      </c>
      <c r="E100" s="722"/>
      <c r="F100" s="722"/>
      <c r="G100" s="722"/>
      <c r="H100" s="722"/>
      <c r="I100" s="722"/>
      <c r="J100" s="722"/>
      <c r="K100" s="722"/>
      <c r="L100" s="1020"/>
      <c r="M100" s="722"/>
      <c r="N100" s="1021" t="s">
        <v>267</v>
      </c>
      <c r="O100" s="722"/>
      <c r="P100" s="722"/>
      <c r="Q100" s="722"/>
      <c r="R100" s="1020"/>
      <c r="S100" s="722"/>
      <c r="T100" s="722"/>
      <c r="U100" s="722"/>
      <c r="V100" s="1080">
        <f>SUM(V102,V104,V106,V110,V112,V116,V118,V120,V122)</f>
        <v>8</v>
      </c>
      <c r="W100" s="1086">
        <f>SUM(V102,V104,V106,V110,V112,V116,V118,V120,V122)</f>
        <v>8</v>
      </c>
      <c r="X100" s="1087">
        <f>SUM(W102,W104,W106,W110,W112,W116,W118,W120,W122)</f>
        <v>0</v>
      </c>
      <c r="Y100" s="1087">
        <f t="shared" ref="Y100:BB100" si="1183">SUM(X102,X104,X106,X110,X112,X116,X118,X120,X122)</f>
        <v>0</v>
      </c>
      <c r="Z100" s="1087">
        <f t="shared" si="1183"/>
        <v>0</v>
      </c>
      <c r="AA100" s="1087">
        <f t="shared" si="1183"/>
        <v>0</v>
      </c>
      <c r="AB100" s="1087">
        <f t="shared" si="1183"/>
        <v>0</v>
      </c>
      <c r="AC100" s="1087">
        <f t="shared" si="1183"/>
        <v>0</v>
      </c>
      <c r="AD100" s="1087">
        <f t="shared" si="1183"/>
        <v>0</v>
      </c>
      <c r="AE100" s="1087">
        <f>SUM(AD102,AD104,AD106,AD110,AD112,AD116,AD118,AD120,AD122)</f>
        <v>0</v>
      </c>
      <c r="AF100" s="1087">
        <f t="shared" si="1183"/>
        <v>0</v>
      </c>
      <c r="AG100" s="1087">
        <f t="shared" si="1183"/>
        <v>0</v>
      </c>
      <c r="AH100" s="1087">
        <f t="shared" si="1183"/>
        <v>0</v>
      </c>
      <c r="AI100" s="1088">
        <f t="shared" si="1183"/>
        <v>0</v>
      </c>
      <c r="AJ100" s="1087">
        <f t="shared" si="1183"/>
        <v>0</v>
      </c>
      <c r="AK100" s="1087">
        <f t="shared" si="1183"/>
        <v>0</v>
      </c>
      <c r="AL100" s="1087">
        <f t="shared" si="1183"/>
        <v>0</v>
      </c>
      <c r="AM100" s="1087">
        <f t="shared" si="1183"/>
        <v>0</v>
      </c>
      <c r="AN100" s="1087">
        <f>SUM(AM102,AM104,AM106,AM110,AM112,AM116,AM118,AM120,AM122)</f>
        <v>0</v>
      </c>
      <c r="AO100" s="1087">
        <f t="shared" si="1183"/>
        <v>0</v>
      </c>
      <c r="AP100" s="1087">
        <f t="shared" si="1183"/>
        <v>0</v>
      </c>
      <c r="AQ100" s="1087">
        <f t="shared" si="1183"/>
        <v>0</v>
      </c>
      <c r="AR100" s="1087">
        <f t="shared" si="1183"/>
        <v>0</v>
      </c>
      <c r="AS100" s="1087">
        <f t="shared" si="1183"/>
        <v>0</v>
      </c>
      <c r="AT100" s="1087">
        <f t="shared" si="1183"/>
        <v>0</v>
      </c>
      <c r="AU100" s="1088">
        <f t="shared" si="1183"/>
        <v>0</v>
      </c>
      <c r="AV100" s="1087">
        <f t="shared" si="1183"/>
        <v>0</v>
      </c>
      <c r="AW100" s="1087">
        <f t="shared" si="1183"/>
        <v>0</v>
      </c>
      <c r="AX100" s="1087">
        <f t="shared" si="1183"/>
        <v>0</v>
      </c>
      <c r="AY100" s="1087">
        <f t="shared" si="1183"/>
        <v>0</v>
      </c>
      <c r="AZ100" s="1087">
        <f t="shared" si="1183"/>
        <v>0</v>
      </c>
      <c r="BA100" s="1087">
        <f t="shared" si="1183"/>
        <v>0</v>
      </c>
      <c r="BB100" s="1087">
        <f t="shared" si="1183"/>
        <v>0</v>
      </c>
      <c r="BC100" s="1087">
        <f t="shared" ref="BC100:CH100" si="1184">SUM(BB102,BB104,BB106,BB110,BB112,BB116,BB118,BB120,BB122)</f>
        <v>0</v>
      </c>
      <c r="BD100" s="1087">
        <f t="shared" si="1184"/>
        <v>0</v>
      </c>
      <c r="BE100" s="1087">
        <f t="shared" si="1184"/>
        <v>0</v>
      </c>
      <c r="BF100" s="1087">
        <f t="shared" si="1184"/>
        <v>0</v>
      </c>
      <c r="BG100" s="1088">
        <f t="shared" si="1184"/>
        <v>0</v>
      </c>
      <c r="BH100" s="1087">
        <f t="shared" si="1184"/>
        <v>0</v>
      </c>
      <c r="BI100" s="1087">
        <f t="shared" si="1184"/>
        <v>0</v>
      </c>
      <c r="BJ100" s="1087">
        <f t="shared" si="1184"/>
        <v>0</v>
      </c>
      <c r="BK100" s="1087">
        <f t="shared" si="1184"/>
        <v>0</v>
      </c>
      <c r="BL100" s="1087">
        <f t="shared" si="1184"/>
        <v>0</v>
      </c>
      <c r="BM100" s="1087">
        <f t="shared" si="1184"/>
        <v>0</v>
      </c>
      <c r="BN100" s="1087">
        <f t="shared" si="1184"/>
        <v>0</v>
      </c>
      <c r="BO100" s="1087">
        <f t="shared" si="1184"/>
        <v>0</v>
      </c>
      <c r="BP100" s="1087">
        <f t="shared" si="1184"/>
        <v>0</v>
      </c>
      <c r="BQ100" s="1087">
        <f t="shared" si="1184"/>
        <v>0</v>
      </c>
      <c r="BR100" s="1087">
        <f t="shared" si="1184"/>
        <v>0</v>
      </c>
      <c r="BS100" s="1088">
        <f t="shared" si="1184"/>
        <v>0</v>
      </c>
      <c r="BT100" s="1087">
        <f t="shared" si="1184"/>
        <v>0</v>
      </c>
      <c r="BU100" s="1087">
        <f t="shared" si="1184"/>
        <v>0</v>
      </c>
      <c r="BV100" s="1087">
        <f t="shared" si="1184"/>
        <v>0</v>
      </c>
      <c r="BW100" s="1087">
        <f t="shared" si="1184"/>
        <v>0</v>
      </c>
      <c r="BX100" s="1087">
        <f t="shared" si="1184"/>
        <v>0</v>
      </c>
      <c r="BY100" s="1087">
        <f t="shared" si="1184"/>
        <v>0</v>
      </c>
      <c r="BZ100" s="1087">
        <f t="shared" si="1184"/>
        <v>0</v>
      </c>
      <c r="CA100" s="1087">
        <f t="shared" si="1184"/>
        <v>0</v>
      </c>
      <c r="CB100" s="1087">
        <f t="shared" si="1184"/>
        <v>0</v>
      </c>
      <c r="CC100" s="1087">
        <f t="shared" si="1184"/>
        <v>0</v>
      </c>
      <c r="CD100" s="1087">
        <f t="shared" si="1184"/>
        <v>0</v>
      </c>
      <c r="CE100" s="1088">
        <f t="shared" si="1184"/>
        <v>0</v>
      </c>
      <c r="CF100" s="1087">
        <f t="shared" si="1184"/>
        <v>0</v>
      </c>
      <c r="CG100" s="1087">
        <f t="shared" si="1184"/>
        <v>0</v>
      </c>
      <c r="CH100" s="1087">
        <f t="shared" si="1184"/>
        <v>0</v>
      </c>
      <c r="CI100" s="1087">
        <f t="shared" ref="CI100:DN100" si="1185">SUM(CH102,CH104,CH106,CH110,CH112,CH116,CH118,CH120,CH122)</f>
        <v>0</v>
      </c>
      <c r="CJ100" s="1087">
        <f t="shared" si="1185"/>
        <v>0</v>
      </c>
      <c r="CK100" s="1087">
        <f t="shared" si="1185"/>
        <v>0</v>
      </c>
      <c r="CL100" s="1087">
        <f t="shared" si="1185"/>
        <v>0</v>
      </c>
      <c r="CM100" s="1087">
        <f t="shared" si="1185"/>
        <v>0</v>
      </c>
      <c r="CN100" s="1087">
        <f t="shared" si="1185"/>
        <v>0</v>
      </c>
      <c r="CO100" s="1087">
        <f t="shared" si="1185"/>
        <v>0</v>
      </c>
      <c r="CP100" s="1087">
        <f t="shared" si="1185"/>
        <v>0</v>
      </c>
      <c r="CQ100" s="1088">
        <f t="shared" si="1185"/>
        <v>0</v>
      </c>
      <c r="CR100" s="1087">
        <f t="shared" si="1185"/>
        <v>0</v>
      </c>
      <c r="CS100" s="1087">
        <f t="shared" si="1185"/>
        <v>0</v>
      </c>
      <c r="CT100" s="1087">
        <f t="shared" si="1185"/>
        <v>0</v>
      </c>
      <c r="CU100" s="1087">
        <f t="shared" si="1185"/>
        <v>0</v>
      </c>
      <c r="CV100" s="1087">
        <f t="shared" si="1185"/>
        <v>0</v>
      </c>
      <c r="CW100" s="1087">
        <f t="shared" si="1185"/>
        <v>0</v>
      </c>
      <c r="CX100" s="1087">
        <f t="shared" si="1185"/>
        <v>0</v>
      </c>
      <c r="CY100" s="1087">
        <f t="shared" si="1185"/>
        <v>0</v>
      </c>
      <c r="CZ100" s="1087">
        <f t="shared" si="1185"/>
        <v>0</v>
      </c>
      <c r="DA100" s="1087">
        <f t="shared" si="1185"/>
        <v>0</v>
      </c>
      <c r="DB100" s="1087">
        <f t="shared" si="1185"/>
        <v>0</v>
      </c>
      <c r="DC100" s="1088">
        <f t="shared" si="1185"/>
        <v>0</v>
      </c>
      <c r="DD100" s="1087">
        <f t="shared" si="1185"/>
        <v>0</v>
      </c>
      <c r="DE100" s="1087">
        <f t="shared" si="1185"/>
        <v>0</v>
      </c>
      <c r="DF100" s="1087">
        <f t="shared" si="1185"/>
        <v>0</v>
      </c>
      <c r="DG100" s="1087">
        <f t="shared" si="1185"/>
        <v>0</v>
      </c>
      <c r="DH100" s="1087">
        <f t="shared" si="1185"/>
        <v>0</v>
      </c>
      <c r="DI100" s="1087">
        <f t="shared" si="1185"/>
        <v>0</v>
      </c>
      <c r="DJ100" s="1087">
        <f t="shared" si="1185"/>
        <v>0</v>
      </c>
      <c r="DK100" s="1087">
        <f t="shared" si="1185"/>
        <v>0</v>
      </c>
      <c r="DL100" s="1087">
        <f t="shared" si="1185"/>
        <v>0</v>
      </c>
      <c r="DM100" s="1087">
        <f t="shared" si="1185"/>
        <v>0</v>
      </c>
      <c r="DN100" s="1087">
        <f t="shared" si="1185"/>
        <v>0</v>
      </c>
      <c r="DO100" s="1088">
        <f t="shared" ref="DO100:ED100" si="1186">SUM(DN102,DN104,DN106,DN110,DN112,DN116,DN118,DN120,DN122)</f>
        <v>0</v>
      </c>
      <c r="DP100" s="1087">
        <f t="shared" si="1186"/>
        <v>0</v>
      </c>
      <c r="DQ100" s="1087">
        <f t="shared" si="1186"/>
        <v>0</v>
      </c>
      <c r="DR100" s="1087">
        <f t="shared" si="1186"/>
        <v>0</v>
      </c>
      <c r="DS100" s="1087">
        <f t="shared" si="1186"/>
        <v>0</v>
      </c>
      <c r="DT100" s="1087">
        <f t="shared" si="1186"/>
        <v>0</v>
      </c>
      <c r="DU100" s="1087">
        <f t="shared" si="1186"/>
        <v>0</v>
      </c>
      <c r="DV100" s="1087">
        <f t="shared" si="1186"/>
        <v>0</v>
      </c>
      <c r="DW100" s="1087">
        <f t="shared" si="1186"/>
        <v>0</v>
      </c>
      <c r="DX100" s="1087">
        <f t="shared" si="1186"/>
        <v>0</v>
      </c>
      <c r="DY100" s="1087">
        <f t="shared" si="1186"/>
        <v>0</v>
      </c>
      <c r="DZ100" s="1087">
        <f t="shared" si="1186"/>
        <v>0</v>
      </c>
      <c r="EA100" s="1088">
        <f t="shared" si="1186"/>
        <v>0</v>
      </c>
      <c r="EB100" s="1087">
        <f t="shared" si="1186"/>
        <v>0</v>
      </c>
      <c r="EC100" s="1087">
        <f t="shared" si="1186"/>
        <v>0</v>
      </c>
      <c r="ED100" s="1089">
        <f t="shared" si="1186"/>
        <v>0</v>
      </c>
    </row>
    <row r="101" spans="2:134" outlineLevel="1" x14ac:dyDescent="0.25">
      <c r="C101" s="1279"/>
      <c r="D101" s="1672" t="s">
        <v>268</v>
      </c>
      <c r="E101" s="1672"/>
      <c r="F101" s="1672"/>
      <c r="G101" s="1672"/>
      <c r="H101" s="1672"/>
      <c r="I101" s="1672"/>
      <c r="J101" s="1672"/>
      <c r="K101" s="1672"/>
      <c r="L101" s="1020"/>
      <c r="M101" s="1328">
        <f>N101*100</f>
        <v>0</v>
      </c>
      <c r="N101" s="1022"/>
      <c r="O101" s="1023"/>
      <c r="P101" s="1023"/>
      <c r="Q101" s="1023"/>
      <c r="R101" s="1024">
        <f>P101-N101</f>
        <v>0</v>
      </c>
      <c r="S101" s="1025">
        <f>Q101*100</f>
        <v>0</v>
      </c>
      <c r="T101" s="1025"/>
      <c r="U101" s="722"/>
      <c r="V101" s="1080"/>
      <c r="W101" s="1097">
        <f>M101</f>
        <v>0</v>
      </c>
      <c r="X101" s="1098">
        <f>W101</f>
        <v>0</v>
      </c>
      <c r="Y101" s="1098">
        <f>X101</f>
        <v>0</v>
      </c>
      <c r="Z101" s="1098">
        <f>O101*100</f>
        <v>0</v>
      </c>
      <c r="AA101" s="1098">
        <f>Z101</f>
        <v>0</v>
      </c>
      <c r="AB101" s="1098">
        <f>AA101</f>
        <v>0</v>
      </c>
      <c r="AC101" s="1098">
        <f>P101*100</f>
        <v>0</v>
      </c>
      <c r="AD101" s="1098">
        <f>AC101</f>
        <v>0</v>
      </c>
      <c r="AE101" s="1098">
        <f>AD101</f>
        <v>0</v>
      </c>
      <c r="AF101" s="1098">
        <f>AE101</f>
        <v>0</v>
      </c>
      <c r="AG101" s="1098">
        <f>AF101</f>
        <v>0</v>
      </c>
      <c r="AH101" s="1098">
        <f>AG101</f>
        <v>0</v>
      </c>
      <c r="AI101" s="1099">
        <f t="shared" ref="AI101:AT101" si="1187">(((AH101*(1+($B$36*$B$4)))-AH101)/12)+AH101</f>
        <v>0</v>
      </c>
      <c r="AJ101" s="1098">
        <f t="shared" si="1187"/>
        <v>0</v>
      </c>
      <c r="AK101" s="1098">
        <f t="shared" si="1187"/>
        <v>0</v>
      </c>
      <c r="AL101" s="1098">
        <f t="shared" si="1187"/>
        <v>0</v>
      </c>
      <c r="AM101" s="1098">
        <f t="shared" si="1187"/>
        <v>0</v>
      </c>
      <c r="AN101" s="1098">
        <f t="shared" si="1187"/>
        <v>0</v>
      </c>
      <c r="AO101" s="1098">
        <f t="shared" si="1187"/>
        <v>0</v>
      </c>
      <c r="AP101" s="1098">
        <f t="shared" si="1187"/>
        <v>0</v>
      </c>
      <c r="AQ101" s="1098">
        <f t="shared" si="1187"/>
        <v>0</v>
      </c>
      <c r="AR101" s="1098">
        <f t="shared" si="1187"/>
        <v>0</v>
      </c>
      <c r="AS101" s="1098">
        <f t="shared" si="1187"/>
        <v>0</v>
      </c>
      <c r="AT101" s="1098">
        <f t="shared" si="1187"/>
        <v>0</v>
      </c>
      <c r="AU101" s="1099">
        <f t="shared" ref="AU101:BF101" si="1188">(((AT101*(1+($B$37*$B$4)))-AT101)/12)+AT101</f>
        <v>0</v>
      </c>
      <c r="AV101" s="1098">
        <f t="shared" si="1188"/>
        <v>0</v>
      </c>
      <c r="AW101" s="1098">
        <f t="shared" si="1188"/>
        <v>0</v>
      </c>
      <c r="AX101" s="1098">
        <f t="shared" si="1188"/>
        <v>0</v>
      </c>
      <c r="AY101" s="1098">
        <f t="shared" si="1188"/>
        <v>0</v>
      </c>
      <c r="AZ101" s="1098">
        <f t="shared" si="1188"/>
        <v>0</v>
      </c>
      <c r="BA101" s="1098">
        <f t="shared" si="1188"/>
        <v>0</v>
      </c>
      <c r="BB101" s="1098">
        <f t="shared" si="1188"/>
        <v>0</v>
      </c>
      <c r="BC101" s="1098">
        <f t="shared" si="1188"/>
        <v>0</v>
      </c>
      <c r="BD101" s="1098">
        <f t="shared" si="1188"/>
        <v>0</v>
      </c>
      <c r="BE101" s="1098">
        <f t="shared" si="1188"/>
        <v>0</v>
      </c>
      <c r="BF101" s="1098">
        <f t="shared" si="1188"/>
        <v>0</v>
      </c>
      <c r="BG101" s="1099">
        <f t="shared" ref="BG101:BR101" si="1189">(((BF101*(1+($B$38*$B$4)))-BF101)/12)+BF101</f>
        <v>0</v>
      </c>
      <c r="BH101" s="1098">
        <f t="shared" si="1189"/>
        <v>0</v>
      </c>
      <c r="BI101" s="1098">
        <f t="shared" si="1189"/>
        <v>0</v>
      </c>
      <c r="BJ101" s="1098">
        <f t="shared" si="1189"/>
        <v>0</v>
      </c>
      <c r="BK101" s="1098">
        <f t="shared" si="1189"/>
        <v>0</v>
      </c>
      <c r="BL101" s="1098">
        <f t="shared" si="1189"/>
        <v>0</v>
      </c>
      <c r="BM101" s="1098">
        <f t="shared" si="1189"/>
        <v>0</v>
      </c>
      <c r="BN101" s="1098">
        <f t="shared" si="1189"/>
        <v>0</v>
      </c>
      <c r="BO101" s="1098">
        <f t="shared" si="1189"/>
        <v>0</v>
      </c>
      <c r="BP101" s="1098">
        <f t="shared" si="1189"/>
        <v>0</v>
      </c>
      <c r="BQ101" s="1098">
        <f t="shared" si="1189"/>
        <v>0</v>
      </c>
      <c r="BR101" s="1098">
        <f t="shared" si="1189"/>
        <v>0</v>
      </c>
      <c r="BS101" s="1099">
        <f t="shared" ref="BS101:CD101" si="1190">(((BR101*(1+($B$39*$B$4)))-BR101)/12)+BR101</f>
        <v>0</v>
      </c>
      <c r="BT101" s="1098">
        <f t="shared" si="1190"/>
        <v>0</v>
      </c>
      <c r="BU101" s="1098">
        <f t="shared" si="1190"/>
        <v>0</v>
      </c>
      <c r="BV101" s="1098">
        <f t="shared" si="1190"/>
        <v>0</v>
      </c>
      <c r="BW101" s="1098">
        <f t="shared" si="1190"/>
        <v>0</v>
      </c>
      <c r="BX101" s="1098">
        <f t="shared" si="1190"/>
        <v>0</v>
      </c>
      <c r="BY101" s="1098">
        <f t="shared" si="1190"/>
        <v>0</v>
      </c>
      <c r="BZ101" s="1098">
        <f t="shared" si="1190"/>
        <v>0</v>
      </c>
      <c r="CA101" s="1098">
        <f t="shared" si="1190"/>
        <v>0</v>
      </c>
      <c r="CB101" s="1098">
        <f t="shared" si="1190"/>
        <v>0</v>
      </c>
      <c r="CC101" s="1098">
        <f t="shared" si="1190"/>
        <v>0</v>
      </c>
      <c r="CD101" s="1098">
        <f t="shared" si="1190"/>
        <v>0</v>
      </c>
      <c r="CE101" s="1099">
        <f t="shared" ref="CE101:CP101" si="1191">(((CD101*(1+($B$40*$B$4)))-CD101)/12)+CD101</f>
        <v>0</v>
      </c>
      <c r="CF101" s="1098">
        <f t="shared" si="1191"/>
        <v>0</v>
      </c>
      <c r="CG101" s="1098">
        <f t="shared" si="1191"/>
        <v>0</v>
      </c>
      <c r="CH101" s="1098">
        <f t="shared" si="1191"/>
        <v>0</v>
      </c>
      <c r="CI101" s="1098">
        <f t="shared" si="1191"/>
        <v>0</v>
      </c>
      <c r="CJ101" s="1098">
        <f t="shared" si="1191"/>
        <v>0</v>
      </c>
      <c r="CK101" s="1098">
        <f t="shared" si="1191"/>
        <v>0</v>
      </c>
      <c r="CL101" s="1098">
        <f t="shared" si="1191"/>
        <v>0</v>
      </c>
      <c r="CM101" s="1098">
        <f t="shared" si="1191"/>
        <v>0</v>
      </c>
      <c r="CN101" s="1098">
        <f t="shared" si="1191"/>
        <v>0</v>
      </c>
      <c r="CO101" s="1098">
        <f t="shared" si="1191"/>
        <v>0</v>
      </c>
      <c r="CP101" s="1098">
        <f t="shared" si="1191"/>
        <v>0</v>
      </c>
      <c r="CQ101" s="1099">
        <f t="shared" ref="CQ101:DB101" si="1192">(((CP101*(1+($B$41*$B$4)))-CP101)/12)+CP101</f>
        <v>0</v>
      </c>
      <c r="CR101" s="1098">
        <f t="shared" si="1192"/>
        <v>0</v>
      </c>
      <c r="CS101" s="1098">
        <f t="shared" si="1192"/>
        <v>0</v>
      </c>
      <c r="CT101" s="1098">
        <f t="shared" si="1192"/>
        <v>0</v>
      </c>
      <c r="CU101" s="1098">
        <f t="shared" si="1192"/>
        <v>0</v>
      </c>
      <c r="CV101" s="1098">
        <f t="shared" si="1192"/>
        <v>0</v>
      </c>
      <c r="CW101" s="1098">
        <f t="shared" si="1192"/>
        <v>0</v>
      </c>
      <c r="CX101" s="1098">
        <f t="shared" si="1192"/>
        <v>0</v>
      </c>
      <c r="CY101" s="1098">
        <f t="shared" si="1192"/>
        <v>0</v>
      </c>
      <c r="CZ101" s="1098">
        <f t="shared" si="1192"/>
        <v>0</v>
      </c>
      <c r="DA101" s="1098">
        <f t="shared" si="1192"/>
        <v>0</v>
      </c>
      <c r="DB101" s="1098">
        <f t="shared" si="1192"/>
        <v>0</v>
      </c>
      <c r="DC101" s="1099">
        <f t="shared" ref="DC101:DN101" si="1193">(((DB101*(1+($B$42*$B$4)))-DB101)/12)+DB101</f>
        <v>0</v>
      </c>
      <c r="DD101" s="1098">
        <f t="shared" si="1193"/>
        <v>0</v>
      </c>
      <c r="DE101" s="1098">
        <f t="shared" si="1193"/>
        <v>0</v>
      </c>
      <c r="DF101" s="1098">
        <f t="shared" si="1193"/>
        <v>0</v>
      </c>
      <c r="DG101" s="1098">
        <f t="shared" si="1193"/>
        <v>0</v>
      </c>
      <c r="DH101" s="1098">
        <f t="shared" si="1193"/>
        <v>0</v>
      </c>
      <c r="DI101" s="1098">
        <f t="shared" si="1193"/>
        <v>0</v>
      </c>
      <c r="DJ101" s="1098">
        <f t="shared" si="1193"/>
        <v>0</v>
      </c>
      <c r="DK101" s="1098">
        <f t="shared" si="1193"/>
        <v>0</v>
      </c>
      <c r="DL101" s="1098">
        <f t="shared" si="1193"/>
        <v>0</v>
      </c>
      <c r="DM101" s="1098">
        <f t="shared" si="1193"/>
        <v>0</v>
      </c>
      <c r="DN101" s="1098">
        <f t="shared" si="1193"/>
        <v>0</v>
      </c>
      <c r="DO101" s="1099">
        <f t="shared" ref="DO101:DZ101" si="1194">(((DN101*(1+($B$43*$B$4)))-DN101)/12)+DN101</f>
        <v>0</v>
      </c>
      <c r="DP101" s="1098">
        <f t="shared" si="1194"/>
        <v>0</v>
      </c>
      <c r="DQ101" s="1098">
        <f t="shared" si="1194"/>
        <v>0</v>
      </c>
      <c r="DR101" s="1098">
        <f t="shared" si="1194"/>
        <v>0</v>
      </c>
      <c r="DS101" s="1098">
        <f t="shared" si="1194"/>
        <v>0</v>
      </c>
      <c r="DT101" s="1098">
        <f t="shared" si="1194"/>
        <v>0</v>
      </c>
      <c r="DU101" s="1098">
        <f t="shared" si="1194"/>
        <v>0</v>
      </c>
      <c r="DV101" s="1098">
        <f t="shared" si="1194"/>
        <v>0</v>
      </c>
      <c r="DW101" s="1098">
        <f t="shared" si="1194"/>
        <v>0</v>
      </c>
      <c r="DX101" s="1098">
        <f t="shared" si="1194"/>
        <v>0</v>
      </c>
      <c r="DY101" s="1098">
        <f t="shared" si="1194"/>
        <v>0</v>
      </c>
      <c r="DZ101" s="1098">
        <f t="shared" si="1194"/>
        <v>0</v>
      </c>
      <c r="EA101" s="1099">
        <f>(((DZ101*(1+($B$44*$B$4)))-DZ101)/12)+DZ101</f>
        <v>0</v>
      </c>
      <c r="EB101" s="1098">
        <f>(((EA101*(1+($B$44*$B$4)))-EA101)/12)+EA101</f>
        <v>0</v>
      </c>
      <c r="EC101" s="1098">
        <f>(((EB101*(1+($B$44*$B$4)))-EB101)/12)+EB101</f>
        <v>0</v>
      </c>
      <c r="ED101" s="1100">
        <f>(((EC101*(1+($B$44*$B$4)))-EC101)/12)+EC101</f>
        <v>0</v>
      </c>
    </row>
    <row r="102" spans="2:134" outlineLevel="1" x14ac:dyDescent="0.25">
      <c r="C102" s="1279"/>
      <c r="D102" s="1673"/>
      <c r="E102" s="1673"/>
      <c r="F102" s="1673"/>
      <c r="G102" s="1673"/>
      <c r="H102" s="1673"/>
      <c r="I102" s="1673"/>
      <c r="J102" s="1673"/>
      <c r="K102" s="1673"/>
      <c r="L102" s="1026"/>
      <c r="M102" s="1027"/>
      <c r="N102" s="1028"/>
      <c r="O102" s="1029"/>
      <c r="P102" s="1029"/>
      <c r="Q102" s="1029"/>
      <c r="R102" s="1030"/>
      <c r="S102" s="1031"/>
      <c r="T102" s="1031"/>
      <c r="U102" s="1027"/>
      <c r="V102" s="1081">
        <v>1</v>
      </c>
      <c r="W102" s="1094">
        <f>ROUNDUP($V102*(W101/100)/0.8,0)</f>
        <v>0</v>
      </c>
      <c r="X102" s="1074">
        <f t="shared" ref="X102:CI102" si="1195">ROUNDUP($V102*(X101/100)/0.8,0)</f>
        <v>0</v>
      </c>
      <c r="Y102" s="1074">
        <f t="shared" si="1195"/>
        <v>0</v>
      </c>
      <c r="Z102" s="1074">
        <f t="shared" si="1195"/>
        <v>0</v>
      </c>
      <c r="AA102" s="1074">
        <f t="shared" si="1195"/>
        <v>0</v>
      </c>
      <c r="AB102" s="1074">
        <f t="shared" si="1195"/>
        <v>0</v>
      </c>
      <c r="AC102" s="1074">
        <f t="shared" si="1195"/>
        <v>0</v>
      </c>
      <c r="AD102" s="1074">
        <f t="shared" si="1195"/>
        <v>0</v>
      </c>
      <c r="AE102" s="1074">
        <f t="shared" si="1195"/>
        <v>0</v>
      </c>
      <c r="AF102" s="1074">
        <f t="shared" si="1195"/>
        <v>0</v>
      </c>
      <c r="AG102" s="1074">
        <f t="shared" si="1195"/>
        <v>0</v>
      </c>
      <c r="AH102" s="1074">
        <f t="shared" si="1195"/>
        <v>0</v>
      </c>
      <c r="AI102" s="1095">
        <f t="shared" si="1195"/>
        <v>0</v>
      </c>
      <c r="AJ102" s="1074">
        <f t="shared" si="1195"/>
        <v>0</v>
      </c>
      <c r="AK102" s="1074">
        <f t="shared" si="1195"/>
        <v>0</v>
      </c>
      <c r="AL102" s="1074">
        <f t="shared" si="1195"/>
        <v>0</v>
      </c>
      <c r="AM102" s="1074">
        <f t="shared" si="1195"/>
        <v>0</v>
      </c>
      <c r="AN102" s="1074">
        <f t="shared" si="1195"/>
        <v>0</v>
      </c>
      <c r="AO102" s="1074">
        <f t="shared" si="1195"/>
        <v>0</v>
      </c>
      <c r="AP102" s="1074">
        <f t="shared" si="1195"/>
        <v>0</v>
      </c>
      <c r="AQ102" s="1074">
        <f t="shared" si="1195"/>
        <v>0</v>
      </c>
      <c r="AR102" s="1074">
        <f t="shared" si="1195"/>
        <v>0</v>
      </c>
      <c r="AS102" s="1074">
        <f t="shared" si="1195"/>
        <v>0</v>
      </c>
      <c r="AT102" s="1074">
        <f t="shared" si="1195"/>
        <v>0</v>
      </c>
      <c r="AU102" s="1095">
        <f t="shared" si="1195"/>
        <v>0</v>
      </c>
      <c r="AV102" s="1074">
        <f t="shared" si="1195"/>
        <v>0</v>
      </c>
      <c r="AW102" s="1074">
        <f t="shared" si="1195"/>
        <v>0</v>
      </c>
      <c r="AX102" s="1074">
        <f t="shared" si="1195"/>
        <v>0</v>
      </c>
      <c r="AY102" s="1074">
        <f t="shared" si="1195"/>
        <v>0</v>
      </c>
      <c r="AZ102" s="1074">
        <f t="shared" si="1195"/>
        <v>0</v>
      </c>
      <c r="BA102" s="1074">
        <f t="shared" si="1195"/>
        <v>0</v>
      </c>
      <c r="BB102" s="1074">
        <f t="shared" si="1195"/>
        <v>0</v>
      </c>
      <c r="BC102" s="1074">
        <f t="shared" si="1195"/>
        <v>0</v>
      </c>
      <c r="BD102" s="1074">
        <f t="shared" si="1195"/>
        <v>0</v>
      </c>
      <c r="BE102" s="1074">
        <f t="shared" si="1195"/>
        <v>0</v>
      </c>
      <c r="BF102" s="1074">
        <f t="shared" si="1195"/>
        <v>0</v>
      </c>
      <c r="BG102" s="1095">
        <f t="shared" si="1195"/>
        <v>0</v>
      </c>
      <c r="BH102" s="1074">
        <f t="shared" si="1195"/>
        <v>0</v>
      </c>
      <c r="BI102" s="1074">
        <f t="shared" si="1195"/>
        <v>0</v>
      </c>
      <c r="BJ102" s="1074">
        <f t="shared" si="1195"/>
        <v>0</v>
      </c>
      <c r="BK102" s="1074">
        <f t="shared" si="1195"/>
        <v>0</v>
      </c>
      <c r="BL102" s="1074">
        <f t="shared" si="1195"/>
        <v>0</v>
      </c>
      <c r="BM102" s="1074">
        <f t="shared" si="1195"/>
        <v>0</v>
      </c>
      <c r="BN102" s="1074">
        <f t="shared" si="1195"/>
        <v>0</v>
      </c>
      <c r="BO102" s="1074">
        <f t="shared" si="1195"/>
        <v>0</v>
      </c>
      <c r="BP102" s="1074">
        <f t="shared" si="1195"/>
        <v>0</v>
      </c>
      <c r="BQ102" s="1074">
        <f t="shared" si="1195"/>
        <v>0</v>
      </c>
      <c r="BR102" s="1074">
        <f t="shared" si="1195"/>
        <v>0</v>
      </c>
      <c r="BS102" s="1095">
        <f t="shared" si="1195"/>
        <v>0</v>
      </c>
      <c r="BT102" s="1074">
        <f t="shared" si="1195"/>
        <v>0</v>
      </c>
      <c r="BU102" s="1074">
        <f t="shared" si="1195"/>
        <v>0</v>
      </c>
      <c r="BV102" s="1074">
        <f t="shared" si="1195"/>
        <v>0</v>
      </c>
      <c r="BW102" s="1074">
        <f t="shared" si="1195"/>
        <v>0</v>
      </c>
      <c r="BX102" s="1074">
        <f t="shared" si="1195"/>
        <v>0</v>
      </c>
      <c r="BY102" s="1074">
        <f t="shared" si="1195"/>
        <v>0</v>
      </c>
      <c r="BZ102" s="1074">
        <f t="shared" si="1195"/>
        <v>0</v>
      </c>
      <c r="CA102" s="1074">
        <f t="shared" si="1195"/>
        <v>0</v>
      </c>
      <c r="CB102" s="1074">
        <f t="shared" si="1195"/>
        <v>0</v>
      </c>
      <c r="CC102" s="1074">
        <f t="shared" si="1195"/>
        <v>0</v>
      </c>
      <c r="CD102" s="1074">
        <f t="shared" si="1195"/>
        <v>0</v>
      </c>
      <c r="CE102" s="1095">
        <f t="shared" si="1195"/>
        <v>0</v>
      </c>
      <c r="CF102" s="1074">
        <f t="shared" si="1195"/>
        <v>0</v>
      </c>
      <c r="CG102" s="1074">
        <f t="shared" si="1195"/>
        <v>0</v>
      </c>
      <c r="CH102" s="1074">
        <f t="shared" si="1195"/>
        <v>0</v>
      </c>
      <c r="CI102" s="1074">
        <f t="shared" si="1195"/>
        <v>0</v>
      </c>
      <c r="CJ102" s="1074">
        <f t="shared" ref="CJ102:ED102" si="1196">ROUNDUP($V102*(CJ101/100)/0.8,0)</f>
        <v>0</v>
      </c>
      <c r="CK102" s="1074">
        <f t="shared" si="1196"/>
        <v>0</v>
      </c>
      <c r="CL102" s="1074">
        <f t="shared" si="1196"/>
        <v>0</v>
      </c>
      <c r="CM102" s="1074">
        <f t="shared" si="1196"/>
        <v>0</v>
      </c>
      <c r="CN102" s="1074">
        <f t="shared" si="1196"/>
        <v>0</v>
      </c>
      <c r="CO102" s="1074">
        <f t="shared" si="1196"/>
        <v>0</v>
      </c>
      <c r="CP102" s="1074">
        <f t="shared" si="1196"/>
        <v>0</v>
      </c>
      <c r="CQ102" s="1095">
        <f t="shared" si="1196"/>
        <v>0</v>
      </c>
      <c r="CR102" s="1074">
        <f t="shared" si="1196"/>
        <v>0</v>
      </c>
      <c r="CS102" s="1074">
        <f t="shared" si="1196"/>
        <v>0</v>
      </c>
      <c r="CT102" s="1074">
        <f t="shared" si="1196"/>
        <v>0</v>
      </c>
      <c r="CU102" s="1074">
        <f t="shared" si="1196"/>
        <v>0</v>
      </c>
      <c r="CV102" s="1074">
        <f t="shared" si="1196"/>
        <v>0</v>
      </c>
      <c r="CW102" s="1074">
        <f t="shared" si="1196"/>
        <v>0</v>
      </c>
      <c r="CX102" s="1074">
        <f t="shared" si="1196"/>
        <v>0</v>
      </c>
      <c r="CY102" s="1074">
        <f t="shared" si="1196"/>
        <v>0</v>
      </c>
      <c r="CZ102" s="1074">
        <f t="shared" si="1196"/>
        <v>0</v>
      </c>
      <c r="DA102" s="1074">
        <f t="shared" si="1196"/>
        <v>0</v>
      </c>
      <c r="DB102" s="1074">
        <f t="shared" si="1196"/>
        <v>0</v>
      </c>
      <c r="DC102" s="1095">
        <f t="shared" si="1196"/>
        <v>0</v>
      </c>
      <c r="DD102" s="1074">
        <f t="shared" si="1196"/>
        <v>0</v>
      </c>
      <c r="DE102" s="1074">
        <f t="shared" si="1196"/>
        <v>0</v>
      </c>
      <c r="DF102" s="1074">
        <f t="shared" si="1196"/>
        <v>0</v>
      </c>
      <c r="DG102" s="1074">
        <f t="shared" si="1196"/>
        <v>0</v>
      </c>
      <c r="DH102" s="1074">
        <f t="shared" si="1196"/>
        <v>0</v>
      </c>
      <c r="DI102" s="1074">
        <f t="shared" si="1196"/>
        <v>0</v>
      </c>
      <c r="DJ102" s="1074">
        <f t="shared" si="1196"/>
        <v>0</v>
      </c>
      <c r="DK102" s="1074">
        <f t="shared" si="1196"/>
        <v>0</v>
      </c>
      <c r="DL102" s="1074">
        <f t="shared" si="1196"/>
        <v>0</v>
      </c>
      <c r="DM102" s="1074">
        <f t="shared" si="1196"/>
        <v>0</v>
      </c>
      <c r="DN102" s="1074">
        <f t="shared" si="1196"/>
        <v>0</v>
      </c>
      <c r="DO102" s="1095">
        <f t="shared" si="1196"/>
        <v>0</v>
      </c>
      <c r="DP102" s="1074">
        <f t="shared" si="1196"/>
        <v>0</v>
      </c>
      <c r="DQ102" s="1074">
        <f t="shared" si="1196"/>
        <v>0</v>
      </c>
      <c r="DR102" s="1074">
        <f t="shared" si="1196"/>
        <v>0</v>
      </c>
      <c r="DS102" s="1074">
        <f t="shared" si="1196"/>
        <v>0</v>
      </c>
      <c r="DT102" s="1074">
        <f t="shared" si="1196"/>
        <v>0</v>
      </c>
      <c r="DU102" s="1074">
        <f t="shared" si="1196"/>
        <v>0</v>
      </c>
      <c r="DV102" s="1074">
        <f t="shared" si="1196"/>
        <v>0</v>
      </c>
      <c r="DW102" s="1074">
        <f t="shared" si="1196"/>
        <v>0</v>
      </c>
      <c r="DX102" s="1074">
        <f t="shared" si="1196"/>
        <v>0</v>
      </c>
      <c r="DY102" s="1074">
        <f t="shared" si="1196"/>
        <v>0</v>
      </c>
      <c r="DZ102" s="1074">
        <f t="shared" si="1196"/>
        <v>0</v>
      </c>
      <c r="EA102" s="1095">
        <f t="shared" si="1196"/>
        <v>0</v>
      </c>
      <c r="EB102" s="1074">
        <f t="shared" si="1196"/>
        <v>0</v>
      </c>
      <c r="EC102" s="1074">
        <f t="shared" si="1196"/>
        <v>0</v>
      </c>
      <c r="ED102" s="1096">
        <f t="shared" si="1196"/>
        <v>0</v>
      </c>
    </row>
    <row r="103" spans="2:134" outlineLevel="1" x14ac:dyDescent="0.25">
      <c r="C103" s="1279"/>
      <c r="D103" s="1683" t="s">
        <v>269</v>
      </c>
      <c r="E103" s="1683"/>
      <c r="F103" s="1683"/>
      <c r="G103" s="1683"/>
      <c r="H103" s="1683"/>
      <c r="I103" s="1683"/>
      <c r="J103" s="1683"/>
      <c r="K103" s="1683"/>
      <c r="L103" s="1032"/>
      <c r="M103" s="1328">
        <f>N103*100</f>
        <v>0</v>
      </c>
      <c r="N103" s="1033"/>
      <c r="O103" s="1034"/>
      <c r="P103" s="1034"/>
      <c r="Q103" s="1034"/>
      <c r="R103" s="1035">
        <f>P103-N103</f>
        <v>0</v>
      </c>
      <c r="S103" s="1036">
        <f>Q103*100</f>
        <v>0</v>
      </c>
      <c r="T103" s="1036"/>
      <c r="U103" s="689"/>
      <c r="V103" s="1082"/>
      <c r="W103" s="1090">
        <f>M103</f>
        <v>0</v>
      </c>
      <c r="X103" s="1038">
        <f>W103</f>
        <v>0</v>
      </c>
      <c r="Y103" s="1038">
        <f>X103</f>
        <v>0</v>
      </c>
      <c r="Z103" s="1038">
        <f>O103*100</f>
        <v>0</v>
      </c>
      <c r="AA103" s="1038">
        <f>Z103</f>
        <v>0</v>
      </c>
      <c r="AB103" s="1038">
        <f>AA103</f>
        <v>0</v>
      </c>
      <c r="AC103" s="1038">
        <f>P103*100</f>
        <v>0</v>
      </c>
      <c r="AD103" s="1038">
        <f>AC103</f>
        <v>0</v>
      </c>
      <c r="AE103" s="1038">
        <f>AD103</f>
        <v>0</v>
      </c>
      <c r="AF103" s="1038">
        <f>AE103</f>
        <v>0</v>
      </c>
      <c r="AG103" s="1038">
        <f>AF103</f>
        <v>0</v>
      </c>
      <c r="AH103" s="1038">
        <f>AG103</f>
        <v>0</v>
      </c>
      <c r="AI103" s="1039">
        <f t="shared" ref="AI103:AT103" si="1197">(((AH103*(1+($B$36*$B$4)))-AH103)/12)+AH103</f>
        <v>0</v>
      </c>
      <c r="AJ103" s="1038">
        <f t="shared" si="1197"/>
        <v>0</v>
      </c>
      <c r="AK103" s="1038">
        <f t="shared" si="1197"/>
        <v>0</v>
      </c>
      <c r="AL103" s="1038">
        <f t="shared" si="1197"/>
        <v>0</v>
      </c>
      <c r="AM103" s="1038">
        <f t="shared" si="1197"/>
        <v>0</v>
      </c>
      <c r="AN103" s="1038">
        <f t="shared" si="1197"/>
        <v>0</v>
      </c>
      <c r="AO103" s="1038">
        <f t="shared" si="1197"/>
        <v>0</v>
      </c>
      <c r="AP103" s="1038">
        <f t="shared" si="1197"/>
        <v>0</v>
      </c>
      <c r="AQ103" s="1038">
        <f t="shared" si="1197"/>
        <v>0</v>
      </c>
      <c r="AR103" s="1038">
        <f t="shared" si="1197"/>
        <v>0</v>
      </c>
      <c r="AS103" s="1038">
        <f t="shared" si="1197"/>
        <v>0</v>
      </c>
      <c r="AT103" s="1038">
        <f t="shared" si="1197"/>
        <v>0</v>
      </c>
      <c r="AU103" s="1039">
        <f t="shared" ref="AU103:BF103" si="1198">(((AT103*(1+($B$37*$B$4)))-AT103)/12)+AT103</f>
        <v>0</v>
      </c>
      <c r="AV103" s="1038">
        <f t="shared" si="1198"/>
        <v>0</v>
      </c>
      <c r="AW103" s="1038">
        <f t="shared" si="1198"/>
        <v>0</v>
      </c>
      <c r="AX103" s="1038">
        <f t="shared" si="1198"/>
        <v>0</v>
      </c>
      <c r="AY103" s="1038">
        <f t="shared" si="1198"/>
        <v>0</v>
      </c>
      <c r="AZ103" s="1038">
        <f t="shared" si="1198"/>
        <v>0</v>
      </c>
      <c r="BA103" s="1038">
        <f t="shared" si="1198"/>
        <v>0</v>
      </c>
      <c r="BB103" s="1038">
        <f t="shared" si="1198"/>
        <v>0</v>
      </c>
      <c r="BC103" s="1038">
        <f t="shared" si="1198"/>
        <v>0</v>
      </c>
      <c r="BD103" s="1038">
        <f t="shared" si="1198"/>
        <v>0</v>
      </c>
      <c r="BE103" s="1038">
        <f t="shared" si="1198"/>
        <v>0</v>
      </c>
      <c r="BF103" s="1038">
        <f t="shared" si="1198"/>
        <v>0</v>
      </c>
      <c r="BG103" s="1039">
        <f t="shared" ref="BG103:BR103" si="1199">(((BF103*(1+($B$38*$B$4)))-BF103)/12)+BF103</f>
        <v>0</v>
      </c>
      <c r="BH103" s="1038">
        <f t="shared" si="1199"/>
        <v>0</v>
      </c>
      <c r="BI103" s="1038">
        <f t="shared" si="1199"/>
        <v>0</v>
      </c>
      <c r="BJ103" s="1038">
        <f t="shared" si="1199"/>
        <v>0</v>
      </c>
      <c r="BK103" s="1038">
        <f t="shared" si="1199"/>
        <v>0</v>
      </c>
      <c r="BL103" s="1038">
        <f t="shared" si="1199"/>
        <v>0</v>
      </c>
      <c r="BM103" s="1038">
        <f t="shared" si="1199"/>
        <v>0</v>
      </c>
      <c r="BN103" s="1038">
        <f t="shared" si="1199"/>
        <v>0</v>
      </c>
      <c r="BO103" s="1038">
        <f t="shared" si="1199"/>
        <v>0</v>
      </c>
      <c r="BP103" s="1038">
        <f t="shared" si="1199"/>
        <v>0</v>
      </c>
      <c r="BQ103" s="1038">
        <f t="shared" si="1199"/>
        <v>0</v>
      </c>
      <c r="BR103" s="1038">
        <f t="shared" si="1199"/>
        <v>0</v>
      </c>
      <c r="BS103" s="1039">
        <f t="shared" ref="BS103:CD103" si="1200">(((BR103*(1+($B$39*$B$4)))-BR103)/12)+BR103</f>
        <v>0</v>
      </c>
      <c r="BT103" s="1038">
        <f t="shared" si="1200"/>
        <v>0</v>
      </c>
      <c r="BU103" s="1038">
        <f t="shared" si="1200"/>
        <v>0</v>
      </c>
      <c r="BV103" s="1038">
        <f t="shared" si="1200"/>
        <v>0</v>
      </c>
      <c r="BW103" s="1038">
        <f t="shared" si="1200"/>
        <v>0</v>
      </c>
      <c r="BX103" s="1038">
        <f t="shared" si="1200"/>
        <v>0</v>
      </c>
      <c r="BY103" s="1038">
        <f t="shared" si="1200"/>
        <v>0</v>
      </c>
      <c r="BZ103" s="1038">
        <f t="shared" si="1200"/>
        <v>0</v>
      </c>
      <c r="CA103" s="1038">
        <f t="shared" si="1200"/>
        <v>0</v>
      </c>
      <c r="CB103" s="1038">
        <f t="shared" si="1200"/>
        <v>0</v>
      </c>
      <c r="CC103" s="1038">
        <f t="shared" si="1200"/>
        <v>0</v>
      </c>
      <c r="CD103" s="1038">
        <f t="shared" si="1200"/>
        <v>0</v>
      </c>
      <c r="CE103" s="1039">
        <f t="shared" ref="CE103:CP103" si="1201">(((CD103*(1+($B$40*$B$4)))-CD103)/12)+CD103</f>
        <v>0</v>
      </c>
      <c r="CF103" s="1038">
        <f t="shared" si="1201"/>
        <v>0</v>
      </c>
      <c r="CG103" s="1038">
        <f t="shared" si="1201"/>
        <v>0</v>
      </c>
      <c r="CH103" s="1038">
        <f t="shared" si="1201"/>
        <v>0</v>
      </c>
      <c r="CI103" s="1038">
        <f t="shared" si="1201"/>
        <v>0</v>
      </c>
      <c r="CJ103" s="1038">
        <f t="shared" si="1201"/>
        <v>0</v>
      </c>
      <c r="CK103" s="1038">
        <f t="shared" si="1201"/>
        <v>0</v>
      </c>
      <c r="CL103" s="1038">
        <f t="shared" si="1201"/>
        <v>0</v>
      </c>
      <c r="CM103" s="1038">
        <f t="shared" si="1201"/>
        <v>0</v>
      </c>
      <c r="CN103" s="1038">
        <f t="shared" si="1201"/>
        <v>0</v>
      </c>
      <c r="CO103" s="1038">
        <f t="shared" si="1201"/>
        <v>0</v>
      </c>
      <c r="CP103" s="1038">
        <f t="shared" si="1201"/>
        <v>0</v>
      </c>
      <c r="CQ103" s="1039">
        <f t="shared" ref="CQ103:DB103" si="1202">(((CP103*(1+($B$41*$B$4)))-CP103)/12)+CP103</f>
        <v>0</v>
      </c>
      <c r="CR103" s="1038">
        <f t="shared" si="1202"/>
        <v>0</v>
      </c>
      <c r="CS103" s="1038">
        <f t="shared" si="1202"/>
        <v>0</v>
      </c>
      <c r="CT103" s="1038">
        <f t="shared" si="1202"/>
        <v>0</v>
      </c>
      <c r="CU103" s="1038">
        <f t="shared" si="1202"/>
        <v>0</v>
      </c>
      <c r="CV103" s="1038">
        <f t="shared" si="1202"/>
        <v>0</v>
      </c>
      <c r="CW103" s="1038">
        <f t="shared" si="1202"/>
        <v>0</v>
      </c>
      <c r="CX103" s="1038">
        <f t="shared" si="1202"/>
        <v>0</v>
      </c>
      <c r="CY103" s="1038">
        <f t="shared" si="1202"/>
        <v>0</v>
      </c>
      <c r="CZ103" s="1038">
        <f t="shared" si="1202"/>
        <v>0</v>
      </c>
      <c r="DA103" s="1038">
        <f t="shared" si="1202"/>
        <v>0</v>
      </c>
      <c r="DB103" s="1038">
        <f t="shared" si="1202"/>
        <v>0</v>
      </c>
      <c r="DC103" s="1039">
        <f t="shared" ref="DC103:DN103" si="1203">(((DB103*(1+($B$42*$B$4)))-DB103)/12)+DB103</f>
        <v>0</v>
      </c>
      <c r="DD103" s="1038">
        <f t="shared" si="1203"/>
        <v>0</v>
      </c>
      <c r="DE103" s="1038">
        <f t="shared" si="1203"/>
        <v>0</v>
      </c>
      <c r="DF103" s="1038">
        <f t="shared" si="1203"/>
        <v>0</v>
      </c>
      <c r="DG103" s="1038">
        <f t="shared" si="1203"/>
        <v>0</v>
      </c>
      <c r="DH103" s="1038">
        <f t="shared" si="1203"/>
        <v>0</v>
      </c>
      <c r="DI103" s="1038">
        <f t="shared" si="1203"/>
        <v>0</v>
      </c>
      <c r="DJ103" s="1038">
        <f t="shared" si="1203"/>
        <v>0</v>
      </c>
      <c r="DK103" s="1038">
        <f t="shared" si="1203"/>
        <v>0</v>
      </c>
      <c r="DL103" s="1038">
        <f t="shared" si="1203"/>
        <v>0</v>
      </c>
      <c r="DM103" s="1038">
        <f t="shared" si="1203"/>
        <v>0</v>
      </c>
      <c r="DN103" s="1038">
        <f t="shared" si="1203"/>
        <v>0</v>
      </c>
      <c r="DO103" s="1039">
        <f t="shared" ref="DO103:DZ103" si="1204">(((DN103*(1+($B$43*$B$4)))-DN103)/12)+DN103</f>
        <v>0</v>
      </c>
      <c r="DP103" s="1038">
        <f t="shared" si="1204"/>
        <v>0</v>
      </c>
      <c r="DQ103" s="1038">
        <f t="shared" si="1204"/>
        <v>0</v>
      </c>
      <c r="DR103" s="1038">
        <f t="shared" si="1204"/>
        <v>0</v>
      </c>
      <c r="DS103" s="1038">
        <f t="shared" si="1204"/>
        <v>0</v>
      </c>
      <c r="DT103" s="1038">
        <f t="shared" si="1204"/>
        <v>0</v>
      </c>
      <c r="DU103" s="1038">
        <f t="shared" si="1204"/>
        <v>0</v>
      </c>
      <c r="DV103" s="1038">
        <f t="shared" si="1204"/>
        <v>0</v>
      </c>
      <c r="DW103" s="1038">
        <f t="shared" si="1204"/>
        <v>0</v>
      </c>
      <c r="DX103" s="1038">
        <f t="shared" si="1204"/>
        <v>0</v>
      </c>
      <c r="DY103" s="1038">
        <f t="shared" si="1204"/>
        <v>0</v>
      </c>
      <c r="DZ103" s="1038">
        <f t="shared" si="1204"/>
        <v>0</v>
      </c>
      <c r="EA103" s="1039">
        <f>(((DZ103*(1+($B$44*$B$4)))-DZ103)/12)+DZ103</f>
        <v>0</v>
      </c>
      <c r="EB103" s="1038">
        <f>(((EA103*(1+($B$44*$B$4)))-EA103)/12)+EA103</f>
        <v>0</v>
      </c>
      <c r="EC103" s="1038">
        <f>(((EB103*(1+($B$44*$B$4)))-EB103)/12)+EB103</f>
        <v>0</v>
      </c>
      <c r="ED103" s="1091">
        <f>(((EC103*(1+($B$44*$B$4)))-EC103)/12)+EC103</f>
        <v>0</v>
      </c>
    </row>
    <row r="104" spans="2:134" outlineLevel="1" x14ac:dyDescent="0.25">
      <c r="C104" s="1279"/>
      <c r="D104" s="1683"/>
      <c r="E104" s="1683"/>
      <c r="F104" s="1683"/>
      <c r="G104" s="1683"/>
      <c r="H104" s="1683"/>
      <c r="I104" s="1683"/>
      <c r="J104" s="1683"/>
      <c r="K104" s="1683"/>
      <c r="L104" s="1032"/>
      <c r="M104" s="689"/>
      <c r="N104" s="1033"/>
      <c r="O104" s="1034"/>
      <c r="P104" s="1034"/>
      <c r="Q104" s="1034"/>
      <c r="R104" s="1035"/>
      <c r="S104" s="1036"/>
      <c r="T104" s="1036"/>
      <c r="U104" s="689"/>
      <c r="V104" s="85">
        <v>1</v>
      </c>
      <c r="W104" s="1092">
        <f>ROUNDUP($V104*(W103/100)/0.8,0)</f>
        <v>0</v>
      </c>
      <c r="X104" s="689">
        <f t="shared" ref="X104:CI104" si="1205">ROUNDUP($V104*(X103/100)/0.8,0)</f>
        <v>0</v>
      </c>
      <c r="Y104" s="689">
        <f t="shared" si="1205"/>
        <v>0</v>
      </c>
      <c r="Z104" s="689">
        <f t="shared" si="1205"/>
        <v>0</v>
      </c>
      <c r="AA104" s="689">
        <f t="shared" si="1205"/>
        <v>0</v>
      </c>
      <c r="AB104" s="689">
        <f t="shared" si="1205"/>
        <v>0</v>
      </c>
      <c r="AC104" s="689">
        <f t="shared" si="1205"/>
        <v>0</v>
      </c>
      <c r="AD104" s="689">
        <f t="shared" si="1205"/>
        <v>0</v>
      </c>
      <c r="AE104" s="689">
        <f t="shared" si="1205"/>
        <v>0</v>
      </c>
      <c r="AF104" s="689">
        <f t="shared" si="1205"/>
        <v>0</v>
      </c>
      <c r="AG104" s="689">
        <f t="shared" si="1205"/>
        <v>0</v>
      </c>
      <c r="AH104" s="689">
        <f t="shared" si="1205"/>
        <v>0</v>
      </c>
      <c r="AI104" s="1037">
        <f t="shared" si="1205"/>
        <v>0</v>
      </c>
      <c r="AJ104" s="689">
        <f t="shared" si="1205"/>
        <v>0</v>
      </c>
      <c r="AK104" s="689">
        <f t="shared" si="1205"/>
        <v>0</v>
      </c>
      <c r="AL104" s="689">
        <f t="shared" si="1205"/>
        <v>0</v>
      </c>
      <c r="AM104" s="689">
        <f t="shared" si="1205"/>
        <v>0</v>
      </c>
      <c r="AN104" s="689">
        <f t="shared" si="1205"/>
        <v>0</v>
      </c>
      <c r="AO104" s="689">
        <f t="shared" si="1205"/>
        <v>0</v>
      </c>
      <c r="AP104" s="689">
        <f t="shared" si="1205"/>
        <v>0</v>
      </c>
      <c r="AQ104" s="689">
        <f t="shared" si="1205"/>
        <v>0</v>
      </c>
      <c r="AR104" s="689">
        <f t="shared" si="1205"/>
        <v>0</v>
      </c>
      <c r="AS104" s="689">
        <f t="shared" si="1205"/>
        <v>0</v>
      </c>
      <c r="AT104" s="689">
        <f t="shared" si="1205"/>
        <v>0</v>
      </c>
      <c r="AU104" s="1037">
        <f t="shared" si="1205"/>
        <v>0</v>
      </c>
      <c r="AV104" s="689">
        <f t="shared" si="1205"/>
        <v>0</v>
      </c>
      <c r="AW104" s="689">
        <f t="shared" si="1205"/>
        <v>0</v>
      </c>
      <c r="AX104" s="689">
        <f t="shared" si="1205"/>
        <v>0</v>
      </c>
      <c r="AY104" s="689">
        <f t="shared" si="1205"/>
        <v>0</v>
      </c>
      <c r="AZ104" s="689">
        <f t="shared" si="1205"/>
        <v>0</v>
      </c>
      <c r="BA104" s="689">
        <f t="shared" si="1205"/>
        <v>0</v>
      </c>
      <c r="BB104" s="689">
        <f t="shared" si="1205"/>
        <v>0</v>
      </c>
      <c r="BC104" s="689">
        <f t="shared" si="1205"/>
        <v>0</v>
      </c>
      <c r="BD104" s="689">
        <f t="shared" si="1205"/>
        <v>0</v>
      </c>
      <c r="BE104" s="689">
        <f t="shared" si="1205"/>
        <v>0</v>
      </c>
      <c r="BF104" s="689">
        <f t="shared" si="1205"/>
        <v>0</v>
      </c>
      <c r="BG104" s="1037">
        <f t="shared" si="1205"/>
        <v>0</v>
      </c>
      <c r="BH104" s="689">
        <f t="shared" si="1205"/>
        <v>0</v>
      </c>
      <c r="BI104" s="689">
        <f t="shared" si="1205"/>
        <v>0</v>
      </c>
      <c r="BJ104" s="689">
        <f t="shared" si="1205"/>
        <v>0</v>
      </c>
      <c r="BK104" s="689">
        <f t="shared" si="1205"/>
        <v>0</v>
      </c>
      <c r="BL104" s="689">
        <f t="shared" si="1205"/>
        <v>0</v>
      </c>
      <c r="BM104" s="689">
        <f t="shared" si="1205"/>
        <v>0</v>
      </c>
      <c r="BN104" s="689">
        <f t="shared" si="1205"/>
        <v>0</v>
      </c>
      <c r="BO104" s="689">
        <f t="shared" si="1205"/>
        <v>0</v>
      </c>
      <c r="BP104" s="689">
        <f t="shared" si="1205"/>
        <v>0</v>
      </c>
      <c r="BQ104" s="689">
        <f t="shared" si="1205"/>
        <v>0</v>
      </c>
      <c r="BR104" s="689">
        <f t="shared" si="1205"/>
        <v>0</v>
      </c>
      <c r="BS104" s="1037">
        <f t="shared" si="1205"/>
        <v>0</v>
      </c>
      <c r="BT104" s="689">
        <f t="shared" si="1205"/>
        <v>0</v>
      </c>
      <c r="BU104" s="689">
        <f t="shared" si="1205"/>
        <v>0</v>
      </c>
      <c r="BV104" s="689">
        <f t="shared" si="1205"/>
        <v>0</v>
      </c>
      <c r="BW104" s="689">
        <f t="shared" si="1205"/>
        <v>0</v>
      </c>
      <c r="BX104" s="689">
        <f t="shared" si="1205"/>
        <v>0</v>
      </c>
      <c r="BY104" s="689">
        <f t="shared" si="1205"/>
        <v>0</v>
      </c>
      <c r="BZ104" s="689">
        <f t="shared" si="1205"/>
        <v>0</v>
      </c>
      <c r="CA104" s="689">
        <f t="shared" si="1205"/>
        <v>0</v>
      </c>
      <c r="CB104" s="689">
        <f t="shared" si="1205"/>
        <v>0</v>
      </c>
      <c r="CC104" s="689">
        <f t="shared" si="1205"/>
        <v>0</v>
      </c>
      <c r="CD104" s="689">
        <f t="shared" si="1205"/>
        <v>0</v>
      </c>
      <c r="CE104" s="1037">
        <f t="shared" si="1205"/>
        <v>0</v>
      </c>
      <c r="CF104" s="689">
        <f t="shared" si="1205"/>
        <v>0</v>
      </c>
      <c r="CG104" s="689">
        <f t="shared" si="1205"/>
        <v>0</v>
      </c>
      <c r="CH104" s="689">
        <f t="shared" si="1205"/>
        <v>0</v>
      </c>
      <c r="CI104" s="689">
        <f t="shared" si="1205"/>
        <v>0</v>
      </c>
      <c r="CJ104" s="689">
        <f t="shared" ref="CJ104:ED104" si="1206">ROUNDUP($V104*(CJ103/100)/0.8,0)</f>
        <v>0</v>
      </c>
      <c r="CK104" s="689">
        <f t="shared" si="1206"/>
        <v>0</v>
      </c>
      <c r="CL104" s="689">
        <f t="shared" si="1206"/>
        <v>0</v>
      </c>
      <c r="CM104" s="689">
        <f t="shared" si="1206"/>
        <v>0</v>
      </c>
      <c r="CN104" s="689">
        <f t="shared" si="1206"/>
        <v>0</v>
      </c>
      <c r="CO104" s="689">
        <f t="shared" si="1206"/>
        <v>0</v>
      </c>
      <c r="CP104" s="689">
        <f t="shared" si="1206"/>
        <v>0</v>
      </c>
      <c r="CQ104" s="1037">
        <f t="shared" si="1206"/>
        <v>0</v>
      </c>
      <c r="CR104" s="689">
        <f t="shared" si="1206"/>
        <v>0</v>
      </c>
      <c r="CS104" s="689">
        <f t="shared" si="1206"/>
        <v>0</v>
      </c>
      <c r="CT104" s="689">
        <f t="shared" si="1206"/>
        <v>0</v>
      </c>
      <c r="CU104" s="689">
        <f t="shared" si="1206"/>
        <v>0</v>
      </c>
      <c r="CV104" s="689">
        <f t="shared" si="1206"/>
        <v>0</v>
      </c>
      <c r="CW104" s="689">
        <f t="shared" si="1206"/>
        <v>0</v>
      </c>
      <c r="CX104" s="689">
        <f t="shared" si="1206"/>
        <v>0</v>
      </c>
      <c r="CY104" s="689">
        <f t="shared" si="1206"/>
        <v>0</v>
      </c>
      <c r="CZ104" s="689">
        <f t="shared" si="1206"/>
        <v>0</v>
      </c>
      <c r="DA104" s="689">
        <f t="shared" si="1206"/>
        <v>0</v>
      </c>
      <c r="DB104" s="689">
        <f t="shared" si="1206"/>
        <v>0</v>
      </c>
      <c r="DC104" s="1037">
        <f t="shared" si="1206"/>
        <v>0</v>
      </c>
      <c r="DD104" s="689">
        <f t="shared" si="1206"/>
        <v>0</v>
      </c>
      <c r="DE104" s="689">
        <f t="shared" si="1206"/>
        <v>0</v>
      </c>
      <c r="DF104" s="689">
        <f t="shared" si="1206"/>
        <v>0</v>
      </c>
      <c r="DG104" s="689">
        <f t="shared" si="1206"/>
        <v>0</v>
      </c>
      <c r="DH104" s="689">
        <f t="shared" si="1206"/>
        <v>0</v>
      </c>
      <c r="DI104" s="689">
        <f t="shared" si="1206"/>
        <v>0</v>
      </c>
      <c r="DJ104" s="689">
        <f t="shared" si="1206"/>
        <v>0</v>
      </c>
      <c r="DK104" s="689">
        <f t="shared" si="1206"/>
        <v>0</v>
      </c>
      <c r="DL104" s="689">
        <f t="shared" si="1206"/>
        <v>0</v>
      </c>
      <c r="DM104" s="689">
        <f t="shared" si="1206"/>
        <v>0</v>
      </c>
      <c r="DN104" s="689">
        <f t="shared" si="1206"/>
        <v>0</v>
      </c>
      <c r="DO104" s="1037">
        <f t="shared" si="1206"/>
        <v>0</v>
      </c>
      <c r="DP104" s="689">
        <f t="shared" si="1206"/>
        <v>0</v>
      </c>
      <c r="DQ104" s="689">
        <f t="shared" si="1206"/>
        <v>0</v>
      </c>
      <c r="DR104" s="689">
        <f t="shared" si="1206"/>
        <v>0</v>
      </c>
      <c r="DS104" s="689">
        <f t="shared" si="1206"/>
        <v>0</v>
      </c>
      <c r="DT104" s="689">
        <f t="shared" si="1206"/>
        <v>0</v>
      </c>
      <c r="DU104" s="689">
        <f t="shared" si="1206"/>
        <v>0</v>
      </c>
      <c r="DV104" s="689">
        <f t="shared" si="1206"/>
        <v>0</v>
      </c>
      <c r="DW104" s="689">
        <f t="shared" si="1206"/>
        <v>0</v>
      </c>
      <c r="DX104" s="689">
        <f t="shared" si="1206"/>
        <v>0</v>
      </c>
      <c r="DY104" s="689">
        <f t="shared" si="1206"/>
        <v>0</v>
      </c>
      <c r="DZ104" s="689">
        <f t="shared" si="1206"/>
        <v>0</v>
      </c>
      <c r="EA104" s="1037">
        <f t="shared" si="1206"/>
        <v>0</v>
      </c>
      <c r="EB104" s="689">
        <f t="shared" si="1206"/>
        <v>0</v>
      </c>
      <c r="EC104" s="689">
        <f t="shared" si="1206"/>
        <v>0</v>
      </c>
      <c r="ED104" s="1093">
        <f t="shared" si="1206"/>
        <v>0</v>
      </c>
    </row>
    <row r="105" spans="2:134" outlineLevel="1" x14ac:dyDescent="0.25">
      <c r="C105" s="1279"/>
      <c r="D105" s="1684" t="s">
        <v>270</v>
      </c>
      <c r="E105" s="1684"/>
      <c r="F105" s="1684"/>
      <c r="G105" s="1684"/>
      <c r="H105" s="1684"/>
      <c r="I105" s="1684"/>
      <c r="J105" s="1684"/>
      <c r="K105" s="1684"/>
      <c r="L105" s="1067"/>
      <c r="M105" s="1328">
        <f>N105*100</f>
        <v>0</v>
      </c>
      <c r="N105" s="1069"/>
      <c r="O105" s="1070"/>
      <c r="P105" s="1070"/>
      <c r="Q105" s="1070"/>
      <c r="R105" s="1071">
        <f>P105-N105</f>
        <v>0</v>
      </c>
      <c r="S105" s="1072">
        <f>Q105*100</f>
        <v>0</v>
      </c>
      <c r="T105" s="1072"/>
      <c r="U105" s="1068"/>
      <c r="V105" s="1083"/>
      <c r="W105" s="1097">
        <f>M105</f>
        <v>0</v>
      </c>
      <c r="X105" s="1098">
        <f>W105</f>
        <v>0</v>
      </c>
      <c r="Y105" s="1098">
        <f>X105</f>
        <v>0</v>
      </c>
      <c r="Z105" s="1098">
        <f>O105*100</f>
        <v>0</v>
      </c>
      <c r="AA105" s="1098">
        <f>Z105</f>
        <v>0</v>
      </c>
      <c r="AB105" s="1098">
        <f>AA105</f>
        <v>0</v>
      </c>
      <c r="AC105" s="1098">
        <f>P105*100</f>
        <v>0</v>
      </c>
      <c r="AD105" s="1098">
        <f>AC105</f>
        <v>0</v>
      </c>
      <c r="AE105" s="1098">
        <f>AD105</f>
        <v>0</v>
      </c>
      <c r="AF105" s="1098">
        <f>AE105</f>
        <v>0</v>
      </c>
      <c r="AG105" s="1098">
        <f>AF105</f>
        <v>0</v>
      </c>
      <c r="AH105" s="1098">
        <f>AG105</f>
        <v>0</v>
      </c>
      <c r="AI105" s="1099">
        <f t="shared" ref="AI105:AT105" si="1207">(((AH105*(1+($B$36*$B$4)))-AH105)/12)+AH105</f>
        <v>0</v>
      </c>
      <c r="AJ105" s="1098">
        <f t="shared" si="1207"/>
        <v>0</v>
      </c>
      <c r="AK105" s="1098">
        <f t="shared" si="1207"/>
        <v>0</v>
      </c>
      <c r="AL105" s="1098">
        <f t="shared" si="1207"/>
        <v>0</v>
      </c>
      <c r="AM105" s="1098">
        <f t="shared" si="1207"/>
        <v>0</v>
      </c>
      <c r="AN105" s="1098">
        <f t="shared" si="1207"/>
        <v>0</v>
      </c>
      <c r="AO105" s="1098">
        <f t="shared" si="1207"/>
        <v>0</v>
      </c>
      <c r="AP105" s="1098">
        <f t="shared" si="1207"/>
        <v>0</v>
      </c>
      <c r="AQ105" s="1098">
        <f t="shared" si="1207"/>
        <v>0</v>
      </c>
      <c r="AR105" s="1098">
        <f t="shared" si="1207"/>
        <v>0</v>
      </c>
      <c r="AS105" s="1098">
        <f t="shared" si="1207"/>
        <v>0</v>
      </c>
      <c r="AT105" s="1098">
        <f t="shared" si="1207"/>
        <v>0</v>
      </c>
      <c r="AU105" s="1099">
        <f t="shared" ref="AU105:BF105" si="1208">(((AT105*(1+($B$37*$B$4)))-AT105)/12)+AT105</f>
        <v>0</v>
      </c>
      <c r="AV105" s="1098">
        <f t="shared" si="1208"/>
        <v>0</v>
      </c>
      <c r="AW105" s="1098">
        <f t="shared" si="1208"/>
        <v>0</v>
      </c>
      <c r="AX105" s="1098">
        <f t="shared" si="1208"/>
        <v>0</v>
      </c>
      <c r="AY105" s="1098">
        <f t="shared" si="1208"/>
        <v>0</v>
      </c>
      <c r="AZ105" s="1098">
        <f t="shared" si="1208"/>
        <v>0</v>
      </c>
      <c r="BA105" s="1098">
        <f t="shared" si="1208"/>
        <v>0</v>
      </c>
      <c r="BB105" s="1098">
        <f t="shared" si="1208"/>
        <v>0</v>
      </c>
      <c r="BC105" s="1098">
        <f t="shared" si="1208"/>
        <v>0</v>
      </c>
      <c r="BD105" s="1098">
        <f t="shared" si="1208"/>
        <v>0</v>
      </c>
      <c r="BE105" s="1098">
        <f t="shared" si="1208"/>
        <v>0</v>
      </c>
      <c r="BF105" s="1098">
        <f t="shared" si="1208"/>
        <v>0</v>
      </c>
      <c r="BG105" s="1099">
        <f t="shared" ref="BG105:BR105" si="1209">(((BF105*(1+($B$38*$B$4)))-BF105)/12)+BF105</f>
        <v>0</v>
      </c>
      <c r="BH105" s="1098">
        <f t="shared" si="1209"/>
        <v>0</v>
      </c>
      <c r="BI105" s="1098">
        <f t="shared" si="1209"/>
        <v>0</v>
      </c>
      <c r="BJ105" s="1098">
        <f t="shared" si="1209"/>
        <v>0</v>
      </c>
      <c r="BK105" s="1098">
        <f t="shared" si="1209"/>
        <v>0</v>
      </c>
      <c r="BL105" s="1098">
        <f t="shared" si="1209"/>
        <v>0</v>
      </c>
      <c r="BM105" s="1098">
        <f t="shared" si="1209"/>
        <v>0</v>
      </c>
      <c r="BN105" s="1098">
        <f t="shared" si="1209"/>
        <v>0</v>
      </c>
      <c r="BO105" s="1098">
        <f t="shared" si="1209"/>
        <v>0</v>
      </c>
      <c r="BP105" s="1098">
        <f t="shared" si="1209"/>
        <v>0</v>
      </c>
      <c r="BQ105" s="1098">
        <f t="shared" si="1209"/>
        <v>0</v>
      </c>
      <c r="BR105" s="1098">
        <f t="shared" si="1209"/>
        <v>0</v>
      </c>
      <c r="BS105" s="1099">
        <f t="shared" ref="BS105:CD105" si="1210">(((BR105*(1+($B$39*$B$4)))-BR105)/12)+BR105</f>
        <v>0</v>
      </c>
      <c r="BT105" s="1098">
        <f t="shared" si="1210"/>
        <v>0</v>
      </c>
      <c r="BU105" s="1098">
        <f t="shared" si="1210"/>
        <v>0</v>
      </c>
      <c r="BV105" s="1098">
        <f t="shared" si="1210"/>
        <v>0</v>
      </c>
      <c r="BW105" s="1098">
        <f t="shared" si="1210"/>
        <v>0</v>
      </c>
      <c r="BX105" s="1098">
        <f t="shared" si="1210"/>
        <v>0</v>
      </c>
      <c r="BY105" s="1098">
        <f t="shared" si="1210"/>
        <v>0</v>
      </c>
      <c r="BZ105" s="1098">
        <f t="shared" si="1210"/>
        <v>0</v>
      </c>
      <c r="CA105" s="1098">
        <f t="shared" si="1210"/>
        <v>0</v>
      </c>
      <c r="CB105" s="1098">
        <f t="shared" si="1210"/>
        <v>0</v>
      </c>
      <c r="CC105" s="1098">
        <f t="shared" si="1210"/>
        <v>0</v>
      </c>
      <c r="CD105" s="1098">
        <f t="shared" si="1210"/>
        <v>0</v>
      </c>
      <c r="CE105" s="1099">
        <f t="shared" ref="CE105:CP105" si="1211">(((CD105*(1+($B$40*$B$4)))-CD105)/12)+CD105</f>
        <v>0</v>
      </c>
      <c r="CF105" s="1098">
        <f t="shared" si="1211"/>
        <v>0</v>
      </c>
      <c r="CG105" s="1098">
        <f t="shared" si="1211"/>
        <v>0</v>
      </c>
      <c r="CH105" s="1098">
        <f t="shared" si="1211"/>
        <v>0</v>
      </c>
      <c r="CI105" s="1098">
        <f t="shared" si="1211"/>
        <v>0</v>
      </c>
      <c r="CJ105" s="1098">
        <f t="shared" si="1211"/>
        <v>0</v>
      </c>
      <c r="CK105" s="1098">
        <f t="shared" si="1211"/>
        <v>0</v>
      </c>
      <c r="CL105" s="1098">
        <f t="shared" si="1211"/>
        <v>0</v>
      </c>
      <c r="CM105" s="1098">
        <f t="shared" si="1211"/>
        <v>0</v>
      </c>
      <c r="CN105" s="1098">
        <f t="shared" si="1211"/>
        <v>0</v>
      </c>
      <c r="CO105" s="1098">
        <f t="shared" si="1211"/>
        <v>0</v>
      </c>
      <c r="CP105" s="1098">
        <f t="shared" si="1211"/>
        <v>0</v>
      </c>
      <c r="CQ105" s="1099">
        <f t="shared" ref="CQ105:DB105" si="1212">(((CP105*(1+($B$41*$B$4)))-CP105)/12)+CP105</f>
        <v>0</v>
      </c>
      <c r="CR105" s="1098">
        <f t="shared" si="1212"/>
        <v>0</v>
      </c>
      <c r="CS105" s="1098">
        <f t="shared" si="1212"/>
        <v>0</v>
      </c>
      <c r="CT105" s="1098">
        <f t="shared" si="1212"/>
        <v>0</v>
      </c>
      <c r="CU105" s="1098">
        <f t="shared" si="1212"/>
        <v>0</v>
      </c>
      <c r="CV105" s="1098">
        <f t="shared" si="1212"/>
        <v>0</v>
      </c>
      <c r="CW105" s="1098">
        <f t="shared" si="1212"/>
        <v>0</v>
      </c>
      <c r="CX105" s="1098">
        <f t="shared" si="1212"/>
        <v>0</v>
      </c>
      <c r="CY105" s="1098">
        <f t="shared" si="1212"/>
        <v>0</v>
      </c>
      <c r="CZ105" s="1098">
        <f t="shared" si="1212"/>
        <v>0</v>
      </c>
      <c r="DA105" s="1098">
        <f t="shared" si="1212"/>
        <v>0</v>
      </c>
      <c r="DB105" s="1098">
        <f t="shared" si="1212"/>
        <v>0</v>
      </c>
      <c r="DC105" s="1099">
        <f t="shared" ref="DC105:DN105" si="1213">(((DB105*(1+($B$42*$B$4)))-DB105)/12)+DB105</f>
        <v>0</v>
      </c>
      <c r="DD105" s="1098">
        <f t="shared" si="1213"/>
        <v>0</v>
      </c>
      <c r="DE105" s="1098">
        <f t="shared" si="1213"/>
        <v>0</v>
      </c>
      <c r="DF105" s="1098">
        <f t="shared" si="1213"/>
        <v>0</v>
      </c>
      <c r="DG105" s="1098">
        <f t="shared" si="1213"/>
        <v>0</v>
      </c>
      <c r="DH105" s="1098">
        <f t="shared" si="1213"/>
        <v>0</v>
      </c>
      <c r="DI105" s="1098">
        <f t="shared" si="1213"/>
        <v>0</v>
      </c>
      <c r="DJ105" s="1098">
        <f t="shared" si="1213"/>
        <v>0</v>
      </c>
      <c r="DK105" s="1098">
        <f t="shared" si="1213"/>
        <v>0</v>
      </c>
      <c r="DL105" s="1098">
        <f t="shared" si="1213"/>
        <v>0</v>
      </c>
      <c r="DM105" s="1098">
        <f t="shared" si="1213"/>
        <v>0</v>
      </c>
      <c r="DN105" s="1098">
        <f t="shared" si="1213"/>
        <v>0</v>
      </c>
      <c r="DO105" s="1099">
        <f t="shared" ref="DO105:DZ105" si="1214">(((DN105*(1+($B$43*$B$4)))-DN105)/12)+DN105</f>
        <v>0</v>
      </c>
      <c r="DP105" s="1098">
        <f t="shared" si="1214"/>
        <v>0</v>
      </c>
      <c r="DQ105" s="1098">
        <f t="shared" si="1214"/>
        <v>0</v>
      </c>
      <c r="DR105" s="1098">
        <f t="shared" si="1214"/>
        <v>0</v>
      </c>
      <c r="DS105" s="1098">
        <f t="shared" si="1214"/>
        <v>0</v>
      </c>
      <c r="DT105" s="1098">
        <f t="shared" si="1214"/>
        <v>0</v>
      </c>
      <c r="DU105" s="1098">
        <f t="shared" si="1214"/>
        <v>0</v>
      </c>
      <c r="DV105" s="1098">
        <f t="shared" si="1214"/>
        <v>0</v>
      </c>
      <c r="DW105" s="1098">
        <f t="shared" si="1214"/>
        <v>0</v>
      </c>
      <c r="DX105" s="1098">
        <f t="shared" si="1214"/>
        <v>0</v>
      </c>
      <c r="DY105" s="1098">
        <f t="shared" si="1214"/>
        <v>0</v>
      </c>
      <c r="DZ105" s="1098">
        <f t="shared" si="1214"/>
        <v>0</v>
      </c>
      <c r="EA105" s="1099">
        <f>(((DZ105*(1+($B$44*$B$4)))-DZ105)/12)+DZ105</f>
        <v>0</v>
      </c>
      <c r="EB105" s="1098">
        <f>(((EA105*(1+($B$44*$B$4)))-EA105)/12)+EA105</f>
        <v>0</v>
      </c>
      <c r="EC105" s="1098">
        <f>(((EB105*(1+($B$44*$B$4)))-EB105)/12)+EB105</f>
        <v>0</v>
      </c>
      <c r="ED105" s="1100">
        <f>(((EC105*(1+($B$44*$B$4)))-EC105)/12)+EC105</f>
        <v>0</v>
      </c>
    </row>
    <row r="106" spans="2:134" outlineLevel="1" x14ac:dyDescent="0.25">
      <c r="C106" s="1279"/>
      <c r="D106" s="1685"/>
      <c r="E106" s="1685"/>
      <c r="F106" s="1685"/>
      <c r="G106" s="1685"/>
      <c r="H106" s="1685"/>
      <c r="I106" s="1685"/>
      <c r="J106" s="1685"/>
      <c r="K106" s="1685"/>
      <c r="L106" s="1073"/>
      <c r="M106" s="1074"/>
      <c r="N106" s="1075"/>
      <c r="O106" s="1076"/>
      <c r="P106" s="1076"/>
      <c r="Q106" s="1076"/>
      <c r="R106" s="1077"/>
      <c r="S106" s="1078"/>
      <c r="T106" s="1078"/>
      <c r="U106" s="1074"/>
      <c r="V106" s="1084">
        <v>1</v>
      </c>
      <c r="W106" s="1094">
        <f>ROUNDUP($V106*(W105/100)/0.8,0)</f>
        <v>0</v>
      </c>
      <c r="X106" s="1074">
        <f t="shared" ref="X106:CI106" si="1215">ROUNDUP($V106*(X105/100)/0.8,0)</f>
        <v>0</v>
      </c>
      <c r="Y106" s="1074">
        <f t="shared" si="1215"/>
        <v>0</v>
      </c>
      <c r="Z106" s="1074">
        <f t="shared" si="1215"/>
        <v>0</v>
      </c>
      <c r="AA106" s="1074">
        <f t="shared" si="1215"/>
        <v>0</v>
      </c>
      <c r="AB106" s="1074">
        <f t="shared" si="1215"/>
        <v>0</v>
      </c>
      <c r="AC106" s="1074">
        <f t="shared" si="1215"/>
        <v>0</v>
      </c>
      <c r="AD106" s="1074">
        <f t="shared" si="1215"/>
        <v>0</v>
      </c>
      <c r="AE106" s="1074">
        <f t="shared" si="1215"/>
        <v>0</v>
      </c>
      <c r="AF106" s="1074">
        <f t="shared" si="1215"/>
        <v>0</v>
      </c>
      <c r="AG106" s="1074">
        <f t="shared" si="1215"/>
        <v>0</v>
      </c>
      <c r="AH106" s="1074">
        <f t="shared" si="1215"/>
        <v>0</v>
      </c>
      <c r="AI106" s="1095">
        <f t="shared" si="1215"/>
        <v>0</v>
      </c>
      <c r="AJ106" s="1074">
        <f t="shared" si="1215"/>
        <v>0</v>
      </c>
      <c r="AK106" s="1074">
        <f t="shared" si="1215"/>
        <v>0</v>
      </c>
      <c r="AL106" s="1074">
        <f t="shared" si="1215"/>
        <v>0</v>
      </c>
      <c r="AM106" s="1074">
        <f t="shared" si="1215"/>
        <v>0</v>
      </c>
      <c r="AN106" s="1074">
        <f t="shared" si="1215"/>
        <v>0</v>
      </c>
      <c r="AO106" s="1074">
        <f t="shared" si="1215"/>
        <v>0</v>
      </c>
      <c r="AP106" s="1074">
        <f t="shared" si="1215"/>
        <v>0</v>
      </c>
      <c r="AQ106" s="1074">
        <f t="shared" si="1215"/>
        <v>0</v>
      </c>
      <c r="AR106" s="1074">
        <f t="shared" si="1215"/>
        <v>0</v>
      </c>
      <c r="AS106" s="1074">
        <f t="shared" si="1215"/>
        <v>0</v>
      </c>
      <c r="AT106" s="1074">
        <f t="shared" si="1215"/>
        <v>0</v>
      </c>
      <c r="AU106" s="1095">
        <f t="shared" si="1215"/>
        <v>0</v>
      </c>
      <c r="AV106" s="1074">
        <f t="shared" si="1215"/>
        <v>0</v>
      </c>
      <c r="AW106" s="1074">
        <f t="shared" si="1215"/>
        <v>0</v>
      </c>
      <c r="AX106" s="1074">
        <f t="shared" si="1215"/>
        <v>0</v>
      </c>
      <c r="AY106" s="1074">
        <f t="shared" si="1215"/>
        <v>0</v>
      </c>
      <c r="AZ106" s="1074">
        <f t="shared" si="1215"/>
        <v>0</v>
      </c>
      <c r="BA106" s="1074">
        <f t="shared" si="1215"/>
        <v>0</v>
      </c>
      <c r="BB106" s="1074">
        <f t="shared" si="1215"/>
        <v>0</v>
      </c>
      <c r="BC106" s="1074">
        <f t="shared" si="1215"/>
        <v>0</v>
      </c>
      <c r="BD106" s="1074">
        <f t="shared" si="1215"/>
        <v>0</v>
      </c>
      <c r="BE106" s="1074">
        <f t="shared" si="1215"/>
        <v>0</v>
      </c>
      <c r="BF106" s="1074">
        <f t="shared" si="1215"/>
        <v>0</v>
      </c>
      <c r="BG106" s="1095">
        <f t="shared" si="1215"/>
        <v>0</v>
      </c>
      <c r="BH106" s="1074">
        <f t="shared" si="1215"/>
        <v>0</v>
      </c>
      <c r="BI106" s="1074">
        <f t="shared" si="1215"/>
        <v>0</v>
      </c>
      <c r="BJ106" s="1074">
        <f t="shared" si="1215"/>
        <v>0</v>
      </c>
      <c r="BK106" s="1074">
        <f t="shared" si="1215"/>
        <v>0</v>
      </c>
      <c r="BL106" s="1074">
        <f t="shared" si="1215"/>
        <v>0</v>
      </c>
      <c r="BM106" s="1074">
        <f t="shared" si="1215"/>
        <v>0</v>
      </c>
      <c r="BN106" s="1074">
        <f t="shared" si="1215"/>
        <v>0</v>
      </c>
      <c r="BO106" s="1074">
        <f t="shared" si="1215"/>
        <v>0</v>
      </c>
      <c r="BP106" s="1074">
        <f t="shared" si="1215"/>
        <v>0</v>
      </c>
      <c r="BQ106" s="1074">
        <f t="shared" si="1215"/>
        <v>0</v>
      </c>
      <c r="BR106" s="1074">
        <f t="shared" si="1215"/>
        <v>0</v>
      </c>
      <c r="BS106" s="1095">
        <f t="shared" si="1215"/>
        <v>0</v>
      </c>
      <c r="BT106" s="1074">
        <f t="shared" si="1215"/>
        <v>0</v>
      </c>
      <c r="BU106" s="1074">
        <f t="shared" si="1215"/>
        <v>0</v>
      </c>
      <c r="BV106" s="1074">
        <f t="shared" si="1215"/>
        <v>0</v>
      </c>
      <c r="BW106" s="1074">
        <f t="shared" si="1215"/>
        <v>0</v>
      </c>
      <c r="BX106" s="1074">
        <f t="shared" si="1215"/>
        <v>0</v>
      </c>
      <c r="BY106" s="1074">
        <f t="shared" si="1215"/>
        <v>0</v>
      </c>
      <c r="BZ106" s="1074">
        <f t="shared" si="1215"/>
        <v>0</v>
      </c>
      <c r="CA106" s="1074">
        <f t="shared" si="1215"/>
        <v>0</v>
      </c>
      <c r="CB106" s="1074">
        <f t="shared" si="1215"/>
        <v>0</v>
      </c>
      <c r="CC106" s="1074">
        <f t="shared" si="1215"/>
        <v>0</v>
      </c>
      <c r="CD106" s="1074">
        <f t="shared" si="1215"/>
        <v>0</v>
      </c>
      <c r="CE106" s="1095">
        <f t="shared" si="1215"/>
        <v>0</v>
      </c>
      <c r="CF106" s="1074">
        <f t="shared" si="1215"/>
        <v>0</v>
      </c>
      <c r="CG106" s="1074">
        <f t="shared" si="1215"/>
        <v>0</v>
      </c>
      <c r="CH106" s="1074">
        <f t="shared" si="1215"/>
        <v>0</v>
      </c>
      <c r="CI106" s="1074">
        <f t="shared" si="1215"/>
        <v>0</v>
      </c>
      <c r="CJ106" s="1074">
        <f t="shared" ref="CJ106:ED106" si="1216">ROUNDUP($V106*(CJ105/100)/0.8,0)</f>
        <v>0</v>
      </c>
      <c r="CK106" s="1074">
        <f t="shared" si="1216"/>
        <v>0</v>
      </c>
      <c r="CL106" s="1074">
        <f t="shared" si="1216"/>
        <v>0</v>
      </c>
      <c r="CM106" s="1074">
        <f t="shared" si="1216"/>
        <v>0</v>
      </c>
      <c r="CN106" s="1074">
        <f t="shared" si="1216"/>
        <v>0</v>
      </c>
      <c r="CO106" s="1074">
        <f t="shared" si="1216"/>
        <v>0</v>
      </c>
      <c r="CP106" s="1074">
        <f t="shared" si="1216"/>
        <v>0</v>
      </c>
      <c r="CQ106" s="1095">
        <f t="shared" si="1216"/>
        <v>0</v>
      </c>
      <c r="CR106" s="1074">
        <f t="shared" si="1216"/>
        <v>0</v>
      </c>
      <c r="CS106" s="1074">
        <f t="shared" si="1216"/>
        <v>0</v>
      </c>
      <c r="CT106" s="1074">
        <f t="shared" si="1216"/>
        <v>0</v>
      </c>
      <c r="CU106" s="1074">
        <f t="shared" si="1216"/>
        <v>0</v>
      </c>
      <c r="CV106" s="1074">
        <f t="shared" si="1216"/>
        <v>0</v>
      </c>
      <c r="CW106" s="1074">
        <f t="shared" si="1216"/>
        <v>0</v>
      </c>
      <c r="CX106" s="1074">
        <f t="shared" si="1216"/>
        <v>0</v>
      </c>
      <c r="CY106" s="1074">
        <f t="shared" si="1216"/>
        <v>0</v>
      </c>
      <c r="CZ106" s="1074">
        <f t="shared" si="1216"/>
        <v>0</v>
      </c>
      <c r="DA106" s="1074">
        <f t="shared" si="1216"/>
        <v>0</v>
      </c>
      <c r="DB106" s="1074">
        <f t="shared" si="1216"/>
        <v>0</v>
      </c>
      <c r="DC106" s="1095">
        <f t="shared" si="1216"/>
        <v>0</v>
      </c>
      <c r="DD106" s="1074">
        <f t="shared" si="1216"/>
        <v>0</v>
      </c>
      <c r="DE106" s="1074">
        <f t="shared" si="1216"/>
        <v>0</v>
      </c>
      <c r="DF106" s="1074">
        <f t="shared" si="1216"/>
        <v>0</v>
      </c>
      <c r="DG106" s="1074">
        <f t="shared" si="1216"/>
        <v>0</v>
      </c>
      <c r="DH106" s="1074">
        <f t="shared" si="1216"/>
        <v>0</v>
      </c>
      <c r="DI106" s="1074">
        <f t="shared" si="1216"/>
        <v>0</v>
      </c>
      <c r="DJ106" s="1074">
        <f t="shared" si="1216"/>
        <v>0</v>
      </c>
      <c r="DK106" s="1074">
        <f t="shared" si="1216"/>
        <v>0</v>
      </c>
      <c r="DL106" s="1074">
        <f t="shared" si="1216"/>
        <v>0</v>
      </c>
      <c r="DM106" s="1074">
        <f t="shared" si="1216"/>
        <v>0</v>
      </c>
      <c r="DN106" s="1074">
        <f t="shared" si="1216"/>
        <v>0</v>
      </c>
      <c r="DO106" s="1095">
        <f t="shared" si="1216"/>
        <v>0</v>
      </c>
      <c r="DP106" s="1074">
        <f t="shared" si="1216"/>
        <v>0</v>
      </c>
      <c r="DQ106" s="1074">
        <f t="shared" si="1216"/>
        <v>0</v>
      </c>
      <c r="DR106" s="1074">
        <f t="shared" si="1216"/>
        <v>0</v>
      </c>
      <c r="DS106" s="1074">
        <f t="shared" si="1216"/>
        <v>0</v>
      </c>
      <c r="DT106" s="1074">
        <f t="shared" si="1216"/>
        <v>0</v>
      </c>
      <c r="DU106" s="1074">
        <f t="shared" si="1216"/>
        <v>0</v>
      </c>
      <c r="DV106" s="1074">
        <f t="shared" si="1216"/>
        <v>0</v>
      </c>
      <c r="DW106" s="1074">
        <f t="shared" si="1216"/>
        <v>0</v>
      </c>
      <c r="DX106" s="1074">
        <f t="shared" si="1216"/>
        <v>0</v>
      </c>
      <c r="DY106" s="1074">
        <f t="shared" si="1216"/>
        <v>0</v>
      </c>
      <c r="DZ106" s="1074">
        <f t="shared" si="1216"/>
        <v>0</v>
      </c>
      <c r="EA106" s="1095">
        <f t="shared" si="1216"/>
        <v>0</v>
      </c>
      <c r="EB106" s="1074">
        <f t="shared" si="1216"/>
        <v>0</v>
      </c>
      <c r="EC106" s="1074">
        <f t="shared" si="1216"/>
        <v>0</v>
      </c>
      <c r="ED106" s="1096">
        <f t="shared" si="1216"/>
        <v>0</v>
      </c>
    </row>
    <row r="107" spans="2:134" outlineLevel="1" x14ac:dyDescent="0.25">
      <c r="C107" s="1279"/>
      <c r="D107" s="1683" t="s">
        <v>271</v>
      </c>
      <c r="E107" s="1683"/>
      <c r="F107" s="1683"/>
      <c r="G107" s="1683"/>
      <c r="H107" s="1683"/>
      <c r="I107" s="1683"/>
      <c r="J107" s="1683"/>
      <c r="K107" s="1683"/>
      <c r="L107" s="1032"/>
      <c r="M107" s="1328">
        <f>N107*100</f>
        <v>0</v>
      </c>
      <c r="N107" s="1033"/>
      <c r="O107" s="1034"/>
      <c r="P107" s="1034"/>
      <c r="Q107" s="1034"/>
      <c r="R107" s="1035">
        <f>P107-N107</f>
        <v>0</v>
      </c>
      <c r="S107" s="1036">
        <f>Q107*100</f>
        <v>0</v>
      </c>
      <c r="T107" s="1036"/>
      <c r="U107" s="689"/>
      <c r="V107" s="1082"/>
      <c r="W107" s="1090">
        <f>M107</f>
        <v>0</v>
      </c>
      <c r="X107" s="1038">
        <f>W107</f>
        <v>0</v>
      </c>
      <c r="Y107" s="1038">
        <f>X107</f>
        <v>0</v>
      </c>
      <c r="Z107" s="1038">
        <f>O107*100</f>
        <v>0</v>
      </c>
      <c r="AA107" s="1038">
        <f>Z107</f>
        <v>0</v>
      </c>
      <c r="AB107" s="1038">
        <f>AA107</f>
        <v>0</v>
      </c>
      <c r="AC107" s="1038">
        <f>P107*100</f>
        <v>0</v>
      </c>
      <c r="AD107" s="1038">
        <f>AC107</f>
        <v>0</v>
      </c>
      <c r="AE107" s="1038">
        <f>AD107</f>
        <v>0</v>
      </c>
      <c r="AF107" s="1038">
        <f>AE107</f>
        <v>0</v>
      </c>
      <c r="AG107" s="1038">
        <f>AF107</f>
        <v>0</v>
      </c>
      <c r="AH107" s="1038">
        <f>AG107</f>
        <v>0</v>
      </c>
      <c r="AI107" s="1039">
        <f t="shared" ref="AI107:AT107" si="1217">(((AH107*(1+($B$36*$B$4)))-AH107)/12)+AH107</f>
        <v>0</v>
      </c>
      <c r="AJ107" s="1038">
        <f t="shared" si="1217"/>
        <v>0</v>
      </c>
      <c r="AK107" s="1038">
        <f t="shared" si="1217"/>
        <v>0</v>
      </c>
      <c r="AL107" s="1038">
        <f t="shared" si="1217"/>
        <v>0</v>
      </c>
      <c r="AM107" s="1038">
        <f t="shared" si="1217"/>
        <v>0</v>
      </c>
      <c r="AN107" s="1038">
        <f t="shared" si="1217"/>
        <v>0</v>
      </c>
      <c r="AO107" s="1038">
        <f t="shared" si="1217"/>
        <v>0</v>
      </c>
      <c r="AP107" s="1038">
        <f t="shared" si="1217"/>
        <v>0</v>
      </c>
      <c r="AQ107" s="1038">
        <f t="shared" si="1217"/>
        <v>0</v>
      </c>
      <c r="AR107" s="1038">
        <f t="shared" si="1217"/>
        <v>0</v>
      </c>
      <c r="AS107" s="1038">
        <f t="shared" si="1217"/>
        <v>0</v>
      </c>
      <c r="AT107" s="1038">
        <f t="shared" si="1217"/>
        <v>0</v>
      </c>
      <c r="AU107" s="1039">
        <f t="shared" ref="AU107:BF107" si="1218">(((AT107*(1+($B$37*$B$4)))-AT107)/12)+AT107</f>
        <v>0</v>
      </c>
      <c r="AV107" s="1038">
        <f t="shared" si="1218"/>
        <v>0</v>
      </c>
      <c r="AW107" s="1038">
        <f t="shared" si="1218"/>
        <v>0</v>
      </c>
      <c r="AX107" s="1038">
        <f t="shared" si="1218"/>
        <v>0</v>
      </c>
      <c r="AY107" s="1038">
        <f t="shared" si="1218"/>
        <v>0</v>
      </c>
      <c r="AZ107" s="1038">
        <f t="shared" si="1218"/>
        <v>0</v>
      </c>
      <c r="BA107" s="1038">
        <f t="shared" si="1218"/>
        <v>0</v>
      </c>
      <c r="BB107" s="1038">
        <f t="shared" si="1218"/>
        <v>0</v>
      </c>
      <c r="BC107" s="1038">
        <f t="shared" si="1218"/>
        <v>0</v>
      </c>
      <c r="BD107" s="1038">
        <f t="shared" si="1218"/>
        <v>0</v>
      </c>
      <c r="BE107" s="1038">
        <f t="shared" si="1218"/>
        <v>0</v>
      </c>
      <c r="BF107" s="1038">
        <f t="shared" si="1218"/>
        <v>0</v>
      </c>
      <c r="BG107" s="1039">
        <f t="shared" ref="BG107:BR107" si="1219">(((BF107*(1+($B$38*$B$4)))-BF107)/12)+BF107</f>
        <v>0</v>
      </c>
      <c r="BH107" s="1038">
        <f t="shared" si="1219"/>
        <v>0</v>
      </c>
      <c r="BI107" s="1038">
        <f t="shared" si="1219"/>
        <v>0</v>
      </c>
      <c r="BJ107" s="1038">
        <f t="shared" si="1219"/>
        <v>0</v>
      </c>
      <c r="BK107" s="1038">
        <f t="shared" si="1219"/>
        <v>0</v>
      </c>
      <c r="BL107" s="1038">
        <f t="shared" si="1219"/>
        <v>0</v>
      </c>
      <c r="BM107" s="1038">
        <f t="shared" si="1219"/>
        <v>0</v>
      </c>
      <c r="BN107" s="1038">
        <f t="shared" si="1219"/>
        <v>0</v>
      </c>
      <c r="BO107" s="1038">
        <f t="shared" si="1219"/>
        <v>0</v>
      </c>
      <c r="BP107" s="1038">
        <f t="shared" si="1219"/>
        <v>0</v>
      </c>
      <c r="BQ107" s="1038">
        <f t="shared" si="1219"/>
        <v>0</v>
      </c>
      <c r="BR107" s="1038">
        <f t="shared" si="1219"/>
        <v>0</v>
      </c>
      <c r="BS107" s="1039">
        <f t="shared" ref="BS107:CD107" si="1220">(((BR107*(1+($B$39*$B$4)))-BR107)/12)+BR107</f>
        <v>0</v>
      </c>
      <c r="BT107" s="1038">
        <f t="shared" si="1220"/>
        <v>0</v>
      </c>
      <c r="BU107" s="1038">
        <f t="shared" si="1220"/>
        <v>0</v>
      </c>
      <c r="BV107" s="1038">
        <f t="shared" si="1220"/>
        <v>0</v>
      </c>
      <c r="BW107" s="1038">
        <f t="shared" si="1220"/>
        <v>0</v>
      </c>
      <c r="BX107" s="1038">
        <f t="shared" si="1220"/>
        <v>0</v>
      </c>
      <c r="BY107" s="1038">
        <f t="shared" si="1220"/>
        <v>0</v>
      </c>
      <c r="BZ107" s="1038">
        <f t="shared" si="1220"/>
        <v>0</v>
      </c>
      <c r="CA107" s="1038">
        <f t="shared" si="1220"/>
        <v>0</v>
      </c>
      <c r="CB107" s="1038">
        <f t="shared" si="1220"/>
        <v>0</v>
      </c>
      <c r="CC107" s="1038">
        <f t="shared" si="1220"/>
        <v>0</v>
      </c>
      <c r="CD107" s="1038">
        <f t="shared" si="1220"/>
        <v>0</v>
      </c>
      <c r="CE107" s="1039">
        <f t="shared" ref="CE107:CP107" si="1221">(((CD107*(1+($B$40*$B$4)))-CD107)/12)+CD107</f>
        <v>0</v>
      </c>
      <c r="CF107" s="1038">
        <f t="shared" si="1221"/>
        <v>0</v>
      </c>
      <c r="CG107" s="1038">
        <f t="shared" si="1221"/>
        <v>0</v>
      </c>
      <c r="CH107" s="1038">
        <f t="shared" si="1221"/>
        <v>0</v>
      </c>
      <c r="CI107" s="1038">
        <f t="shared" si="1221"/>
        <v>0</v>
      </c>
      <c r="CJ107" s="1038">
        <f t="shared" si="1221"/>
        <v>0</v>
      </c>
      <c r="CK107" s="1038">
        <f t="shared" si="1221"/>
        <v>0</v>
      </c>
      <c r="CL107" s="1038">
        <f t="shared" si="1221"/>
        <v>0</v>
      </c>
      <c r="CM107" s="1038">
        <f t="shared" si="1221"/>
        <v>0</v>
      </c>
      <c r="CN107" s="1038">
        <f t="shared" si="1221"/>
        <v>0</v>
      </c>
      <c r="CO107" s="1038">
        <f t="shared" si="1221"/>
        <v>0</v>
      </c>
      <c r="CP107" s="1038">
        <f t="shared" si="1221"/>
        <v>0</v>
      </c>
      <c r="CQ107" s="1039">
        <f t="shared" ref="CQ107:DB107" si="1222">(((CP107*(1+($B$41*$B$4)))-CP107)/12)+CP107</f>
        <v>0</v>
      </c>
      <c r="CR107" s="1038">
        <f t="shared" si="1222"/>
        <v>0</v>
      </c>
      <c r="CS107" s="1038">
        <f t="shared" si="1222"/>
        <v>0</v>
      </c>
      <c r="CT107" s="1038">
        <f t="shared" si="1222"/>
        <v>0</v>
      </c>
      <c r="CU107" s="1038">
        <f t="shared" si="1222"/>
        <v>0</v>
      </c>
      <c r="CV107" s="1038">
        <f t="shared" si="1222"/>
        <v>0</v>
      </c>
      <c r="CW107" s="1038">
        <f t="shared" si="1222"/>
        <v>0</v>
      </c>
      <c r="CX107" s="1038">
        <f t="shared" si="1222"/>
        <v>0</v>
      </c>
      <c r="CY107" s="1038">
        <f t="shared" si="1222"/>
        <v>0</v>
      </c>
      <c r="CZ107" s="1038">
        <f t="shared" si="1222"/>
        <v>0</v>
      </c>
      <c r="DA107" s="1038">
        <f t="shared" si="1222"/>
        <v>0</v>
      </c>
      <c r="DB107" s="1038">
        <f t="shared" si="1222"/>
        <v>0</v>
      </c>
      <c r="DC107" s="1039">
        <f t="shared" ref="DC107:DN107" si="1223">(((DB107*(1+($B$42*$B$4)))-DB107)/12)+DB107</f>
        <v>0</v>
      </c>
      <c r="DD107" s="1038">
        <f t="shared" si="1223"/>
        <v>0</v>
      </c>
      <c r="DE107" s="1038">
        <f t="shared" si="1223"/>
        <v>0</v>
      </c>
      <c r="DF107" s="1038">
        <f t="shared" si="1223"/>
        <v>0</v>
      </c>
      <c r="DG107" s="1038">
        <f t="shared" si="1223"/>
        <v>0</v>
      </c>
      <c r="DH107" s="1038">
        <f t="shared" si="1223"/>
        <v>0</v>
      </c>
      <c r="DI107" s="1038">
        <f t="shared" si="1223"/>
        <v>0</v>
      </c>
      <c r="DJ107" s="1038">
        <f t="shared" si="1223"/>
        <v>0</v>
      </c>
      <c r="DK107" s="1038">
        <f t="shared" si="1223"/>
        <v>0</v>
      </c>
      <c r="DL107" s="1038">
        <f t="shared" si="1223"/>
        <v>0</v>
      </c>
      <c r="DM107" s="1038">
        <f t="shared" si="1223"/>
        <v>0</v>
      </c>
      <c r="DN107" s="1038">
        <f t="shared" si="1223"/>
        <v>0</v>
      </c>
      <c r="DO107" s="1039">
        <f t="shared" ref="DO107:DZ107" si="1224">(((DN107*(1+($B$43*$B$4)))-DN107)/12)+DN107</f>
        <v>0</v>
      </c>
      <c r="DP107" s="1038">
        <f t="shared" si="1224"/>
        <v>0</v>
      </c>
      <c r="DQ107" s="1038">
        <f t="shared" si="1224"/>
        <v>0</v>
      </c>
      <c r="DR107" s="1038">
        <f t="shared" si="1224"/>
        <v>0</v>
      </c>
      <c r="DS107" s="1038">
        <f t="shared" si="1224"/>
        <v>0</v>
      </c>
      <c r="DT107" s="1038">
        <f t="shared" si="1224"/>
        <v>0</v>
      </c>
      <c r="DU107" s="1038">
        <f t="shared" si="1224"/>
        <v>0</v>
      </c>
      <c r="DV107" s="1038">
        <f t="shared" si="1224"/>
        <v>0</v>
      </c>
      <c r="DW107" s="1038">
        <f t="shared" si="1224"/>
        <v>0</v>
      </c>
      <c r="DX107" s="1038">
        <f t="shared" si="1224"/>
        <v>0</v>
      </c>
      <c r="DY107" s="1038">
        <f t="shared" si="1224"/>
        <v>0</v>
      </c>
      <c r="DZ107" s="1038">
        <f t="shared" si="1224"/>
        <v>0</v>
      </c>
      <c r="EA107" s="1039">
        <f>(((DZ107*(1+($B$44*$B$4)))-DZ107)/12)+DZ107</f>
        <v>0</v>
      </c>
      <c r="EB107" s="1038">
        <f>(((EA107*(1+($B$44*$B$4)))-EA107)/12)+EA107</f>
        <v>0</v>
      </c>
      <c r="EC107" s="1038">
        <f>(((EB107*(1+($B$44*$B$4)))-EB107)/12)+EB107</f>
        <v>0</v>
      </c>
      <c r="ED107" s="1091">
        <f>(((EC107*(1+($B$44*$B$4)))-EC107)/12)+EC107</f>
        <v>0</v>
      </c>
    </row>
    <row r="108" spans="2:134" outlineLevel="1" x14ac:dyDescent="0.25">
      <c r="C108" s="1279"/>
      <c r="D108" s="1673"/>
      <c r="E108" s="1673"/>
      <c r="F108" s="1673"/>
      <c r="G108" s="1673"/>
      <c r="H108" s="1673"/>
      <c r="I108" s="1673"/>
      <c r="J108" s="1673"/>
      <c r="K108" s="1673"/>
      <c r="L108" s="1026"/>
      <c r="M108" s="1027"/>
      <c r="N108" s="1028"/>
      <c r="O108" s="1029"/>
      <c r="P108" s="1029"/>
      <c r="Q108" s="1029"/>
      <c r="R108" s="1030"/>
      <c r="S108" s="1031"/>
      <c r="T108" s="1031"/>
      <c r="U108" s="1027"/>
      <c r="V108" s="1081">
        <v>1</v>
      </c>
      <c r="W108" s="1092">
        <f>ROUNDUP($V108*(W107/100)/0.8,0)</f>
        <v>0</v>
      </c>
      <c r="X108" s="689">
        <f t="shared" ref="X108:CI108" si="1225">ROUNDUP($V108*(X107/100)/0.8,0)</f>
        <v>0</v>
      </c>
      <c r="Y108" s="689">
        <f t="shared" si="1225"/>
        <v>0</v>
      </c>
      <c r="Z108" s="689">
        <f t="shared" si="1225"/>
        <v>0</v>
      </c>
      <c r="AA108" s="689">
        <f t="shared" si="1225"/>
        <v>0</v>
      </c>
      <c r="AB108" s="689">
        <f t="shared" si="1225"/>
        <v>0</v>
      </c>
      <c r="AC108" s="689">
        <f t="shared" si="1225"/>
        <v>0</v>
      </c>
      <c r="AD108" s="689">
        <f t="shared" si="1225"/>
        <v>0</v>
      </c>
      <c r="AE108" s="689">
        <f t="shared" si="1225"/>
        <v>0</v>
      </c>
      <c r="AF108" s="689">
        <f t="shared" si="1225"/>
        <v>0</v>
      </c>
      <c r="AG108" s="689">
        <f t="shared" si="1225"/>
        <v>0</v>
      </c>
      <c r="AH108" s="689">
        <f t="shared" si="1225"/>
        <v>0</v>
      </c>
      <c r="AI108" s="1037">
        <f t="shared" si="1225"/>
        <v>0</v>
      </c>
      <c r="AJ108" s="689">
        <f t="shared" si="1225"/>
        <v>0</v>
      </c>
      <c r="AK108" s="689">
        <f t="shared" si="1225"/>
        <v>0</v>
      </c>
      <c r="AL108" s="689">
        <f t="shared" si="1225"/>
        <v>0</v>
      </c>
      <c r="AM108" s="689">
        <f t="shared" si="1225"/>
        <v>0</v>
      </c>
      <c r="AN108" s="689">
        <f t="shared" si="1225"/>
        <v>0</v>
      </c>
      <c r="AO108" s="689">
        <f t="shared" si="1225"/>
        <v>0</v>
      </c>
      <c r="AP108" s="689">
        <f t="shared" si="1225"/>
        <v>0</v>
      </c>
      <c r="AQ108" s="689">
        <f t="shared" si="1225"/>
        <v>0</v>
      </c>
      <c r="AR108" s="689">
        <f t="shared" si="1225"/>
        <v>0</v>
      </c>
      <c r="AS108" s="689">
        <f t="shared" si="1225"/>
        <v>0</v>
      </c>
      <c r="AT108" s="689">
        <f t="shared" si="1225"/>
        <v>0</v>
      </c>
      <c r="AU108" s="1037">
        <f t="shared" si="1225"/>
        <v>0</v>
      </c>
      <c r="AV108" s="689">
        <f t="shared" si="1225"/>
        <v>0</v>
      </c>
      <c r="AW108" s="689">
        <f t="shared" si="1225"/>
        <v>0</v>
      </c>
      <c r="AX108" s="689">
        <f t="shared" si="1225"/>
        <v>0</v>
      </c>
      <c r="AY108" s="689">
        <f t="shared" si="1225"/>
        <v>0</v>
      </c>
      <c r="AZ108" s="689">
        <f t="shared" si="1225"/>
        <v>0</v>
      </c>
      <c r="BA108" s="689">
        <f t="shared" si="1225"/>
        <v>0</v>
      </c>
      <c r="BB108" s="689">
        <f t="shared" si="1225"/>
        <v>0</v>
      </c>
      <c r="BC108" s="689">
        <f t="shared" si="1225"/>
        <v>0</v>
      </c>
      <c r="BD108" s="689">
        <f t="shared" si="1225"/>
        <v>0</v>
      </c>
      <c r="BE108" s="689">
        <f t="shared" si="1225"/>
        <v>0</v>
      </c>
      <c r="BF108" s="689">
        <f t="shared" si="1225"/>
        <v>0</v>
      </c>
      <c r="BG108" s="1037">
        <f t="shared" si="1225"/>
        <v>0</v>
      </c>
      <c r="BH108" s="689">
        <f t="shared" si="1225"/>
        <v>0</v>
      </c>
      <c r="BI108" s="689">
        <f t="shared" si="1225"/>
        <v>0</v>
      </c>
      <c r="BJ108" s="689">
        <f t="shared" si="1225"/>
        <v>0</v>
      </c>
      <c r="BK108" s="689">
        <f t="shared" si="1225"/>
        <v>0</v>
      </c>
      <c r="BL108" s="689">
        <f t="shared" si="1225"/>
        <v>0</v>
      </c>
      <c r="BM108" s="689">
        <f t="shared" si="1225"/>
        <v>0</v>
      </c>
      <c r="BN108" s="689">
        <f t="shared" si="1225"/>
        <v>0</v>
      </c>
      <c r="BO108" s="689">
        <f t="shared" si="1225"/>
        <v>0</v>
      </c>
      <c r="BP108" s="689">
        <f t="shared" si="1225"/>
        <v>0</v>
      </c>
      <c r="BQ108" s="689">
        <f t="shared" si="1225"/>
        <v>0</v>
      </c>
      <c r="BR108" s="689">
        <f t="shared" si="1225"/>
        <v>0</v>
      </c>
      <c r="BS108" s="1037">
        <f t="shared" si="1225"/>
        <v>0</v>
      </c>
      <c r="BT108" s="689">
        <f t="shared" si="1225"/>
        <v>0</v>
      </c>
      <c r="BU108" s="689">
        <f t="shared" si="1225"/>
        <v>0</v>
      </c>
      <c r="BV108" s="689">
        <f t="shared" si="1225"/>
        <v>0</v>
      </c>
      <c r="BW108" s="689">
        <f t="shared" si="1225"/>
        <v>0</v>
      </c>
      <c r="BX108" s="689">
        <f t="shared" si="1225"/>
        <v>0</v>
      </c>
      <c r="BY108" s="689">
        <f t="shared" si="1225"/>
        <v>0</v>
      </c>
      <c r="BZ108" s="689">
        <f t="shared" si="1225"/>
        <v>0</v>
      </c>
      <c r="CA108" s="689">
        <f t="shared" si="1225"/>
        <v>0</v>
      </c>
      <c r="CB108" s="689">
        <f t="shared" si="1225"/>
        <v>0</v>
      </c>
      <c r="CC108" s="689">
        <f t="shared" si="1225"/>
        <v>0</v>
      </c>
      <c r="CD108" s="689">
        <f t="shared" si="1225"/>
        <v>0</v>
      </c>
      <c r="CE108" s="1037">
        <f t="shared" si="1225"/>
        <v>0</v>
      </c>
      <c r="CF108" s="689">
        <f t="shared" si="1225"/>
        <v>0</v>
      </c>
      <c r="CG108" s="689">
        <f t="shared" si="1225"/>
        <v>0</v>
      </c>
      <c r="CH108" s="689">
        <f t="shared" si="1225"/>
        <v>0</v>
      </c>
      <c r="CI108" s="689">
        <f t="shared" si="1225"/>
        <v>0</v>
      </c>
      <c r="CJ108" s="689">
        <f t="shared" ref="CJ108:ED108" si="1226">ROUNDUP($V108*(CJ107/100)/0.8,0)</f>
        <v>0</v>
      </c>
      <c r="CK108" s="689">
        <f t="shared" si="1226"/>
        <v>0</v>
      </c>
      <c r="CL108" s="689">
        <f t="shared" si="1226"/>
        <v>0</v>
      </c>
      <c r="CM108" s="689">
        <f t="shared" si="1226"/>
        <v>0</v>
      </c>
      <c r="CN108" s="689">
        <f t="shared" si="1226"/>
        <v>0</v>
      </c>
      <c r="CO108" s="689">
        <f t="shared" si="1226"/>
        <v>0</v>
      </c>
      <c r="CP108" s="689">
        <f t="shared" si="1226"/>
        <v>0</v>
      </c>
      <c r="CQ108" s="1037">
        <f t="shared" si="1226"/>
        <v>0</v>
      </c>
      <c r="CR108" s="689">
        <f t="shared" si="1226"/>
        <v>0</v>
      </c>
      <c r="CS108" s="689">
        <f t="shared" si="1226"/>
        <v>0</v>
      </c>
      <c r="CT108" s="689">
        <f t="shared" si="1226"/>
        <v>0</v>
      </c>
      <c r="CU108" s="689">
        <f t="shared" si="1226"/>
        <v>0</v>
      </c>
      <c r="CV108" s="689">
        <f t="shared" si="1226"/>
        <v>0</v>
      </c>
      <c r="CW108" s="689">
        <f t="shared" si="1226"/>
        <v>0</v>
      </c>
      <c r="CX108" s="689">
        <f t="shared" si="1226"/>
        <v>0</v>
      </c>
      <c r="CY108" s="689">
        <f t="shared" si="1226"/>
        <v>0</v>
      </c>
      <c r="CZ108" s="689">
        <f t="shared" si="1226"/>
        <v>0</v>
      </c>
      <c r="DA108" s="689">
        <f t="shared" si="1226"/>
        <v>0</v>
      </c>
      <c r="DB108" s="689">
        <f t="shared" si="1226"/>
        <v>0</v>
      </c>
      <c r="DC108" s="1037">
        <f t="shared" si="1226"/>
        <v>0</v>
      </c>
      <c r="DD108" s="689">
        <f t="shared" si="1226"/>
        <v>0</v>
      </c>
      <c r="DE108" s="689">
        <f t="shared" si="1226"/>
        <v>0</v>
      </c>
      <c r="DF108" s="689">
        <f t="shared" si="1226"/>
        <v>0</v>
      </c>
      <c r="DG108" s="689">
        <f t="shared" si="1226"/>
        <v>0</v>
      </c>
      <c r="DH108" s="689">
        <f t="shared" si="1226"/>
        <v>0</v>
      </c>
      <c r="DI108" s="689">
        <f t="shared" si="1226"/>
        <v>0</v>
      </c>
      <c r="DJ108" s="689">
        <f t="shared" si="1226"/>
        <v>0</v>
      </c>
      <c r="DK108" s="689">
        <f t="shared" si="1226"/>
        <v>0</v>
      </c>
      <c r="DL108" s="689">
        <f t="shared" si="1226"/>
        <v>0</v>
      </c>
      <c r="DM108" s="689">
        <f t="shared" si="1226"/>
        <v>0</v>
      </c>
      <c r="DN108" s="689">
        <f t="shared" si="1226"/>
        <v>0</v>
      </c>
      <c r="DO108" s="1037">
        <f t="shared" si="1226"/>
        <v>0</v>
      </c>
      <c r="DP108" s="689">
        <f t="shared" si="1226"/>
        <v>0</v>
      </c>
      <c r="DQ108" s="689">
        <f t="shared" si="1226"/>
        <v>0</v>
      </c>
      <c r="DR108" s="689">
        <f t="shared" si="1226"/>
        <v>0</v>
      </c>
      <c r="DS108" s="689">
        <f t="shared" si="1226"/>
        <v>0</v>
      </c>
      <c r="DT108" s="689">
        <f t="shared" si="1226"/>
        <v>0</v>
      </c>
      <c r="DU108" s="689">
        <f t="shared" si="1226"/>
        <v>0</v>
      </c>
      <c r="DV108" s="689">
        <f t="shared" si="1226"/>
        <v>0</v>
      </c>
      <c r="DW108" s="689">
        <f t="shared" si="1226"/>
        <v>0</v>
      </c>
      <c r="DX108" s="689">
        <f t="shared" si="1226"/>
        <v>0</v>
      </c>
      <c r="DY108" s="689">
        <f t="shared" si="1226"/>
        <v>0</v>
      </c>
      <c r="DZ108" s="689">
        <f t="shared" si="1226"/>
        <v>0</v>
      </c>
      <c r="EA108" s="1037">
        <f t="shared" si="1226"/>
        <v>0</v>
      </c>
      <c r="EB108" s="689">
        <f t="shared" si="1226"/>
        <v>0</v>
      </c>
      <c r="EC108" s="689">
        <f t="shared" si="1226"/>
        <v>0</v>
      </c>
      <c r="ED108" s="1093">
        <f t="shared" si="1226"/>
        <v>0</v>
      </c>
    </row>
    <row r="109" spans="2:134" outlineLevel="1" x14ac:dyDescent="0.25">
      <c r="C109" s="1279"/>
      <c r="D109" s="1683" t="s">
        <v>272</v>
      </c>
      <c r="E109" s="1683"/>
      <c r="F109" s="1683"/>
      <c r="G109" s="1683"/>
      <c r="H109" s="1683"/>
      <c r="I109" s="1683"/>
      <c r="J109" s="1683"/>
      <c r="K109" s="1683"/>
      <c r="L109" s="1032"/>
      <c r="M109" s="1328">
        <f>N109*100</f>
        <v>0</v>
      </c>
      <c r="N109" s="1033"/>
      <c r="O109" s="1034"/>
      <c r="P109" s="1034"/>
      <c r="Q109" s="1034"/>
      <c r="R109" s="1035">
        <f>P109-N109</f>
        <v>0</v>
      </c>
      <c r="S109" s="1036">
        <f>Q109*100</f>
        <v>0</v>
      </c>
      <c r="T109" s="1036"/>
      <c r="U109" s="689"/>
      <c r="V109" s="1082"/>
      <c r="W109" s="1097">
        <f>M109</f>
        <v>0</v>
      </c>
      <c r="X109" s="1098">
        <f>W109</f>
        <v>0</v>
      </c>
      <c r="Y109" s="1098">
        <f>X109</f>
        <v>0</v>
      </c>
      <c r="Z109" s="1098">
        <f>O109*100</f>
        <v>0</v>
      </c>
      <c r="AA109" s="1098">
        <f>Z109</f>
        <v>0</v>
      </c>
      <c r="AB109" s="1098">
        <f>AA109</f>
        <v>0</v>
      </c>
      <c r="AC109" s="1098">
        <f>P109*100</f>
        <v>0</v>
      </c>
      <c r="AD109" s="1098">
        <f>AC109</f>
        <v>0</v>
      </c>
      <c r="AE109" s="1098">
        <f>AD109</f>
        <v>0</v>
      </c>
      <c r="AF109" s="1098">
        <f>AE109</f>
        <v>0</v>
      </c>
      <c r="AG109" s="1098">
        <f>AF109</f>
        <v>0</v>
      </c>
      <c r="AH109" s="1098">
        <f>AG109</f>
        <v>0</v>
      </c>
      <c r="AI109" s="1099">
        <f t="shared" ref="AI109:AT109" si="1227">(((AH109*(1+($B$36*$B$4)))-AH109)/12)+AH109</f>
        <v>0</v>
      </c>
      <c r="AJ109" s="1098">
        <f t="shared" si="1227"/>
        <v>0</v>
      </c>
      <c r="AK109" s="1098">
        <f t="shared" si="1227"/>
        <v>0</v>
      </c>
      <c r="AL109" s="1098">
        <f t="shared" si="1227"/>
        <v>0</v>
      </c>
      <c r="AM109" s="1098">
        <f t="shared" si="1227"/>
        <v>0</v>
      </c>
      <c r="AN109" s="1098">
        <f t="shared" si="1227"/>
        <v>0</v>
      </c>
      <c r="AO109" s="1098">
        <f t="shared" si="1227"/>
        <v>0</v>
      </c>
      <c r="AP109" s="1098">
        <f t="shared" si="1227"/>
        <v>0</v>
      </c>
      <c r="AQ109" s="1098">
        <f t="shared" si="1227"/>
        <v>0</v>
      </c>
      <c r="AR109" s="1098">
        <f t="shared" si="1227"/>
        <v>0</v>
      </c>
      <c r="AS109" s="1098">
        <f t="shared" si="1227"/>
        <v>0</v>
      </c>
      <c r="AT109" s="1098">
        <f t="shared" si="1227"/>
        <v>0</v>
      </c>
      <c r="AU109" s="1099">
        <f t="shared" ref="AU109:BF109" si="1228">(((AT109*(1+($B$37*$B$4)))-AT109)/12)+AT109</f>
        <v>0</v>
      </c>
      <c r="AV109" s="1098">
        <f t="shared" si="1228"/>
        <v>0</v>
      </c>
      <c r="AW109" s="1098">
        <f t="shared" si="1228"/>
        <v>0</v>
      </c>
      <c r="AX109" s="1098">
        <f t="shared" si="1228"/>
        <v>0</v>
      </c>
      <c r="AY109" s="1098">
        <f t="shared" si="1228"/>
        <v>0</v>
      </c>
      <c r="AZ109" s="1098">
        <f t="shared" si="1228"/>
        <v>0</v>
      </c>
      <c r="BA109" s="1098">
        <f t="shared" si="1228"/>
        <v>0</v>
      </c>
      <c r="BB109" s="1098">
        <f t="shared" si="1228"/>
        <v>0</v>
      </c>
      <c r="BC109" s="1098">
        <f t="shared" si="1228"/>
        <v>0</v>
      </c>
      <c r="BD109" s="1098">
        <f t="shared" si="1228"/>
        <v>0</v>
      </c>
      <c r="BE109" s="1098">
        <f t="shared" si="1228"/>
        <v>0</v>
      </c>
      <c r="BF109" s="1098">
        <f t="shared" si="1228"/>
        <v>0</v>
      </c>
      <c r="BG109" s="1099">
        <f t="shared" ref="BG109:BR109" si="1229">(((BF109*(1+($B$38*$B$4)))-BF109)/12)+BF109</f>
        <v>0</v>
      </c>
      <c r="BH109" s="1098">
        <f t="shared" si="1229"/>
        <v>0</v>
      </c>
      <c r="BI109" s="1098">
        <f t="shared" si="1229"/>
        <v>0</v>
      </c>
      <c r="BJ109" s="1098">
        <f t="shared" si="1229"/>
        <v>0</v>
      </c>
      <c r="BK109" s="1098">
        <f t="shared" si="1229"/>
        <v>0</v>
      </c>
      <c r="BL109" s="1098">
        <f t="shared" si="1229"/>
        <v>0</v>
      </c>
      <c r="BM109" s="1098">
        <f t="shared" si="1229"/>
        <v>0</v>
      </c>
      <c r="BN109" s="1098">
        <f t="shared" si="1229"/>
        <v>0</v>
      </c>
      <c r="BO109" s="1098">
        <f t="shared" si="1229"/>
        <v>0</v>
      </c>
      <c r="BP109" s="1098">
        <f t="shared" si="1229"/>
        <v>0</v>
      </c>
      <c r="BQ109" s="1098">
        <f t="shared" si="1229"/>
        <v>0</v>
      </c>
      <c r="BR109" s="1098">
        <f t="shared" si="1229"/>
        <v>0</v>
      </c>
      <c r="BS109" s="1099">
        <f t="shared" ref="BS109:CD109" si="1230">(((BR109*(1+($B$39*$B$4)))-BR109)/12)+BR109</f>
        <v>0</v>
      </c>
      <c r="BT109" s="1098">
        <f t="shared" si="1230"/>
        <v>0</v>
      </c>
      <c r="BU109" s="1098">
        <f t="shared" si="1230"/>
        <v>0</v>
      </c>
      <c r="BV109" s="1098">
        <f t="shared" si="1230"/>
        <v>0</v>
      </c>
      <c r="BW109" s="1098">
        <f t="shared" si="1230"/>
        <v>0</v>
      </c>
      <c r="BX109" s="1098">
        <f t="shared" si="1230"/>
        <v>0</v>
      </c>
      <c r="BY109" s="1098">
        <f t="shared" si="1230"/>
        <v>0</v>
      </c>
      <c r="BZ109" s="1098">
        <f t="shared" si="1230"/>
        <v>0</v>
      </c>
      <c r="CA109" s="1098">
        <f t="shared" si="1230"/>
        <v>0</v>
      </c>
      <c r="CB109" s="1098">
        <f t="shared" si="1230"/>
        <v>0</v>
      </c>
      <c r="CC109" s="1098">
        <f t="shared" si="1230"/>
        <v>0</v>
      </c>
      <c r="CD109" s="1098">
        <f t="shared" si="1230"/>
        <v>0</v>
      </c>
      <c r="CE109" s="1099">
        <f t="shared" ref="CE109:CP109" si="1231">(((CD109*(1+($B$40*$B$4)))-CD109)/12)+CD109</f>
        <v>0</v>
      </c>
      <c r="CF109" s="1098">
        <f t="shared" si="1231"/>
        <v>0</v>
      </c>
      <c r="CG109" s="1098">
        <f t="shared" si="1231"/>
        <v>0</v>
      </c>
      <c r="CH109" s="1098">
        <f t="shared" si="1231"/>
        <v>0</v>
      </c>
      <c r="CI109" s="1098">
        <f t="shared" si="1231"/>
        <v>0</v>
      </c>
      <c r="CJ109" s="1098">
        <f t="shared" si="1231"/>
        <v>0</v>
      </c>
      <c r="CK109" s="1098">
        <f t="shared" si="1231"/>
        <v>0</v>
      </c>
      <c r="CL109" s="1098">
        <f t="shared" si="1231"/>
        <v>0</v>
      </c>
      <c r="CM109" s="1098">
        <f t="shared" si="1231"/>
        <v>0</v>
      </c>
      <c r="CN109" s="1098">
        <f t="shared" si="1231"/>
        <v>0</v>
      </c>
      <c r="CO109" s="1098">
        <f t="shared" si="1231"/>
        <v>0</v>
      </c>
      <c r="CP109" s="1098">
        <f t="shared" si="1231"/>
        <v>0</v>
      </c>
      <c r="CQ109" s="1099">
        <f t="shared" ref="CQ109:DB109" si="1232">(((CP109*(1+($B$41*$B$4)))-CP109)/12)+CP109</f>
        <v>0</v>
      </c>
      <c r="CR109" s="1098">
        <f t="shared" si="1232"/>
        <v>0</v>
      </c>
      <c r="CS109" s="1098">
        <f t="shared" si="1232"/>
        <v>0</v>
      </c>
      <c r="CT109" s="1098">
        <f t="shared" si="1232"/>
        <v>0</v>
      </c>
      <c r="CU109" s="1098">
        <f t="shared" si="1232"/>
        <v>0</v>
      </c>
      <c r="CV109" s="1098">
        <f t="shared" si="1232"/>
        <v>0</v>
      </c>
      <c r="CW109" s="1098">
        <f t="shared" si="1232"/>
        <v>0</v>
      </c>
      <c r="CX109" s="1098">
        <f t="shared" si="1232"/>
        <v>0</v>
      </c>
      <c r="CY109" s="1098">
        <f t="shared" si="1232"/>
        <v>0</v>
      </c>
      <c r="CZ109" s="1098">
        <f t="shared" si="1232"/>
        <v>0</v>
      </c>
      <c r="DA109" s="1098">
        <f t="shared" si="1232"/>
        <v>0</v>
      </c>
      <c r="DB109" s="1098">
        <f t="shared" si="1232"/>
        <v>0</v>
      </c>
      <c r="DC109" s="1099">
        <f t="shared" ref="DC109:DN109" si="1233">(((DB109*(1+($B$42*$B$4)))-DB109)/12)+DB109</f>
        <v>0</v>
      </c>
      <c r="DD109" s="1098">
        <f t="shared" si="1233"/>
        <v>0</v>
      </c>
      <c r="DE109" s="1098">
        <f t="shared" si="1233"/>
        <v>0</v>
      </c>
      <c r="DF109" s="1098">
        <f t="shared" si="1233"/>
        <v>0</v>
      </c>
      <c r="DG109" s="1098">
        <f t="shared" si="1233"/>
        <v>0</v>
      </c>
      <c r="DH109" s="1098">
        <f t="shared" si="1233"/>
        <v>0</v>
      </c>
      <c r="DI109" s="1098">
        <f t="shared" si="1233"/>
        <v>0</v>
      </c>
      <c r="DJ109" s="1098">
        <f t="shared" si="1233"/>
        <v>0</v>
      </c>
      <c r="DK109" s="1098">
        <f t="shared" si="1233"/>
        <v>0</v>
      </c>
      <c r="DL109" s="1098">
        <f t="shared" si="1233"/>
        <v>0</v>
      </c>
      <c r="DM109" s="1098">
        <f t="shared" si="1233"/>
        <v>0</v>
      </c>
      <c r="DN109" s="1098">
        <f t="shared" si="1233"/>
        <v>0</v>
      </c>
      <c r="DO109" s="1099">
        <f t="shared" ref="DO109:DZ109" si="1234">(((DN109*(1+($B$43*$B$4)))-DN109)/12)+DN109</f>
        <v>0</v>
      </c>
      <c r="DP109" s="1098">
        <f t="shared" si="1234"/>
        <v>0</v>
      </c>
      <c r="DQ109" s="1098">
        <f t="shared" si="1234"/>
        <v>0</v>
      </c>
      <c r="DR109" s="1098">
        <f t="shared" si="1234"/>
        <v>0</v>
      </c>
      <c r="DS109" s="1098">
        <f t="shared" si="1234"/>
        <v>0</v>
      </c>
      <c r="DT109" s="1098">
        <f t="shared" si="1234"/>
        <v>0</v>
      </c>
      <c r="DU109" s="1098">
        <f t="shared" si="1234"/>
        <v>0</v>
      </c>
      <c r="DV109" s="1098">
        <f t="shared" si="1234"/>
        <v>0</v>
      </c>
      <c r="DW109" s="1098">
        <f t="shared" si="1234"/>
        <v>0</v>
      </c>
      <c r="DX109" s="1098">
        <f t="shared" si="1234"/>
        <v>0</v>
      </c>
      <c r="DY109" s="1098">
        <f t="shared" si="1234"/>
        <v>0</v>
      </c>
      <c r="DZ109" s="1098">
        <f t="shared" si="1234"/>
        <v>0</v>
      </c>
      <c r="EA109" s="1099">
        <f>(((DZ109*(1+($B$44*$B$4)))-DZ109)/12)+DZ109</f>
        <v>0</v>
      </c>
      <c r="EB109" s="1098">
        <f>(((EA109*(1+($B$44*$B$4)))-EA109)/12)+EA109</f>
        <v>0</v>
      </c>
      <c r="EC109" s="1098">
        <f>(((EB109*(1+($B$44*$B$4)))-EB109)/12)+EB109</f>
        <v>0</v>
      </c>
      <c r="ED109" s="1100">
        <f>(((EC109*(1+($B$44*$B$4)))-EC109)/12)+EC109</f>
        <v>0</v>
      </c>
    </row>
    <row r="110" spans="2:134" outlineLevel="1" x14ac:dyDescent="0.25">
      <c r="C110" s="1279"/>
      <c r="D110" s="1683"/>
      <c r="E110" s="1683"/>
      <c r="F110" s="1683"/>
      <c r="G110" s="1683"/>
      <c r="H110" s="1683"/>
      <c r="I110" s="1683"/>
      <c r="J110" s="1683"/>
      <c r="K110" s="1683"/>
      <c r="L110" s="1032"/>
      <c r="M110" s="689"/>
      <c r="N110" s="1033"/>
      <c r="O110" s="1034"/>
      <c r="P110" s="1034"/>
      <c r="Q110" s="1034"/>
      <c r="R110" s="1035"/>
      <c r="S110" s="1036"/>
      <c r="T110" s="1036"/>
      <c r="U110" s="689"/>
      <c r="V110" s="85">
        <v>1</v>
      </c>
      <c r="W110" s="1094">
        <f>ROUNDUP($V110*(W109/100)/0.8,0)</f>
        <v>0</v>
      </c>
      <c r="X110" s="1074">
        <f t="shared" ref="X110:CI110" si="1235">ROUNDUP($V110*(X109/100)/0.8,0)</f>
        <v>0</v>
      </c>
      <c r="Y110" s="1074">
        <f t="shared" si="1235"/>
        <v>0</v>
      </c>
      <c r="Z110" s="1074">
        <f t="shared" si="1235"/>
        <v>0</v>
      </c>
      <c r="AA110" s="1074">
        <f t="shared" si="1235"/>
        <v>0</v>
      </c>
      <c r="AB110" s="1074">
        <f t="shared" si="1235"/>
        <v>0</v>
      </c>
      <c r="AC110" s="1074">
        <f t="shared" si="1235"/>
        <v>0</v>
      </c>
      <c r="AD110" s="1074">
        <f t="shared" si="1235"/>
        <v>0</v>
      </c>
      <c r="AE110" s="1074">
        <f t="shared" si="1235"/>
        <v>0</v>
      </c>
      <c r="AF110" s="1074">
        <f t="shared" si="1235"/>
        <v>0</v>
      </c>
      <c r="AG110" s="1074">
        <f t="shared" si="1235"/>
        <v>0</v>
      </c>
      <c r="AH110" s="1074">
        <f t="shared" si="1235"/>
        <v>0</v>
      </c>
      <c r="AI110" s="1095">
        <f t="shared" si="1235"/>
        <v>0</v>
      </c>
      <c r="AJ110" s="1074">
        <f t="shared" si="1235"/>
        <v>0</v>
      </c>
      <c r="AK110" s="1074">
        <f t="shared" si="1235"/>
        <v>0</v>
      </c>
      <c r="AL110" s="1074">
        <f t="shared" si="1235"/>
        <v>0</v>
      </c>
      <c r="AM110" s="1074">
        <f t="shared" si="1235"/>
        <v>0</v>
      </c>
      <c r="AN110" s="1074">
        <f t="shared" si="1235"/>
        <v>0</v>
      </c>
      <c r="AO110" s="1074">
        <f t="shared" si="1235"/>
        <v>0</v>
      </c>
      <c r="AP110" s="1074">
        <f t="shared" si="1235"/>
        <v>0</v>
      </c>
      <c r="AQ110" s="1074">
        <f t="shared" si="1235"/>
        <v>0</v>
      </c>
      <c r="AR110" s="1074">
        <f t="shared" si="1235"/>
        <v>0</v>
      </c>
      <c r="AS110" s="1074">
        <f t="shared" si="1235"/>
        <v>0</v>
      </c>
      <c r="AT110" s="1074">
        <f t="shared" si="1235"/>
        <v>0</v>
      </c>
      <c r="AU110" s="1095">
        <f t="shared" si="1235"/>
        <v>0</v>
      </c>
      <c r="AV110" s="1074">
        <f t="shared" si="1235"/>
        <v>0</v>
      </c>
      <c r="AW110" s="1074">
        <f t="shared" si="1235"/>
        <v>0</v>
      </c>
      <c r="AX110" s="1074">
        <f t="shared" si="1235"/>
        <v>0</v>
      </c>
      <c r="AY110" s="1074">
        <f t="shared" si="1235"/>
        <v>0</v>
      </c>
      <c r="AZ110" s="1074">
        <f t="shared" si="1235"/>
        <v>0</v>
      </c>
      <c r="BA110" s="1074">
        <f t="shared" si="1235"/>
        <v>0</v>
      </c>
      <c r="BB110" s="1074">
        <f t="shared" si="1235"/>
        <v>0</v>
      </c>
      <c r="BC110" s="1074">
        <f t="shared" si="1235"/>
        <v>0</v>
      </c>
      <c r="BD110" s="1074">
        <f t="shared" si="1235"/>
        <v>0</v>
      </c>
      <c r="BE110" s="1074">
        <f t="shared" si="1235"/>
        <v>0</v>
      </c>
      <c r="BF110" s="1074">
        <f t="shared" si="1235"/>
        <v>0</v>
      </c>
      <c r="BG110" s="1095">
        <f t="shared" si="1235"/>
        <v>0</v>
      </c>
      <c r="BH110" s="1074">
        <f t="shared" si="1235"/>
        <v>0</v>
      </c>
      <c r="BI110" s="1074">
        <f t="shared" si="1235"/>
        <v>0</v>
      </c>
      <c r="BJ110" s="1074">
        <f t="shared" si="1235"/>
        <v>0</v>
      </c>
      <c r="BK110" s="1074">
        <f t="shared" si="1235"/>
        <v>0</v>
      </c>
      <c r="BL110" s="1074">
        <f t="shared" si="1235"/>
        <v>0</v>
      </c>
      <c r="BM110" s="1074">
        <f t="shared" si="1235"/>
        <v>0</v>
      </c>
      <c r="BN110" s="1074">
        <f t="shared" si="1235"/>
        <v>0</v>
      </c>
      <c r="BO110" s="1074">
        <f t="shared" si="1235"/>
        <v>0</v>
      </c>
      <c r="BP110" s="1074">
        <f t="shared" si="1235"/>
        <v>0</v>
      </c>
      <c r="BQ110" s="1074">
        <f t="shared" si="1235"/>
        <v>0</v>
      </c>
      <c r="BR110" s="1074">
        <f t="shared" si="1235"/>
        <v>0</v>
      </c>
      <c r="BS110" s="1095">
        <f t="shared" si="1235"/>
        <v>0</v>
      </c>
      <c r="BT110" s="1074">
        <f t="shared" si="1235"/>
        <v>0</v>
      </c>
      <c r="BU110" s="1074">
        <f t="shared" si="1235"/>
        <v>0</v>
      </c>
      <c r="BV110" s="1074">
        <f t="shared" si="1235"/>
        <v>0</v>
      </c>
      <c r="BW110" s="1074">
        <f t="shared" si="1235"/>
        <v>0</v>
      </c>
      <c r="BX110" s="1074">
        <f t="shared" si="1235"/>
        <v>0</v>
      </c>
      <c r="BY110" s="1074">
        <f t="shared" si="1235"/>
        <v>0</v>
      </c>
      <c r="BZ110" s="1074">
        <f t="shared" si="1235"/>
        <v>0</v>
      </c>
      <c r="CA110" s="1074">
        <f t="shared" si="1235"/>
        <v>0</v>
      </c>
      <c r="CB110" s="1074">
        <f t="shared" si="1235"/>
        <v>0</v>
      </c>
      <c r="CC110" s="1074">
        <f t="shared" si="1235"/>
        <v>0</v>
      </c>
      <c r="CD110" s="1074">
        <f t="shared" si="1235"/>
        <v>0</v>
      </c>
      <c r="CE110" s="1095">
        <f t="shared" si="1235"/>
        <v>0</v>
      </c>
      <c r="CF110" s="1074">
        <f t="shared" si="1235"/>
        <v>0</v>
      </c>
      <c r="CG110" s="1074">
        <f t="shared" si="1235"/>
        <v>0</v>
      </c>
      <c r="CH110" s="1074">
        <f t="shared" si="1235"/>
        <v>0</v>
      </c>
      <c r="CI110" s="1074">
        <f t="shared" si="1235"/>
        <v>0</v>
      </c>
      <c r="CJ110" s="1074">
        <f t="shared" ref="CJ110:ED110" si="1236">ROUNDUP($V110*(CJ109/100)/0.8,0)</f>
        <v>0</v>
      </c>
      <c r="CK110" s="1074">
        <f t="shared" si="1236"/>
        <v>0</v>
      </c>
      <c r="CL110" s="1074">
        <f t="shared" si="1236"/>
        <v>0</v>
      </c>
      <c r="CM110" s="1074">
        <f t="shared" si="1236"/>
        <v>0</v>
      </c>
      <c r="CN110" s="1074">
        <f t="shared" si="1236"/>
        <v>0</v>
      </c>
      <c r="CO110" s="1074">
        <f t="shared" si="1236"/>
        <v>0</v>
      </c>
      <c r="CP110" s="1074">
        <f t="shared" si="1236"/>
        <v>0</v>
      </c>
      <c r="CQ110" s="1095">
        <f t="shared" si="1236"/>
        <v>0</v>
      </c>
      <c r="CR110" s="1074">
        <f t="shared" si="1236"/>
        <v>0</v>
      </c>
      <c r="CS110" s="1074">
        <f t="shared" si="1236"/>
        <v>0</v>
      </c>
      <c r="CT110" s="1074">
        <f t="shared" si="1236"/>
        <v>0</v>
      </c>
      <c r="CU110" s="1074">
        <f t="shared" si="1236"/>
        <v>0</v>
      </c>
      <c r="CV110" s="1074">
        <f t="shared" si="1236"/>
        <v>0</v>
      </c>
      <c r="CW110" s="1074">
        <f t="shared" si="1236"/>
        <v>0</v>
      </c>
      <c r="CX110" s="1074">
        <f t="shared" si="1236"/>
        <v>0</v>
      </c>
      <c r="CY110" s="1074">
        <f t="shared" si="1236"/>
        <v>0</v>
      </c>
      <c r="CZ110" s="1074">
        <f t="shared" si="1236"/>
        <v>0</v>
      </c>
      <c r="DA110" s="1074">
        <f t="shared" si="1236"/>
        <v>0</v>
      </c>
      <c r="DB110" s="1074">
        <f t="shared" si="1236"/>
        <v>0</v>
      </c>
      <c r="DC110" s="1095">
        <f t="shared" si="1236"/>
        <v>0</v>
      </c>
      <c r="DD110" s="1074">
        <f t="shared" si="1236"/>
        <v>0</v>
      </c>
      <c r="DE110" s="1074">
        <f t="shared" si="1236"/>
        <v>0</v>
      </c>
      <c r="DF110" s="1074">
        <f t="shared" si="1236"/>
        <v>0</v>
      </c>
      <c r="DG110" s="1074">
        <f t="shared" si="1236"/>
        <v>0</v>
      </c>
      <c r="DH110" s="1074">
        <f t="shared" si="1236"/>
        <v>0</v>
      </c>
      <c r="DI110" s="1074">
        <f t="shared" si="1236"/>
        <v>0</v>
      </c>
      <c r="DJ110" s="1074">
        <f t="shared" si="1236"/>
        <v>0</v>
      </c>
      <c r="DK110" s="1074">
        <f t="shared" si="1236"/>
        <v>0</v>
      </c>
      <c r="DL110" s="1074">
        <f t="shared" si="1236"/>
        <v>0</v>
      </c>
      <c r="DM110" s="1074">
        <f t="shared" si="1236"/>
        <v>0</v>
      </c>
      <c r="DN110" s="1074">
        <f t="shared" si="1236"/>
        <v>0</v>
      </c>
      <c r="DO110" s="1095">
        <f t="shared" si="1236"/>
        <v>0</v>
      </c>
      <c r="DP110" s="1074">
        <f t="shared" si="1236"/>
        <v>0</v>
      </c>
      <c r="DQ110" s="1074">
        <f t="shared" si="1236"/>
        <v>0</v>
      </c>
      <c r="DR110" s="1074">
        <f t="shared" si="1236"/>
        <v>0</v>
      </c>
      <c r="DS110" s="1074">
        <f t="shared" si="1236"/>
        <v>0</v>
      </c>
      <c r="DT110" s="1074">
        <f t="shared" si="1236"/>
        <v>0</v>
      </c>
      <c r="DU110" s="1074">
        <f t="shared" si="1236"/>
        <v>0</v>
      </c>
      <c r="DV110" s="1074">
        <f t="shared" si="1236"/>
        <v>0</v>
      </c>
      <c r="DW110" s="1074">
        <f t="shared" si="1236"/>
        <v>0</v>
      </c>
      <c r="DX110" s="1074">
        <f t="shared" si="1236"/>
        <v>0</v>
      </c>
      <c r="DY110" s="1074">
        <f t="shared" si="1236"/>
        <v>0</v>
      </c>
      <c r="DZ110" s="1074">
        <f t="shared" si="1236"/>
        <v>0</v>
      </c>
      <c r="EA110" s="1095">
        <f t="shared" si="1236"/>
        <v>0</v>
      </c>
      <c r="EB110" s="1074">
        <f t="shared" si="1236"/>
        <v>0</v>
      </c>
      <c r="EC110" s="1074">
        <f t="shared" si="1236"/>
        <v>0</v>
      </c>
      <c r="ED110" s="1096">
        <f t="shared" si="1236"/>
        <v>0</v>
      </c>
    </row>
    <row r="111" spans="2:134" outlineLevel="1" x14ac:dyDescent="0.25">
      <c r="C111" s="1279"/>
      <c r="D111" s="1672" t="s">
        <v>273</v>
      </c>
      <c r="E111" s="1672"/>
      <c r="F111" s="1672"/>
      <c r="G111" s="1672"/>
      <c r="H111" s="1672"/>
      <c r="I111" s="1672"/>
      <c r="J111" s="1672"/>
      <c r="K111" s="1672"/>
      <c r="L111" s="1020"/>
      <c r="M111" s="1328">
        <f>N111*100</f>
        <v>0</v>
      </c>
      <c r="N111" s="1022"/>
      <c r="O111" s="1023"/>
      <c r="P111" s="1023"/>
      <c r="Q111" s="1023"/>
      <c r="R111" s="1024">
        <f>P111-N111</f>
        <v>0</v>
      </c>
      <c r="S111" s="1025">
        <f>Q111*100</f>
        <v>0</v>
      </c>
      <c r="T111" s="1025"/>
      <c r="U111" s="722"/>
      <c r="V111" s="1080"/>
      <c r="W111" s="1090">
        <f>M111</f>
        <v>0</v>
      </c>
      <c r="X111" s="1038">
        <f>W111</f>
        <v>0</v>
      </c>
      <c r="Y111" s="1038">
        <f>X111</f>
        <v>0</v>
      </c>
      <c r="Z111" s="1038">
        <f>O111*100</f>
        <v>0</v>
      </c>
      <c r="AA111" s="1038">
        <f>Z111</f>
        <v>0</v>
      </c>
      <c r="AB111" s="1038">
        <f>AA111</f>
        <v>0</v>
      </c>
      <c r="AC111" s="1038">
        <f>P111*100</f>
        <v>0</v>
      </c>
      <c r="AD111" s="1038">
        <f>AC111</f>
        <v>0</v>
      </c>
      <c r="AE111" s="1038">
        <f>AD111</f>
        <v>0</v>
      </c>
      <c r="AF111" s="1038">
        <f>AE111</f>
        <v>0</v>
      </c>
      <c r="AG111" s="1038">
        <f>AF111</f>
        <v>0</v>
      </c>
      <c r="AH111" s="1038">
        <f>AG111</f>
        <v>0</v>
      </c>
      <c r="AI111" s="1039">
        <f t="shared" ref="AI111:AT111" si="1237">(((AH111*(1+($B$36*$B$4)))-AH111)/12)+AH111</f>
        <v>0</v>
      </c>
      <c r="AJ111" s="1038">
        <f t="shared" si="1237"/>
        <v>0</v>
      </c>
      <c r="AK111" s="1038">
        <f t="shared" si="1237"/>
        <v>0</v>
      </c>
      <c r="AL111" s="1038">
        <f t="shared" si="1237"/>
        <v>0</v>
      </c>
      <c r="AM111" s="1038">
        <f t="shared" si="1237"/>
        <v>0</v>
      </c>
      <c r="AN111" s="1038">
        <f t="shared" si="1237"/>
        <v>0</v>
      </c>
      <c r="AO111" s="1038">
        <f t="shared" si="1237"/>
        <v>0</v>
      </c>
      <c r="AP111" s="1038">
        <f t="shared" si="1237"/>
        <v>0</v>
      </c>
      <c r="AQ111" s="1038">
        <f t="shared" si="1237"/>
        <v>0</v>
      </c>
      <c r="AR111" s="1038">
        <f t="shared" si="1237"/>
        <v>0</v>
      </c>
      <c r="AS111" s="1038">
        <f t="shared" si="1237"/>
        <v>0</v>
      </c>
      <c r="AT111" s="1038">
        <f t="shared" si="1237"/>
        <v>0</v>
      </c>
      <c r="AU111" s="1039">
        <f t="shared" ref="AU111:BF111" si="1238">(((AT111*(1+($B$37*$B$4)))-AT111)/12)+AT111</f>
        <v>0</v>
      </c>
      <c r="AV111" s="1038">
        <f t="shared" si="1238"/>
        <v>0</v>
      </c>
      <c r="AW111" s="1038">
        <f t="shared" si="1238"/>
        <v>0</v>
      </c>
      <c r="AX111" s="1038">
        <f t="shared" si="1238"/>
        <v>0</v>
      </c>
      <c r="AY111" s="1038">
        <f t="shared" si="1238"/>
        <v>0</v>
      </c>
      <c r="AZ111" s="1038">
        <f t="shared" si="1238"/>
        <v>0</v>
      </c>
      <c r="BA111" s="1038">
        <f t="shared" si="1238"/>
        <v>0</v>
      </c>
      <c r="BB111" s="1038">
        <f t="shared" si="1238"/>
        <v>0</v>
      </c>
      <c r="BC111" s="1038">
        <f t="shared" si="1238"/>
        <v>0</v>
      </c>
      <c r="BD111" s="1038">
        <f t="shared" si="1238"/>
        <v>0</v>
      </c>
      <c r="BE111" s="1038">
        <f t="shared" si="1238"/>
        <v>0</v>
      </c>
      <c r="BF111" s="1038">
        <f t="shared" si="1238"/>
        <v>0</v>
      </c>
      <c r="BG111" s="1039">
        <f t="shared" ref="BG111:BR111" si="1239">(((BF111*(1+($B$38*$B$4)))-BF111)/12)+BF111</f>
        <v>0</v>
      </c>
      <c r="BH111" s="1038">
        <f t="shared" si="1239"/>
        <v>0</v>
      </c>
      <c r="BI111" s="1038">
        <f t="shared" si="1239"/>
        <v>0</v>
      </c>
      <c r="BJ111" s="1038">
        <f t="shared" si="1239"/>
        <v>0</v>
      </c>
      <c r="BK111" s="1038">
        <f t="shared" si="1239"/>
        <v>0</v>
      </c>
      <c r="BL111" s="1038">
        <f t="shared" si="1239"/>
        <v>0</v>
      </c>
      <c r="BM111" s="1038">
        <f t="shared" si="1239"/>
        <v>0</v>
      </c>
      <c r="BN111" s="1038">
        <f t="shared" si="1239"/>
        <v>0</v>
      </c>
      <c r="BO111" s="1038">
        <f t="shared" si="1239"/>
        <v>0</v>
      </c>
      <c r="BP111" s="1038">
        <f t="shared" si="1239"/>
        <v>0</v>
      </c>
      <c r="BQ111" s="1038">
        <f t="shared" si="1239"/>
        <v>0</v>
      </c>
      <c r="BR111" s="1038">
        <f t="shared" si="1239"/>
        <v>0</v>
      </c>
      <c r="BS111" s="1039">
        <f t="shared" ref="BS111:CD111" si="1240">(((BR111*(1+($B$39*$B$4)))-BR111)/12)+BR111</f>
        <v>0</v>
      </c>
      <c r="BT111" s="1038">
        <f t="shared" si="1240"/>
        <v>0</v>
      </c>
      <c r="BU111" s="1038">
        <f t="shared" si="1240"/>
        <v>0</v>
      </c>
      <c r="BV111" s="1038">
        <f t="shared" si="1240"/>
        <v>0</v>
      </c>
      <c r="BW111" s="1038">
        <f t="shared" si="1240"/>
        <v>0</v>
      </c>
      <c r="BX111" s="1038">
        <f t="shared" si="1240"/>
        <v>0</v>
      </c>
      <c r="BY111" s="1038">
        <f t="shared" si="1240"/>
        <v>0</v>
      </c>
      <c r="BZ111" s="1038">
        <f t="shared" si="1240"/>
        <v>0</v>
      </c>
      <c r="CA111" s="1038">
        <f t="shared" si="1240"/>
        <v>0</v>
      </c>
      <c r="CB111" s="1038">
        <f t="shared" si="1240"/>
        <v>0</v>
      </c>
      <c r="CC111" s="1038">
        <f t="shared" si="1240"/>
        <v>0</v>
      </c>
      <c r="CD111" s="1038">
        <f t="shared" si="1240"/>
        <v>0</v>
      </c>
      <c r="CE111" s="1039">
        <f t="shared" ref="CE111:CP111" si="1241">(((CD111*(1+($B$40*$B$4)))-CD111)/12)+CD111</f>
        <v>0</v>
      </c>
      <c r="CF111" s="1038">
        <f t="shared" si="1241"/>
        <v>0</v>
      </c>
      <c r="CG111" s="1038">
        <f t="shared" si="1241"/>
        <v>0</v>
      </c>
      <c r="CH111" s="1038">
        <f t="shared" si="1241"/>
        <v>0</v>
      </c>
      <c r="CI111" s="1038">
        <f t="shared" si="1241"/>
        <v>0</v>
      </c>
      <c r="CJ111" s="1038">
        <f t="shared" si="1241"/>
        <v>0</v>
      </c>
      <c r="CK111" s="1038">
        <f t="shared" si="1241"/>
        <v>0</v>
      </c>
      <c r="CL111" s="1038">
        <f t="shared" si="1241"/>
        <v>0</v>
      </c>
      <c r="CM111" s="1038">
        <f t="shared" si="1241"/>
        <v>0</v>
      </c>
      <c r="CN111" s="1038">
        <f t="shared" si="1241"/>
        <v>0</v>
      </c>
      <c r="CO111" s="1038">
        <f t="shared" si="1241"/>
        <v>0</v>
      </c>
      <c r="CP111" s="1038">
        <f t="shared" si="1241"/>
        <v>0</v>
      </c>
      <c r="CQ111" s="1039">
        <f t="shared" ref="CQ111:DB111" si="1242">(((CP111*(1+($B$41*$B$4)))-CP111)/12)+CP111</f>
        <v>0</v>
      </c>
      <c r="CR111" s="1038">
        <f t="shared" si="1242"/>
        <v>0</v>
      </c>
      <c r="CS111" s="1038">
        <f t="shared" si="1242"/>
        <v>0</v>
      </c>
      <c r="CT111" s="1038">
        <f t="shared" si="1242"/>
        <v>0</v>
      </c>
      <c r="CU111" s="1038">
        <f t="shared" si="1242"/>
        <v>0</v>
      </c>
      <c r="CV111" s="1038">
        <f t="shared" si="1242"/>
        <v>0</v>
      </c>
      <c r="CW111" s="1038">
        <f t="shared" si="1242"/>
        <v>0</v>
      </c>
      <c r="CX111" s="1038">
        <f t="shared" si="1242"/>
        <v>0</v>
      </c>
      <c r="CY111" s="1038">
        <f t="shared" si="1242"/>
        <v>0</v>
      </c>
      <c r="CZ111" s="1038">
        <f t="shared" si="1242"/>
        <v>0</v>
      </c>
      <c r="DA111" s="1038">
        <f t="shared" si="1242"/>
        <v>0</v>
      </c>
      <c r="DB111" s="1038">
        <f t="shared" si="1242"/>
        <v>0</v>
      </c>
      <c r="DC111" s="1039">
        <f t="shared" ref="DC111:DN111" si="1243">(((DB111*(1+($B$42*$B$4)))-DB111)/12)+DB111</f>
        <v>0</v>
      </c>
      <c r="DD111" s="1038">
        <f t="shared" si="1243"/>
        <v>0</v>
      </c>
      <c r="DE111" s="1038">
        <f t="shared" si="1243"/>
        <v>0</v>
      </c>
      <c r="DF111" s="1038">
        <f t="shared" si="1243"/>
        <v>0</v>
      </c>
      <c r="DG111" s="1038">
        <f t="shared" si="1243"/>
        <v>0</v>
      </c>
      <c r="DH111" s="1038">
        <f t="shared" si="1243"/>
        <v>0</v>
      </c>
      <c r="DI111" s="1038">
        <f t="shared" si="1243"/>
        <v>0</v>
      </c>
      <c r="DJ111" s="1038">
        <f t="shared" si="1243"/>
        <v>0</v>
      </c>
      <c r="DK111" s="1038">
        <f t="shared" si="1243"/>
        <v>0</v>
      </c>
      <c r="DL111" s="1038">
        <f t="shared" si="1243"/>
        <v>0</v>
      </c>
      <c r="DM111" s="1038">
        <f t="shared" si="1243"/>
        <v>0</v>
      </c>
      <c r="DN111" s="1038">
        <f t="shared" si="1243"/>
        <v>0</v>
      </c>
      <c r="DO111" s="1039">
        <f t="shared" ref="DO111:DZ111" si="1244">(((DN111*(1+($B$43*$B$4)))-DN111)/12)+DN111</f>
        <v>0</v>
      </c>
      <c r="DP111" s="1038">
        <f t="shared" si="1244"/>
        <v>0</v>
      </c>
      <c r="DQ111" s="1038">
        <f t="shared" si="1244"/>
        <v>0</v>
      </c>
      <c r="DR111" s="1038">
        <f t="shared" si="1244"/>
        <v>0</v>
      </c>
      <c r="DS111" s="1038">
        <f t="shared" si="1244"/>
        <v>0</v>
      </c>
      <c r="DT111" s="1038">
        <f t="shared" si="1244"/>
        <v>0</v>
      </c>
      <c r="DU111" s="1038">
        <f t="shared" si="1244"/>
        <v>0</v>
      </c>
      <c r="DV111" s="1038">
        <f t="shared" si="1244"/>
        <v>0</v>
      </c>
      <c r="DW111" s="1038">
        <f t="shared" si="1244"/>
        <v>0</v>
      </c>
      <c r="DX111" s="1038">
        <f t="shared" si="1244"/>
        <v>0</v>
      </c>
      <c r="DY111" s="1038">
        <f t="shared" si="1244"/>
        <v>0</v>
      </c>
      <c r="DZ111" s="1038">
        <f t="shared" si="1244"/>
        <v>0</v>
      </c>
      <c r="EA111" s="1039">
        <f>(((DZ111*(1+($B$44*$B$4)))-DZ111)/12)+DZ111</f>
        <v>0</v>
      </c>
      <c r="EB111" s="1038">
        <f>(((EA111*(1+($B$44*$B$4)))-EA111)/12)+EA111</f>
        <v>0</v>
      </c>
      <c r="EC111" s="1038">
        <f>(((EB111*(1+($B$44*$B$4)))-EB111)/12)+EB111</f>
        <v>0</v>
      </c>
      <c r="ED111" s="1091">
        <f>(((EC111*(1+($B$44*$B$4)))-EC111)/12)+EC111</f>
        <v>0</v>
      </c>
    </row>
    <row r="112" spans="2:134" outlineLevel="1" x14ac:dyDescent="0.25">
      <c r="C112" s="1279"/>
      <c r="D112" s="1673"/>
      <c r="E112" s="1673"/>
      <c r="F112" s="1673"/>
      <c r="G112" s="1673"/>
      <c r="H112" s="1673"/>
      <c r="I112" s="1673"/>
      <c r="J112" s="1673"/>
      <c r="K112" s="1673"/>
      <c r="L112" s="1026"/>
      <c r="M112" s="1027"/>
      <c r="N112" s="1028"/>
      <c r="O112" s="1029"/>
      <c r="P112" s="1029"/>
      <c r="Q112" s="1029"/>
      <c r="R112" s="1030"/>
      <c r="S112" s="1031"/>
      <c r="T112" s="1031"/>
      <c r="U112" s="1027"/>
      <c r="V112" s="1081">
        <v>0.5</v>
      </c>
      <c r="W112" s="1092">
        <f>ROUNDUP($V112*(W111/100)/0.8,0)</f>
        <v>0</v>
      </c>
      <c r="X112" s="689">
        <f t="shared" ref="X112:CI112" si="1245">ROUNDUP($V112*(X111/100)/0.8,0)</f>
        <v>0</v>
      </c>
      <c r="Y112" s="689">
        <f t="shared" si="1245"/>
        <v>0</v>
      </c>
      <c r="Z112" s="689">
        <f t="shared" si="1245"/>
        <v>0</v>
      </c>
      <c r="AA112" s="689">
        <f t="shared" si="1245"/>
        <v>0</v>
      </c>
      <c r="AB112" s="689">
        <f t="shared" si="1245"/>
        <v>0</v>
      </c>
      <c r="AC112" s="689">
        <f t="shared" si="1245"/>
        <v>0</v>
      </c>
      <c r="AD112" s="689">
        <f t="shared" si="1245"/>
        <v>0</v>
      </c>
      <c r="AE112" s="689">
        <f t="shared" si="1245"/>
        <v>0</v>
      </c>
      <c r="AF112" s="689">
        <f t="shared" si="1245"/>
        <v>0</v>
      </c>
      <c r="AG112" s="689">
        <f t="shared" si="1245"/>
        <v>0</v>
      </c>
      <c r="AH112" s="689">
        <f t="shared" si="1245"/>
        <v>0</v>
      </c>
      <c r="AI112" s="1037">
        <f t="shared" si="1245"/>
        <v>0</v>
      </c>
      <c r="AJ112" s="689">
        <f t="shared" si="1245"/>
        <v>0</v>
      </c>
      <c r="AK112" s="689">
        <f t="shared" si="1245"/>
        <v>0</v>
      </c>
      <c r="AL112" s="689">
        <f t="shared" si="1245"/>
        <v>0</v>
      </c>
      <c r="AM112" s="689">
        <f t="shared" si="1245"/>
        <v>0</v>
      </c>
      <c r="AN112" s="689">
        <f t="shared" si="1245"/>
        <v>0</v>
      </c>
      <c r="AO112" s="689">
        <f t="shared" si="1245"/>
        <v>0</v>
      </c>
      <c r="AP112" s="689">
        <f t="shared" si="1245"/>
        <v>0</v>
      </c>
      <c r="AQ112" s="689">
        <f t="shared" si="1245"/>
        <v>0</v>
      </c>
      <c r="AR112" s="689">
        <f t="shared" si="1245"/>
        <v>0</v>
      </c>
      <c r="AS112" s="689">
        <f t="shared" si="1245"/>
        <v>0</v>
      </c>
      <c r="AT112" s="689">
        <f t="shared" si="1245"/>
        <v>0</v>
      </c>
      <c r="AU112" s="1037">
        <f t="shared" si="1245"/>
        <v>0</v>
      </c>
      <c r="AV112" s="689">
        <f t="shared" si="1245"/>
        <v>0</v>
      </c>
      <c r="AW112" s="689">
        <f t="shared" si="1245"/>
        <v>0</v>
      </c>
      <c r="AX112" s="689">
        <f t="shared" si="1245"/>
        <v>0</v>
      </c>
      <c r="AY112" s="689">
        <f t="shared" si="1245"/>
        <v>0</v>
      </c>
      <c r="AZ112" s="689">
        <f t="shared" si="1245"/>
        <v>0</v>
      </c>
      <c r="BA112" s="689">
        <f t="shared" si="1245"/>
        <v>0</v>
      </c>
      <c r="BB112" s="689">
        <f t="shared" si="1245"/>
        <v>0</v>
      </c>
      <c r="BC112" s="689">
        <f t="shared" si="1245"/>
        <v>0</v>
      </c>
      <c r="BD112" s="689">
        <f t="shared" si="1245"/>
        <v>0</v>
      </c>
      <c r="BE112" s="689">
        <f t="shared" si="1245"/>
        <v>0</v>
      </c>
      <c r="BF112" s="689">
        <f t="shared" si="1245"/>
        <v>0</v>
      </c>
      <c r="BG112" s="1037">
        <f t="shared" si="1245"/>
        <v>0</v>
      </c>
      <c r="BH112" s="689">
        <f t="shared" si="1245"/>
        <v>0</v>
      </c>
      <c r="BI112" s="689">
        <f t="shared" si="1245"/>
        <v>0</v>
      </c>
      <c r="BJ112" s="689">
        <f t="shared" si="1245"/>
        <v>0</v>
      </c>
      <c r="BK112" s="689">
        <f t="shared" si="1245"/>
        <v>0</v>
      </c>
      <c r="BL112" s="689">
        <f t="shared" si="1245"/>
        <v>0</v>
      </c>
      <c r="BM112" s="689">
        <f t="shared" si="1245"/>
        <v>0</v>
      </c>
      <c r="BN112" s="689">
        <f t="shared" si="1245"/>
        <v>0</v>
      </c>
      <c r="BO112" s="689">
        <f t="shared" si="1245"/>
        <v>0</v>
      </c>
      <c r="BP112" s="689">
        <f t="shared" si="1245"/>
        <v>0</v>
      </c>
      <c r="BQ112" s="689">
        <f t="shared" si="1245"/>
        <v>0</v>
      </c>
      <c r="BR112" s="689">
        <f t="shared" si="1245"/>
        <v>0</v>
      </c>
      <c r="BS112" s="1037">
        <f t="shared" si="1245"/>
        <v>0</v>
      </c>
      <c r="BT112" s="689">
        <f t="shared" si="1245"/>
        <v>0</v>
      </c>
      <c r="BU112" s="689">
        <f t="shared" si="1245"/>
        <v>0</v>
      </c>
      <c r="BV112" s="689">
        <f t="shared" si="1245"/>
        <v>0</v>
      </c>
      <c r="BW112" s="689">
        <f t="shared" si="1245"/>
        <v>0</v>
      </c>
      <c r="BX112" s="689">
        <f t="shared" si="1245"/>
        <v>0</v>
      </c>
      <c r="BY112" s="689">
        <f t="shared" si="1245"/>
        <v>0</v>
      </c>
      <c r="BZ112" s="689">
        <f t="shared" si="1245"/>
        <v>0</v>
      </c>
      <c r="CA112" s="689">
        <f t="shared" si="1245"/>
        <v>0</v>
      </c>
      <c r="CB112" s="689">
        <f t="shared" si="1245"/>
        <v>0</v>
      </c>
      <c r="CC112" s="689">
        <f t="shared" si="1245"/>
        <v>0</v>
      </c>
      <c r="CD112" s="689">
        <f t="shared" si="1245"/>
        <v>0</v>
      </c>
      <c r="CE112" s="1037">
        <f t="shared" si="1245"/>
        <v>0</v>
      </c>
      <c r="CF112" s="689">
        <f t="shared" si="1245"/>
        <v>0</v>
      </c>
      <c r="CG112" s="689">
        <f t="shared" si="1245"/>
        <v>0</v>
      </c>
      <c r="CH112" s="689">
        <f t="shared" si="1245"/>
        <v>0</v>
      </c>
      <c r="CI112" s="689">
        <f t="shared" si="1245"/>
        <v>0</v>
      </c>
      <c r="CJ112" s="689">
        <f t="shared" ref="CJ112:ED112" si="1246">ROUNDUP($V112*(CJ111/100)/0.8,0)</f>
        <v>0</v>
      </c>
      <c r="CK112" s="689">
        <f t="shared" si="1246"/>
        <v>0</v>
      </c>
      <c r="CL112" s="689">
        <f t="shared" si="1246"/>
        <v>0</v>
      </c>
      <c r="CM112" s="689">
        <f t="shared" si="1246"/>
        <v>0</v>
      </c>
      <c r="CN112" s="689">
        <f t="shared" si="1246"/>
        <v>0</v>
      </c>
      <c r="CO112" s="689">
        <f t="shared" si="1246"/>
        <v>0</v>
      </c>
      <c r="CP112" s="689">
        <f t="shared" si="1246"/>
        <v>0</v>
      </c>
      <c r="CQ112" s="1037">
        <f t="shared" si="1246"/>
        <v>0</v>
      </c>
      <c r="CR112" s="689">
        <f t="shared" si="1246"/>
        <v>0</v>
      </c>
      <c r="CS112" s="689">
        <f t="shared" si="1246"/>
        <v>0</v>
      </c>
      <c r="CT112" s="689">
        <f t="shared" si="1246"/>
        <v>0</v>
      </c>
      <c r="CU112" s="689">
        <f t="shared" si="1246"/>
        <v>0</v>
      </c>
      <c r="CV112" s="689">
        <f t="shared" si="1246"/>
        <v>0</v>
      </c>
      <c r="CW112" s="689">
        <f t="shared" si="1246"/>
        <v>0</v>
      </c>
      <c r="CX112" s="689">
        <f t="shared" si="1246"/>
        <v>0</v>
      </c>
      <c r="CY112" s="689">
        <f t="shared" si="1246"/>
        <v>0</v>
      </c>
      <c r="CZ112" s="689">
        <f t="shared" si="1246"/>
        <v>0</v>
      </c>
      <c r="DA112" s="689">
        <f t="shared" si="1246"/>
        <v>0</v>
      </c>
      <c r="DB112" s="689">
        <f t="shared" si="1246"/>
        <v>0</v>
      </c>
      <c r="DC112" s="1037">
        <f t="shared" si="1246"/>
        <v>0</v>
      </c>
      <c r="DD112" s="689">
        <f t="shared" si="1246"/>
        <v>0</v>
      </c>
      <c r="DE112" s="689">
        <f t="shared" si="1246"/>
        <v>0</v>
      </c>
      <c r="DF112" s="689">
        <f t="shared" si="1246"/>
        <v>0</v>
      </c>
      <c r="DG112" s="689">
        <f t="shared" si="1246"/>
        <v>0</v>
      </c>
      <c r="DH112" s="689">
        <f t="shared" si="1246"/>
        <v>0</v>
      </c>
      <c r="DI112" s="689">
        <f t="shared" si="1246"/>
        <v>0</v>
      </c>
      <c r="DJ112" s="689">
        <f t="shared" si="1246"/>
        <v>0</v>
      </c>
      <c r="DK112" s="689">
        <f t="shared" si="1246"/>
        <v>0</v>
      </c>
      <c r="DL112" s="689">
        <f t="shared" si="1246"/>
        <v>0</v>
      </c>
      <c r="DM112" s="689">
        <f t="shared" si="1246"/>
        <v>0</v>
      </c>
      <c r="DN112" s="689">
        <f t="shared" si="1246"/>
        <v>0</v>
      </c>
      <c r="DO112" s="1037">
        <f t="shared" si="1246"/>
        <v>0</v>
      </c>
      <c r="DP112" s="689">
        <f t="shared" si="1246"/>
        <v>0</v>
      </c>
      <c r="DQ112" s="689">
        <f t="shared" si="1246"/>
        <v>0</v>
      </c>
      <c r="DR112" s="689">
        <f t="shared" si="1246"/>
        <v>0</v>
      </c>
      <c r="DS112" s="689">
        <f t="shared" si="1246"/>
        <v>0</v>
      </c>
      <c r="DT112" s="689">
        <f t="shared" si="1246"/>
        <v>0</v>
      </c>
      <c r="DU112" s="689">
        <f t="shared" si="1246"/>
        <v>0</v>
      </c>
      <c r="DV112" s="689">
        <f t="shared" si="1246"/>
        <v>0</v>
      </c>
      <c r="DW112" s="689">
        <f t="shared" si="1246"/>
        <v>0</v>
      </c>
      <c r="DX112" s="689">
        <f t="shared" si="1246"/>
        <v>0</v>
      </c>
      <c r="DY112" s="689">
        <f t="shared" si="1246"/>
        <v>0</v>
      </c>
      <c r="DZ112" s="689">
        <f t="shared" si="1246"/>
        <v>0</v>
      </c>
      <c r="EA112" s="1037">
        <f t="shared" si="1246"/>
        <v>0</v>
      </c>
      <c r="EB112" s="689">
        <f t="shared" si="1246"/>
        <v>0</v>
      </c>
      <c r="EC112" s="689">
        <f t="shared" si="1246"/>
        <v>0</v>
      </c>
      <c r="ED112" s="1093">
        <f t="shared" si="1246"/>
        <v>0</v>
      </c>
    </row>
    <row r="113" spans="1:134" outlineLevel="1" x14ac:dyDescent="0.25">
      <c r="C113" s="1279"/>
      <c r="D113" s="1683" t="s">
        <v>274</v>
      </c>
      <c r="E113" s="1683"/>
      <c r="F113" s="1683"/>
      <c r="G113" s="1683"/>
      <c r="H113" s="1683"/>
      <c r="I113" s="1683"/>
      <c r="J113" s="1683"/>
      <c r="K113" s="1683"/>
      <c r="L113" s="1032"/>
      <c r="M113" s="1328">
        <f>N113*100</f>
        <v>0</v>
      </c>
      <c r="N113" s="1033"/>
      <c r="O113" s="1034"/>
      <c r="P113" s="1034"/>
      <c r="Q113" s="1034"/>
      <c r="R113" s="1035">
        <f>P113-N113</f>
        <v>0</v>
      </c>
      <c r="S113" s="1036">
        <f>Q113*100</f>
        <v>0</v>
      </c>
      <c r="T113" s="1036"/>
      <c r="U113" s="689"/>
      <c r="V113" s="1082"/>
      <c r="W113" s="1097">
        <f>M113</f>
        <v>0</v>
      </c>
      <c r="X113" s="1098">
        <f>W113</f>
        <v>0</v>
      </c>
      <c r="Y113" s="1098">
        <f>X113</f>
        <v>0</v>
      </c>
      <c r="Z113" s="1098">
        <f>O113*100</f>
        <v>0</v>
      </c>
      <c r="AA113" s="1098">
        <f>Z113</f>
        <v>0</v>
      </c>
      <c r="AB113" s="1098">
        <f>AA113</f>
        <v>0</v>
      </c>
      <c r="AC113" s="1098">
        <f>P113*100</f>
        <v>0</v>
      </c>
      <c r="AD113" s="1098">
        <f>AC113</f>
        <v>0</v>
      </c>
      <c r="AE113" s="1098">
        <f>AD113</f>
        <v>0</v>
      </c>
      <c r="AF113" s="1098">
        <f>AE113</f>
        <v>0</v>
      </c>
      <c r="AG113" s="1098">
        <f>AF113</f>
        <v>0</v>
      </c>
      <c r="AH113" s="1098">
        <f>AG113</f>
        <v>0</v>
      </c>
      <c r="AI113" s="1099">
        <f t="shared" ref="AI113:AT113" si="1247">(((AH113*(1+($B$36*$B$4)))-AH113)/12)+AH113</f>
        <v>0</v>
      </c>
      <c r="AJ113" s="1098">
        <f t="shared" si="1247"/>
        <v>0</v>
      </c>
      <c r="AK113" s="1098">
        <f t="shared" si="1247"/>
        <v>0</v>
      </c>
      <c r="AL113" s="1098">
        <f t="shared" si="1247"/>
        <v>0</v>
      </c>
      <c r="AM113" s="1098">
        <f t="shared" si="1247"/>
        <v>0</v>
      </c>
      <c r="AN113" s="1098">
        <f t="shared" si="1247"/>
        <v>0</v>
      </c>
      <c r="AO113" s="1098">
        <f t="shared" si="1247"/>
        <v>0</v>
      </c>
      <c r="AP113" s="1098">
        <f t="shared" si="1247"/>
        <v>0</v>
      </c>
      <c r="AQ113" s="1098">
        <f t="shared" si="1247"/>
        <v>0</v>
      </c>
      <c r="AR113" s="1098">
        <f t="shared" si="1247"/>
        <v>0</v>
      </c>
      <c r="AS113" s="1098">
        <f t="shared" si="1247"/>
        <v>0</v>
      </c>
      <c r="AT113" s="1098">
        <f t="shared" si="1247"/>
        <v>0</v>
      </c>
      <c r="AU113" s="1099">
        <f t="shared" ref="AU113:BF113" si="1248">(((AT113*(1+($B$37*$B$4)))-AT113)/12)+AT113</f>
        <v>0</v>
      </c>
      <c r="AV113" s="1098">
        <f t="shared" si="1248"/>
        <v>0</v>
      </c>
      <c r="AW113" s="1098">
        <f t="shared" si="1248"/>
        <v>0</v>
      </c>
      <c r="AX113" s="1098">
        <f t="shared" si="1248"/>
        <v>0</v>
      </c>
      <c r="AY113" s="1098">
        <f t="shared" si="1248"/>
        <v>0</v>
      </c>
      <c r="AZ113" s="1098">
        <f t="shared" si="1248"/>
        <v>0</v>
      </c>
      <c r="BA113" s="1098">
        <f t="shared" si="1248"/>
        <v>0</v>
      </c>
      <c r="BB113" s="1098">
        <f t="shared" si="1248"/>
        <v>0</v>
      </c>
      <c r="BC113" s="1098">
        <f t="shared" si="1248"/>
        <v>0</v>
      </c>
      <c r="BD113" s="1098">
        <f t="shared" si="1248"/>
        <v>0</v>
      </c>
      <c r="BE113" s="1098">
        <f t="shared" si="1248"/>
        <v>0</v>
      </c>
      <c r="BF113" s="1098">
        <f t="shared" si="1248"/>
        <v>0</v>
      </c>
      <c r="BG113" s="1099">
        <f t="shared" ref="BG113:BR113" si="1249">(((BF113*(1+($B$38*$B$4)))-BF113)/12)+BF113</f>
        <v>0</v>
      </c>
      <c r="BH113" s="1098">
        <f t="shared" si="1249"/>
        <v>0</v>
      </c>
      <c r="BI113" s="1098">
        <f t="shared" si="1249"/>
        <v>0</v>
      </c>
      <c r="BJ113" s="1098">
        <f t="shared" si="1249"/>
        <v>0</v>
      </c>
      <c r="BK113" s="1098">
        <f t="shared" si="1249"/>
        <v>0</v>
      </c>
      <c r="BL113" s="1098">
        <f t="shared" si="1249"/>
        <v>0</v>
      </c>
      <c r="BM113" s="1098">
        <f t="shared" si="1249"/>
        <v>0</v>
      </c>
      <c r="BN113" s="1098">
        <f t="shared" si="1249"/>
        <v>0</v>
      </c>
      <c r="BO113" s="1098">
        <f t="shared" si="1249"/>
        <v>0</v>
      </c>
      <c r="BP113" s="1098">
        <f t="shared" si="1249"/>
        <v>0</v>
      </c>
      <c r="BQ113" s="1098">
        <f t="shared" si="1249"/>
        <v>0</v>
      </c>
      <c r="BR113" s="1098">
        <f t="shared" si="1249"/>
        <v>0</v>
      </c>
      <c r="BS113" s="1099">
        <f t="shared" ref="BS113:CD113" si="1250">(((BR113*(1+($B$39*$B$4)))-BR113)/12)+BR113</f>
        <v>0</v>
      </c>
      <c r="BT113" s="1098">
        <f t="shared" si="1250"/>
        <v>0</v>
      </c>
      <c r="BU113" s="1098">
        <f t="shared" si="1250"/>
        <v>0</v>
      </c>
      <c r="BV113" s="1098">
        <f t="shared" si="1250"/>
        <v>0</v>
      </c>
      <c r="BW113" s="1098">
        <f t="shared" si="1250"/>
        <v>0</v>
      </c>
      <c r="BX113" s="1098">
        <f t="shared" si="1250"/>
        <v>0</v>
      </c>
      <c r="BY113" s="1098">
        <f t="shared" si="1250"/>
        <v>0</v>
      </c>
      <c r="BZ113" s="1098">
        <f t="shared" si="1250"/>
        <v>0</v>
      </c>
      <c r="CA113" s="1098">
        <f t="shared" si="1250"/>
        <v>0</v>
      </c>
      <c r="CB113" s="1098">
        <f t="shared" si="1250"/>
        <v>0</v>
      </c>
      <c r="CC113" s="1098">
        <f t="shared" si="1250"/>
        <v>0</v>
      </c>
      <c r="CD113" s="1098">
        <f t="shared" si="1250"/>
        <v>0</v>
      </c>
      <c r="CE113" s="1099">
        <f t="shared" ref="CE113:CP113" si="1251">(((CD113*(1+($B$40*$B$4)))-CD113)/12)+CD113</f>
        <v>0</v>
      </c>
      <c r="CF113" s="1098">
        <f t="shared" si="1251"/>
        <v>0</v>
      </c>
      <c r="CG113" s="1098">
        <f t="shared" si="1251"/>
        <v>0</v>
      </c>
      <c r="CH113" s="1098">
        <f t="shared" si="1251"/>
        <v>0</v>
      </c>
      <c r="CI113" s="1098">
        <f t="shared" si="1251"/>
        <v>0</v>
      </c>
      <c r="CJ113" s="1098">
        <f t="shared" si="1251"/>
        <v>0</v>
      </c>
      <c r="CK113" s="1098">
        <f t="shared" si="1251"/>
        <v>0</v>
      </c>
      <c r="CL113" s="1098">
        <f t="shared" si="1251"/>
        <v>0</v>
      </c>
      <c r="CM113" s="1098">
        <f t="shared" si="1251"/>
        <v>0</v>
      </c>
      <c r="CN113" s="1098">
        <f t="shared" si="1251"/>
        <v>0</v>
      </c>
      <c r="CO113" s="1098">
        <f t="shared" si="1251"/>
        <v>0</v>
      </c>
      <c r="CP113" s="1098">
        <f t="shared" si="1251"/>
        <v>0</v>
      </c>
      <c r="CQ113" s="1099">
        <f t="shared" ref="CQ113:DB113" si="1252">(((CP113*(1+($B$41*$B$4)))-CP113)/12)+CP113</f>
        <v>0</v>
      </c>
      <c r="CR113" s="1098">
        <f t="shared" si="1252"/>
        <v>0</v>
      </c>
      <c r="CS113" s="1098">
        <f t="shared" si="1252"/>
        <v>0</v>
      </c>
      <c r="CT113" s="1098">
        <f t="shared" si="1252"/>
        <v>0</v>
      </c>
      <c r="CU113" s="1098">
        <f t="shared" si="1252"/>
        <v>0</v>
      </c>
      <c r="CV113" s="1098">
        <f t="shared" si="1252"/>
        <v>0</v>
      </c>
      <c r="CW113" s="1098">
        <f t="shared" si="1252"/>
        <v>0</v>
      </c>
      <c r="CX113" s="1098">
        <f t="shared" si="1252"/>
        <v>0</v>
      </c>
      <c r="CY113" s="1098">
        <f t="shared" si="1252"/>
        <v>0</v>
      </c>
      <c r="CZ113" s="1098">
        <f t="shared" si="1252"/>
        <v>0</v>
      </c>
      <c r="DA113" s="1098">
        <f t="shared" si="1252"/>
        <v>0</v>
      </c>
      <c r="DB113" s="1098">
        <f t="shared" si="1252"/>
        <v>0</v>
      </c>
      <c r="DC113" s="1099">
        <f t="shared" ref="DC113:DN113" si="1253">(((DB113*(1+($B$42*$B$4)))-DB113)/12)+DB113</f>
        <v>0</v>
      </c>
      <c r="DD113" s="1098">
        <f t="shared" si="1253"/>
        <v>0</v>
      </c>
      <c r="DE113" s="1098">
        <f t="shared" si="1253"/>
        <v>0</v>
      </c>
      <c r="DF113" s="1098">
        <f t="shared" si="1253"/>
        <v>0</v>
      </c>
      <c r="DG113" s="1098">
        <f t="shared" si="1253"/>
        <v>0</v>
      </c>
      <c r="DH113" s="1098">
        <f t="shared" si="1253"/>
        <v>0</v>
      </c>
      <c r="DI113" s="1098">
        <f t="shared" si="1253"/>
        <v>0</v>
      </c>
      <c r="DJ113" s="1098">
        <f t="shared" si="1253"/>
        <v>0</v>
      </c>
      <c r="DK113" s="1098">
        <f t="shared" si="1253"/>
        <v>0</v>
      </c>
      <c r="DL113" s="1098">
        <f t="shared" si="1253"/>
        <v>0</v>
      </c>
      <c r="DM113" s="1098">
        <f t="shared" si="1253"/>
        <v>0</v>
      </c>
      <c r="DN113" s="1098">
        <f t="shared" si="1253"/>
        <v>0</v>
      </c>
      <c r="DO113" s="1099">
        <f t="shared" ref="DO113:DZ113" si="1254">(((DN113*(1+($B$43*$B$4)))-DN113)/12)+DN113</f>
        <v>0</v>
      </c>
      <c r="DP113" s="1098">
        <f t="shared" si="1254"/>
        <v>0</v>
      </c>
      <c r="DQ113" s="1098">
        <f t="shared" si="1254"/>
        <v>0</v>
      </c>
      <c r="DR113" s="1098">
        <f t="shared" si="1254"/>
        <v>0</v>
      </c>
      <c r="DS113" s="1098">
        <f t="shared" si="1254"/>
        <v>0</v>
      </c>
      <c r="DT113" s="1098">
        <f t="shared" si="1254"/>
        <v>0</v>
      </c>
      <c r="DU113" s="1098">
        <f t="shared" si="1254"/>
        <v>0</v>
      </c>
      <c r="DV113" s="1098">
        <f t="shared" si="1254"/>
        <v>0</v>
      </c>
      <c r="DW113" s="1098">
        <f t="shared" si="1254"/>
        <v>0</v>
      </c>
      <c r="DX113" s="1098">
        <f t="shared" si="1254"/>
        <v>0</v>
      </c>
      <c r="DY113" s="1098">
        <f t="shared" si="1254"/>
        <v>0</v>
      </c>
      <c r="DZ113" s="1098">
        <f t="shared" si="1254"/>
        <v>0</v>
      </c>
      <c r="EA113" s="1099">
        <f>(((DZ113*(1+($B$44*$B$4)))-DZ113)/12)+DZ113</f>
        <v>0</v>
      </c>
      <c r="EB113" s="1098">
        <f>(((EA113*(1+($B$44*$B$4)))-EA113)/12)+EA113</f>
        <v>0</v>
      </c>
      <c r="EC113" s="1098">
        <f>(((EB113*(1+($B$44*$B$4)))-EB113)/12)+EB113</f>
        <v>0</v>
      </c>
      <c r="ED113" s="1100">
        <f>(((EC113*(1+($B$44*$B$4)))-EC113)/12)+EC113</f>
        <v>0</v>
      </c>
    </row>
    <row r="114" spans="1:134" outlineLevel="1" x14ac:dyDescent="0.25">
      <c r="C114" s="1279"/>
      <c r="D114" s="1683"/>
      <c r="E114" s="1683"/>
      <c r="F114" s="1683"/>
      <c r="G114" s="1683"/>
      <c r="H114" s="1683"/>
      <c r="I114" s="1683"/>
      <c r="J114" s="1683"/>
      <c r="K114" s="1683"/>
      <c r="L114" s="1032"/>
      <c r="M114" s="689"/>
      <c r="N114" s="1033"/>
      <c r="O114" s="1034"/>
      <c r="P114" s="1034"/>
      <c r="Q114" s="1034"/>
      <c r="R114" s="1035"/>
      <c r="S114" s="1036"/>
      <c r="T114" s="1036"/>
      <c r="U114" s="689"/>
      <c r="V114" s="85">
        <v>1</v>
      </c>
      <c r="W114" s="1094">
        <f>ROUNDUP($V114*(W113/100)/0.8,0)</f>
        <v>0</v>
      </c>
      <c r="X114" s="1074">
        <f t="shared" ref="X114:CI114" si="1255">ROUNDUP($V114*(X113/100)/0.8,0)</f>
        <v>0</v>
      </c>
      <c r="Y114" s="1074">
        <f t="shared" si="1255"/>
        <v>0</v>
      </c>
      <c r="Z114" s="1074">
        <f t="shared" si="1255"/>
        <v>0</v>
      </c>
      <c r="AA114" s="1074">
        <f t="shared" si="1255"/>
        <v>0</v>
      </c>
      <c r="AB114" s="1074">
        <f t="shared" si="1255"/>
        <v>0</v>
      </c>
      <c r="AC114" s="1074">
        <f t="shared" si="1255"/>
        <v>0</v>
      </c>
      <c r="AD114" s="1074">
        <f t="shared" si="1255"/>
        <v>0</v>
      </c>
      <c r="AE114" s="1074">
        <f t="shared" si="1255"/>
        <v>0</v>
      </c>
      <c r="AF114" s="1074">
        <f t="shared" si="1255"/>
        <v>0</v>
      </c>
      <c r="AG114" s="1074">
        <f t="shared" si="1255"/>
        <v>0</v>
      </c>
      <c r="AH114" s="1074">
        <f t="shared" si="1255"/>
        <v>0</v>
      </c>
      <c r="AI114" s="1095">
        <f t="shared" si="1255"/>
        <v>0</v>
      </c>
      <c r="AJ114" s="1074">
        <f t="shared" si="1255"/>
        <v>0</v>
      </c>
      <c r="AK114" s="1074">
        <f t="shared" si="1255"/>
        <v>0</v>
      </c>
      <c r="AL114" s="1074">
        <f t="shared" si="1255"/>
        <v>0</v>
      </c>
      <c r="AM114" s="1074">
        <f t="shared" si="1255"/>
        <v>0</v>
      </c>
      <c r="AN114" s="1074">
        <f t="shared" si="1255"/>
        <v>0</v>
      </c>
      <c r="AO114" s="1074">
        <f t="shared" si="1255"/>
        <v>0</v>
      </c>
      <c r="AP114" s="1074">
        <f t="shared" si="1255"/>
        <v>0</v>
      </c>
      <c r="AQ114" s="1074">
        <f t="shared" si="1255"/>
        <v>0</v>
      </c>
      <c r="AR114" s="1074">
        <f t="shared" si="1255"/>
        <v>0</v>
      </c>
      <c r="AS114" s="1074">
        <f t="shared" si="1255"/>
        <v>0</v>
      </c>
      <c r="AT114" s="1074">
        <f t="shared" si="1255"/>
        <v>0</v>
      </c>
      <c r="AU114" s="1095">
        <f t="shared" si="1255"/>
        <v>0</v>
      </c>
      <c r="AV114" s="1074">
        <f t="shared" si="1255"/>
        <v>0</v>
      </c>
      <c r="AW114" s="1074">
        <f t="shared" si="1255"/>
        <v>0</v>
      </c>
      <c r="AX114" s="1074">
        <f t="shared" si="1255"/>
        <v>0</v>
      </c>
      <c r="AY114" s="1074">
        <f t="shared" si="1255"/>
        <v>0</v>
      </c>
      <c r="AZ114" s="1074">
        <f t="shared" si="1255"/>
        <v>0</v>
      </c>
      <c r="BA114" s="1074">
        <f t="shared" si="1255"/>
        <v>0</v>
      </c>
      <c r="BB114" s="1074">
        <f t="shared" si="1255"/>
        <v>0</v>
      </c>
      <c r="BC114" s="1074">
        <f t="shared" si="1255"/>
        <v>0</v>
      </c>
      <c r="BD114" s="1074">
        <f t="shared" si="1255"/>
        <v>0</v>
      </c>
      <c r="BE114" s="1074">
        <f t="shared" si="1255"/>
        <v>0</v>
      </c>
      <c r="BF114" s="1074">
        <f t="shared" si="1255"/>
        <v>0</v>
      </c>
      <c r="BG114" s="1095">
        <f t="shared" si="1255"/>
        <v>0</v>
      </c>
      <c r="BH114" s="1074">
        <f t="shared" si="1255"/>
        <v>0</v>
      </c>
      <c r="BI114" s="1074">
        <f t="shared" si="1255"/>
        <v>0</v>
      </c>
      <c r="BJ114" s="1074">
        <f t="shared" si="1255"/>
        <v>0</v>
      </c>
      <c r="BK114" s="1074">
        <f t="shared" si="1255"/>
        <v>0</v>
      </c>
      <c r="BL114" s="1074">
        <f t="shared" si="1255"/>
        <v>0</v>
      </c>
      <c r="BM114" s="1074">
        <f t="shared" si="1255"/>
        <v>0</v>
      </c>
      <c r="BN114" s="1074">
        <f t="shared" si="1255"/>
        <v>0</v>
      </c>
      <c r="BO114" s="1074">
        <f t="shared" si="1255"/>
        <v>0</v>
      </c>
      <c r="BP114" s="1074">
        <f t="shared" si="1255"/>
        <v>0</v>
      </c>
      <c r="BQ114" s="1074">
        <f t="shared" si="1255"/>
        <v>0</v>
      </c>
      <c r="BR114" s="1074">
        <f t="shared" si="1255"/>
        <v>0</v>
      </c>
      <c r="BS114" s="1095">
        <f t="shared" si="1255"/>
        <v>0</v>
      </c>
      <c r="BT114" s="1074">
        <f t="shared" si="1255"/>
        <v>0</v>
      </c>
      <c r="BU114" s="1074">
        <f t="shared" si="1255"/>
        <v>0</v>
      </c>
      <c r="BV114" s="1074">
        <f t="shared" si="1255"/>
        <v>0</v>
      </c>
      <c r="BW114" s="1074">
        <f t="shared" si="1255"/>
        <v>0</v>
      </c>
      <c r="BX114" s="1074">
        <f t="shared" si="1255"/>
        <v>0</v>
      </c>
      <c r="BY114" s="1074">
        <f t="shared" si="1255"/>
        <v>0</v>
      </c>
      <c r="BZ114" s="1074">
        <f t="shared" si="1255"/>
        <v>0</v>
      </c>
      <c r="CA114" s="1074">
        <f t="shared" si="1255"/>
        <v>0</v>
      </c>
      <c r="CB114" s="1074">
        <f t="shared" si="1255"/>
        <v>0</v>
      </c>
      <c r="CC114" s="1074">
        <f t="shared" si="1255"/>
        <v>0</v>
      </c>
      <c r="CD114" s="1074">
        <f t="shared" si="1255"/>
        <v>0</v>
      </c>
      <c r="CE114" s="1095">
        <f t="shared" si="1255"/>
        <v>0</v>
      </c>
      <c r="CF114" s="1074">
        <f t="shared" si="1255"/>
        <v>0</v>
      </c>
      <c r="CG114" s="1074">
        <f t="shared" si="1255"/>
        <v>0</v>
      </c>
      <c r="CH114" s="1074">
        <f t="shared" si="1255"/>
        <v>0</v>
      </c>
      <c r="CI114" s="1074">
        <f t="shared" si="1255"/>
        <v>0</v>
      </c>
      <c r="CJ114" s="1074">
        <f t="shared" ref="CJ114:ED114" si="1256">ROUNDUP($V114*(CJ113/100)/0.8,0)</f>
        <v>0</v>
      </c>
      <c r="CK114" s="1074">
        <f t="shared" si="1256"/>
        <v>0</v>
      </c>
      <c r="CL114" s="1074">
        <f t="shared" si="1256"/>
        <v>0</v>
      </c>
      <c r="CM114" s="1074">
        <f t="shared" si="1256"/>
        <v>0</v>
      </c>
      <c r="CN114" s="1074">
        <f t="shared" si="1256"/>
        <v>0</v>
      </c>
      <c r="CO114" s="1074">
        <f t="shared" si="1256"/>
        <v>0</v>
      </c>
      <c r="CP114" s="1074">
        <f t="shared" si="1256"/>
        <v>0</v>
      </c>
      <c r="CQ114" s="1095">
        <f t="shared" si="1256"/>
        <v>0</v>
      </c>
      <c r="CR114" s="1074">
        <f t="shared" si="1256"/>
        <v>0</v>
      </c>
      <c r="CS114" s="1074">
        <f t="shared" si="1256"/>
        <v>0</v>
      </c>
      <c r="CT114" s="1074">
        <f t="shared" si="1256"/>
        <v>0</v>
      </c>
      <c r="CU114" s="1074">
        <f t="shared" si="1256"/>
        <v>0</v>
      </c>
      <c r="CV114" s="1074">
        <f t="shared" si="1256"/>
        <v>0</v>
      </c>
      <c r="CW114" s="1074">
        <f t="shared" si="1256"/>
        <v>0</v>
      </c>
      <c r="CX114" s="1074">
        <f t="shared" si="1256"/>
        <v>0</v>
      </c>
      <c r="CY114" s="1074">
        <f t="shared" si="1256"/>
        <v>0</v>
      </c>
      <c r="CZ114" s="1074">
        <f t="shared" si="1256"/>
        <v>0</v>
      </c>
      <c r="DA114" s="1074">
        <f t="shared" si="1256"/>
        <v>0</v>
      </c>
      <c r="DB114" s="1074">
        <f t="shared" si="1256"/>
        <v>0</v>
      </c>
      <c r="DC114" s="1095">
        <f t="shared" si="1256"/>
        <v>0</v>
      </c>
      <c r="DD114" s="1074">
        <f t="shared" si="1256"/>
        <v>0</v>
      </c>
      <c r="DE114" s="1074">
        <f t="shared" si="1256"/>
        <v>0</v>
      </c>
      <c r="DF114" s="1074">
        <f t="shared" si="1256"/>
        <v>0</v>
      </c>
      <c r="DG114" s="1074">
        <f t="shared" si="1256"/>
        <v>0</v>
      </c>
      <c r="DH114" s="1074">
        <f t="shared" si="1256"/>
        <v>0</v>
      </c>
      <c r="DI114" s="1074">
        <f t="shared" si="1256"/>
        <v>0</v>
      </c>
      <c r="DJ114" s="1074">
        <f t="shared" si="1256"/>
        <v>0</v>
      </c>
      <c r="DK114" s="1074">
        <f t="shared" si="1256"/>
        <v>0</v>
      </c>
      <c r="DL114" s="1074">
        <f t="shared" si="1256"/>
        <v>0</v>
      </c>
      <c r="DM114" s="1074">
        <f t="shared" si="1256"/>
        <v>0</v>
      </c>
      <c r="DN114" s="1074">
        <f t="shared" si="1256"/>
        <v>0</v>
      </c>
      <c r="DO114" s="1095">
        <f t="shared" si="1256"/>
        <v>0</v>
      </c>
      <c r="DP114" s="1074">
        <f t="shared" si="1256"/>
        <v>0</v>
      </c>
      <c r="DQ114" s="1074">
        <f t="shared" si="1256"/>
        <v>0</v>
      </c>
      <c r="DR114" s="1074">
        <f t="shared" si="1256"/>
        <v>0</v>
      </c>
      <c r="DS114" s="1074">
        <f t="shared" si="1256"/>
        <v>0</v>
      </c>
      <c r="DT114" s="1074">
        <f t="shared" si="1256"/>
        <v>0</v>
      </c>
      <c r="DU114" s="1074">
        <f t="shared" si="1256"/>
        <v>0</v>
      </c>
      <c r="DV114" s="1074">
        <f t="shared" si="1256"/>
        <v>0</v>
      </c>
      <c r="DW114" s="1074">
        <f t="shared" si="1256"/>
        <v>0</v>
      </c>
      <c r="DX114" s="1074">
        <f t="shared" si="1256"/>
        <v>0</v>
      </c>
      <c r="DY114" s="1074">
        <f t="shared" si="1256"/>
        <v>0</v>
      </c>
      <c r="DZ114" s="1074">
        <f t="shared" si="1256"/>
        <v>0</v>
      </c>
      <c r="EA114" s="1095">
        <f t="shared" si="1256"/>
        <v>0</v>
      </c>
      <c r="EB114" s="1074">
        <f t="shared" si="1256"/>
        <v>0</v>
      </c>
      <c r="EC114" s="1074">
        <f t="shared" si="1256"/>
        <v>0</v>
      </c>
      <c r="ED114" s="1096">
        <f t="shared" si="1256"/>
        <v>0</v>
      </c>
    </row>
    <row r="115" spans="1:134" outlineLevel="1" x14ac:dyDescent="0.25">
      <c r="C115" s="1279"/>
      <c r="D115" s="1672" t="s">
        <v>275</v>
      </c>
      <c r="E115" s="1672"/>
      <c r="F115" s="1672"/>
      <c r="G115" s="1672"/>
      <c r="H115" s="1672"/>
      <c r="I115" s="1672"/>
      <c r="J115" s="1672"/>
      <c r="K115" s="1672"/>
      <c r="L115" s="1020"/>
      <c r="M115" s="1328">
        <f>N115*100</f>
        <v>0</v>
      </c>
      <c r="N115" s="1022"/>
      <c r="O115" s="1023"/>
      <c r="P115" s="1023"/>
      <c r="Q115" s="1023"/>
      <c r="R115" s="1024">
        <f>P115-N115</f>
        <v>0</v>
      </c>
      <c r="S115" s="1025">
        <f>Q115*100</f>
        <v>0</v>
      </c>
      <c r="T115" s="1025"/>
      <c r="U115" s="722"/>
      <c r="V115" s="1186"/>
      <c r="W115" s="1097">
        <f>M115</f>
        <v>0</v>
      </c>
      <c r="X115" s="1098">
        <f>W115</f>
        <v>0</v>
      </c>
      <c r="Y115" s="1098">
        <f>X115</f>
        <v>0</v>
      </c>
      <c r="Z115" s="1098">
        <f>O115*100</f>
        <v>0</v>
      </c>
      <c r="AA115" s="1098">
        <f>Z115</f>
        <v>0</v>
      </c>
      <c r="AB115" s="1098">
        <f>AA115</f>
        <v>0</v>
      </c>
      <c r="AC115" s="1098">
        <f>P115*100</f>
        <v>0</v>
      </c>
      <c r="AD115" s="1098">
        <f>AC115</f>
        <v>0</v>
      </c>
      <c r="AE115" s="1098">
        <f>AD115</f>
        <v>0</v>
      </c>
      <c r="AF115" s="1098">
        <f>AE115</f>
        <v>0</v>
      </c>
      <c r="AG115" s="1098">
        <f>AF115</f>
        <v>0</v>
      </c>
      <c r="AH115" s="1098">
        <f>AG115</f>
        <v>0</v>
      </c>
      <c r="AI115" s="1099">
        <f t="shared" ref="AI115:AT115" si="1257">(((AH115*(1+($B$36*$B$4)))-AH115)/12)+AH115</f>
        <v>0</v>
      </c>
      <c r="AJ115" s="1098">
        <f t="shared" si="1257"/>
        <v>0</v>
      </c>
      <c r="AK115" s="1098">
        <f t="shared" si="1257"/>
        <v>0</v>
      </c>
      <c r="AL115" s="1098">
        <f t="shared" si="1257"/>
        <v>0</v>
      </c>
      <c r="AM115" s="1098">
        <f t="shared" si="1257"/>
        <v>0</v>
      </c>
      <c r="AN115" s="1098">
        <f t="shared" si="1257"/>
        <v>0</v>
      </c>
      <c r="AO115" s="1098">
        <f t="shared" si="1257"/>
        <v>0</v>
      </c>
      <c r="AP115" s="1098">
        <f t="shared" si="1257"/>
        <v>0</v>
      </c>
      <c r="AQ115" s="1098">
        <f t="shared" si="1257"/>
        <v>0</v>
      </c>
      <c r="AR115" s="1098">
        <f t="shared" si="1257"/>
        <v>0</v>
      </c>
      <c r="AS115" s="1098">
        <f t="shared" si="1257"/>
        <v>0</v>
      </c>
      <c r="AT115" s="1098">
        <f t="shared" si="1257"/>
        <v>0</v>
      </c>
      <c r="AU115" s="1099">
        <f t="shared" ref="AU115:BF115" si="1258">(((AT115*(1+($B$37*$B$4)))-AT115)/12)+AT115</f>
        <v>0</v>
      </c>
      <c r="AV115" s="1098">
        <f t="shared" si="1258"/>
        <v>0</v>
      </c>
      <c r="AW115" s="1098">
        <f t="shared" si="1258"/>
        <v>0</v>
      </c>
      <c r="AX115" s="1098">
        <f t="shared" si="1258"/>
        <v>0</v>
      </c>
      <c r="AY115" s="1098">
        <f t="shared" si="1258"/>
        <v>0</v>
      </c>
      <c r="AZ115" s="1098">
        <f t="shared" si="1258"/>
        <v>0</v>
      </c>
      <c r="BA115" s="1098">
        <f t="shared" si="1258"/>
        <v>0</v>
      </c>
      <c r="BB115" s="1098">
        <f t="shared" si="1258"/>
        <v>0</v>
      </c>
      <c r="BC115" s="1098">
        <f t="shared" si="1258"/>
        <v>0</v>
      </c>
      <c r="BD115" s="1098">
        <f t="shared" si="1258"/>
        <v>0</v>
      </c>
      <c r="BE115" s="1098">
        <f t="shared" si="1258"/>
        <v>0</v>
      </c>
      <c r="BF115" s="1098">
        <f t="shared" si="1258"/>
        <v>0</v>
      </c>
      <c r="BG115" s="1099">
        <f t="shared" ref="BG115:BR115" si="1259">(((BF115*(1+($B$38*$B$4)))-BF115)/12)+BF115</f>
        <v>0</v>
      </c>
      <c r="BH115" s="1098">
        <f t="shared" si="1259"/>
        <v>0</v>
      </c>
      <c r="BI115" s="1098">
        <f t="shared" si="1259"/>
        <v>0</v>
      </c>
      <c r="BJ115" s="1098">
        <f t="shared" si="1259"/>
        <v>0</v>
      </c>
      <c r="BK115" s="1098">
        <f t="shared" si="1259"/>
        <v>0</v>
      </c>
      <c r="BL115" s="1098">
        <f t="shared" si="1259"/>
        <v>0</v>
      </c>
      <c r="BM115" s="1098">
        <f t="shared" si="1259"/>
        <v>0</v>
      </c>
      <c r="BN115" s="1098">
        <f t="shared" si="1259"/>
        <v>0</v>
      </c>
      <c r="BO115" s="1098">
        <f t="shared" si="1259"/>
        <v>0</v>
      </c>
      <c r="BP115" s="1098">
        <f t="shared" si="1259"/>
        <v>0</v>
      </c>
      <c r="BQ115" s="1098">
        <f t="shared" si="1259"/>
        <v>0</v>
      </c>
      <c r="BR115" s="1098">
        <f t="shared" si="1259"/>
        <v>0</v>
      </c>
      <c r="BS115" s="1099">
        <f t="shared" ref="BS115:CD115" si="1260">(((BR115*(1+($B$39*$B$4)))-BR115)/12)+BR115</f>
        <v>0</v>
      </c>
      <c r="BT115" s="1098">
        <f t="shared" si="1260"/>
        <v>0</v>
      </c>
      <c r="BU115" s="1098">
        <f t="shared" si="1260"/>
        <v>0</v>
      </c>
      <c r="BV115" s="1098">
        <f t="shared" si="1260"/>
        <v>0</v>
      </c>
      <c r="BW115" s="1098">
        <f t="shared" si="1260"/>
        <v>0</v>
      </c>
      <c r="BX115" s="1098">
        <f t="shared" si="1260"/>
        <v>0</v>
      </c>
      <c r="BY115" s="1098">
        <f t="shared" si="1260"/>
        <v>0</v>
      </c>
      <c r="BZ115" s="1098">
        <f t="shared" si="1260"/>
        <v>0</v>
      </c>
      <c r="CA115" s="1098">
        <f t="shared" si="1260"/>
        <v>0</v>
      </c>
      <c r="CB115" s="1098">
        <f t="shared" si="1260"/>
        <v>0</v>
      </c>
      <c r="CC115" s="1098">
        <f t="shared" si="1260"/>
        <v>0</v>
      </c>
      <c r="CD115" s="1098">
        <f t="shared" si="1260"/>
        <v>0</v>
      </c>
      <c r="CE115" s="1099">
        <f t="shared" ref="CE115:CP115" si="1261">(((CD115*(1+($B$40*$B$4)))-CD115)/12)+CD115</f>
        <v>0</v>
      </c>
      <c r="CF115" s="1098">
        <f t="shared" si="1261"/>
        <v>0</v>
      </c>
      <c r="CG115" s="1098">
        <f t="shared" si="1261"/>
        <v>0</v>
      </c>
      <c r="CH115" s="1098">
        <f t="shared" si="1261"/>
        <v>0</v>
      </c>
      <c r="CI115" s="1098">
        <f t="shared" si="1261"/>
        <v>0</v>
      </c>
      <c r="CJ115" s="1098">
        <f t="shared" si="1261"/>
        <v>0</v>
      </c>
      <c r="CK115" s="1098">
        <f t="shared" si="1261"/>
        <v>0</v>
      </c>
      <c r="CL115" s="1098">
        <f t="shared" si="1261"/>
        <v>0</v>
      </c>
      <c r="CM115" s="1098">
        <f t="shared" si="1261"/>
        <v>0</v>
      </c>
      <c r="CN115" s="1098">
        <f t="shared" si="1261"/>
        <v>0</v>
      </c>
      <c r="CO115" s="1098">
        <f t="shared" si="1261"/>
        <v>0</v>
      </c>
      <c r="CP115" s="1098">
        <f t="shared" si="1261"/>
        <v>0</v>
      </c>
      <c r="CQ115" s="1099">
        <f t="shared" ref="CQ115:DB115" si="1262">(((CP115*(1+($B$41*$B$4)))-CP115)/12)+CP115</f>
        <v>0</v>
      </c>
      <c r="CR115" s="1098">
        <f t="shared" si="1262"/>
        <v>0</v>
      </c>
      <c r="CS115" s="1098">
        <f t="shared" si="1262"/>
        <v>0</v>
      </c>
      <c r="CT115" s="1098">
        <f t="shared" si="1262"/>
        <v>0</v>
      </c>
      <c r="CU115" s="1098">
        <f t="shared" si="1262"/>
        <v>0</v>
      </c>
      <c r="CV115" s="1098">
        <f t="shared" si="1262"/>
        <v>0</v>
      </c>
      <c r="CW115" s="1098">
        <f t="shared" si="1262"/>
        <v>0</v>
      </c>
      <c r="CX115" s="1098">
        <f t="shared" si="1262"/>
        <v>0</v>
      </c>
      <c r="CY115" s="1098">
        <f t="shared" si="1262"/>
        <v>0</v>
      </c>
      <c r="CZ115" s="1098">
        <f t="shared" si="1262"/>
        <v>0</v>
      </c>
      <c r="DA115" s="1098">
        <f t="shared" si="1262"/>
        <v>0</v>
      </c>
      <c r="DB115" s="1098">
        <f t="shared" si="1262"/>
        <v>0</v>
      </c>
      <c r="DC115" s="1099">
        <f t="shared" ref="DC115:DN115" si="1263">(((DB115*(1+($B$42*$B$4)))-DB115)/12)+DB115</f>
        <v>0</v>
      </c>
      <c r="DD115" s="1098">
        <f t="shared" si="1263"/>
        <v>0</v>
      </c>
      <c r="DE115" s="1098">
        <f t="shared" si="1263"/>
        <v>0</v>
      </c>
      <c r="DF115" s="1098">
        <f t="shared" si="1263"/>
        <v>0</v>
      </c>
      <c r="DG115" s="1098">
        <f t="shared" si="1263"/>
        <v>0</v>
      </c>
      <c r="DH115" s="1098">
        <f t="shared" si="1263"/>
        <v>0</v>
      </c>
      <c r="DI115" s="1098">
        <f t="shared" si="1263"/>
        <v>0</v>
      </c>
      <c r="DJ115" s="1098">
        <f t="shared" si="1263"/>
        <v>0</v>
      </c>
      <c r="DK115" s="1098">
        <f t="shared" si="1263"/>
        <v>0</v>
      </c>
      <c r="DL115" s="1098">
        <f t="shared" si="1263"/>
        <v>0</v>
      </c>
      <c r="DM115" s="1098">
        <f t="shared" si="1263"/>
        <v>0</v>
      </c>
      <c r="DN115" s="1098">
        <f t="shared" si="1263"/>
        <v>0</v>
      </c>
      <c r="DO115" s="1099">
        <f t="shared" ref="DO115:DZ115" si="1264">(((DN115*(1+($B$43*$B$4)))-DN115)/12)+DN115</f>
        <v>0</v>
      </c>
      <c r="DP115" s="1098">
        <f t="shared" si="1264"/>
        <v>0</v>
      </c>
      <c r="DQ115" s="1098">
        <f t="shared" si="1264"/>
        <v>0</v>
      </c>
      <c r="DR115" s="1098">
        <f t="shared" si="1264"/>
        <v>0</v>
      </c>
      <c r="DS115" s="1098">
        <f t="shared" si="1264"/>
        <v>0</v>
      </c>
      <c r="DT115" s="1098">
        <f t="shared" si="1264"/>
        <v>0</v>
      </c>
      <c r="DU115" s="1098">
        <f t="shared" si="1264"/>
        <v>0</v>
      </c>
      <c r="DV115" s="1098">
        <f t="shared" si="1264"/>
        <v>0</v>
      </c>
      <c r="DW115" s="1098">
        <f t="shared" si="1264"/>
        <v>0</v>
      </c>
      <c r="DX115" s="1098">
        <f t="shared" si="1264"/>
        <v>0</v>
      </c>
      <c r="DY115" s="1098">
        <f t="shared" si="1264"/>
        <v>0</v>
      </c>
      <c r="DZ115" s="1098">
        <f t="shared" si="1264"/>
        <v>0</v>
      </c>
      <c r="EA115" s="1099">
        <f>(((DZ115*(1+($B$44*$B$4)))-DZ115)/12)+DZ115</f>
        <v>0</v>
      </c>
      <c r="EB115" s="1098">
        <f>(((EA115*(1+($B$44*$B$4)))-EA115)/12)+EA115</f>
        <v>0</v>
      </c>
      <c r="EC115" s="1098">
        <f>(((EB115*(1+($B$44*$B$4)))-EB115)/12)+EB115</f>
        <v>0</v>
      </c>
      <c r="ED115" s="1100">
        <f>(((EC115*(1+($B$44*$B$4)))-EC115)/12)+EC115</f>
        <v>0</v>
      </c>
    </row>
    <row r="116" spans="1:134" outlineLevel="1" x14ac:dyDescent="0.25">
      <c r="C116" s="1279"/>
      <c r="D116" s="1673"/>
      <c r="E116" s="1673"/>
      <c r="F116" s="1673"/>
      <c r="G116" s="1673"/>
      <c r="H116" s="1673"/>
      <c r="I116" s="1673"/>
      <c r="J116" s="1673"/>
      <c r="K116" s="1673"/>
      <c r="L116" s="1026"/>
      <c r="M116" s="1027"/>
      <c r="N116" s="1028"/>
      <c r="O116" s="1029"/>
      <c r="P116" s="1029"/>
      <c r="Q116" s="1029"/>
      <c r="R116" s="1030"/>
      <c r="S116" s="1031"/>
      <c r="T116" s="1031"/>
      <c r="U116" s="1027"/>
      <c r="V116" s="1187">
        <v>1</v>
      </c>
      <c r="W116" s="1094">
        <f>ROUNDUP($V116*(W115/100)/0.8,0)</f>
        <v>0</v>
      </c>
      <c r="X116" s="1074">
        <f t="shared" ref="X116:CI116" si="1265">ROUNDUP($V116*(X115/100)/0.8,0)</f>
        <v>0</v>
      </c>
      <c r="Y116" s="1074">
        <f t="shared" si="1265"/>
        <v>0</v>
      </c>
      <c r="Z116" s="1074">
        <f t="shared" si="1265"/>
        <v>0</v>
      </c>
      <c r="AA116" s="1074">
        <f t="shared" si="1265"/>
        <v>0</v>
      </c>
      <c r="AB116" s="1074">
        <f t="shared" si="1265"/>
        <v>0</v>
      </c>
      <c r="AC116" s="1074">
        <f t="shared" si="1265"/>
        <v>0</v>
      </c>
      <c r="AD116" s="1074">
        <f t="shared" si="1265"/>
        <v>0</v>
      </c>
      <c r="AE116" s="1074">
        <f t="shared" si="1265"/>
        <v>0</v>
      </c>
      <c r="AF116" s="1074">
        <f t="shared" si="1265"/>
        <v>0</v>
      </c>
      <c r="AG116" s="1074">
        <f t="shared" si="1265"/>
        <v>0</v>
      </c>
      <c r="AH116" s="1074">
        <f t="shared" si="1265"/>
        <v>0</v>
      </c>
      <c r="AI116" s="1095">
        <f t="shared" si="1265"/>
        <v>0</v>
      </c>
      <c r="AJ116" s="1074">
        <f t="shared" si="1265"/>
        <v>0</v>
      </c>
      <c r="AK116" s="1074">
        <f t="shared" si="1265"/>
        <v>0</v>
      </c>
      <c r="AL116" s="1074">
        <f t="shared" si="1265"/>
        <v>0</v>
      </c>
      <c r="AM116" s="1074">
        <f t="shared" si="1265"/>
        <v>0</v>
      </c>
      <c r="AN116" s="1074">
        <f t="shared" si="1265"/>
        <v>0</v>
      </c>
      <c r="AO116" s="1074">
        <f t="shared" si="1265"/>
        <v>0</v>
      </c>
      <c r="AP116" s="1074">
        <f t="shared" si="1265"/>
        <v>0</v>
      </c>
      <c r="AQ116" s="1074">
        <f t="shared" si="1265"/>
        <v>0</v>
      </c>
      <c r="AR116" s="1074">
        <f t="shared" si="1265"/>
        <v>0</v>
      </c>
      <c r="AS116" s="1074">
        <f t="shared" si="1265"/>
        <v>0</v>
      </c>
      <c r="AT116" s="1074">
        <f t="shared" si="1265"/>
        <v>0</v>
      </c>
      <c r="AU116" s="1095">
        <f t="shared" si="1265"/>
        <v>0</v>
      </c>
      <c r="AV116" s="1074">
        <f t="shared" si="1265"/>
        <v>0</v>
      </c>
      <c r="AW116" s="1074">
        <f t="shared" si="1265"/>
        <v>0</v>
      </c>
      <c r="AX116" s="1074">
        <f t="shared" si="1265"/>
        <v>0</v>
      </c>
      <c r="AY116" s="1074">
        <f t="shared" si="1265"/>
        <v>0</v>
      </c>
      <c r="AZ116" s="1074">
        <f t="shared" si="1265"/>
        <v>0</v>
      </c>
      <c r="BA116" s="1074">
        <f t="shared" si="1265"/>
        <v>0</v>
      </c>
      <c r="BB116" s="1074">
        <f t="shared" si="1265"/>
        <v>0</v>
      </c>
      <c r="BC116" s="1074">
        <f t="shared" si="1265"/>
        <v>0</v>
      </c>
      <c r="BD116" s="1074">
        <f t="shared" si="1265"/>
        <v>0</v>
      </c>
      <c r="BE116" s="1074">
        <f t="shared" si="1265"/>
        <v>0</v>
      </c>
      <c r="BF116" s="1074">
        <f t="shared" si="1265"/>
        <v>0</v>
      </c>
      <c r="BG116" s="1095">
        <f t="shared" si="1265"/>
        <v>0</v>
      </c>
      <c r="BH116" s="1074">
        <f t="shared" si="1265"/>
        <v>0</v>
      </c>
      <c r="BI116" s="1074">
        <f t="shared" si="1265"/>
        <v>0</v>
      </c>
      <c r="BJ116" s="1074">
        <f t="shared" si="1265"/>
        <v>0</v>
      </c>
      <c r="BK116" s="1074">
        <f t="shared" si="1265"/>
        <v>0</v>
      </c>
      <c r="BL116" s="1074">
        <f t="shared" si="1265"/>
        <v>0</v>
      </c>
      <c r="BM116" s="1074">
        <f t="shared" si="1265"/>
        <v>0</v>
      </c>
      <c r="BN116" s="1074">
        <f t="shared" si="1265"/>
        <v>0</v>
      </c>
      <c r="BO116" s="1074">
        <f t="shared" si="1265"/>
        <v>0</v>
      </c>
      <c r="BP116" s="1074">
        <f t="shared" si="1265"/>
        <v>0</v>
      </c>
      <c r="BQ116" s="1074">
        <f t="shared" si="1265"/>
        <v>0</v>
      </c>
      <c r="BR116" s="1074">
        <f t="shared" si="1265"/>
        <v>0</v>
      </c>
      <c r="BS116" s="1095">
        <f t="shared" si="1265"/>
        <v>0</v>
      </c>
      <c r="BT116" s="1074">
        <f t="shared" si="1265"/>
        <v>0</v>
      </c>
      <c r="BU116" s="1074">
        <f t="shared" si="1265"/>
        <v>0</v>
      </c>
      <c r="BV116" s="1074">
        <f t="shared" si="1265"/>
        <v>0</v>
      </c>
      <c r="BW116" s="1074">
        <f t="shared" si="1265"/>
        <v>0</v>
      </c>
      <c r="BX116" s="1074">
        <f t="shared" si="1265"/>
        <v>0</v>
      </c>
      <c r="BY116" s="1074">
        <f t="shared" si="1265"/>
        <v>0</v>
      </c>
      <c r="BZ116" s="1074">
        <f t="shared" si="1265"/>
        <v>0</v>
      </c>
      <c r="CA116" s="1074">
        <f t="shared" si="1265"/>
        <v>0</v>
      </c>
      <c r="CB116" s="1074">
        <f t="shared" si="1265"/>
        <v>0</v>
      </c>
      <c r="CC116" s="1074">
        <f t="shared" si="1265"/>
        <v>0</v>
      </c>
      <c r="CD116" s="1074">
        <f t="shared" si="1265"/>
        <v>0</v>
      </c>
      <c r="CE116" s="1095">
        <f t="shared" si="1265"/>
        <v>0</v>
      </c>
      <c r="CF116" s="1074">
        <f t="shared" si="1265"/>
        <v>0</v>
      </c>
      <c r="CG116" s="1074">
        <f t="shared" si="1265"/>
        <v>0</v>
      </c>
      <c r="CH116" s="1074">
        <f t="shared" si="1265"/>
        <v>0</v>
      </c>
      <c r="CI116" s="1074">
        <f t="shared" si="1265"/>
        <v>0</v>
      </c>
      <c r="CJ116" s="1074">
        <f t="shared" ref="CJ116:ED116" si="1266">ROUNDUP($V116*(CJ115/100)/0.8,0)</f>
        <v>0</v>
      </c>
      <c r="CK116" s="1074">
        <f t="shared" si="1266"/>
        <v>0</v>
      </c>
      <c r="CL116" s="1074">
        <f t="shared" si="1266"/>
        <v>0</v>
      </c>
      <c r="CM116" s="1074">
        <f t="shared" si="1266"/>
        <v>0</v>
      </c>
      <c r="CN116" s="1074">
        <f t="shared" si="1266"/>
        <v>0</v>
      </c>
      <c r="CO116" s="1074">
        <f t="shared" si="1266"/>
        <v>0</v>
      </c>
      <c r="CP116" s="1074">
        <f t="shared" si="1266"/>
        <v>0</v>
      </c>
      <c r="CQ116" s="1095">
        <f t="shared" si="1266"/>
        <v>0</v>
      </c>
      <c r="CR116" s="1074">
        <f t="shared" si="1266"/>
        <v>0</v>
      </c>
      <c r="CS116" s="1074">
        <f t="shared" si="1266"/>
        <v>0</v>
      </c>
      <c r="CT116" s="1074">
        <f t="shared" si="1266"/>
        <v>0</v>
      </c>
      <c r="CU116" s="1074">
        <f t="shared" si="1266"/>
        <v>0</v>
      </c>
      <c r="CV116" s="1074">
        <f t="shared" si="1266"/>
        <v>0</v>
      </c>
      <c r="CW116" s="1074">
        <f t="shared" si="1266"/>
        <v>0</v>
      </c>
      <c r="CX116" s="1074">
        <f t="shared" si="1266"/>
        <v>0</v>
      </c>
      <c r="CY116" s="1074">
        <f t="shared" si="1266"/>
        <v>0</v>
      </c>
      <c r="CZ116" s="1074">
        <f t="shared" si="1266"/>
        <v>0</v>
      </c>
      <c r="DA116" s="1074">
        <f t="shared" si="1266"/>
        <v>0</v>
      </c>
      <c r="DB116" s="1074">
        <f t="shared" si="1266"/>
        <v>0</v>
      </c>
      <c r="DC116" s="1095">
        <f t="shared" si="1266"/>
        <v>0</v>
      </c>
      <c r="DD116" s="1074">
        <f t="shared" si="1266"/>
        <v>0</v>
      </c>
      <c r="DE116" s="1074">
        <f t="shared" si="1266"/>
        <v>0</v>
      </c>
      <c r="DF116" s="1074">
        <f t="shared" si="1266"/>
        <v>0</v>
      </c>
      <c r="DG116" s="1074">
        <f t="shared" si="1266"/>
        <v>0</v>
      </c>
      <c r="DH116" s="1074">
        <f t="shared" si="1266"/>
        <v>0</v>
      </c>
      <c r="DI116" s="1074">
        <f t="shared" si="1266"/>
        <v>0</v>
      </c>
      <c r="DJ116" s="1074">
        <f t="shared" si="1266"/>
        <v>0</v>
      </c>
      <c r="DK116" s="1074">
        <f t="shared" si="1266"/>
        <v>0</v>
      </c>
      <c r="DL116" s="1074">
        <f t="shared" si="1266"/>
        <v>0</v>
      </c>
      <c r="DM116" s="1074">
        <f t="shared" si="1266"/>
        <v>0</v>
      </c>
      <c r="DN116" s="1074">
        <f t="shared" si="1266"/>
        <v>0</v>
      </c>
      <c r="DO116" s="1095">
        <f t="shared" si="1266"/>
        <v>0</v>
      </c>
      <c r="DP116" s="1074">
        <f t="shared" si="1266"/>
        <v>0</v>
      </c>
      <c r="DQ116" s="1074">
        <f t="shared" si="1266"/>
        <v>0</v>
      </c>
      <c r="DR116" s="1074">
        <f t="shared" si="1266"/>
        <v>0</v>
      </c>
      <c r="DS116" s="1074">
        <f t="shared" si="1266"/>
        <v>0</v>
      </c>
      <c r="DT116" s="1074">
        <f t="shared" si="1266"/>
        <v>0</v>
      </c>
      <c r="DU116" s="1074">
        <f t="shared" si="1266"/>
        <v>0</v>
      </c>
      <c r="DV116" s="1074">
        <f t="shared" si="1266"/>
        <v>0</v>
      </c>
      <c r="DW116" s="1074">
        <f t="shared" si="1266"/>
        <v>0</v>
      </c>
      <c r="DX116" s="1074">
        <f t="shared" si="1266"/>
        <v>0</v>
      </c>
      <c r="DY116" s="1074">
        <f t="shared" si="1266"/>
        <v>0</v>
      </c>
      <c r="DZ116" s="1074">
        <f t="shared" si="1266"/>
        <v>0</v>
      </c>
      <c r="EA116" s="1095">
        <f t="shared" si="1266"/>
        <v>0</v>
      </c>
      <c r="EB116" s="1074">
        <f t="shared" si="1266"/>
        <v>0</v>
      </c>
      <c r="EC116" s="1074">
        <f t="shared" si="1266"/>
        <v>0</v>
      </c>
      <c r="ED116" s="1096">
        <f t="shared" si="1266"/>
        <v>0</v>
      </c>
    </row>
    <row r="117" spans="1:134" ht="14.45" customHeight="1" outlineLevel="1" x14ac:dyDescent="0.25">
      <c r="C117" s="1279"/>
      <c r="D117" s="1672" t="s">
        <v>276</v>
      </c>
      <c r="E117" s="1672"/>
      <c r="F117" s="1672"/>
      <c r="G117" s="1672"/>
      <c r="H117" s="1672"/>
      <c r="I117" s="1672"/>
      <c r="J117" s="1672"/>
      <c r="K117" s="1672"/>
      <c r="L117" s="1020"/>
      <c r="M117" s="1328">
        <f>N117*100</f>
        <v>0</v>
      </c>
      <c r="N117" s="1022"/>
      <c r="O117" s="1023"/>
      <c r="P117" s="1023"/>
      <c r="Q117" s="1023"/>
      <c r="R117" s="1024">
        <f>P117-N117</f>
        <v>0</v>
      </c>
      <c r="S117" s="1025">
        <f>Q117*100</f>
        <v>0</v>
      </c>
      <c r="T117" s="1025"/>
      <c r="U117" s="722"/>
      <c r="V117" s="1080"/>
      <c r="W117" s="1090">
        <f>M117</f>
        <v>0</v>
      </c>
      <c r="X117" s="1038">
        <f>W117</f>
        <v>0</v>
      </c>
      <c r="Y117" s="1038">
        <f>X117</f>
        <v>0</v>
      </c>
      <c r="Z117" s="1038">
        <f>O117*100</f>
        <v>0</v>
      </c>
      <c r="AA117" s="1038">
        <f>Z117</f>
        <v>0</v>
      </c>
      <c r="AB117" s="1038">
        <f>AA117</f>
        <v>0</v>
      </c>
      <c r="AC117" s="1038">
        <f>P117*100</f>
        <v>0</v>
      </c>
      <c r="AD117" s="1038">
        <f>AC117</f>
        <v>0</v>
      </c>
      <c r="AE117" s="1038">
        <f>AD117</f>
        <v>0</v>
      </c>
      <c r="AF117" s="1038">
        <f>AE117</f>
        <v>0</v>
      </c>
      <c r="AG117" s="1038">
        <f>AF117</f>
        <v>0</v>
      </c>
      <c r="AH117" s="1038">
        <f>AG117</f>
        <v>0</v>
      </c>
      <c r="AI117" s="1039">
        <f t="shared" ref="AI117:AT117" si="1267">(((AH117*(1+($B$36*$B$4)))-AH117)/12)+AH117</f>
        <v>0</v>
      </c>
      <c r="AJ117" s="1038">
        <f t="shared" si="1267"/>
        <v>0</v>
      </c>
      <c r="AK117" s="1038">
        <f t="shared" si="1267"/>
        <v>0</v>
      </c>
      <c r="AL117" s="1038">
        <f t="shared" si="1267"/>
        <v>0</v>
      </c>
      <c r="AM117" s="1038">
        <f t="shared" si="1267"/>
        <v>0</v>
      </c>
      <c r="AN117" s="1038">
        <f t="shared" si="1267"/>
        <v>0</v>
      </c>
      <c r="AO117" s="1038">
        <f t="shared" si="1267"/>
        <v>0</v>
      </c>
      <c r="AP117" s="1038">
        <f t="shared" si="1267"/>
        <v>0</v>
      </c>
      <c r="AQ117" s="1038">
        <f t="shared" si="1267"/>
        <v>0</v>
      </c>
      <c r="AR117" s="1038">
        <f t="shared" si="1267"/>
        <v>0</v>
      </c>
      <c r="AS117" s="1038">
        <f t="shared" si="1267"/>
        <v>0</v>
      </c>
      <c r="AT117" s="1038">
        <f t="shared" si="1267"/>
        <v>0</v>
      </c>
      <c r="AU117" s="1039">
        <f t="shared" ref="AU117:BF117" si="1268">(((AT117*(1+($B$37*$B$4)))-AT117)/12)+AT117</f>
        <v>0</v>
      </c>
      <c r="AV117" s="1038">
        <f t="shared" si="1268"/>
        <v>0</v>
      </c>
      <c r="AW117" s="1038">
        <f t="shared" si="1268"/>
        <v>0</v>
      </c>
      <c r="AX117" s="1038">
        <f t="shared" si="1268"/>
        <v>0</v>
      </c>
      <c r="AY117" s="1038">
        <f t="shared" si="1268"/>
        <v>0</v>
      </c>
      <c r="AZ117" s="1038">
        <f t="shared" si="1268"/>
        <v>0</v>
      </c>
      <c r="BA117" s="1038">
        <f t="shared" si="1268"/>
        <v>0</v>
      </c>
      <c r="BB117" s="1038">
        <f t="shared" si="1268"/>
        <v>0</v>
      </c>
      <c r="BC117" s="1038">
        <f t="shared" si="1268"/>
        <v>0</v>
      </c>
      <c r="BD117" s="1038">
        <f t="shared" si="1268"/>
        <v>0</v>
      </c>
      <c r="BE117" s="1038">
        <f t="shared" si="1268"/>
        <v>0</v>
      </c>
      <c r="BF117" s="1038">
        <f t="shared" si="1268"/>
        <v>0</v>
      </c>
      <c r="BG117" s="1039">
        <f t="shared" ref="BG117:BR117" si="1269">(((BF117*(1+($B$38*$B$4)))-BF117)/12)+BF117</f>
        <v>0</v>
      </c>
      <c r="BH117" s="1038">
        <f t="shared" si="1269"/>
        <v>0</v>
      </c>
      <c r="BI117" s="1038">
        <f t="shared" si="1269"/>
        <v>0</v>
      </c>
      <c r="BJ117" s="1038">
        <f t="shared" si="1269"/>
        <v>0</v>
      </c>
      <c r="BK117" s="1038">
        <f t="shared" si="1269"/>
        <v>0</v>
      </c>
      <c r="BL117" s="1038">
        <f t="shared" si="1269"/>
        <v>0</v>
      </c>
      <c r="BM117" s="1038">
        <f t="shared" si="1269"/>
        <v>0</v>
      </c>
      <c r="BN117" s="1038">
        <f t="shared" si="1269"/>
        <v>0</v>
      </c>
      <c r="BO117" s="1038">
        <f t="shared" si="1269"/>
        <v>0</v>
      </c>
      <c r="BP117" s="1038">
        <f t="shared" si="1269"/>
        <v>0</v>
      </c>
      <c r="BQ117" s="1038">
        <f t="shared" si="1269"/>
        <v>0</v>
      </c>
      <c r="BR117" s="1038">
        <f t="shared" si="1269"/>
        <v>0</v>
      </c>
      <c r="BS117" s="1039">
        <f t="shared" ref="BS117:CD117" si="1270">(((BR117*(1+($B$39*$B$4)))-BR117)/12)+BR117</f>
        <v>0</v>
      </c>
      <c r="BT117" s="1038">
        <f t="shared" si="1270"/>
        <v>0</v>
      </c>
      <c r="BU117" s="1038">
        <f t="shared" si="1270"/>
        <v>0</v>
      </c>
      <c r="BV117" s="1038">
        <f t="shared" si="1270"/>
        <v>0</v>
      </c>
      <c r="BW117" s="1038">
        <f t="shared" si="1270"/>
        <v>0</v>
      </c>
      <c r="BX117" s="1038">
        <f t="shared" si="1270"/>
        <v>0</v>
      </c>
      <c r="BY117" s="1038">
        <f t="shared" si="1270"/>
        <v>0</v>
      </c>
      <c r="BZ117" s="1038">
        <f t="shared" si="1270"/>
        <v>0</v>
      </c>
      <c r="CA117" s="1038">
        <f t="shared" si="1270"/>
        <v>0</v>
      </c>
      <c r="CB117" s="1038">
        <f t="shared" si="1270"/>
        <v>0</v>
      </c>
      <c r="CC117" s="1038">
        <f t="shared" si="1270"/>
        <v>0</v>
      </c>
      <c r="CD117" s="1038">
        <f t="shared" si="1270"/>
        <v>0</v>
      </c>
      <c r="CE117" s="1039">
        <f t="shared" ref="CE117:CP117" si="1271">(((CD117*(1+($B$40*$B$4)))-CD117)/12)+CD117</f>
        <v>0</v>
      </c>
      <c r="CF117" s="1038">
        <f t="shared" si="1271"/>
        <v>0</v>
      </c>
      <c r="CG117" s="1038">
        <f t="shared" si="1271"/>
        <v>0</v>
      </c>
      <c r="CH117" s="1038">
        <f t="shared" si="1271"/>
        <v>0</v>
      </c>
      <c r="CI117" s="1038">
        <f t="shared" si="1271"/>
        <v>0</v>
      </c>
      <c r="CJ117" s="1038">
        <f t="shared" si="1271"/>
        <v>0</v>
      </c>
      <c r="CK117" s="1038">
        <f t="shared" si="1271"/>
        <v>0</v>
      </c>
      <c r="CL117" s="1038">
        <f t="shared" si="1271"/>
        <v>0</v>
      </c>
      <c r="CM117" s="1038">
        <f t="shared" si="1271"/>
        <v>0</v>
      </c>
      <c r="CN117" s="1038">
        <f t="shared" si="1271"/>
        <v>0</v>
      </c>
      <c r="CO117" s="1038">
        <f t="shared" si="1271"/>
        <v>0</v>
      </c>
      <c r="CP117" s="1038">
        <f t="shared" si="1271"/>
        <v>0</v>
      </c>
      <c r="CQ117" s="1039">
        <f t="shared" ref="CQ117:DB117" si="1272">(((CP117*(1+($B$41*$B$4)))-CP117)/12)+CP117</f>
        <v>0</v>
      </c>
      <c r="CR117" s="1038">
        <f t="shared" si="1272"/>
        <v>0</v>
      </c>
      <c r="CS117" s="1038">
        <f t="shared" si="1272"/>
        <v>0</v>
      </c>
      <c r="CT117" s="1038">
        <f t="shared" si="1272"/>
        <v>0</v>
      </c>
      <c r="CU117" s="1038">
        <f t="shared" si="1272"/>
        <v>0</v>
      </c>
      <c r="CV117" s="1038">
        <f t="shared" si="1272"/>
        <v>0</v>
      </c>
      <c r="CW117" s="1038">
        <f t="shared" si="1272"/>
        <v>0</v>
      </c>
      <c r="CX117" s="1038">
        <f t="shared" si="1272"/>
        <v>0</v>
      </c>
      <c r="CY117" s="1038">
        <f t="shared" si="1272"/>
        <v>0</v>
      </c>
      <c r="CZ117" s="1038">
        <f t="shared" si="1272"/>
        <v>0</v>
      </c>
      <c r="DA117" s="1038">
        <f t="shared" si="1272"/>
        <v>0</v>
      </c>
      <c r="DB117" s="1038">
        <f t="shared" si="1272"/>
        <v>0</v>
      </c>
      <c r="DC117" s="1039">
        <f t="shared" ref="DC117:DN117" si="1273">(((DB117*(1+($B$42*$B$4)))-DB117)/12)+DB117</f>
        <v>0</v>
      </c>
      <c r="DD117" s="1038">
        <f t="shared" si="1273"/>
        <v>0</v>
      </c>
      <c r="DE117" s="1038">
        <f t="shared" si="1273"/>
        <v>0</v>
      </c>
      <c r="DF117" s="1038">
        <f t="shared" si="1273"/>
        <v>0</v>
      </c>
      <c r="DG117" s="1038">
        <f t="shared" si="1273"/>
        <v>0</v>
      </c>
      <c r="DH117" s="1038">
        <f t="shared" si="1273"/>
        <v>0</v>
      </c>
      <c r="DI117" s="1038">
        <f t="shared" si="1273"/>
        <v>0</v>
      </c>
      <c r="DJ117" s="1038">
        <f t="shared" si="1273"/>
        <v>0</v>
      </c>
      <c r="DK117" s="1038">
        <f t="shared" si="1273"/>
        <v>0</v>
      </c>
      <c r="DL117" s="1038">
        <f t="shared" si="1273"/>
        <v>0</v>
      </c>
      <c r="DM117" s="1038">
        <f t="shared" si="1273"/>
        <v>0</v>
      </c>
      <c r="DN117" s="1038">
        <f t="shared" si="1273"/>
        <v>0</v>
      </c>
      <c r="DO117" s="1039">
        <f t="shared" ref="DO117:DZ117" si="1274">(((DN117*(1+($B$43*$B$4)))-DN117)/12)+DN117</f>
        <v>0</v>
      </c>
      <c r="DP117" s="1038">
        <f t="shared" si="1274"/>
        <v>0</v>
      </c>
      <c r="DQ117" s="1038">
        <f t="shared" si="1274"/>
        <v>0</v>
      </c>
      <c r="DR117" s="1038">
        <f t="shared" si="1274"/>
        <v>0</v>
      </c>
      <c r="DS117" s="1038">
        <f t="shared" si="1274"/>
        <v>0</v>
      </c>
      <c r="DT117" s="1038">
        <f t="shared" si="1274"/>
        <v>0</v>
      </c>
      <c r="DU117" s="1038">
        <f t="shared" si="1274"/>
        <v>0</v>
      </c>
      <c r="DV117" s="1038">
        <f t="shared" si="1274"/>
        <v>0</v>
      </c>
      <c r="DW117" s="1038">
        <f t="shared" si="1274"/>
        <v>0</v>
      </c>
      <c r="DX117" s="1038">
        <f t="shared" si="1274"/>
        <v>0</v>
      </c>
      <c r="DY117" s="1038">
        <f t="shared" si="1274"/>
        <v>0</v>
      </c>
      <c r="DZ117" s="1038">
        <f t="shared" si="1274"/>
        <v>0</v>
      </c>
      <c r="EA117" s="1039">
        <f>(((DZ117*(1+($B$44*$B$4)))-DZ117)/12)+DZ117</f>
        <v>0</v>
      </c>
      <c r="EB117" s="1038">
        <f>(((EA117*(1+($B$44*$B$4)))-EA117)/12)+EA117</f>
        <v>0</v>
      </c>
      <c r="EC117" s="1038">
        <f>(((EB117*(1+($B$44*$B$4)))-EB117)/12)+EB117</f>
        <v>0</v>
      </c>
      <c r="ED117" s="1091">
        <f>(((EC117*(1+($B$44*$B$4)))-EC117)/12)+EC117</f>
        <v>0</v>
      </c>
    </row>
    <row r="118" spans="1:134" ht="14.45" customHeight="1" outlineLevel="1" x14ac:dyDescent="0.25">
      <c r="C118" s="1279"/>
      <c r="D118" s="1673"/>
      <c r="E118" s="1673"/>
      <c r="F118" s="1673"/>
      <c r="G118" s="1673"/>
      <c r="H118" s="1673"/>
      <c r="I118" s="1673"/>
      <c r="J118" s="1673"/>
      <c r="K118" s="1673"/>
      <c r="L118" s="1026"/>
      <c r="M118" s="1027"/>
      <c r="N118" s="1028"/>
      <c r="O118" s="1029"/>
      <c r="P118" s="1029"/>
      <c r="Q118" s="1029"/>
      <c r="R118" s="1030"/>
      <c r="S118" s="1031"/>
      <c r="T118" s="1031"/>
      <c r="U118" s="1027"/>
      <c r="V118" s="1081">
        <v>1</v>
      </c>
      <c r="W118" s="1092">
        <f>ROUNDUP($V118*(W117/100)/0.8,0)</f>
        <v>0</v>
      </c>
      <c r="X118" s="689">
        <f t="shared" ref="X118:CI118" si="1275">ROUNDUP($V118*(X117/100)/0.8,0)</f>
        <v>0</v>
      </c>
      <c r="Y118" s="689">
        <f t="shared" si="1275"/>
        <v>0</v>
      </c>
      <c r="Z118" s="689">
        <f t="shared" si="1275"/>
        <v>0</v>
      </c>
      <c r="AA118" s="689">
        <f t="shared" si="1275"/>
        <v>0</v>
      </c>
      <c r="AB118" s="689">
        <f t="shared" si="1275"/>
        <v>0</v>
      </c>
      <c r="AC118" s="689">
        <f t="shared" si="1275"/>
        <v>0</v>
      </c>
      <c r="AD118" s="689">
        <f t="shared" si="1275"/>
        <v>0</v>
      </c>
      <c r="AE118" s="689">
        <f t="shared" si="1275"/>
        <v>0</v>
      </c>
      <c r="AF118" s="689">
        <f t="shared" si="1275"/>
        <v>0</v>
      </c>
      <c r="AG118" s="689">
        <f t="shared" si="1275"/>
        <v>0</v>
      </c>
      <c r="AH118" s="689">
        <f t="shared" si="1275"/>
        <v>0</v>
      </c>
      <c r="AI118" s="1037">
        <f t="shared" si="1275"/>
        <v>0</v>
      </c>
      <c r="AJ118" s="689">
        <f t="shared" si="1275"/>
        <v>0</v>
      </c>
      <c r="AK118" s="689">
        <f t="shared" si="1275"/>
        <v>0</v>
      </c>
      <c r="AL118" s="689">
        <f t="shared" si="1275"/>
        <v>0</v>
      </c>
      <c r="AM118" s="689">
        <f t="shared" si="1275"/>
        <v>0</v>
      </c>
      <c r="AN118" s="689">
        <f t="shared" si="1275"/>
        <v>0</v>
      </c>
      <c r="AO118" s="689">
        <f t="shared" si="1275"/>
        <v>0</v>
      </c>
      <c r="AP118" s="689">
        <f t="shared" si="1275"/>
        <v>0</v>
      </c>
      <c r="AQ118" s="689">
        <f t="shared" si="1275"/>
        <v>0</v>
      </c>
      <c r="AR118" s="689">
        <f t="shared" si="1275"/>
        <v>0</v>
      </c>
      <c r="AS118" s="689">
        <f t="shared" si="1275"/>
        <v>0</v>
      </c>
      <c r="AT118" s="689">
        <f t="shared" si="1275"/>
        <v>0</v>
      </c>
      <c r="AU118" s="1037">
        <f t="shared" si="1275"/>
        <v>0</v>
      </c>
      <c r="AV118" s="689">
        <f t="shared" si="1275"/>
        <v>0</v>
      </c>
      <c r="AW118" s="689">
        <f t="shared" si="1275"/>
        <v>0</v>
      </c>
      <c r="AX118" s="689">
        <f t="shared" si="1275"/>
        <v>0</v>
      </c>
      <c r="AY118" s="689">
        <f t="shared" si="1275"/>
        <v>0</v>
      </c>
      <c r="AZ118" s="689">
        <f t="shared" si="1275"/>
        <v>0</v>
      </c>
      <c r="BA118" s="689">
        <f t="shared" si="1275"/>
        <v>0</v>
      </c>
      <c r="BB118" s="689">
        <f t="shared" si="1275"/>
        <v>0</v>
      </c>
      <c r="BC118" s="689">
        <f t="shared" si="1275"/>
        <v>0</v>
      </c>
      <c r="BD118" s="689">
        <f t="shared" si="1275"/>
        <v>0</v>
      </c>
      <c r="BE118" s="689">
        <f t="shared" si="1275"/>
        <v>0</v>
      </c>
      <c r="BF118" s="689">
        <f t="shared" si="1275"/>
        <v>0</v>
      </c>
      <c r="BG118" s="1037">
        <f t="shared" si="1275"/>
        <v>0</v>
      </c>
      <c r="BH118" s="689">
        <f t="shared" si="1275"/>
        <v>0</v>
      </c>
      <c r="BI118" s="689">
        <f t="shared" si="1275"/>
        <v>0</v>
      </c>
      <c r="BJ118" s="689">
        <f t="shared" si="1275"/>
        <v>0</v>
      </c>
      <c r="BK118" s="689">
        <f t="shared" si="1275"/>
        <v>0</v>
      </c>
      <c r="BL118" s="689">
        <f t="shared" si="1275"/>
        <v>0</v>
      </c>
      <c r="BM118" s="689">
        <f t="shared" si="1275"/>
        <v>0</v>
      </c>
      <c r="BN118" s="689">
        <f t="shared" si="1275"/>
        <v>0</v>
      </c>
      <c r="BO118" s="689">
        <f t="shared" si="1275"/>
        <v>0</v>
      </c>
      <c r="BP118" s="689">
        <f t="shared" si="1275"/>
        <v>0</v>
      </c>
      <c r="BQ118" s="689">
        <f t="shared" si="1275"/>
        <v>0</v>
      </c>
      <c r="BR118" s="689">
        <f t="shared" si="1275"/>
        <v>0</v>
      </c>
      <c r="BS118" s="1037">
        <f t="shared" si="1275"/>
        <v>0</v>
      </c>
      <c r="BT118" s="689">
        <f t="shared" si="1275"/>
        <v>0</v>
      </c>
      <c r="BU118" s="689">
        <f t="shared" si="1275"/>
        <v>0</v>
      </c>
      <c r="BV118" s="689">
        <f t="shared" si="1275"/>
        <v>0</v>
      </c>
      <c r="BW118" s="689">
        <f t="shared" si="1275"/>
        <v>0</v>
      </c>
      <c r="BX118" s="689">
        <f t="shared" si="1275"/>
        <v>0</v>
      </c>
      <c r="BY118" s="689">
        <f t="shared" si="1275"/>
        <v>0</v>
      </c>
      <c r="BZ118" s="689">
        <f t="shared" si="1275"/>
        <v>0</v>
      </c>
      <c r="CA118" s="689">
        <f t="shared" si="1275"/>
        <v>0</v>
      </c>
      <c r="CB118" s="689">
        <f t="shared" si="1275"/>
        <v>0</v>
      </c>
      <c r="CC118" s="689">
        <f t="shared" si="1275"/>
        <v>0</v>
      </c>
      <c r="CD118" s="689">
        <f t="shared" si="1275"/>
        <v>0</v>
      </c>
      <c r="CE118" s="1037">
        <f t="shared" si="1275"/>
        <v>0</v>
      </c>
      <c r="CF118" s="689">
        <f t="shared" si="1275"/>
        <v>0</v>
      </c>
      <c r="CG118" s="689">
        <f t="shared" si="1275"/>
        <v>0</v>
      </c>
      <c r="CH118" s="689">
        <f t="shared" si="1275"/>
        <v>0</v>
      </c>
      <c r="CI118" s="689">
        <f t="shared" si="1275"/>
        <v>0</v>
      </c>
      <c r="CJ118" s="689">
        <f t="shared" ref="CJ118:ED118" si="1276">ROUNDUP($V118*(CJ117/100)/0.8,0)</f>
        <v>0</v>
      </c>
      <c r="CK118" s="689">
        <f t="shared" si="1276"/>
        <v>0</v>
      </c>
      <c r="CL118" s="689">
        <f t="shared" si="1276"/>
        <v>0</v>
      </c>
      <c r="CM118" s="689">
        <f t="shared" si="1276"/>
        <v>0</v>
      </c>
      <c r="CN118" s="689">
        <f t="shared" si="1276"/>
        <v>0</v>
      </c>
      <c r="CO118" s="689">
        <f t="shared" si="1276"/>
        <v>0</v>
      </c>
      <c r="CP118" s="689">
        <f t="shared" si="1276"/>
        <v>0</v>
      </c>
      <c r="CQ118" s="1037">
        <f t="shared" si="1276"/>
        <v>0</v>
      </c>
      <c r="CR118" s="689">
        <f t="shared" si="1276"/>
        <v>0</v>
      </c>
      <c r="CS118" s="689">
        <f t="shared" si="1276"/>
        <v>0</v>
      </c>
      <c r="CT118" s="689">
        <f t="shared" si="1276"/>
        <v>0</v>
      </c>
      <c r="CU118" s="689">
        <f t="shared" si="1276"/>
        <v>0</v>
      </c>
      <c r="CV118" s="689">
        <f t="shared" si="1276"/>
        <v>0</v>
      </c>
      <c r="CW118" s="689">
        <f t="shared" si="1276"/>
        <v>0</v>
      </c>
      <c r="CX118" s="689">
        <f t="shared" si="1276"/>
        <v>0</v>
      </c>
      <c r="CY118" s="689">
        <f t="shared" si="1276"/>
        <v>0</v>
      </c>
      <c r="CZ118" s="689">
        <f t="shared" si="1276"/>
        <v>0</v>
      </c>
      <c r="DA118" s="689">
        <f t="shared" si="1276"/>
        <v>0</v>
      </c>
      <c r="DB118" s="689">
        <f t="shared" si="1276"/>
        <v>0</v>
      </c>
      <c r="DC118" s="1037">
        <f t="shared" si="1276"/>
        <v>0</v>
      </c>
      <c r="DD118" s="689">
        <f t="shared" si="1276"/>
        <v>0</v>
      </c>
      <c r="DE118" s="689">
        <f t="shared" si="1276"/>
        <v>0</v>
      </c>
      <c r="DF118" s="689">
        <f t="shared" si="1276"/>
        <v>0</v>
      </c>
      <c r="DG118" s="689">
        <f t="shared" si="1276"/>
        <v>0</v>
      </c>
      <c r="DH118" s="689">
        <f t="shared" si="1276"/>
        <v>0</v>
      </c>
      <c r="DI118" s="689">
        <f t="shared" si="1276"/>
        <v>0</v>
      </c>
      <c r="DJ118" s="689">
        <f t="shared" si="1276"/>
        <v>0</v>
      </c>
      <c r="DK118" s="689">
        <f t="shared" si="1276"/>
        <v>0</v>
      </c>
      <c r="DL118" s="689">
        <f t="shared" si="1276"/>
        <v>0</v>
      </c>
      <c r="DM118" s="689">
        <f t="shared" si="1276"/>
        <v>0</v>
      </c>
      <c r="DN118" s="689">
        <f t="shared" si="1276"/>
        <v>0</v>
      </c>
      <c r="DO118" s="1037">
        <f t="shared" si="1276"/>
        <v>0</v>
      </c>
      <c r="DP118" s="689">
        <f t="shared" si="1276"/>
        <v>0</v>
      </c>
      <c r="DQ118" s="689">
        <f t="shared" si="1276"/>
        <v>0</v>
      </c>
      <c r="DR118" s="689">
        <f t="shared" si="1276"/>
        <v>0</v>
      </c>
      <c r="DS118" s="689">
        <f t="shared" si="1276"/>
        <v>0</v>
      </c>
      <c r="DT118" s="689">
        <f t="shared" si="1276"/>
        <v>0</v>
      </c>
      <c r="DU118" s="689">
        <f t="shared" si="1276"/>
        <v>0</v>
      </c>
      <c r="DV118" s="689">
        <f t="shared" si="1276"/>
        <v>0</v>
      </c>
      <c r="DW118" s="689">
        <f t="shared" si="1276"/>
        <v>0</v>
      </c>
      <c r="DX118" s="689">
        <f t="shared" si="1276"/>
        <v>0</v>
      </c>
      <c r="DY118" s="689">
        <f t="shared" si="1276"/>
        <v>0</v>
      </c>
      <c r="DZ118" s="689">
        <f t="shared" si="1276"/>
        <v>0</v>
      </c>
      <c r="EA118" s="1037">
        <f t="shared" si="1276"/>
        <v>0</v>
      </c>
      <c r="EB118" s="689">
        <f t="shared" si="1276"/>
        <v>0</v>
      </c>
      <c r="EC118" s="689">
        <f t="shared" si="1276"/>
        <v>0</v>
      </c>
      <c r="ED118" s="1093">
        <f t="shared" si="1276"/>
        <v>0</v>
      </c>
    </row>
    <row r="119" spans="1:134" outlineLevel="1" x14ac:dyDescent="0.25">
      <c r="C119" s="1279"/>
      <c r="D119" s="1672" t="s">
        <v>277</v>
      </c>
      <c r="E119" s="1672"/>
      <c r="F119" s="1672"/>
      <c r="G119" s="1672"/>
      <c r="H119" s="1672"/>
      <c r="I119" s="1672"/>
      <c r="J119" s="1672"/>
      <c r="K119" s="1672"/>
      <c r="L119" s="1020"/>
      <c r="M119" s="1328">
        <f>N119*100</f>
        <v>0</v>
      </c>
      <c r="N119" s="1022"/>
      <c r="O119" s="1023"/>
      <c r="P119" s="1023"/>
      <c r="Q119" s="1023"/>
      <c r="R119" s="1024">
        <f>P119-N119</f>
        <v>0</v>
      </c>
      <c r="S119" s="1025">
        <f>Q119*100</f>
        <v>0</v>
      </c>
      <c r="T119" s="1025"/>
      <c r="U119" s="722"/>
      <c r="V119" s="1080"/>
      <c r="W119" s="1097">
        <f>M119</f>
        <v>0</v>
      </c>
      <c r="X119" s="1098">
        <f>W119</f>
        <v>0</v>
      </c>
      <c r="Y119" s="1098">
        <f>X119</f>
        <v>0</v>
      </c>
      <c r="Z119" s="1098">
        <f>O119*100</f>
        <v>0</v>
      </c>
      <c r="AA119" s="1098">
        <f>Z119</f>
        <v>0</v>
      </c>
      <c r="AB119" s="1098">
        <f>AA119</f>
        <v>0</v>
      </c>
      <c r="AC119" s="1098">
        <f>P119*100</f>
        <v>0</v>
      </c>
      <c r="AD119" s="1098">
        <f>AC119</f>
        <v>0</v>
      </c>
      <c r="AE119" s="1098">
        <f>AD119</f>
        <v>0</v>
      </c>
      <c r="AF119" s="1098">
        <f>AE119</f>
        <v>0</v>
      </c>
      <c r="AG119" s="1098">
        <f>AF119</f>
        <v>0</v>
      </c>
      <c r="AH119" s="1098">
        <f>AG119</f>
        <v>0</v>
      </c>
      <c r="AI119" s="1099">
        <f t="shared" ref="AI119:AT119" si="1277">(((AH119*(1+($B$36*$B$4)))-AH119)/12)+AH119</f>
        <v>0</v>
      </c>
      <c r="AJ119" s="1098">
        <f t="shared" si="1277"/>
        <v>0</v>
      </c>
      <c r="AK119" s="1098">
        <f t="shared" si="1277"/>
        <v>0</v>
      </c>
      <c r="AL119" s="1098">
        <f t="shared" si="1277"/>
        <v>0</v>
      </c>
      <c r="AM119" s="1098">
        <f t="shared" si="1277"/>
        <v>0</v>
      </c>
      <c r="AN119" s="1098">
        <f t="shared" si="1277"/>
        <v>0</v>
      </c>
      <c r="AO119" s="1098">
        <f t="shared" si="1277"/>
        <v>0</v>
      </c>
      <c r="AP119" s="1098">
        <f t="shared" si="1277"/>
        <v>0</v>
      </c>
      <c r="AQ119" s="1098">
        <f t="shared" si="1277"/>
        <v>0</v>
      </c>
      <c r="AR119" s="1098">
        <f t="shared" si="1277"/>
        <v>0</v>
      </c>
      <c r="AS119" s="1098">
        <f t="shared" si="1277"/>
        <v>0</v>
      </c>
      <c r="AT119" s="1098">
        <f t="shared" si="1277"/>
        <v>0</v>
      </c>
      <c r="AU119" s="1099">
        <f t="shared" ref="AU119:BF119" si="1278">(((AT119*(1+($B$37*$B$4)))-AT119)/12)+AT119</f>
        <v>0</v>
      </c>
      <c r="AV119" s="1098">
        <f t="shared" si="1278"/>
        <v>0</v>
      </c>
      <c r="AW119" s="1098">
        <f t="shared" si="1278"/>
        <v>0</v>
      </c>
      <c r="AX119" s="1098">
        <f t="shared" si="1278"/>
        <v>0</v>
      </c>
      <c r="AY119" s="1098">
        <f t="shared" si="1278"/>
        <v>0</v>
      </c>
      <c r="AZ119" s="1098">
        <f t="shared" si="1278"/>
        <v>0</v>
      </c>
      <c r="BA119" s="1098">
        <f t="shared" si="1278"/>
        <v>0</v>
      </c>
      <c r="BB119" s="1098">
        <f t="shared" si="1278"/>
        <v>0</v>
      </c>
      <c r="BC119" s="1098">
        <f t="shared" si="1278"/>
        <v>0</v>
      </c>
      <c r="BD119" s="1098">
        <f t="shared" si="1278"/>
        <v>0</v>
      </c>
      <c r="BE119" s="1098">
        <f t="shared" si="1278"/>
        <v>0</v>
      </c>
      <c r="BF119" s="1098">
        <f t="shared" si="1278"/>
        <v>0</v>
      </c>
      <c r="BG119" s="1099">
        <f t="shared" ref="BG119:BR119" si="1279">(((BF119*(1+($B$38*$B$4)))-BF119)/12)+BF119</f>
        <v>0</v>
      </c>
      <c r="BH119" s="1098">
        <f t="shared" si="1279"/>
        <v>0</v>
      </c>
      <c r="BI119" s="1098">
        <f t="shared" si="1279"/>
        <v>0</v>
      </c>
      <c r="BJ119" s="1098">
        <f t="shared" si="1279"/>
        <v>0</v>
      </c>
      <c r="BK119" s="1098">
        <f t="shared" si="1279"/>
        <v>0</v>
      </c>
      <c r="BL119" s="1098">
        <f t="shared" si="1279"/>
        <v>0</v>
      </c>
      <c r="BM119" s="1098">
        <f t="shared" si="1279"/>
        <v>0</v>
      </c>
      <c r="BN119" s="1098">
        <f t="shared" si="1279"/>
        <v>0</v>
      </c>
      <c r="BO119" s="1098">
        <f t="shared" si="1279"/>
        <v>0</v>
      </c>
      <c r="BP119" s="1098">
        <f t="shared" si="1279"/>
        <v>0</v>
      </c>
      <c r="BQ119" s="1098">
        <f t="shared" si="1279"/>
        <v>0</v>
      </c>
      <c r="BR119" s="1098">
        <f t="shared" si="1279"/>
        <v>0</v>
      </c>
      <c r="BS119" s="1099">
        <f t="shared" ref="BS119:CD119" si="1280">(((BR119*(1+($B$39*$B$4)))-BR119)/12)+BR119</f>
        <v>0</v>
      </c>
      <c r="BT119" s="1098">
        <f t="shared" si="1280"/>
        <v>0</v>
      </c>
      <c r="BU119" s="1098">
        <f t="shared" si="1280"/>
        <v>0</v>
      </c>
      <c r="BV119" s="1098">
        <f t="shared" si="1280"/>
        <v>0</v>
      </c>
      <c r="BW119" s="1098">
        <f t="shared" si="1280"/>
        <v>0</v>
      </c>
      <c r="BX119" s="1098">
        <f t="shared" si="1280"/>
        <v>0</v>
      </c>
      <c r="BY119" s="1098">
        <f t="shared" si="1280"/>
        <v>0</v>
      </c>
      <c r="BZ119" s="1098">
        <f t="shared" si="1280"/>
        <v>0</v>
      </c>
      <c r="CA119" s="1098">
        <f t="shared" si="1280"/>
        <v>0</v>
      </c>
      <c r="CB119" s="1098">
        <f t="shared" si="1280"/>
        <v>0</v>
      </c>
      <c r="CC119" s="1098">
        <f t="shared" si="1280"/>
        <v>0</v>
      </c>
      <c r="CD119" s="1098">
        <f t="shared" si="1280"/>
        <v>0</v>
      </c>
      <c r="CE119" s="1099">
        <f t="shared" ref="CE119:CP119" si="1281">(((CD119*(1+($B$40*$B$4)))-CD119)/12)+CD119</f>
        <v>0</v>
      </c>
      <c r="CF119" s="1098">
        <f t="shared" si="1281"/>
        <v>0</v>
      </c>
      <c r="CG119" s="1098">
        <f t="shared" si="1281"/>
        <v>0</v>
      </c>
      <c r="CH119" s="1098">
        <f t="shared" si="1281"/>
        <v>0</v>
      </c>
      <c r="CI119" s="1098">
        <f t="shared" si="1281"/>
        <v>0</v>
      </c>
      <c r="CJ119" s="1098">
        <f t="shared" si="1281"/>
        <v>0</v>
      </c>
      <c r="CK119" s="1098">
        <f t="shared" si="1281"/>
        <v>0</v>
      </c>
      <c r="CL119" s="1098">
        <f t="shared" si="1281"/>
        <v>0</v>
      </c>
      <c r="CM119" s="1098">
        <f t="shared" si="1281"/>
        <v>0</v>
      </c>
      <c r="CN119" s="1098">
        <f t="shared" si="1281"/>
        <v>0</v>
      </c>
      <c r="CO119" s="1098">
        <f t="shared" si="1281"/>
        <v>0</v>
      </c>
      <c r="CP119" s="1098">
        <f t="shared" si="1281"/>
        <v>0</v>
      </c>
      <c r="CQ119" s="1099">
        <f t="shared" ref="CQ119:DB119" si="1282">(((CP119*(1+($B$41*$B$4)))-CP119)/12)+CP119</f>
        <v>0</v>
      </c>
      <c r="CR119" s="1098">
        <f t="shared" si="1282"/>
        <v>0</v>
      </c>
      <c r="CS119" s="1098">
        <f t="shared" si="1282"/>
        <v>0</v>
      </c>
      <c r="CT119" s="1098">
        <f t="shared" si="1282"/>
        <v>0</v>
      </c>
      <c r="CU119" s="1098">
        <f t="shared" si="1282"/>
        <v>0</v>
      </c>
      <c r="CV119" s="1098">
        <f t="shared" si="1282"/>
        <v>0</v>
      </c>
      <c r="CW119" s="1098">
        <f t="shared" si="1282"/>
        <v>0</v>
      </c>
      <c r="CX119" s="1098">
        <f t="shared" si="1282"/>
        <v>0</v>
      </c>
      <c r="CY119" s="1098">
        <f t="shared" si="1282"/>
        <v>0</v>
      </c>
      <c r="CZ119" s="1098">
        <f t="shared" si="1282"/>
        <v>0</v>
      </c>
      <c r="DA119" s="1098">
        <f t="shared" si="1282"/>
        <v>0</v>
      </c>
      <c r="DB119" s="1098">
        <f t="shared" si="1282"/>
        <v>0</v>
      </c>
      <c r="DC119" s="1099">
        <f t="shared" ref="DC119:DN119" si="1283">(((DB119*(1+($B$42*$B$4)))-DB119)/12)+DB119</f>
        <v>0</v>
      </c>
      <c r="DD119" s="1098">
        <f t="shared" si="1283"/>
        <v>0</v>
      </c>
      <c r="DE119" s="1098">
        <f t="shared" si="1283"/>
        <v>0</v>
      </c>
      <c r="DF119" s="1098">
        <f t="shared" si="1283"/>
        <v>0</v>
      </c>
      <c r="DG119" s="1098">
        <f t="shared" si="1283"/>
        <v>0</v>
      </c>
      <c r="DH119" s="1098">
        <f t="shared" si="1283"/>
        <v>0</v>
      </c>
      <c r="DI119" s="1098">
        <f t="shared" si="1283"/>
        <v>0</v>
      </c>
      <c r="DJ119" s="1098">
        <f t="shared" si="1283"/>
        <v>0</v>
      </c>
      <c r="DK119" s="1098">
        <f t="shared" si="1283"/>
        <v>0</v>
      </c>
      <c r="DL119" s="1098">
        <f t="shared" si="1283"/>
        <v>0</v>
      </c>
      <c r="DM119" s="1098">
        <f t="shared" si="1283"/>
        <v>0</v>
      </c>
      <c r="DN119" s="1098">
        <f t="shared" si="1283"/>
        <v>0</v>
      </c>
      <c r="DO119" s="1099">
        <f t="shared" ref="DO119:DZ119" si="1284">(((DN119*(1+($B$43*$B$4)))-DN119)/12)+DN119</f>
        <v>0</v>
      </c>
      <c r="DP119" s="1098">
        <f t="shared" si="1284"/>
        <v>0</v>
      </c>
      <c r="DQ119" s="1098">
        <f t="shared" si="1284"/>
        <v>0</v>
      </c>
      <c r="DR119" s="1098">
        <f t="shared" si="1284"/>
        <v>0</v>
      </c>
      <c r="DS119" s="1098">
        <f t="shared" si="1284"/>
        <v>0</v>
      </c>
      <c r="DT119" s="1098">
        <f t="shared" si="1284"/>
        <v>0</v>
      </c>
      <c r="DU119" s="1098">
        <f t="shared" si="1284"/>
        <v>0</v>
      </c>
      <c r="DV119" s="1098">
        <f t="shared" si="1284"/>
        <v>0</v>
      </c>
      <c r="DW119" s="1098">
        <f t="shared" si="1284"/>
        <v>0</v>
      </c>
      <c r="DX119" s="1098">
        <f t="shared" si="1284"/>
        <v>0</v>
      </c>
      <c r="DY119" s="1098">
        <f t="shared" si="1284"/>
        <v>0</v>
      </c>
      <c r="DZ119" s="1098">
        <f t="shared" si="1284"/>
        <v>0</v>
      </c>
      <c r="EA119" s="1099">
        <f>(((DZ119*(1+($B$44*$B$4)))-DZ119)/12)+DZ119</f>
        <v>0</v>
      </c>
      <c r="EB119" s="1098">
        <f>(((EA119*(1+($B$44*$B$4)))-EA119)/12)+EA119</f>
        <v>0</v>
      </c>
      <c r="EC119" s="1098">
        <f>(((EB119*(1+($B$44*$B$4)))-EB119)/12)+EB119</f>
        <v>0</v>
      </c>
      <c r="ED119" s="1100">
        <f>(((EC119*(1+($B$44*$B$4)))-EC119)/12)+EC119</f>
        <v>0</v>
      </c>
    </row>
    <row r="120" spans="1:134" outlineLevel="1" x14ac:dyDescent="0.25">
      <c r="C120" s="1279"/>
      <c r="D120" s="1673"/>
      <c r="E120" s="1673"/>
      <c r="F120" s="1673"/>
      <c r="G120" s="1673"/>
      <c r="H120" s="1673"/>
      <c r="I120" s="1673"/>
      <c r="J120" s="1673"/>
      <c r="K120" s="1673"/>
      <c r="L120" s="1026"/>
      <c r="M120" s="1027"/>
      <c r="N120" s="1028"/>
      <c r="O120" s="1029"/>
      <c r="P120" s="1029"/>
      <c r="Q120" s="1029"/>
      <c r="R120" s="1030"/>
      <c r="S120" s="1031"/>
      <c r="T120" s="1031"/>
      <c r="U120" s="1027"/>
      <c r="V120" s="1081">
        <v>0.5</v>
      </c>
      <c r="W120" s="1094">
        <f>ROUNDUP($V120*(W119/100)/0.8,0)</f>
        <v>0</v>
      </c>
      <c r="X120" s="1074">
        <f t="shared" ref="X120:CI120" si="1285">ROUNDUP($V120*(X119/100)/0.8,0)</f>
        <v>0</v>
      </c>
      <c r="Y120" s="1074">
        <f t="shared" si="1285"/>
        <v>0</v>
      </c>
      <c r="Z120" s="1074">
        <f t="shared" si="1285"/>
        <v>0</v>
      </c>
      <c r="AA120" s="1074">
        <f t="shared" si="1285"/>
        <v>0</v>
      </c>
      <c r="AB120" s="1074">
        <f t="shared" si="1285"/>
        <v>0</v>
      </c>
      <c r="AC120" s="1074">
        <f t="shared" si="1285"/>
        <v>0</v>
      </c>
      <c r="AD120" s="1074">
        <f t="shared" si="1285"/>
        <v>0</v>
      </c>
      <c r="AE120" s="1074">
        <f t="shared" si="1285"/>
        <v>0</v>
      </c>
      <c r="AF120" s="1074">
        <f t="shared" si="1285"/>
        <v>0</v>
      </c>
      <c r="AG120" s="1074">
        <f t="shared" si="1285"/>
        <v>0</v>
      </c>
      <c r="AH120" s="1074">
        <f t="shared" si="1285"/>
        <v>0</v>
      </c>
      <c r="AI120" s="1095">
        <f t="shared" si="1285"/>
        <v>0</v>
      </c>
      <c r="AJ120" s="1074">
        <f t="shared" si="1285"/>
        <v>0</v>
      </c>
      <c r="AK120" s="1074">
        <f t="shared" si="1285"/>
        <v>0</v>
      </c>
      <c r="AL120" s="1074">
        <f t="shared" si="1285"/>
        <v>0</v>
      </c>
      <c r="AM120" s="1074">
        <f t="shared" si="1285"/>
        <v>0</v>
      </c>
      <c r="AN120" s="1074">
        <f t="shared" si="1285"/>
        <v>0</v>
      </c>
      <c r="AO120" s="1074">
        <f t="shared" si="1285"/>
        <v>0</v>
      </c>
      <c r="AP120" s="1074">
        <f t="shared" si="1285"/>
        <v>0</v>
      </c>
      <c r="AQ120" s="1074">
        <f t="shared" si="1285"/>
        <v>0</v>
      </c>
      <c r="AR120" s="1074">
        <f t="shared" si="1285"/>
        <v>0</v>
      </c>
      <c r="AS120" s="1074">
        <f t="shared" si="1285"/>
        <v>0</v>
      </c>
      <c r="AT120" s="1074">
        <f t="shared" si="1285"/>
        <v>0</v>
      </c>
      <c r="AU120" s="1095">
        <f t="shared" si="1285"/>
        <v>0</v>
      </c>
      <c r="AV120" s="1074">
        <f t="shared" si="1285"/>
        <v>0</v>
      </c>
      <c r="AW120" s="1074">
        <f t="shared" si="1285"/>
        <v>0</v>
      </c>
      <c r="AX120" s="1074">
        <f t="shared" si="1285"/>
        <v>0</v>
      </c>
      <c r="AY120" s="1074">
        <f t="shared" si="1285"/>
        <v>0</v>
      </c>
      <c r="AZ120" s="1074">
        <f t="shared" si="1285"/>
        <v>0</v>
      </c>
      <c r="BA120" s="1074">
        <f t="shared" si="1285"/>
        <v>0</v>
      </c>
      <c r="BB120" s="1074">
        <f t="shared" si="1285"/>
        <v>0</v>
      </c>
      <c r="BC120" s="1074">
        <f t="shared" si="1285"/>
        <v>0</v>
      </c>
      <c r="BD120" s="1074">
        <f t="shared" si="1285"/>
        <v>0</v>
      </c>
      <c r="BE120" s="1074">
        <f t="shared" si="1285"/>
        <v>0</v>
      </c>
      <c r="BF120" s="1074">
        <f t="shared" si="1285"/>
        <v>0</v>
      </c>
      <c r="BG120" s="1095">
        <f t="shared" si="1285"/>
        <v>0</v>
      </c>
      <c r="BH120" s="1074">
        <f t="shared" si="1285"/>
        <v>0</v>
      </c>
      <c r="BI120" s="1074">
        <f t="shared" si="1285"/>
        <v>0</v>
      </c>
      <c r="BJ120" s="1074">
        <f t="shared" si="1285"/>
        <v>0</v>
      </c>
      <c r="BK120" s="1074">
        <f t="shared" si="1285"/>
        <v>0</v>
      </c>
      <c r="BL120" s="1074">
        <f t="shared" si="1285"/>
        <v>0</v>
      </c>
      <c r="BM120" s="1074">
        <f t="shared" si="1285"/>
        <v>0</v>
      </c>
      <c r="BN120" s="1074">
        <f t="shared" si="1285"/>
        <v>0</v>
      </c>
      <c r="BO120" s="1074">
        <f t="shared" si="1285"/>
        <v>0</v>
      </c>
      <c r="BP120" s="1074">
        <f t="shared" si="1285"/>
        <v>0</v>
      </c>
      <c r="BQ120" s="1074">
        <f t="shared" si="1285"/>
        <v>0</v>
      </c>
      <c r="BR120" s="1074">
        <f t="shared" si="1285"/>
        <v>0</v>
      </c>
      <c r="BS120" s="1095">
        <f t="shared" si="1285"/>
        <v>0</v>
      </c>
      <c r="BT120" s="1074">
        <f t="shared" si="1285"/>
        <v>0</v>
      </c>
      <c r="BU120" s="1074">
        <f t="shared" si="1285"/>
        <v>0</v>
      </c>
      <c r="BV120" s="1074">
        <f t="shared" si="1285"/>
        <v>0</v>
      </c>
      <c r="BW120" s="1074">
        <f t="shared" si="1285"/>
        <v>0</v>
      </c>
      <c r="BX120" s="1074">
        <f t="shared" si="1285"/>
        <v>0</v>
      </c>
      <c r="BY120" s="1074">
        <f t="shared" si="1285"/>
        <v>0</v>
      </c>
      <c r="BZ120" s="1074">
        <f t="shared" si="1285"/>
        <v>0</v>
      </c>
      <c r="CA120" s="1074">
        <f t="shared" si="1285"/>
        <v>0</v>
      </c>
      <c r="CB120" s="1074">
        <f t="shared" si="1285"/>
        <v>0</v>
      </c>
      <c r="CC120" s="1074">
        <f t="shared" si="1285"/>
        <v>0</v>
      </c>
      <c r="CD120" s="1074">
        <f t="shared" si="1285"/>
        <v>0</v>
      </c>
      <c r="CE120" s="1095">
        <f t="shared" si="1285"/>
        <v>0</v>
      </c>
      <c r="CF120" s="1074">
        <f t="shared" si="1285"/>
        <v>0</v>
      </c>
      <c r="CG120" s="1074">
        <f t="shared" si="1285"/>
        <v>0</v>
      </c>
      <c r="CH120" s="1074">
        <f t="shared" si="1285"/>
        <v>0</v>
      </c>
      <c r="CI120" s="1074">
        <f t="shared" si="1285"/>
        <v>0</v>
      </c>
      <c r="CJ120" s="1074">
        <f t="shared" ref="CJ120:ED120" si="1286">ROUNDUP($V120*(CJ119/100)/0.8,0)</f>
        <v>0</v>
      </c>
      <c r="CK120" s="1074">
        <f t="shared" si="1286"/>
        <v>0</v>
      </c>
      <c r="CL120" s="1074">
        <f t="shared" si="1286"/>
        <v>0</v>
      </c>
      <c r="CM120" s="1074">
        <f t="shared" si="1286"/>
        <v>0</v>
      </c>
      <c r="CN120" s="1074">
        <f t="shared" si="1286"/>
        <v>0</v>
      </c>
      <c r="CO120" s="1074">
        <f t="shared" si="1286"/>
        <v>0</v>
      </c>
      <c r="CP120" s="1074">
        <f t="shared" si="1286"/>
        <v>0</v>
      </c>
      <c r="CQ120" s="1095">
        <f t="shared" si="1286"/>
        <v>0</v>
      </c>
      <c r="CR120" s="1074">
        <f t="shared" si="1286"/>
        <v>0</v>
      </c>
      <c r="CS120" s="1074">
        <f t="shared" si="1286"/>
        <v>0</v>
      </c>
      <c r="CT120" s="1074">
        <f t="shared" si="1286"/>
        <v>0</v>
      </c>
      <c r="CU120" s="1074">
        <f t="shared" si="1286"/>
        <v>0</v>
      </c>
      <c r="CV120" s="1074">
        <f t="shared" si="1286"/>
        <v>0</v>
      </c>
      <c r="CW120" s="1074">
        <f t="shared" si="1286"/>
        <v>0</v>
      </c>
      <c r="CX120" s="1074">
        <f t="shared" si="1286"/>
        <v>0</v>
      </c>
      <c r="CY120" s="1074">
        <f t="shared" si="1286"/>
        <v>0</v>
      </c>
      <c r="CZ120" s="1074">
        <f t="shared" si="1286"/>
        <v>0</v>
      </c>
      <c r="DA120" s="1074">
        <f t="shared" si="1286"/>
        <v>0</v>
      </c>
      <c r="DB120" s="1074">
        <f t="shared" si="1286"/>
        <v>0</v>
      </c>
      <c r="DC120" s="1095">
        <f t="shared" si="1286"/>
        <v>0</v>
      </c>
      <c r="DD120" s="1074">
        <f t="shared" si="1286"/>
        <v>0</v>
      </c>
      <c r="DE120" s="1074">
        <f t="shared" si="1286"/>
        <v>0</v>
      </c>
      <c r="DF120" s="1074">
        <f t="shared" si="1286"/>
        <v>0</v>
      </c>
      <c r="DG120" s="1074">
        <f t="shared" si="1286"/>
        <v>0</v>
      </c>
      <c r="DH120" s="1074">
        <f t="shared" si="1286"/>
        <v>0</v>
      </c>
      <c r="DI120" s="1074">
        <f t="shared" si="1286"/>
        <v>0</v>
      </c>
      <c r="DJ120" s="1074">
        <f t="shared" si="1286"/>
        <v>0</v>
      </c>
      <c r="DK120" s="1074">
        <f t="shared" si="1286"/>
        <v>0</v>
      </c>
      <c r="DL120" s="1074">
        <f t="shared" si="1286"/>
        <v>0</v>
      </c>
      <c r="DM120" s="1074">
        <f t="shared" si="1286"/>
        <v>0</v>
      </c>
      <c r="DN120" s="1074">
        <f t="shared" si="1286"/>
        <v>0</v>
      </c>
      <c r="DO120" s="1095">
        <f t="shared" si="1286"/>
        <v>0</v>
      </c>
      <c r="DP120" s="1074">
        <f t="shared" si="1286"/>
        <v>0</v>
      </c>
      <c r="DQ120" s="1074">
        <f t="shared" si="1286"/>
        <v>0</v>
      </c>
      <c r="DR120" s="1074">
        <f t="shared" si="1286"/>
        <v>0</v>
      </c>
      <c r="DS120" s="1074">
        <f t="shared" si="1286"/>
        <v>0</v>
      </c>
      <c r="DT120" s="1074">
        <f t="shared" si="1286"/>
        <v>0</v>
      </c>
      <c r="DU120" s="1074">
        <f t="shared" si="1286"/>
        <v>0</v>
      </c>
      <c r="DV120" s="1074">
        <f t="shared" si="1286"/>
        <v>0</v>
      </c>
      <c r="DW120" s="1074">
        <f t="shared" si="1286"/>
        <v>0</v>
      </c>
      <c r="DX120" s="1074">
        <f t="shared" si="1286"/>
        <v>0</v>
      </c>
      <c r="DY120" s="1074">
        <f t="shared" si="1286"/>
        <v>0</v>
      </c>
      <c r="DZ120" s="1074">
        <f t="shared" si="1286"/>
        <v>0</v>
      </c>
      <c r="EA120" s="1095">
        <f t="shared" si="1286"/>
        <v>0</v>
      </c>
      <c r="EB120" s="1074">
        <f t="shared" si="1286"/>
        <v>0</v>
      </c>
      <c r="EC120" s="1074">
        <f t="shared" si="1286"/>
        <v>0</v>
      </c>
      <c r="ED120" s="1096">
        <f t="shared" si="1286"/>
        <v>0</v>
      </c>
    </row>
    <row r="121" spans="1:134" ht="14.45" customHeight="1" outlineLevel="1" x14ac:dyDescent="0.25">
      <c r="C121" s="1279"/>
      <c r="D121" s="1672" t="s">
        <v>278</v>
      </c>
      <c r="E121" s="1672"/>
      <c r="F121" s="1672"/>
      <c r="G121" s="1672"/>
      <c r="H121" s="1672"/>
      <c r="I121" s="1672"/>
      <c r="J121" s="1672"/>
      <c r="K121" s="1672"/>
      <c r="L121" s="1020"/>
      <c r="M121" s="1328">
        <f>N121*100</f>
        <v>0</v>
      </c>
      <c r="N121" s="1022"/>
      <c r="O121" s="1023"/>
      <c r="P121" s="1023"/>
      <c r="Q121" s="1023"/>
      <c r="R121" s="1024">
        <f>P121-N121</f>
        <v>0</v>
      </c>
      <c r="S121" s="1025">
        <f>Q121*100</f>
        <v>0</v>
      </c>
      <c r="T121" s="1025"/>
      <c r="U121" s="722"/>
      <c r="V121" s="1080"/>
      <c r="W121" s="1090">
        <f>M121</f>
        <v>0</v>
      </c>
      <c r="X121" s="1038">
        <f>W121</f>
        <v>0</v>
      </c>
      <c r="Y121" s="1038">
        <f>X121</f>
        <v>0</v>
      </c>
      <c r="Z121" s="1038">
        <f>O121*100</f>
        <v>0</v>
      </c>
      <c r="AA121" s="1038">
        <f>Z121</f>
        <v>0</v>
      </c>
      <c r="AB121" s="1038">
        <f>AA121</f>
        <v>0</v>
      </c>
      <c r="AC121" s="1038">
        <f>P121*100</f>
        <v>0</v>
      </c>
      <c r="AD121" s="1038">
        <f>AC121</f>
        <v>0</v>
      </c>
      <c r="AE121" s="1038">
        <f>AD121</f>
        <v>0</v>
      </c>
      <c r="AF121" s="1038">
        <f>AE121</f>
        <v>0</v>
      </c>
      <c r="AG121" s="1038">
        <f>AF121</f>
        <v>0</v>
      </c>
      <c r="AH121" s="1038">
        <f>AG121</f>
        <v>0</v>
      </c>
      <c r="AI121" s="1039">
        <f t="shared" ref="AI121:AT121" si="1287">(((AH121*(1+($B$36*$B$4)))-AH121)/12)+AH121</f>
        <v>0</v>
      </c>
      <c r="AJ121" s="1038">
        <f t="shared" si="1287"/>
        <v>0</v>
      </c>
      <c r="AK121" s="1038">
        <f t="shared" si="1287"/>
        <v>0</v>
      </c>
      <c r="AL121" s="1038">
        <f t="shared" si="1287"/>
        <v>0</v>
      </c>
      <c r="AM121" s="1038">
        <f t="shared" si="1287"/>
        <v>0</v>
      </c>
      <c r="AN121" s="1038">
        <f t="shared" si="1287"/>
        <v>0</v>
      </c>
      <c r="AO121" s="1038">
        <f t="shared" si="1287"/>
        <v>0</v>
      </c>
      <c r="AP121" s="1038">
        <f t="shared" si="1287"/>
        <v>0</v>
      </c>
      <c r="AQ121" s="1038">
        <f t="shared" si="1287"/>
        <v>0</v>
      </c>
      <c r="AR121" s="1038">
        <f t="shared" si="1287"/>
        <v>0</v>
      </c>
      <c r="AS121" s="1038">
        <f t="shared" si="1287"/>
        <v>0</v>
      </c>
      <c r="AT121" s="1038">
        <f t="shared" si="1287"/>
        <v>0</v>
      </c>
      <c r="AU121" s="1039">
        <f t="shared" ref="AU121:BF121" si="1288">(((AT121*(1+($B$37*$B$4)))-AT121)/12)+AT121</f>
        <v>0</v>
      </c>
      <c r="AV121" s="1038">
        <f t="shared" si="1288"/>
        <v>0</v>
      </c>
      <c r="AW121" s="1038">
        <f t="shared" si="1288"/>
        <v>0</v>
      </c>
      <c r="AX121" s="1038">
        <f t="shared" si="1288"/>
        <v>0</v>
      </c>
      <c r="AY121" s="1038">
        <f t="shared" si="1288"/>
        <v>0</v>
      </c>
      <c r="AZ121" s="1038">
        <f t="shared" si="1288"/>
        <v>0</v>
      </c>
      <c r="BA121" s="1038">
        <f t="shared" si="1288"/>
        <v>0</v>
      </c>
      <c r="BB121" s="1038">
        <f t="shared" si="1288"/>
        <v>0</v>
      </c>
      <c r="BC121" s="1038">
        <f t="shared" si="1288"/>
        <v>0</v>
      </c>
      <c r="BD121" s="1038">
        <f t="shared" si="1288"/>
        <v>0</v>
      </c>
      <c r="BE121" s="1038">
        <f t="shared" si="1288"/>
        <v>0</v>
      </c>
      <c r="BF121" s="1038">
        <f t="shared" si="1288"/>
        <v>0</v>
      </c>
      <c r="BG121" s="1039">
        <f t="shared" ref="BG121:BR121" si="1289">(((BF121*(1+($B$38*$B$4)))-BF121)/12)+BF121</f>
        <v>0</v>
      </c>
      <c r="BH121" s="1038">
        <f t="shared" si="1289"/>
        <v>0</v>
      </c>
      <c r="BI121" s="1038">
        <f t="shared" si="1289"/>
        <v>0</v>
      </c>
      <c r="BJ121" s="1038">
        <f t="shared" si="1289"/>
        <v>0</v>
      </c>
      <c r="BK121" s="1038">
        <f t="shared" si="1289"/>
        <v>0</v>
      </c>
      <c r="BL121" s="1038">
        <f t="shared" si="1289"/>
        <v>0</v>
      </c>
      <c r="BM121" s="1038">
        <f t="shared" si="1289"/>
        <v>0</v>
      </c>
      <c r="BN121" s="1038">
        <f t="shared" si="1289"/>
        <v>0</v>
      </c>
      <c r="BO121" s="1038">
        <f t="shared" si="1289"/>
        <v>0</v>
      </c>
      <c r="BP121" s="1038">
        <f t="shared" si="1289"/>
        <v>0</v>
      </c>
      <c r="BQ121" s="1038">
        <f t="shared" si="1289"/>
        <v>0</v>
      </c>
      <c r="BR121" s="1038">
        <f t="shared" si="1289"/>
        <v>0</v>
      </c>
      <c r="BS121" s="1039">
        <f t="shared" ref="BS121:CD121" si="1290">(((BR121*(1+($B$39*$B$4)))-BR121)/12)+BR121</f>
        <v>0</v>
      </c>
      <c r="BT121" s="1038">
        <f t="shared" si="1290"/>
        <v>0</v>
      </c>
      <c r="BU121" s="1038">
        <f t="shared" si="1290"/>
        <v>0</v>
      </c>
      <c r="BV121" s="1038">
        <f t="shared" si="1290"/>
        <v>0</v>
      </c>
      <c r="BW121" s="1038">
        <f t="shared" si="1290"/>
        <v>0</v>
      </c>
      <c r="BX121" s="1038">
        <f t="shared" si="1290"/>
        <v>0</v>
      </c>
      <c r="BY121" s="1038">
        <f t="shared" si="1290"/>
        <v>0</v>
      </c>
      <c r="BZ121" s="1038">
        <f t="shared" si="1290"/>
        <v>0</v>
      </c>
      <c r="CA121" s="1038">
        <f t="shared" si="1290"/>
        <v>0</v>
      </c>
      <c r="CB121" s="1038">
        <f t="shared" si="1290"/>
        <v>0</v>
      </c>
      <c r="CC121" s="1038">
        <f t="shared" si="1290"/>
        <v>0</v>
      </c>
      <c r="CD121" s="1038">
        <f t="shared" si="1290"/>
        <v>0</v>
      </c>
      <c r="CE121" s="1039">
        <f t="shared" ref="CE121:CP121" si="1291">(((CD121*(1+($B$40*$B$4)))-CD121)/12)+CD121</f>
        <v>0</v>
      </c>
      <c r="CF121" s="1038">
        <f t="shared" si="1291"/>
        <v>0</v>
      </c>
      <c r="CG121" s="1038">
        <f t="shared" si="1291"/>
        <v>0</v>
      </c>
      <c r="CH121" s="1038">
        <f t="shared" si="1291"/>
        <v>0</v>
      </c>
      <c r="CI121" s="1038">
        <f t="shared" si="1291"/>
        <v>0</v>
      </c>
      <c r="CJ121" s="1038">
        <f t="shared" si="1291"/>
        <v>0</v>
      </c>
      <c r="CK121" s="1038">
        <f t="shared" si="1291"/>
        <v>0</v>
      </c>
      <c r="CL121" s="1038">
        <f t="shared" si="1291"/>
        <v>0</v>
      </c>
      <c r="CM121" s="1038">
        <f t="shared" si="1291"/>
        <v>0</v>
      </c>
      <c r="CN121" s="1038">
        <f t="shared" si="1291"/>
        <v>0</v>
      </c>
      <c r="CO121" s="1038">
        <f t="shared" si="1291"/>
        <v>0</v>
      </c>
      <c r="CP121" s="1038">
        <f t="shared" si="1291"/>
        <v>0</v>
      </c>
      <c r="CQ121" s="1039">
        <f t="shared" ref="CQ121:DB121" si="1292">(((CP121*(1+($B$41*$B$4)))-CP121)/12)+CP121</f>
        <v>0</v>
      </c>
      <c r="CR121" s="1038">
        <f t="shared" si="1292"/>
        <v>0</v>
      </c>
      <c r="CS121" s="1038">
        <f t="shared" si="1292"/>
        <v>0</v>
      </c>
      <c r="CT121" s="1038">
        <f t="shared" si="1292"/>
        <v>0</v>
      </c>
      <c r="CU121" s="1038">
        <f t="shared" si="1292"/>
        <v>0</v>
      </c>
      <c r="CV121" s="1038">
        <f t="shared" si="1292"/>
        <v>0</v>
      </c>
      <c r="CW121" s="1038">
        <f t="shared" si="1292"/>
        <v>0</v>
      </c>
      <c r="CX121" s="1038">
        <f t="shared" si="1292"/>
        <v>0</v>
      </c>
      <c r="CY121" s="1038">
        <f t="shared" si="1292"/>
        <v>0</v>
      </c>
      <c r="CZ121" s="1038">
        <f t="shared" si="1292"/>
        <v>0</v>
      </c>
      <c r="DA121" s="1038">
        <f t="shared" si="1292"/>
        <v>0</v>
      </c>
      <c r="DB121" s="1038">
        <f t="shared" si="1292"/>
        <v>0</v>
      </c>
      <c r="DC121" s="1039">
        <f t="shared" ref="DC121:DN121" si="1293">(((DB121*(1+($B$42*$B$4)))-DB121)/12)+DB121</f>
        <v>0</v>
      </c>
      <c r="DD121" s="1038">
        <f t="shared" si="1293"/>
        <v>0</v>
      </c>
      <c r="DE121" s="1038">
        <f t="shared" si="1293"/>
        <v>0</v>
      </c>
      <c r="DF121" s="1038">
        <f t="shared" si="1293"/>
        <v>0</v>
      </c>
      <c r="DG121" s="1038">
        <f t="shared" si="1293"/>
        <v>0</v>
      </c>
      <c r="DH121" s="1038">
        <f t="shared" si="1293"/>
        <v>0</v>
      </c>
      <c r="DI121" s="1038">
        <f t="shared" si="1293"/>
        <v>0</v>
      </c>
      <c r="DJ121" s="1038">
        <f t="shared" si="1293"/>
        <v>0</v>
      </c>
      <c r="DK121" s="1038">
        <f t="shared" si="1293"/>
        <v>0</v>
      </c>
      <c r="DL121" s="1038">
        <f t="shared" si="1293"/>
        <v>0</v>
      </c>
      <c r="DM121" s="1038">
        <f t="shared" si="1293"/>
        <v>0</v>
      </c>
      <c r="DN121" s="1038">
        <f t="shared" si="1293"/>
        <v>0</v>
      </c>
      <c r="DO121" s="1039">
        <f t="shared" ref="DO121:DZ121" si="1294">(((DN121*(1+($B$43*$B$4)))-DN121)/12)+DN121</f>
        <v>0</v>
      </c>
      <c r="DP121" s="1038">
        <f t="shared" si="1294"/>
        <v>0</v>
      </c>
      <c r="DQ121" s="1038">
        <f t="shared" si="1294"/>
        <v>0</v>
      </c>
      <c r="DR121" s="1038">
        <f t="shared" si="1294"/>
        <v>0</v>
      </c>
      <c r="DS121" s="1038">
        <f t="shared" si="1294"/>
        <v>0</v>
      </c>
      <c r="DT121" s="1038">
        <f t="shared" si="1294"/>
        <v>0</v>
      </c>
      <c r="DU121" s="1038">
        <f t="shared" si="1294"/>
        <v>0</v>
      </c>
      <c r="DV121" s="1038">
        <f t="shared" si="1294"/>
        <v>0</v>
      </c>
      <c r="DW121" s="1038">
        <f t="shared" si="1294"/>
        <v>0</v>
      </c>
      <c r="DX121" s="1038">
        <f t="shared" si="1294"/>
        <v>0</v>
      </c>
      <c r="DY121" s="1038">
        <f t="shared" si="1294"/>
        <v>0</v>
      </c>
      <c r="DZ121" s="1038">
        <f t="shared" si="1294"/>
        <v>0</v>
      </c>
      <c r="EA121" s="1039">
        <f>(((DZ121*(1+($B$44*$B$4)))-DZ121)/12)+DZ121</f>
        <v>0</v>
      </c>
      <c r="EB121" s="1038">
        <f>(((EA121*(1+($B$44*$B$4)))-EA121)/12)+EA121</f>
        <v>0</v>
      </c>
      <c r="EC121" s="1038">
        <f>(((EB121*(1+($B$44*$B$4)))-EB121)/12)+EB121</f>
        <v>0</v>
      </c>
      <c r="ED121" s="1091">
        <f>(((EC121*(1+($B$44*$B$4)))-EC121)/12)+EC121</f>
        <v>0</v>
      </c>
    </row>
    <row r="122" spans="1:134" ht="14.45" customHeight="1" outlineLevel="1" x14ac:dyDescent="0.25">
      <c r="C122" s="1279"/>
      <c r="D122" s="1673"/>
      <c r="E122" s="1673"/>
      <c r="F122" s="1673"/>
      <c r="G122" s="1673"/>
      <c r="H122" s="1673"/>
      <c r="I122" s="1673"/>
      <c r="J122" s="1673"/>
      <c r="K122" s="1673"/>
      <c r="L122" s="1026"/>
      <c r="M122" s="1027"/>
      <c r="N122" s="1028"/>
      <c r="O122" s="1029"/>
      <c r="P122" s="1029"/>
      <c r="Q122" s="1029"/>
      <c r="R122" s="1030"/>
      <c r="S122" s="1031"/>
      <c r="T122" s="1031"/>
      <c r="U122" s="1027"/>
      <c r="V122" s="1081">
        <v>1</v>
      </c>
      <c r="W122" s="1092">
        <f>ROUNDUP($V122*(W121/100)/0.8,0)</f>
        <v>0</v>
      </c>
      <c r="X122" s="689">
        <f t="shared" ref="X122:CI122" si="1295">ROUNDUP($V122*(X121/100)/0.8,0)</f>
        <v>0</v>
      </c>
      <c r="Y122" s="689">
        <f t="shared" si="1295"/>
        <v>0</v>
      </c>
      <c r="Z122" s="689">
        <f t="shared" si="1295"/>
        <v>0</v>
      </c>
      <c r="AA122" s="689">
        <f t="shared" si="1295"/>
        <v>0</v>
      </c>
      <c r="AB122" s="689">
        <f t="shared" si="1295"/>
        <v>0</v>
      </c>
      <c r="AC122" s="689">
        <f t="shared" si="1295"/>
        <v>0</v>
      </c>
      <c r="AD122" s="689">
        <f t="shared" si="1295"/>
        <v>0</v>
      </c>
      <c r="AE122" s="689">
        <f t="shared" si="1295"/>
        <v>0</v>
      </c>
      <c r="AF122" s="689">
        <f t="shared" si="1295"/>
        <v>0</v>
      </c>
      <c r="AG122" s="689">
        <f t="shared" si="1295"/>
        <v>0</v>
      </c>
      <c r="AH122" s="689">
        <f t="shared" si="1295"/>
        <v>0</v>
      </c>
      <c r="AI122" s="1037">
        <f t="shared" si="1295"/>
        <v>0</v>
      </c>
      <c r="AJ122" s="689">
        <f t="shared" si="1295"/>
        <v>0</v>
      </c>
      <c r="AK122" s="689">
        <f t="shared" si="1295"/>
        <v>0</v>
      </c>
      <c r="AL122" s="689">
        <f t="shared" si="1295"/>
        <v>0</v>
      </c>
      <c r="AM122" s="689">
        <f t="shared" si="1295"/>
        <v>0</v>
      </c>
      <c r="AN122" s="689">
        <f t="shared" si="1295"/>
        <v>0</v>
      </c>
      <c r="AO122" s="689">
        <f t="shared" si="1295"/>
        <v>0</v>
      </c>
      <c r="AP122" s="689">
        <f t="shared" si="1295"/>
        <v>0</v>
      </c>
      <c r="AQ122" s="689">
        <f t="shared" si="1295"/>
        <v>0</v>
      </c>
      <c r="AR122" s="689">
        <f t="shared" si="1295"/>
        <v>0</v>
      </c>
      <c r="AS122" s="689">
        <f t="shared" si="1295"/>
        <v>0</v>
      </c>
      <c r="AT122" s="689">
        <f t="shared" si="1295"/>
        <v>0</v>
      </c>
      <c r="AU122" s="1037">
        <f t="shared" si="1295"/>
        <v>0</v>
      </c>
      <c r="AV122" s="689">
        <f t="shared" si="1295"/>
        <v>0</v>
      </c>
      <c r="AW122" s="689">
        <f t="shared" si="1295"/>
        <v>0</v>
      </c>
      <c r="AX122" s="689">
        <f t="shared" si="1295"/>
        <v>0</v>
      </c>
      <c r="AY122" s="689">
        <f t="shared" si="1295"/>
        <v>0</v>
      </c>
      <c r="AZ122" s="689">
        <f t="shared" si="1295"/>
        <v>0</v>
      </c>
      <c r="BA122" s="689">
        <f t="shared" si="1295"/>
        <v>0</v>
      </c>
      <c r="BB122" s="689">
        <f t="shared" si="1295"/>
        <v>0</v>
      </c>
      <c r="BC122" s="689">
        <f t="shared" si="1295"/>
        <v>0</v>
      </c>
      <c r="BD122" s="689">
        <f t="shared" si="1295"/>
        <v>0</v>
      </c>
      <c r="BE122" s="689">
        <f t="shared" si="1295"/>
        <v>0</v>
      </c>
      <c r="BF122" s="689">
        <f t="shared" si="1295"/>
        <v>0</v>
      </c>
      <c r="BG122" s="1037">
        <f t="shared" si="1295"/>
        <v>0</v>
      </c>
      <c r="BH122" s="689">
        <f t="shared" si="1295"/>
        <v>0</v>
      </c>
      <c r="BI122" s="689">
        <f t="shared" si="1295"/>
        <v>0</v>
      </c>
      <c r="BJ122" s="689">
        <f t="shared" si="1295"/>
        <v>0</v>
      </c>
      <c r="BK122" s="689">
        <f t="shared" si="1295"/>
        <v>0</v>
      </c>
      <c r="BL122" s="689">
        <f t="shared" si="1295"/>
        <v>0</v>
      </c>
      <c r="BM122" s="689">
        <f t="shared" si="1295"/>
        <v>0</v>
      </c>
      <c r="BN122" s="689">
        <f t="shared" si="1295"/>
        <v>0</v>
      </c>
      <c r="BO122" s="689">
        <f t="shared" si="1295"/>
        <v>0</v>
      </c>
      <c r="BP122" s="689">
        <f t="shared" si="1295"/>
        <v>0</v>
      </c>
      <c r="BQ122" s="689">
        <f t="shared" si="1295"/>
        <v>0</v>
      </c>
      <c r="BR122" s="689">
        <f t="shared" si="1295"/>
        <v>0</v>
      </c>
      <c r="BS122" s="1037">
        <f t="shared" si="1295"/>
        <v>0</v>
      </c>
      <c r="BT122" s="689">
        <f t="shared" si="1295"/>
        <v>0</v>
      </c>
      <c r="BU122" s="689">
        <f t="shared" si="1295"/>
        <v>0</v>
      </c>
      <c r="BV122" s="689">
        <f t="shared" si="1295"/>
        <v>0</v>
      </c>
      <c r="BW122" s="689">
        <f t="shared" si="1295"/>
        <v>0</v>
      </c>
      <c r="BX122" s="689">
        <f t="shared" si="1295"/>
        <v>0</v>
      </c>
      <c r="BY122" s="689">
        <f t="shared" si="1295"/>
        <v>0</v>
      </c>
      <c r="BZ122" s="689">
        <f t="shared" si="1295"/>
        <v>0</v>
      </c>
      <c r="CA122" s="689">
        <f t="shared" si="1295"/>
        <v>0</v>
      </c>
      <c r="CB122" s="689">
        <f t="shared" si="1295"/>
        <v>0</v>
      </c>
      <c r="CC122" s="689">
        <f t="shared" si="1295"/>
        <v>0</v>
      </c>
      <c r="CD122" s="689">
        <f t="shared" si="1295"/>
        <v>0</v>
      </c>
      <c r="CE122" s="1037">
        <f t="shared" si="1295"/>
        <v>0</v>
      </c>
      <c r="CF122" s="689">
        <f t="shared" si="1295"/>
        <v>0</v>
      </c>
      <c r="CG122" s="689">
        <f t="shared" si="1295"/>
        <v>0</v>
      </c>
      <c r="CH122" s="689">
        <f t="shared" si="1295"/>
        <v>0</v>
      </c>
      <c r="CI122" s="689">
        <f t="shared" si="1295"/>
        <v>0</v>
      </c>
      <c r="CJ122" s="689">
        <f t="shared" ref="CJ122:ED122" si="1296">ROUNDUP($V122*(CJ121/100)/0.8,0)</f>
        <v>0</v>
      </c>
      <c r="CK122" s="689">
        <f t="shared" si="1296"/>
        <v>0</v>
      </c>
      <c r="CL122" s="689">
        <f t="shared" si="1296"/>
        <v>0</v>
      </c>
      <c r="CM122" s="689">
        <f t="shared" si="1296"/>
        <v>0</v>
      </c>
      <c r="CN122" s="689">
        <f t="shared" si="1296"/>
        <v>0</v>
      </c>
      <c r="CO122" s="689">
        <f t="shared" si="1296"/>
        <v>0</v>
      </c>
      <c r="CP122" s="689">
        <f t="shared" si="1296"/>
        <v>0</v>
      </c>
      <c r="CQ122" s="1037">
        <f t="shared" si="1296"/>
        <v>0</v>
      </c>
      <c r="CR122" s="689">
        <f t="shared" si="1296"/>
        <v>0</v>
      </c>
      <c r="CS122" s="689">
        <f t="shared" si="1296"/>
        <v>0</v>
      </c>
      <c r="CT122" s="689">
        <f t="shared" si="1296"/>
        <v>0</v>
      </c>
      <c r="CU122" s="689">
        <f t="shared" si="1296"/>
        <v>0</v>
      </c>
      <c r="CV122" s="689">
        <f t="shared" si="1296"/>
        <v>0</v>
      </c>
      <c r="CW122" s="689">
        <f t="shared" si="1296"/>
        <v>0</v>
      </c>
      <c r="CX122" s="689">
        <f t="shared" si="1296"/>
        <v>0</v>
      </c>
      <c r="CY122" s="689">
        <f t="shared" si="1296"/>
        <v>0</v>
      </c>
      <c r="CZ122" s="689">
        <f t="shared" si="1296"/>
        <v>0</v>
      </c>
      <c r="DA122" s="689">
        <f t="shared" si="1296"/>
        <v>0</v>
      </c>
      <c r="DB122" s="689">
        <f t="shared" si="1296"/>
        <v>0</v>
      </c>
      <c r="DC122" s="1037">
        <f t="shared" si="1296"/>
        <v>0</v>
      </c>
      <c r="DD122" s="689">
        <f t="shared" si="1296"/>
        <v>0</v>
      </c>
      <c r="DE122" s="689">
        <f t="shared" si="1296"/>
        <v>0</v>
      </c>
      <c r="DF122" s="689">
        <f t="shared" si="1296"/>
        <v>0</v>
      </c>
      <c r="DG122" s="689">
        <f t="shared" si="1296"/>
        <v>0</v>
      </c>
      <c r="DH122" s="689">
        <f t="shared" si="1296"/>
        <v>0</v>
      </c>
      <c r="DI122" s="689">
        <f t="shared" si="1296"/>
        <v>0</v>
      </c>
      <c r="DJ122" s="689">
        <f t="shared" si="1296"/>
        <v>0</v>
      </c>
      <c r="DK122" s="689">
        <f t="shared" si="1296"/>
        <v>0</v>
      </c>
      <c r="DL122" s="689">
        <f t="shared" si="1296"/>
        <v>0</v>
      </c>
      <c r="DM122" s="689">
        <f t="shared" si="1296"/>
        <v>0</v>
      </c>
      <c r="DN122" s="689">
        <f t="shared" si="1296"/>
        <v>0</v>
      </c>
      <c r="DO122" s="1037">
        <f t="shared" si="1296"/>
        <v>0</v>
      </c>
      <c r="DP122" s="689">
        <f t="shared" si="1296"/>
        <v>0</v>
      </c>
      <c r="DQ122" s="689">
        <f t="shared" si="1296"/>
        <v>0</v>
      </c>
      <c r="DR122" s="689">
        <f t="shared" si="1296"/>
        <v>0</v>
      </c>
      <c r="DS122" s="689">
        <f t="shared" si="1296"/>
        <v>0</v>
      </c>
      <c r="DT122" s="689">
        <f t="shared" si="1296"/>
        <v>0</v>
      </c>
      <c r="DU122" s="689">
        <f t="shared" si="1296"/>
        <v>0</v>
      </c>
      <c r="DV122" s="689">
        <f t="shared" si="1296"/>
        <v>0</v>
      </c>
      <c r="DW122" s="689">
        <f t="shared" si="1296"/>
        <v>0</v>
      </c>
      <c r="DX122" s="689">
        <f t="shared" si="1296"/>
        <v>0</v>
      </c>
      <c r="DY122" s="689">
        <f t="shared" si="1296"/>
        <v>0</v>
      </c>
      <c r="DZ122" s="689">
        <f t="shared" si="1296"/>
        <v>0</v>
      </c>
      <c r="EA122" s="1037">
        <f t="shared" si="1296"/>
        <v>0</v>
      </c>
      <c r="EB122" s="689">
        <f t="shared" si="1296"/>
        <v>0</v>
      </c>
      <c r="EC122" s="689">
        <f t="shared" si="1296"/>
        <v>0</v>
      </c>
      <c r="ED122" s="1093">
        <f t="shared" si="1296"/>
        <v>0</v>
      </c>
    </row>
    <row r="123" spans="1:134" outlineLevel="1" x14ac:dyDescent="0.25">
      <c r="C123" s="1279"/>
      <c r="D123" s="1683" t="s">
        <v>279</v>
      </c>
      <c r="E123" s="1683"/>
      <c r="F123" s="1683"/>
      <c r="G123" s="1683"/>
      <c r="H123" s="1683"/>
      <c r="I123" s="1683"/>
      <c r="J123" s="1683"/>
      <c r="K123" s="1683"/>
      <c r="L123" s="1032"/>
      <c r="M123" s="1328">
        <f>N123</f>
        <v>7.0516078431372557</v>
      </c>
      <c r="N123" s="1384">
        <f>'XFMR Data'!W4</f>
        <v>7.0516078431372557</v>
      </c>
      <c r="O123" s="1385">
        <f>'XFMR Data'!X4</f>
        <v>7.6382745098039218</v>
      </c>
      <c r="P123" s="1385">
        <f>'XFMR Data'!Y4</f>
        <v>6.8894117647058826</v>
      </c>
      <c r="Q123" s="1034"/>
      <c r="R123" s="1024">
        <f>P123-N123</f>
        <v>-0.16219607843137318</v>
      </c>
      <c r="S123" s="1034"/>
      <c r="T123" s="1034"/>
      <c r="U123" s="689"/>
      <c r="V123" s="1082"/>
      <c r="W123" s="1097">
        <f>M123</f>
        <v>7.0516078431372557</v>
      </c>
      <c r="X123" s="1098">
        <f>W123</f>
        <v>7.0516078431372557</v>
      </c>
      <c r="Y123" s="1098">
        <f>X123</f>
        <v>7.0516078431372557</v>
      </c>
      <c r="Z123" s="1098">
        <f>O123</f>
        <v>7.6382745098039218</v>
      </c>
      <c r="AA123" s="1098">
        <f>Z123</f>
        <v>7.6382745098039218</v>
      </c>
      <c r="AB123" s="1098">
        <f>AA123</f>
        <v>7.6382745098039218</v>
      </c>
      <c r="AC123" s="1098">
        <f>P123</f>
        <v>6.8894117647058826</v>
      </c>
      <c r="AD123" s="1098">
        <f>AC123</f>
        <v>6.8894117647058826</v>
      </c>
      <c r="AE123" s="1098">
        <f>AD123</f>
        <v>6.8894117647058826</v>
      </c>
      <c r="AF123" s="1098">
        <f>AE123</f>
        <v>6.8894117647058826</v>
      </c>
      <c r="AG123" s="1098">
        <f>AF123</f>
        <v>6.8894117647058826</v>
      </c>
      <c r="AH123" s="1098">
        <f>AG123</f>
        <v>6.8894117647058826</v>
      </c>
      <c r="AI123" s="1099">
        <f t="shared" ref="AI123" si="1297">(((AH123*(1+($B$36*$B$4)))-AH123)/12)+AH123</f>
        <v>6.9307482352941179</v>
      </c>
      <c r="AJ123" s="1098">
        <f t="shared" ref="AJ123" si="1298">(((AI123*(1+($B$36*$B$4)))-AI123)/12)+AI123</f>
        <v>6.9723327247058826</v>
      </c>
      <c r="AK123" s="1098">
        <f t="shared" ref="AK123" si="1299">(((AJ123*(1+($B$36*$B$4)))-AJ123)/12)+AJ123</f>
        <v>7.0141667210541181</v>
      </c>
      <c r="AL123" s="1098">
        <f t="shared" ref="AL123" si="1300">(((AK123*(1+($B$36*$B$4)))-AK123)/12)+AK123</f>
        <v>7.056251721380443</v>
      </c>
      <c r="AM123" s="1098">
        <f t="shared" ref="AM123" si="1301">(((AL123*(1+($B$36*$B$4)))-AL123)/12)+AL123</f>
        <v>7.0985892317087256</v>
      </c>
      <c r="AN123" s="1098">
        <f t="shared" ref="AN123" si="1302">(((AM123*(1+($B$36*$B$4)))-AM123)/12)+AM123</f>
        <v>7.1411807670989784</v>
      </c>
      <c r="AO123" s="1098">
        <f t="shared" ref="AO123" si="1303">(((AN123*(1+($B$36*$B$4)))-AN123)/12)+AN123</f>
        <v>7.1840278517015719</v>
      </c>
      <c r="AP123" s="1098">
        <f t="shared" ref="AP123" si="1304">(((AO123*(1+($B$36*$B$4)))-AO123)/12)+AO123</f>
        <v>7.2271320188117816</v>
      </c>
      <c r="AQ123" s="1098">
        <f t="shared" ref="AQ123" si="1305">(((AP123*(1+($B$36*$B$4)))-AP123)/12)+AP123</f>
        <v>7.2704948109246521</v>
      </c>
      <c r="AR123" s="1098">
        <f t="shared" ref="AR123" si="1306">(((AQ123*(1+($B$36*$B$4)))-AQ123)/12)+AQ123</f>
        <v>7.3141177797901999</v>
      </c>
      <c r="AS123" s="1098">
        <f t="shared" ref="AS123" si="1307">(((AR123*(1+($B$36*$B$4)))-AR123)/12)+AR123</f>
        <v>7.3580024864689415</v>
      </c>
      <c r="AT123" s="1098">
        <f t="shared" ref="AT123" si="1308">(((AS123*(1+($B$36*$B$4)))-AS123)/12)+AS123</f>
        <v>7.4021505013877551</v>
      </c>
      <c r="AU123" s="1099">
        <f t="shared" ref="AU123" si="1309">(((AT123*(1+($B$37*$B$4)))-AT123)/12)+AT123</f>
        <v>7.4465634043960813</v>
      </c>
      <c r="AV123" s="1098">
        <f t="shared" ref="AV123" si="1310">(((AU123*(1+($B$37*$B$4)))-AU123)/12)+AU123</f>
        <v>7.4912427848224574</v>
      </c>
      <c r="AW123" s="1098">
        <f t="shared" ref="AW123" si="1311">(((AV123*(1+($B$37*$B$4)))-AV123)/12)+AV123</f>
        <v>7.5361902415313917</v>
      </c>
      <c r="AX123" s="1098">
        <f t="shared" ref="AX123" si="1312">(((AW123*(1+($B$37*$B$4)))-AW123)/12)+AW123</f>
        <v>7.5814073829805801</v>
      </c>
      <c r="AY123" s="1098">
        <f t="shared" ref="AY123" si="1313">(((AX123*(1+($B$37*$B$4)))-AX123)/12)+AX123</f>
        <v>7.6268958272784637</v>
      </c>
      <c r="AZ123" s="1098">
        <f t="shared" ref="AZ123" si="1314">(((AY123*(1+($B$37*$B$4)))-AY123)/12)+AY123</f>
        <v>7.6726572022421342</v>
      </c>
      <c r="BA123" s="1098">
        <f t="shared" ref="BA123" si="1315">(((AZ123*(1+($B$37*$B$4)))-AZ123)/12)+AZ123</f>
        <v>7.7186931454555872</v>
      </c>
      <c r="BB123" s="1098">
        <f t="shared" ref="BB123" si="1316">(((BA123*(1+($B$37*$B$4)))-BA123)/12)+BA123</f>
        <v>7.7650053043283211</v>
      </c>
      <c r="BC123" s="1098">
        <f t="shared" ref="BC123" si="1317">(((BB123*(1+($B$37*$B$4)))-BB123)/12)+BB123</f>
        <v>7.8115953361542907</v>
      </c>
      <c r="BD123" s="1098">
        <f t="shared" ref="BD123" si="1318">(((BC123*(1+($B$37*$B$4)))-BC123)/12)+BC123</f>
        <v>7.8584649081712161</v>
      </c>
      <c r="BE123" s="1098">
        <f t="shared" ref="BE123" si="1319">(((BD123*(1+($B$37*$B$4)))-BD123)/12)+BD123</f>
        <v>7.9056156976202434</v>
      </c>
      <c r="BF123" s="1098">
        <f t="shared" ref="BF123" si="1320">(((BE123*(1+($B$37*$B$4)))-BE123)/12)+BE123</f>
        <v>7.9530493918059646</v>
      </c>
      <c r="BG123" s="1099">
        <f t="shared" ref="BG123" si="1321">(((BF123*(1+($B$38*$B$4)))-BF123)/12)+BF123</f>
        <v>8.0007676881568006</v>
      </c>
      <c r="BH123" s="1098">
        <f t="shared" ref="BH123" si="1322">(((BG123*(1+($B$38*$B$4)))-BG123)/12)+BG123</f>
        <v>8.048772294285742</v>
      </c>
      <c r="BI123" s="1098">
        <f t="shared" ref="BI123" si="1323">(((BH123*(1+($B$38*$B$4)))-BH123)/12)+BH123</f>
        <v>8.0970649280514557</v>
      </c>
      <c r="BJ123" s="1098">
        <f t="shared" ref="BJ123" si="1324">(((BI123*(1+($B$38*$B$4)))-BI123)/12)+BI123</f>
        <v>8.1456473176197655</v>
      </c>
      <c r="BK123" s="1098">
        <f t="shared" ref="BK123" si="1325">(((BJ123*(1+($B$38*$B$4)))-BJ123)/12)+BJ123</f>
        <v>8.1945212015254842</v>
      </c>
      <c r="BL123" s="1098">
        <f t="shared" ref="BL123" si="1326">(((BK123*(1+($B$38*$B$4)))-BK123)/12)+BK123</f>
        <v>8.2436883287346365</v>
      </c>
      <c r="BM123" s="1098">
        <f t="shared" ref="BM123" si="1327">(((BL123*(1+($B$38*$B$4)))-BL123)/12)+BL123</f>
        <v>8.2931504587070446</v>
      </c>
      <c r="BN123" s="1098">
        <f t="shared" ref="BN123" si="1328">(((BM123*(1+($B$38*$B$4)))-BM123)/12)+BM123</f>
        <v>8.3429093614592862</v>
      </c>
      <c r="BO123" s="1098">
        <f t="shared" ref="BO123" si="1329">(((BN123*(1+($B$38*$B$4)))-BN123)/12)+BN123</f>
        <v>8.3929668176280412</v>
      </c>
      <c r="BP123" s="1098">
        <f t="shared" ref="BP123" si="1330">(((BO123*(1+($B$38*$B$4)))-BO123)/12)+BO123</f>
        <v>8.4433246185338096</v>
      </c>
      <c r="BQ123" s="1098">
        <f t="shared" ref="BQ123" si="1331">(((BP123*(1+($B$38*$B$4)))-BP123)/12)+BP123</f>
        <v>8.4939845662450129</v>
      </c>
      <c r="BR123" s="1098">
        <f t="shared" ref="BR123" si="1332">(((BQ123*(1+($B$38*$B$4)))-BQ123)/12)+BQ123</f>
        <v>8.5449484736424832</v>
      </c>
      <c r="BS123" s="1099">
        <f t="shared" ref="BS123" si="1333">(((BR123*(1+($B$39*$B$4)))-BR123)/12)+BR123</f>
        <v>8.5962181644843376</v>
      </c>
      <c r="BT123" s="1098">
        <f t="shared" ref="BT123" si="1334">(((BS123*(1+($B$39*$B$4)))-BS123)/12)+BS123</f>
        <v>8.647795473471243</v>
      </c>
      <c r="BU123" s="1098">
        <f t="shared" ref="BU123" si="1335">(((BT123*(1+($B$39*$B$4)))-BT123)/12)+BT123</f>
        <v>8.6996822463120704</v>
      </c>
      <c r="BV123" s="1098">
        <f t="shared" ref="BV123" si="1336">(((BU123*(1+($B$39*$B$4)))-BU123)/12)+BU123</f>
        <v>8.7518803397899436</v>
      </c>
      <c r="BW123" s="1098">
        <f t="shared" ref="BW123" si="1337">(((BV123*(1+($B$39*$B$4)))-BV123)/12)+BV123</f>
        <v>8.8043916218286835</v>
      </c>
      <c r="BX123" s="1098">
        <f t="shared" ref="BX123" si="1338">(((BW123*(1+($B$39*$B$4)))-BW123)/12)+BW123</f>
        <v>8.8572179715596562</v>
      </c>
      <c r="BY123" s="1098">
        <f t="shared" ref="BY123" si="1339">(((BX123*(1+($B$39*$B$4)))-BX123)/12)+BX123</f>
        <v>8.910361279389015</v>
      </c>
      <c r="BZ123" s="1098">
        <f t="shared" ref="BZ123" si="1340">(((BY123*(1+($B$39*$B$4)))-BY123)/12)+BY123</f>
        <v>8.9638234470653497</v>
      </c>
      <c r="CA123" s="1098">
        <f t="shared" ref="CA123" si="1341">(((BZ123*(1+($B$39*$B$4)))-BZ123)/12)+BZ123</f>
        <v>9.0176063877477421</v>
      </c>
      <c r="CB123" s="1098">
        <f t="shared" ref="CB123" si="1342">(((CA123*(1+($B$39*$B$4)))-CA123)/12)+CA123</f>
        <v>9.0717120260742288</v>
      </c>
      <c r="CC123" s="1098">
        <f t="shared" ref="CC123" si="1343">(((CB123*(1+($B$39*$B$4)))-CB123)/12)+CB123</f>
        <v>9.1261422982306737</v>
      </c>
      <c r="CD123" s="1098">
        <f t="shared" ref="CD123" si="1344">(((CC123*(1+($B$39*$B$4)))-CC123)/12)+CC123</f>
        <v>9.1808991520200571</v>
      </c>
      <c r="CE123" s="1099">
        <f t="shared" ref="CE123" si="1345">(((CD123*(1+($B$40*$B$4)))-CD123)/12)+CD123</f>
        <v>9.235984546932178</v>
      </c>
      <c r="CF123" s="1098">
        <f t="shared" ref="CF123" si="1346">(((CE123*(1+($B$40*$B$4)))-CE123)/12)+CE123</f>
        <v>9.2914004542137718</v>
      </c>
      <c r="CG123" s="1098">
        <f t="shared" ref="CG123" si="1347">(((CF123*(1+($B$40*$B$4)))-CF123)/12)+CF123</f>
        <v>9.3471488569390537</v>
      </c>
      <c r="CH123" s="1098">
        <f t="shared" ref="CH123" si="1348">(((CG123*(1+($B$40*$B$4)))-CG123)/12)+CG123</f>
        <v>9.403231750080689</v>
      </c>
      <c r="CI123" s="1098">
        <f t="shared" ref="CI123" si="1349">(((CH123*(1+($B$40*$B$4)))-CH123)/12)+CH123</f>
        <v>9.4596511405811725</v>
      </c>
      <c r="CJ123" s="1098">
        <f t="shared" ref="CJ123" si="1350">(((CI123*(1+($B$40*$B$4)))-CI123)/12)+CI123</f>
        <v>9.5164090474246592</v>
      </c>
      <c r="CK123" s="1098">
        <f t="shared" ref="CK123" si="1351">(((CJ123*(1+($B$40*$B$4)))-CJ123)/12)+CJ123</f>
        <v>9.5735075017092068</v>
      </c>
      <c r="CL123" s="1098">
        <f t="shared" ref="CL123" si="1352">(((CK123*(1+($B$40*$B$4)))-CK123)/12)+CK123</f>
        <v>9.6309485467194627</v>
      </c>
      <c r="CM123" s="1098">
        <f t="shared" ref="CM123" si="1353">(((CL123*(1+($B$40*$B$4)))-CL123)/12)+CL123</f>
        <v>9.6887342379997801</v>
      </c>
      <c r="CN123" s="1098">
        <f t="shared" ref="CN123" si="1354">(((CM123*(1+($B$40*$B$4)))-CM123)/12)+CM123</f>
        <v>9.7468666434277793</v>
      </c>
      <c r="CO123" s="1098">
        <f t="shared" ref="CO123" si="1355">(((CN123*(1+($B$40*$B$4)))-CN123)/12)+CN123</f>
        <v>9.8053478432883452</v>
      </c>
      <c r="CP123" s="1098">
        <f t="shared" ref="CP123" si="1356">(((CO123*(1+($B$40*$B$4)))-CO123)/12)+CO123</f>
        <v>9.8641799303480759</v>
      </c>
      <c r="CQ123" s="1099">
        <f t="shared" ref="CQ123" si="1357">(((CP123*(1+($B$41*$B$4)))-CP123)/12)+CP123</f>
        <v>9.9233650099301638</v>
      </c>
      <c r="CR123" s="1098">
        <f t="shared" ref="CR123" si="1358">(((CQ123*(1+($B$41*$B$4)))-CQ123)/12)+CQ123</f>
        <v>9.9829051999897445</v>
      </c>
      <c r="CS123" s="1098">
        <f t="shared" ref="CS123" si="1359">(((CR123*(1+($B$41*$B$4)))-CR123)/12)+CR123</f>
        <v>10.042802631189684</v>
      </c>
      <c r="CT123" s="1098">
        <f t="shared" ref="CT123" si="1360">(((CS123*(1+($B$41*$B$4)))-CS123)/12)+CS123</f>
        <v>10.103059446976822</v>
      </c>
      <c r="CU123" s="1098">
        <f t="shared" ref="CU123" si="1361">(((CT123*(1+($B$41*$B$4)))-CT123)/12)+CT123</f>
        <v>10.163677803658683</v>
      </c>
      <c r="CV123" s="1098">
        <f t="shared" ref="CV123" si="1362">(((CU123*(1+($B$41*$B$4)))-CU123)/12)+CU123</f>
        <v>10.224659870480634</v>
      </c>
      <c r="CW123" s="1098">
        <f t="shared" ref="CW123" si="1363">(((CV123*(1+($B$41*$B$4)))-CV123)/12)+CV123</f>
        <v>10.286007829703518</v>
      </c>
      <c r="CX123" s="1098">
        <f t="shared" ref="CX123" si="1364">(((CW123*(1+($B$41*$B$4)))-CW123)/12)+CW123</f>
        <v>10.347723876681739</v>
      </c>
      <c r="CY123" s="1098">
        <f t="shared" ref="CY123" si="1365">(((CX123*(1+($B$41*$B$4)))-CX123)/12)+CX123</f>
        <v>10.409810219941829</v>
      </c>
      <c r="CZ123" s="1098">
        <f t="shared" ref="CZ123" si="1366">(((CY123*(1+($B$41*$B$4)))-CY123)/12)+CY123</f>
        <v>10.47226908126148</v>
      </c>
      <c r="DA123" s="1098">
        <f t="shared" ref="DA123" si="1367">(((CZ123*(1+($B$41*$B$4)))-CZ123)/12)+CZ123</f>
        <v>10.53510269574905</v>
      </c>
      <c r="DB123" s="1098">
        <f t="shared" ref="DB123" si="1368">(((DA123*(1+($B$41*$B$4)))-DA123)/12)+DA123</f>
        <v>10.598313311923544</v>
      </c>
      <c r="DC123" s="1099">
        <f t="shared" ref="DC123" si="1369">(((DB123*(1+($B$42*$B$4)))-DB123)/12)+DB123</f>
        <v>10.661903191795085</v>
      </c>
      <c r="DD123" s="1098">
        <f t="shared" ref="DD123" si="1370">(((DC123*(1+($B$42*$B$4)))-DC123)/12)+DC123</f>
        <v>10.725874610945855</v>
      </c>
      <c r="DE123" s="1098">
        <f t="shared" ref="DE123" si="1371">(((DD123*(1+($B$42*$B$4)))-DD123)/12)+DD123</f>
        <v>10.79022985861153</v>
      </c>
      <c r="DF123" s="1098">
        <f t="shared" ref="DF123" si="1372">(((DE123*(1+($B$42*$B$4)))-DE123)/12)+DE123</f>
        <v>10.8549712377632</v>
      </c>
      <c r="DG123" s="1098">
        <f t="shared" ref="DG123" si="1373">(((DF123*(1+($B$42*$B$4)))-DF123)/12)+DF123</f>
        <v>10.92010106518978</v>
      </c>
      <c r="DH123" s="1098">
        <f t="shared" ref="DH123" si="1374">(((DG123*(1+($B$42*$B$4)))-DG123)/12)+DG123</f>
        <v>10.985621671580919</v>
      </c>
      <c r="DI123" s="1098">
        <f t="shared" ref="DI123" si="1375">(((DH123*(1+($B$42*$B$4)))-DH123)/12)+DH123</f>
        <v>11.051535401610405</v>
      </c>
      <c r="DJ123" s="1098">
        <f t="shared" ref="DJ123" si="1376">(((DI123*(1+($B$42*$B$4)))-DI123)/12)+DI123</f>
        <v>11.117844614020067</v>
      </c>
      <c r="DK123" s="1098">
        <f t="shared" ref="DK123" si="1377">(((DJ123*(1+($B$42*$B$4)))-DJ123)/12)+DJ123</f>
        <v>11.184551681704187</v>
      </c>
      <c r="DL123" s="1098">
        <f t="shared" ref="DL123" si="1378">(((DK123*(1+($B$42*$B$4)))-DK123)/12)+DK123</f>
        <v>11.251658991794413</v>
      </c>
      <c r="DM123" s="1098">
        <f t="shared" ref="DM123" si="1379">(((DL123*(1+($B$42*$B$4)))-DL123)/12)+DL123</f>
        <v>11.319168945745179</v>
      </c>
      <c r="DN123" s="1098">
        <f t="shared" ref="DN123" si="1380">(((DM123*(1+($B$42*$B$4)))-DM123)/12)+DM123</f>
        <v>11.38708395941965</v>
      </c>
      <c r="DO123" s="1099">
        <f t="shared" ref="DO123" si="1381">(((DN123*(1+($B$43*$B$4)))-DN123)/12)+DN123</f>
        <v>11.455406463176168</v>
      </c>
      <c r="DP123" s="1098">
        <f t="shared" ref="DP123" si="1382">(((DO123*(1+($B$43*$B$4)))-DO123)/12)+DO123</f>
        <v>11.524138901955224</v>
      </c>
      <c r="DQ123" s="1098">
        <f t="shared" ref="DQ123" si="1383">(((DP123*(1+($B$43*$B$4)))-DP123)/12)+DP123</f>
        <v>11.593283735366956</v>
      </c>
      <c r="DR123" s="1098">
        <f t="shared" ref="DR123" si="1384">(((DQ123*(1+($B$43*$B$4)))-DQ123)/12)+DQ123</f>
        <v>11.662843437779157</v>
      </c>
      <c r="DS123" s="1098">
        <f t="shared" ref="DS123" si="1385">(((DR123*(1+($B$43*$B$4)))-DR123)/12)+DR123</f>
        <v>11.732820498405832</v>
      </c>
      <c r="DT123" s="1098">
        <f t="shared" ref="DT123" si="1386">(((DS123*(1+($B$43*$B$4)))-DS123)/12)+DS123</f>
        <v>11.803217421396267</v>
      </c>
      <c r="DU123" s="1098">
        <f t="shared" ref="DU123" si="1387">(((DT123*(1+($B$43*$B$4)))-DT123)/12)+DT123</f>
        <v>11.874036725924645</v>
      </c>
      <c r="DV123" s="1098">
        <f t="shared" ref="DV123" si="1388">(((DU123*(1+($B$43*$B$4)))-DU123)/12)+DU123</f>
        <v>11.945280946280192</v>
      </c>
      <c r="DW123" s="1098">
        <f t="shared" ref="DW123" si="1389">(((DV123*(1+($B$43*$B$4)))-DV123)/12)+DV123</f>
        <v>12.016952631957874</v>
      </c>
      <c r="DX123" s="1098">
        <f t="shared" ref="DX123" si="1390">(((DW123*(1+($B$43*$B$4)))-DW123)/12)+DW123</f>
        <v>12.089054347749622</v>
      </c>
      <c r="DY123" s="1098">
        <f t="shared" ref="DY123" si="1391">(((DX123*(1+($B$43*$B$4)))-DX123)/12)+DX123</f>
        <v>12.161588673836119</v>
      </c>
      <c r="DZ123" s="1098">
        <f t="shared" ref="DZ123" si="1392">(((DY123*(1+($B$43*$B$4)))-DY123)/12)+DY123</f>
        <v>12.234558205879136</v>
      </c>
      <c r="EA123" s="1099">
        <f>(((DZ123*(1+($B$44*$B$4)))-DZ123)/12)+DZ123</f>
        <v>12.307965555114411</v>
      </c>
      <c r="EB123" s="1098">
        <f>(((EA123*(1+($B$44*$B$4)))-EA123)/12)+EA123</f>
        <v>12.381813348445098</v>
      </c>
      <c r="EC123" s="1098">
        <f>(((EB123*(1+($B$44*$B$4)))-EB123)/12)+EB123</f>
        <v>12.456104228535768</v>
      </c>
      <c r="ED123" s="1100">
        <f>(((EC123*(1+($B$44*$B$4)))-EC123)/12)+EC123</f>
        <v>12.530840853906982</v>
      </c>
    </row>
    <row r="124" spans="1:134" outlineLevel="1" x14ac:dyDescent="0.25">
      <c r="C124" s="1279"/>
      <c r="D124" s="1673"/>
      <c r="E124" s="1673"/>
      <c r="F124" s="1673"/>
      <c r="G124" s="1673"/>
      <c r="H124" s="1673"/>
      <c r="I124" s="1673"/>
      <c r="J124" s="1673"/>
      <c r="K124" s="1673"/>
      <c r="L124" s="1026"/>
      <c r="M124" s="1027"/>
      <c r="N124" s="1357"/>
      <c r="O124" s="1358"/>
      <c r="P124" s="1085"/>
      <c r="Q124" s="1029"/>
      <c r="R124" s="1030"/>
      <c r="S124" s="1029"/>
      <c r="T124" s="1029"/>
      <c r="U124" s="1027">
        <v>170</v>
      </c>
      <c r="V124" s="1085">
        <f>ROUNDUP((ROUNDUP(N123,0))+((ROUNDUP(N123,0))/7),0)</f>
        <v>10</v>
      </c>
      <c r="W124" s="1386">
        <f>ROUNDUP(W123,0)+(W123/7)</f>
        <v>9.0073725490196086</v>
      </c>
      <c r="X124" s="1386">
        <f t="shared" ref="X124" si="1393">ROUNDUP(X123,0)+(X123/7)</f>
        <v>9.0073725490196086</v>
      </c>
      <c r="Y124" s="1386">
        <f t="shared" ref="Y124" si="1394">ROUNDUP(Y123,0)+(Y123/7)</f>
        <v>9.0073725490196086</v>
      </c>
      <c r="Z124" s="1386">
        <f t="shared" ref="Z124" si="1395">ROUNDUP(Z123,0)+(Z123/7)</f>
        <v>9.091182072829131</v>
      </c>
      <c r="AA124" s="1386">
        <f t="shared" ref="AA124" si="1396">ROUNDUP(AA123,0)+(AA123/7)</f>
        <v>9.091182072829131</v>
      </c>
      <c r="AB124" s="1386">
        <f t="shared" ref="AB124" si="1397">ROUNDUP(AB123,0)+(AB123/7)</f>
        <v>9.091182072829131</v>
      </c>
      <c r="AC124" s="1386">
        <f t="shared" ref="AC124" si="1398">ROUNDUP(AC123,0)+(AC123/7)</f>
        <v>7.9842016806722693</v>
      </c>
      <c r="AD124" s="1386">
        <f t="shared" ref="AD124" si="1399">ROUNDUP(AD123,0)+(AD123/7)</f>
        <v>7.9842016806722693</v>
      </c>
      <c r="AE124" s="1386">
        <f t="shared" ref="AE124" si="1400">ROUNDUP(AE123,0)+(AE123/7)</f>
        <v>7.9842016806722693</v>
      </c>
      <c r="AF124" s="1386">
        <f t="shared" ref="AF124" si="1401">ROUNDUP(AF123,0)+(AF123/7)</f>
        <v>7.9842016806722693</v>
      </c>
      <c r="AG124" s="1386">
        <f t="shared" ref="AG124" si="1402">ROUNDUP(AG123,0)+(AG123/7)</f>
        <v>7.9842016806722693</v>
      </c>
      <c r="AH124" s="1386">
        <f t="shared" ref="AH124" si="1403">ROUNDUP(AH123,0)+(AH123/7)</f>
        <v>7.9842016806722693</v>
      </c>
      <c r="AI124" s="1386">
        <f t="shared" ref="AI124" si="1404">ROUNDUP(AI123,0)+(AI123/7)</f>
        <v>7.9901068907563024</v>
      </c>
      <c r="AJ124" s="1386">
        <f t="shared" ref="AJ124" si="1405">ROUNDUP(AJ123,0)+(AJ123/7)</f>
        <v>7.9960475321008406</v>
      </c>
      <c r="AK124" s="1386">
        <f t="shared" ref="AK124" si="1406">ROUNDUP(AK123,0)+(AK123/7)</f>
        <v>9.0020238172934448</v>
      </c>
      <c r="AL124" s="1386">
        <f t="shared" ref="AL124" si="1407">ROUNDUP(AL123,0)+(AL123/7)</f>
        <v>9.0080359601972066</v>
      </c>
      <c r="AM124" s="1386">
        <f t="shared" ref="AM124" si="1408">ROUNDUP(AM123,0)+(AM123/7)</f>
        <v>9.0140841759583896</v>
      </c>
      <c r="AN124" s="1386">
        <f t="shared" ref="AN124" si="1409">ROUNDUP(AN123,0)+(AN123/7)</f>
        <v>9.0201686810141393</v>
      </c>
      <c r="AO124" s="1386">
        <f t="shared" ref="AO124" si="1410">ROUNDUP(AO123,0)+(AO123/7)</f>
        <v>9.0262896931002246</v>
      </c>
      <c r="AP124" s="1386">
        <f t="shared" ref="AP124" si="1411">ROUNDUP(AP123,0)+(AP123/7)</f>
        <v>9.0324474312588254</v>
      </c>
      <c r="AQ124" s="1386">
        <f t="shared" ref="AQ124" si="1412">ROUNDUP(AQ123,0)+(AQ123/7)</f>
        <v>9.038642115846379</v>
      </c>
      <c r="AR124" s="1386">
        <f t="shared" ref="AR124" si="1413">ROUNDUP(AR123,0)+(AR123/7)</f>
        <v>9.0448739685414576</v>
      </c>
      <c r="AS124" s="1386">
        <f t="shared" ref="AS124" si="1414">ROUNDUP(AS123,0)+(AS123/7)</f>
        <v>9.0511432123527058</v>
      </c>
      <c r="AT124" s="1386">
        <f t="shared" ref="AT124" si="1415">ROUNDUP(AT123,0)+(AT123/7)</f>
        <v>9.0574500716268229</v>
      </c>
      <c r="AU124" s="1386">
        <f t="shared" ref="AU124" si="1416">ROUNDUP(AU123,0)+(AU123/7)</f>
        <v>9.0637947720565837</v>
      </c>
      <c r="AV124" s="1386">
        <f t="shared" ref="AV124" si="1417">ROUNDUP(AV123,0)+(AV123/7)</f>
        <v>9.0701775406889222</v>
      </c>
      <c r="AW124" s="1386">
        <f t="shared" ref="AW124" si="1418">ROUNDUP(AW123,0)+(AW123/7)</f>
        <v>9.0765986059330555</v>
      </c>
      <c r="AX124" s="1386">
        <f t="shared" ref="AX124" si="1419">ROUNDUP(AX123,0)+(AX123/7)</f>
        <v>9.0830581975686542</v>
      </c>
      <c r="AY124" s="1386">
        <f t="shared" ref="AY124" si="1420">ROUNDUP(AY123,0)+(AY123/7)</f>
        <v>9.089556546754066</v>
      </c>
      <c r="AZ124" s="1386">
        <f t="shared" ref="AZ124" si="1421">ROUNDUP(AZ123,0)+(AZ123/7)</f>
        <v>9.0960938860345912</v>
      </c>
      <c r="BA124" s="1386">
        <f t="shared" ref="BA124" si="1422">ROUNDUP(BA123,0)+(BA123/7)</f>
        <v>9.1026704493507982</v>
      </c>
      <c r="BB124" s="1386">
        <f t="shared" ref="BB124" si="1423">ROUNDUP(BB123,0)+(BB123/7)</f>
        <v>9.1092864720469038</v>
      </c>
      <c r="BC124" s="1386">
        <f t="shared" ref="BC124" si="1424">ROUNDUP(BC123,0)+(BC123/7)</f>
        <v>9.1159421908791849</v>
      </c>
      <c r="BD124" s="1386">
        <f t="shared" ref="BD124" si="1425">ROUNDUP(BD123,0)+(BD123/7)</f>
        <v>9.1226378440244602</v>
      </c>
      <c r="BE124" s="1386">
        <f t="shared" ref="BE124" si="1426">ROUNDUP(BE123,0)+(BE123/7)</f>
        <v>9.1293736710886062</v>
      </c>
      <c r="BF124" s="1386">
        <f t="shared" ref="BF124" si="1427">ROUNDUP(BF123,0)+(BF123/7)</f>
        <v>9.1361499131151369</v>
      </c>
      <c r="BG124" s="1386">
        <f t="shared" ref="BG124" si="1428">ROUNDUP(BG123,0)+(BG123/7)</f>
        <v>10.142966812593828</v>
      </c>
      <c r="BH124" s="1386">
        <f t="shared" ref="BH124" si="1429">ROUNDUP(BH123,0)+(BH123/7)</f>
        <v>10.149824613469391</v>
      </c>
      <c r="BI124" s="1386">
        <f t="shared" ref="BI124" si="1430">ROUNDUP(BI123,0)+(BI123/7)</f>
        <v>10.156723561150208</v>
      </c>
      <c r="BJ124" s="1386">
        <f t="shared" ref="BJ124" si="1431">ROUNDUP(BJ123,0)+(BJ123/7)</f>
        <v>10.16366390251711</v>
      </c>
      <c r="BK124" s="1386">
        <f t="shared" ref="BK124" si="1432">ROUNDUP(BK123,0)+(BK123/7)</f>
        <v>10.170645885932212</v>
      </c>
      <c r="BL124" s="1386">
        <f t="shared" ref="BL124" si="1433">ROUNDUP(BL123,0)+(BL123/7)</f>
        <v>10.177669761247806</v>
      </c>
      <c r="BM124" s="1386">
        <f t="shared" ref="BM124" si="1434">ROUNDUP(BM123,0)+(BM123/7)</f>
        <v>10.184735779815291</v>
      </c>
      <c r="BN124" s="1386">
        <f t="shared" ref="BN124" si="1435">ROUNDUP(BN123,0)+(BN123/7)</f>
        <v>10.191844194494184</v>
      </c>
      <c r="BO124" s="1386">
        <f t="shared" ref="BO124" si="1436">ROUNDUP(BO123,0)+(BO123/7)</f>
        <v>10.19899525966115</v>
      </c>
      <c r="BP124" s="1386">
        <f t="shared" ref="BP124" si="1437">ROUNDUP(BP123,0)+(BP123/7)</f>
        <v>10.206189231219115</v>
      </c>
      <c r="BQ124" s="1386">
        <f t="shared" ref="BQ124" si="1438">ROUNDUP(BQ123,0)+(BQ123/7)</f>
        <v>10.213426366606431</v>
      </c>
      <c r="BR124" s="1386">
        <f t="shared" ref="BR124" si="1439">ROUNDUP(BR123,0)+(BR123/7)</f>
        <v>10.22070692480607</v>
      </c>
      <c r="BS124" s="1386">
        <f t="shared" ref="BS124" si="1440">ROUNDUP(BS123,0)+(BS123/7)</f>
        <v>10.228031166354905</v>
      </c>
      <c r="BT124" s="1386">
        <f t="shared" ref="BT124" si="1441">ROUNDUP(BT123,0)+(BT123/7)</f>
        <v>10.235399353353035</v>
      </c>
      <c r="BU124" s="1386">
        <f t="shared" ref="BU124" si="1442">ROUNDUP(BU123,0)+(BU123/7)</f>
        <v>10.242811749473153</v>
      </c>
      <c r="BV124" s="1386">
        <f t="shared" ref="BV124" si="1443">ROUNDUP(BV123,0)+(BV123/7)</f>
        <v>10.250268619969992</v>
      </c>
      <c r="BW124" s="1386">
        <f t="shared" ref="BW124" si="1444">ROUNDUP(BW123,0)+(BW123/7)</f>
        <v>10.257770231689811</v>
      </c>
      <c r="BX124" s="1386">
        <f t="shared" ref="BX124" si="1445">ROUNDUP(BX123,0)+(BX123/7)</f>
        <v>10.26531685307995</v>
      </c>
      <c r="BY124" s="1386">
        <f t="shared" ref="BY124" si="1446">ROUNDUP(BY123,0)+(BY123/7)</f>
        <v>10.272908754198431</v>
      </c>
      <c r="BZ124" s="1386">
        <f t="shared" ref="BZ124" si="1447">ROUNDUP(BZ123,0)+(BZ123/7)</f>
        <v>10.280546206723621</v>
      </c>
      <c r="CA124" s="1386">
        <f t="shared" ref="CA124" si="1448">ROUNDUP(CA123,0)+(CA123/7)</f>
        <v>11.288229483963963</v>
      </c>
      <c r="CB124" s="1386">
        <f t="shared" ref="CB124" si="1449">ROUNDUP(CB123,0)+(CB123/7)</f>
        <v>11.295958860867747</v>
      </c>
      <c r="CC124" s="1386">
        <f t="shared" ref="CC124" si="1450">ROUNDUP(CC123,0)+(CC123/7)</f>
        <v>11.303734614032953</v>
      </c>
      <c r="CD124" s="1386">
        <f t="shared" ref="CD124" si="1451">ROUNDUP(CD123,0)+(CD123/7)</f>
        <v>11.311557021717151</v>
      </c>
      <c r="CE124" s="1386">
        <f t="shared" ref="CE124" si="1452">ROUNDUP(CE123,0)+(CE123/7)</f>
        <v>11.319426363847453</v>
      </c>
      <c r="CF124" s="1386">
        <f t="shared" ref="CF124" si="1453">ROUNDUP(CF123,0)+(CF123/7)</f>
        <v>11.327342922030539</v>
      </c>
      <c r="CG124" s="1386">
        <f t="shared" ref="CG124" si="1454">ROUNDUP(CG123,0)+(CG123/7)</f>
        <v>11.335306979562722</v>
      </c>
      <c r="CH124" s="1386">
        <f t="shared" ref="CH124" si="1455">ROUNDUP(CH123,0)+(CH123/7)</f>
        <v>11.343318821440098</v>
      </c>
      <c r="CI124" s="1386">
        <f t="shared" ref="CI124" si="1456">ROUNDUP(CI123,0)+(CI123/7)</f>
        <v>11.351378734368739</v>
      </c>
      <c r="CJ124" s="1386">
        <f t="shared" ref="CJ124" si="1457">ROUNDUP(CJ123,0)+(CJ123/7)</f>
        <v>11.359487006774952</v>
      </c>
      <c r="CK124" s="1386">
        <f t="shared" ref="CK124" si="1458">ROUNDUP(CK123,0)+(CK123/7)</f>
        <v>11.367643928815601</v>
      </c>
      <c r="CL124" s="1386">
        <f t="shared" ref="CL124" si="1459">ROUNDUP(CL123,0)+(CL123/7)</f>
        <v>11.375849792388495</v>
      </c>
      <c r="CM124" s="1386">
        <f t="shared" ref="CM124" si="1460">ROUNDUP(CM123,0)+(CM123/7)</f>
        <v>11.384104891142826</v>
      </c>
      <c r="CN124" s="1386">
        <f t="shared" ref="CN124" si="1461">ROUNDUP(CN123,0)+(CN123/7)</f>
        <v>11.392409520489682</v>
      </c>
      <c r="CO124" s="1386">
        <f t="shared" ref="CO124" si="1462">ROUNDUP(CO123,0)+(CO123/7)</f>
        <v>11.400763977612622</v>
      </c>
      <c r="CP124" s="1386">
        <f t="shared" ref="CP124" si="1463">ROUNDUP(CP123,0)+(CP123/7)</f>
        <v>11.409168561478296</v>
      </c>
      <c r="CQ124" s="1386">
        <f t="shared" ref="CQ124" si="1464">ROUNDUP(CQ123,0)+(CQ123/7)</f>
        <v>11.417623572847166</v>
      </c>
      <c r="CR124" s="1386">
        <f t="shared" ref="CR124" si="1465">ROUNDUP(CR123,0)+(CR123/7)</f>
        <v>11.42612931428425</v>
      </c>
      <c r="CS124" s="1386">
        <f t="shared" ref="CS124" si="1466">ROUNDUP(CS123,0)+(CS123/7)</f>
        <v>12.434686090169954</v>
      </c>
      <c r="CT124" s="1386">
        <f t="shared" ref="CT124" si="1467">ROUNDUP(CT123,0)+(CT123/7)</f>
        <v>12.443294206710975</v>
      </c>
      <c r="CU124" s="1386">
        <f t="shared" ref="CU124" si="1468">ROUNDUP(CU123,0)+(CU123/7)</f>
        <v>12.451953971951241</v>
      </c>
      <c r="CV124" s="1386">
        <f t="shared" ref="CV124" si="1469">ROUNDUP(CV123,0)+(CV123/7)</f>
        <v>12.460665695782948</v>
      </c>
      <c r="CW124" s="1386">
        <f t="shared" ref="CW124" si="1470">ROUNDUP(CW123,0)+(CW123/7)</f>
        <v>12.469429689957645</v>
      </c>
      <c r="CX124" s="1386">
        <f t="shared" ref="CX124" si="1471">ROUNDUP(CX123,0)+(CX123/7)</f>
        <v>12.478246268097392</v>
      </c>
      <c r="CY124" s="1386">
        <f t="shared" ref="CY124" si="1472">ROUNDUP(CY123,0)+(CY123/7)</f>
        <v>12.487115745705976</v>
      </c>
      <c r="CZ124" s="1386">
        <f t="shared" ref="CZ124" si="1473">ROUNDUP(CZ123,0)+(CZ123/7)</f>
        <v>12.496038440180211</v>
      </c>
      <c r="DA124" s="1386">
        <f t="shared" ref="DA124" si="1474">ROUNDUP(DA123,0)+(DA123/7)</f>
        <v>12.505014670821293</v>
      </c>
      <c r="DB124" s="1386">
        <f t="shared" ref="DB124" si="1475">ROUNDUP(DB123,0)+(DB123/7)</f>
        <v>12.51404475884622</v>
      </c>
      <c r="DC124" s="1386">
        <f t="shared" ref="DC124" si="1476">ROUNDUP(DC123,0)+(DC123/7)</f>
        <v>12.523129027399298</v>
      </c>
      <c r="DD124" s="1386">
        <f t="shared" ref="DD124" si="1477">ROUNDUP(DD123,0)+(DD123/7)</f>
        <v>12.532267801563693</v>
      </c>
      <c r="DE124" s="1386">
        <f t="shared" ref="DE124" si="1478">ROUNDUP(DE123,0)+(DE123/7)</f>
        <v>12.541461408373076</v>
      </c>
      <c r="DF124" s="1386">
        <f t="shared" ref="DF124" si="1479">ROUNDUP(DF123,0)+(DF123/7)</f>
        <v>12.550710176823314</v>
      </c>
      <c r="DG124" s="1386">
        <f t="shared" ref="DG124" si="1480">ROUNDUP(DG123,0)+(DG123/7)</f>
        <v>12.560014437884254</v>
      </c>
      <c r="DH124" s="1386">
        <f t="shared" ref="DH124" si="1481">ROUNDUP(DH123,0)+(DH123/7)</f>
        <v>12.569374524511559</v>
      </c>
      <c r="DI124" s="1386">
        <f t="shared" ref="DI124" si="1482">ROUNDUP(DI123,0)+(DI123/7)</f>
        <v>13.57879077165863</v>
      </c>
      <c r="DJ124" s="1386">
        <f t="shared" ref="DJ124" si="1483">ROUNDUP(DJ123,0)+(DJ123/7)</f>
        <v>13.588263516288581</v>
      </c>
      <c r="DK124" s="1386">
        <f t="shared" ref="DK124" si="1484">ROUNDUP(DK123,0)+(DK123/7)</f>
        <v>13.597793097386312</v>
      </c>
      <c r="DL124" s="1386">
        <f t="shared" ref="DL124" si="1485">ROUNDUP(DL123,0)+(DL123/7)</f>
        <v>13.607379855970631</v>
      </c>
      <c r="DM124" s="1386">
        <f t="shared" ref="DM124" si="1486">ROUNDUP(DM123,0)+(DM123/7)</f>
        <v>13.617024135106455</v>
      </c>
      <c r="DN124" s="1386">
        <f t="shared" ref="DN124" si="1487">ROUNDUP(DN123,0)+(DN123/7)</f>
        <v>13.626726279917094</v>
      </c>
      <c r="DO124" s="1386">
        <f t="shared" ref="DO124" si="1488">ROUNDUP(DO123,0)+(DO123/7)</f>
        <v>13.636486637596596</v>
      </c>
      <c r="DP124" s="1386">
        <f t="shared" ref="DP124" si="1489">ROUNDUP(DP123,0)+(DP123/7)</f>
        <v>13.646305557422174</v>
      </c>
      <c r="DQ124" s="1386">
        <f t="shared" ref="DQ124" si="1490">ROUNDUP(DQ123,0)+(DQ123/7)</f>
        <v>13.656183390766708</v>
      </c>
      <c r="DR124" s="1386">
        <f t="shared" ref="DR124" si="1491">ROUNDUP(DR123,0)+(DR123/7)</f>
        <v>13.666120491111307</v>
      </c>
      <c r="DS124" s="1386">
        <f t="shared" ref="DS124" si="1492">ROUNDUP(DS123,0)+(DS123/7)</f>
        <v>13.676117214057976</v>
      </c>
      <c r="DT124" s="1386">
        <f t="shared" ref="DT124" si="1493">ROUNDUP(DT123,0)+(DT123/7)</f>
        <v>13.686173917342323</v>
      </c>
      <c r="DU124" s="1386">
        <f t="shared" ref="DU124" si="1494">ROUNDUP(DU123,0)+(DU123/7)</f>
        <v>13.696290960846378</v>
      </c>
      <c r="DV124" s="1386">
        <f t="shared" ref="DV124" si="1495">ROUNDUP(DV123,0)+(DV123/7)</f>
        <v>13.706468706611457</v>
      </c>
      <c r="DW124" s="1386">
        <f t="shared" ref="DW124" si="1496">ROUNDUP(DW123,0)+(DW123/7)</f>
        <v>14.716707518851125</v>
      </c>
      <c r="DX124" s="1386">
        <f t="shared" ref="DX124" si="1497">ROUNDUP(DX123,0)+(DX123/7)</f>
        <v>14.727007763964231</v>
      </c>
      <c r="DY124" s="1386">
        <f t="shared" ref="DY124" si="1498">ROUNDUP(DY123,0)+(DY123/7)</f>
        <v>14.737369810548017</v>
      </c>
      <c r="DZ124" s="1386">
        <f t="shared" ref="DZ124" si="1499">ROUNDUP(DZ123,0)+(DZ123/7)</f>
        <v>14.747794029411304</v>
      </c>
      <c r="EA124" s="1386">
        <f t="shared" ref="EA124" si="1500">ROUNDUP(EA123,0)+(EA123/7)</f>
        <v>14.758280793587772</v>
      </c>
      <c r="EB124" s="1386">
        <f t="shared" ref="EB124" si="1501">ROUNDUP(EB123,0)+(EB123/7)</f>
        <v>14.768830478349299</v>
      </c>
      <c r="EC124" s="1386">
        <f t="shared" ref="EC124" si="1502">ROUNDUP(EC123,0)+(EC123/7)</f>
        <v>14.779443461219396</v>
      </c>
      <c r="ED124" s="1386">
        <f t="shared" ref="ED124" si="1503">ROUNDUP(ED123,0)+(ED123/7)</f>
        <v>14.790120121986712</v>
      </c>
    </row>
    <row r="125" spans="1:134" x14ac:dyDescent="0.25">
      <c r="C125" s="1279"/>
    </row>
    <row r="126" spans="1:134" ht="18.75" outlineLevel="1" x14ac:dyDescent="0.3">
      <c r="C126" s="1279"/>
      <c r="D126" s="1222" t="s">
        <v>280</v>
      </c>
      <c r="E126" s="1223"/>
      <c r="F126" s="1223"/>
      <c r="G126" s="1223"/>
      <c r="H126" s="1223"/>
      <c r="I126" s="1223"/>
      <c r="J126" s="1223"/>
      <c r="K126" s="1223"/>
      <c r="L126" s="1224"/>
      <c r="M126" s="1223"/>
      <c r="N126" s="1225" t="s">
        <v>281</v>
      </c>
      <c r="O126" s="1223"/>
      <c r="P126" s="1223"/>
      <c r="Q126" s="1223"/>
      <c r="R126" s="1224"/>
      <c r="S126" s="1223"/>
      <c r="T126" s="1223"/>
      <c r="U126" s="1223"/>
      <c r="V126" s="628"/>
      <c r="W126" s="1226">
        <f>SUM(V128,V130,V132,V136,V138,V142,V144,V146,V148)</f>
        <v>8</v>
      </c>
      <c r="X126" s="1227">
        <f>SUM(W128,W130,W132,W136,W138,W142,W144,W146,W148)</f>
        <v>0</v>
      </c>
      <c r="Y126" s="1227">
        <f t="shared" ref="Y126" si="1504">SUM(X128,X130,X132,X136,X138,X142,X144,X146,X148)</f>
        <v>0</v>
      </c>
      <c r="Z126" s="1227">
        <f t="shared" ref="Z126" si="1505">SUM(Y128,Y130,Y132,Y136,Y138,Y142,Y144,Y146,Y148)</f>
        <v>0</v>
      </c>
      <c r="AA126" s="1227">
        <f t="shared" ref="AA126" si="1506">SUM(Z128,Z130,Z132,Z136,Z138,Z142,Z144,Z146,Z148)</f>
        <v>0</v>
      </c>
      <c r="AB126" s="1227">
        <f t="shared" ref="AB126" si="1507">SUM(AA128,AA130,AA132,AA136,AA138,AA142,AA144,AA146,AA148)</f>
        <v>0</v>
      </c>
      <c r="AC126" s="1227">
        <f t="shared" ref="AC126" si="1508">SUM(AB128,AB130,AB132,AB136,AB138,AB142,AB144,AB146,AB148)</f>
        <v>0</v>
      </c>
      <c r="AD126" s="1227">
        <f t="shared" ref="AD126" si="1509">SUM(AC128,AC130,AC132,AC136,AC138,AC142,AC144,AC146,AC148)</f>
        <v>0</v>
      </c>
      <c r="AE126" s="1227">
        <f t="shared" ref="AE126" si="1510">SUM(AD128,AD130,AD132,AD136,AD138,AD142,AD144,AD146,AD148)</f>
        <v>0</v>
      </c>
      <c r="AF126" s="1227">
        <f t="shared" ref="AF126" si="1511">SUM(AE128,AE130,AE132,AE136,AE138,AE142,AE144,AE146,AE148)</f>
        <v>0</v>
      </c>
      <c r="AG126" s="1227">
        <f t="shared" ref="AG126" si="1512">SUM(AF128,AF130,AF132,AF136,AF138,AF142,AF144,AF146,AF148)</f>
        <v>0</v>
      </c>
      <c r="AH126" s="1227">
        <f t="shared" ref="AH126" si="1513">SUM(AG128,AG130,AG132,AG136,AG138,AG142,AG144,AG146,AG148)</f>
        <v>0</v>
      </c>
      <c r="AI126" s="1228">
        <f t="shared" ref="AI126" si="1514">SUM(AH128,AH130,AH132,AH136,AH138,AH142,AH144,AH146,AH148)</f>
        <v>0</v>
      </c>
      <c r="AJ126" s="1227">
        <f t="shared" ref="AJ126" si="1515">SUM(AI128,AI130,AI132,AI136,AI138,AI142,AI144,AI146,AI148)</f>
        <v>0</v>
      </c>
      <c r="AK126" s="1227">
        <f t="shared" ref="AK126" si="1516">SUM(AJ128,AJ130,AJ132,AJ136,AJ138,AJ142,AJ144,AJ146,AJ148)</f>
        <v>0</v>
      </c>
      <c r="AL126" s="1227">
        <f t="shared" ref="AL126" si="1517">SUM(AK128,AK130,AK132,AK136,AK138,AK142,AK144,AK146,AK148)</f>
        <v>0</v>
      </c>
      <c r="AM126" s="1227">
        <f t="shared" ref="AM126" si="1518">SUM(AL128,AL130,AL132,AL136,AL138,AL142,AL144,AL146,AL148)</f>
        <v>0</v>
      </c>
      <c r="AN126" s="1227">
        <f t="shared" ref="AN126" si="1519">SUM(AM128,AM130,AM132,AM136,AM138,AM142,AM144,AM146,AM148)</f>
        <v>0</v>
      </c>
      <c r="AO126" s="1227">
        <f t="shared" ref="AO126" si="1520">SUM(AN128,AN130,AN132,AN136,AN138,AN142,AN144,AN146,AN148)</f>
        <v>0</v>
      </c>
      <c r="AP126" s="1227">
        <f t="shared" ref="AP126" si="1521">SUM(AO128,AO130,AO132,AO136,AO138,AO142,AO144,AO146,AO148)</f>
        <v>0</v>
      </c>
      <c r="AQ126" s="1227">
        <f t="shared" ref="AQ126" si="1522">SUM(AP128,AP130,AP132,AP136,AP138,AP142,AP144,AP146,AP148)</f>
        <v>0</v>
      </c>
      <c r="AR126" s="1227">
        <f t="shared" ref="AR126" si="1523">SUM(AQ128,AQ130,AQ132,AQ136,AQ138,AQ142,AQ144,AQ146,AQ148)</f>
        <v>0</v>
      </c>
      <c r="AS126" s="1227">
        <f t="shared" ref="AS126" si="1524">SUM(AR128,AR130,AR132,AR136,AR138,AR142,AR144,AR146,AR148)</f>
        <v>0</v>
      </c>
      <c r="AT126" s="1227">
        <f t="shared" ref="AT126" si="1525">SUM(AS128,AS130,AS132,AS136,AS138,AS142,AS144,AS146,AS148)</f>
        <v>0</v>
      </c>
      <c r="AU126" s="1228">
        <f t="shared" ref="AU126" si="1526">SUM(AT128,AT130,AT132,AT136,AT138,AT142,AT144,AT146,AT148)</f>
        <v>0</v>
      </c>
      <c r="AV126" s="1227">
        <f t="shared" ref="AV126" si="1527">SUM(AU128,AU130,AU132,AU136,AU138,AU142,AU144,AU146,AU148)</f>
        <v>0</v>
      </c>
      <c r="AW126" s="1227">
        <f t="shared" ref="AW126" si="1528">SUM(AV128,AV130,AV132,AV136,AV138,AV142,AV144,AV146,AV148)</f>
        <v>0</v>
      </c>
      <c r="AX126" s="1227">
        <f t="shared" ref="AX126" si="1529">SUM(AW128,AW130,AW132,AW136,AW138,AW142,AW144,AW146,AW148)</f>
        <v>0</v>
      </c>
      <c r="AY126" s="1227">
        <f t="shared" ref="AY126" si="1530">SUM(AX128,AX130,AX132,AX136,AX138,AX142,AX144,AX146,AX148)</f>
        <v>0</v>
      </c>
      <c r="AZ126" s="1227">
        <f t="shared" ref="AZ126" si="1531">SUM(AY128,AY130,AY132,AY136,AY138,AY142,AY144,AY146,AY148)</f>
        <v>0</v>
      </c>
      <c r="BA126" s="1227">
        <f t="shared" ref="BA126" si="1532">SUM(AZ128,AZ130,AZ132,AZ136,AZ138,AZ142,AZ144,AZ146,AZ148)</f>
        <v>0</v>
      </c>
      <c r="BB126" s="1227">
        <f t="shared" ref="BB126" si="1533">SUM(BA128,BA130,BA132,BA136,BA138,BA142,BA144,BA146,BA148)</f>
        <v>0</v>
      </c>
      <c r="BC126" s="1227">
        <f t="shared" ref="BC126" si="1534">SUM(BB128,BB130,BB132,BB136,BB138,BB142,BB144,BB146,BB148)</f>
        <v>0</v>
      </c>
      <c r="BD126" s="1227">
        <f t="shared" ref="BD126" si="1535">SUM(BC128,BC130,BC132,BC136,BC138,BC142,BC144,BC146,BC148)</f>
        <v>0</v>
      </c>
      <c r="BE126" s="1227">
        <f t="shared" ref="BE126" si="1536">SUM(BD128,BD130,BD132,BD136,BD138,BD142,BD144,BD146,BD148)</f>
        <v>0</v>
      </c>
      <c r="BF126" s="1227">
        <f t="shared" ref="BF126" si="1537">SUM(BE128,BE130,BE132,BE136,BE138,BE142,BE144,BE146,BE148)</f>
        <v>0</v>
      </c>
      <c r="BG126" s="1228">
        <f t="shared" ref="BG126" si="1538">SUM(BF128,BF130,BF132,BF136,BF138,BF142,BF144,BF146,BF148)</f>
        <v>0</v>
      </c>
      <c r="BH126" s="1227">
        <f t="shared" ref="BH126" si="1539">SUM(BG128,BG130,BG132,BG136,BG138,BG142,BG144,BG146,BG148)</f>
        <v>0</v>
      </c>
      <c r="BI126" s="1227">
        <f t="shared" ref="BI126" si="1540">SUM(BH128,BH130,BH132,BH136,BH138,BH142,BH144,BH146,BH148)</f>
        <v>0</v>
      </c>
      <c r="BJ126" s="1227">
        <f t="shared" ref="BJ126" si="1541">SUM(BI128,BI130,BI132,BI136,BI138,BI142,BI144,BI146,BI148)</f>
        <v>0</v>
      </c>
      <c r="BK126" s="1227">
        <f t="shared" ref="BK126" si="1542">SUM(BJ128,BJ130,BJ132,BJ136,BJ138,BJ142,BJ144,BJ146,BJ148)</f>
        <v>0</v>
      </c>
      <c r="BL126" s="1227">
        <f t="shared" ref="BL126" si="1543">SUM(BK128,BK130,BK132,BK136,BK138,BK142,BK144,BK146,BK148)</f>
        <v>0</v>
      </c>
      <c r="BM126" s="1227">
        <f t="shared" ref="BM126" si="1544">SUM(BL128,BL130,BL132,BL136,BL138,BL142,BL144,BL146,BL148)</f>
        <v>0</v>
      </c>
      <c r="BN126" s="1227">
        <f t="shared" ref="BN126" si="1545">SUM(BM128,BM130,BM132,BM136,BM138,BM142,BM144,BM146,BM148)</f>
        <v>0</v>
      </c>
      <c r="BO126" s="1227">
        <f t="shared" ref="BO126" si="1546">SUM(BN128,BN130,BN132,BN136,BN138,BN142,BN144,BN146,BN148)</f>
        <v>0</v>
      </c>
      <c r="BP126" s="1227">
        <f t="shared" ref="BP126" si="1547">SUM(BO128,BO130,BO132,BO136,BO138,BO142,BO144,BO146,BO148)</f>
        <v>0</v>
      </c>
      <c r="BQ126" s="1227">
        <f t="shared" ref="BQ126" si="1548">SUM(BP128,BP130,BP132,BP136,BP138,BP142,BP144,BP146,BP148)</f>
        <v>0</v>
      </c>
      <c r="BR126" s="1227">
        <f t="shared" ref="BR126" si="1549">SUM(BQ128,BQ130,BQ132,BQ136,BQ138,BQ142,BQ144,BQ146,BQ148)</f>
        <v>0</v>
      </c>
      <c r="BS126" s="1228">
        <f t="shared" ref="BS126" si="1550">SUM(BR128,BR130,BR132,BR136,BR138,BR142,BR144,BR146,BR148)</f>
        <v>0</v>
      </c>
      <c r="BT126" s="1227">
        <f t="shared" ref="BT126" si="1551">SUM(BS128,BS130,BS132,BS136,BS138,BS142,BS144,BS146,BS148)</f>
        <v>0</v>
      </c>
      <c r="BU126" s="1227">
        <f t="shared" ref="BU126" si="1552">SUM(BT128,BT130,BT132,BT136,BT138,BT142,BT144,BT146,BT148)</f>
        <v>0</v>
      </c>
      <c r="BV126" s="1227">
        <f t="shared" ref="BV126" si="1553">SUM(BU128,BU130,BU132,BU136,BU138,BU142,BU144,BU146,BU148)</f>
        <v>0</v>
      </c>
      <c r="BW126" s="1227">
        <f t="shared" ref="BW126" si="1554">SUM(BV128,BV130,BV132,BV136,BV138,BV142,BV144,BV146,BV148)</f>
        <v>0</v>
      </c>
      <c r="BX126" s="1227">
        <f t="shared" ref="BX126" si="1555">SUM(BW128,BW130,BW132,BW136,BW138,BW142,BW144,BW146,BW148)</f>
        <v>0</v>
      </c>
      <c r="BY126" s="1227">
        <f t="shared" ref="BY126" si="1556">SUM(BX128,BX130,BX132,BX136,BX138,BX142,BX144,BX146,BX148)</f>
        <v>0</v>
      </c>
      <c r="BZ126" s="1227">
        <f t="shared" ref="BZ126" si="1557">SUM(BY128,BY130,BY132,BY136,BY138,BY142,BY144,BY146,BY148)</f>
        <v>0</v>
      </c>
      <c r="CA126" s="1227">
        <f t="shared" ref="CA126" si="1558">SUM(BZ128,BZ130,BZ132,BZ136,BZ138,BZ142,BZ144,BZ146,BZ148)</f>
        <v>0</v>
      </c>
      <c r="CB126" s="1227">
        <f t="shared" ref="CB126" si="1559">SUM(CA128,CA130,CA132,CA136,CA138,CA142,CA144,CA146,CA148)</f>
        <v>0</v>
      </c>
      <c r="CC126" s="1227">
        <f t="shared" ref="CC126" si="1560">SUM(CB128,CB130,CB132,CB136,CB138,CB142,CB144,CB146,CB148)</f>
        <v>0</v>
      </c>
      <c r="CD126" s="1227">
        <f t="shared" ref="CD126" si="1561">SUM(CC128,CC130,CC132,CC136,CC138,CC142,CC144,CC146,CC148)</f>
        <v>0</v>
      </c>
      <c r="CE126" s="1228">
        <f t="shared" ref="CE126" si="1562">SUM(CD128,CD130,CD132,CD136,CD138,CD142,CD144,CD146,CD148)</f>
        <v>0</v>
      </c>
      <c r="CF126" s="1227">
        <f t="shared" ref="CF126" si="1563">SUM(CE128,CE130,CE132,CE136,CE138,CE142,CE144,CE146,CE148)</f>
        <v>0</v>
      </c>
      <c r="CG126" s="1227">
        <f t="shared" ref="CG126" si="1564">SUM(CF128,CF130,CF132,CF136,CF138,CF142,CF144,CF146,CF148)</f>
        <v>0</v>
      </c>
      <c r="CH126" s="1227">
        <f t="shared" ref="CH126" si="1565">SUM(CG128,CG130,CG132,CG136,CG138,CG142,CG144,CG146,CG148)</f>
        <v>0</v>
      </c>
      <c r="CI126" s="1227">
        <f t="shared" ref="CI126" si="1566">SUM(CH128,CH130,CH132,CH136,CH138,CH142,CH144,CH146,CH148)</f>
        <v>0</v>
      </c>
      <c r="CJ126" s="1227">
        <f t="shared" ref="CJ126" si="1567">SUM(CI128,CI130,CI132,CI136,CI138,CI142,CI144,CI146,CI148)</f>
        <v>0</v>
      </c>
      <c r="CK126" s="1227">
        <f t="shared" ref="CK126" si="1568">SUM(CJ128,CJ130,CJ132,CJ136,CJ138,CJ142,CJ144,CJ146,CJ148)</f>
        <v>0</v>
      </c>
      <c r="CL126" s="1227">
        <f t="shared" ref="CL126" si="1569">SUM(CK128,CK130,CK132,CK136,CK138,CK142,CK144,CK146,CK148)</f>
        <v>0</v>
      </c>
      <c r="CM126" s="1227">
        <f t="shared" ref="CM126" si="1570">SUM(CL128,CL130,CL132,CL136,CL138,CL142,CL144,CL146,CL148)</f>
        <v>0</v>
      </c>
      <c r="CN126" s="1227">
        <f t="shared" ref="CN126" si="1571">SUM(CM128,CM130,CM132,CM136,CM138,CM142,CM144,CM146,CM148)</f>
        <v>0</v>
      </c>
      <c r="CO126" s="1227">
        <f t="shared" ref="CO126" si="1572">SUM(CN128,CN130,CN132,CN136,CN138,CN142,CN144,CN146,CN148)</f>
        <v>0</v>
      </c>
      <c r="CP126" s="1227">
        <f t="shared" ref="CP126" si="1573">SUM(CO128,CO130,CO132,CO136,CO138,CO142,CO144,CO146,CO148)</f>
        <v>0</v>
      </c>
      <c r="CQ126" s="1228">
        <f t="shared" ref="CQ126" si="1574">SUM(CP128,CP130,CP132,CP136,CP138,CP142,CP144,CP146,CP148)</f>
        <v>0</v>
      </c>
      <c r="CR126" s="1227">
        <f t="shared" ref="CR126" si="1575">SUM(CQ128,CQ130,CQ132,CQ136,CQ138,CQ142,CQ144,CQ146,CQ148)</f>
        <v>0</v>
      </c>
      <c r="CS126" s="1227">
        <f t="shared" ref="CS126" si="1576">SUM(CR128,CR130,CR132,CR136,CR138,CR142,CR144,CR146,CR148)</f>
        <v>0</v>
      </c>
      <c r="CT126" s="1227">
        <f t="shared" ref="CT126" si="1577">SUM(CS128,CS130,CS132,CS136,CS138,CS142,CS144,CS146,CS148)</f>
        <v>0</v>
      </c>
      <c r="CU126" s="1227">
        <f t="shared" ref="CU126" si="1578">SUM(CT128,CT130,CT132,CT136,CT138,CT142,CT144,CT146,CT148)</f>
        <v>0</v>
      </c>
      <c r="CV126" s="1227">
        <f t="shared" ref="CV126" si="1579">SUM(CU128,CU130,CU132,CU136,CU138,CU142,CU144,CU146,CU148)</f>
        <v>0</v>
      </c>
      <c r="CW126" s="1227">
        <f t="shared" ref="CW126" si="1580">SUM(CV128,CV130,CV132,CV136,CV138,CV142,CV144,CV146,CV148)</f>
        <v>0</v>
      </c>
      <c r="CX126" s="1227">
        <f t="shared" ref="CX126" si="1581">SUM(CW128,CW130,CW132,CW136,CW138,CW142,CW144,CW146,CW148)</f>
        <v>0</v>
      </c>
      <c r="CY126" s="1227">
        <f t="shared" ref="CY126" si="1582">SUM(CX128,CX130,CX132,CX136,CX138,CX142,CX144,CX146,CX148)</f>
        <v>0</v>
      </c>
      <c r="CZ126" s="1227">
        <f t="shared" ref="CZ126" si="1583">SUM(CY128,CY130,CY132,CY136,CY138,CY142,CY144,CY146,CY148)</f>
        <v>0</v>
      </c>
      <c r="DA126" s="1227">
        <f t="shared" ref="DA126" si="1584">SUM(CZ128,CZ130,CZ132,CZ136,CZ138,CZ142,CZ144,CZ146,CZ148)</f>
        <v>0</v>
      </c>
      <c r="DB126" s="1227">
        <f t="shared" ref="DB126" si="1585">SUM(DA128,DA130,DA132,DA136,DA138,DA142,DA144,DA146,DA148)</f>
        <v>0</v>
      </c>
      <c r="DC126" s="1228">
        <f t="shared" ref="DC126" si="1586">SUM(DB128,DB130,DB132,DB136,DB138,DB142,DB144,DB146,DB148)</f>
        <v>0</v>
      </c>
      <c r="DD126" s="1227">
        <f t="shared" ref="DD126" si="1587">SUM(DC128,DC130,DC132,DC136,DC138,DC142,DC144,DC146,DC148)</f>
        <v>0</v>
      </c>
      <c r="DE126" s="1227">
        <f t="shared" ref="DE126" si="1588">SUM(DD128,DD130,DD132,DD136,DD138,DD142,DD144,DD146,DD148)</f>
        <v>0</v>
      </c>
      <c r="DF126" s="1227">
        <f t="shared" ref="DF126" si="1589">SUM(DE128,DE130,DE132,DE136,DE138,DE142,DE144,DE146,DE148)</f>
        <v>0</v>
      </c>
      <c r="DG126" s="1227">
        <f t="shared" ref="DG126" si="1590">SUM(DF128,DF130,DF132,DF136,DF138,DF142,DF144,DF146,DF148)</f>
        <v>0</v>
      </c>
      <c r="DH126" s="1227">
        <f t="shared" ref="DH126" si="1591">SUM(DG128,DG130,DG132,DG136,DG138,DG142,DG144,DG146,DG148)</f>
        <v>0</v>
      </c>
      <c r="DI126" s="1227">
        <f t="shared" ref="DI126" si="1592">SUM(DH128,DH130,DH132,DH136,DH138,DH142,DH144,DH146,DH148)</f>
        <v>0</v>
      </c>
      <c r="DJ126" s="1227">
        <f t="shared" ref="DJ126" si="1593">SUM(DI128,DI130,DI132,DI136,DI138,DI142,DI144,DI146,DI148)</f>
        <v>0</v>
      </c>
      <c r="DK126" s="1227">
        <f t="shared" ref="DK126" si="1594">SUM(DJ128,DJ130,DJ132,DJ136,DJ138,DJ142,DJ144,DJ146,DJ148)</f>
        <v>0</v>
      </c>
      <c r="DL126" s="1227">
        <f t="shared" ref="DL126" si="1595">SUM(DK128,DK130,DK132,DK136,DK138,DK142,DK144,DK146,DK148)</f>
        <v>0</v>
      </c>
      <c r="DM126" s="1227">
        <f t="shared" ref="DM126" si="1596">SUM(DL128,DL130,DL132,DL136,DL138,DL142,DL144,DL146,DL148)</f>
        <v>0</v>
      </c>
      <c r="DN126" s="1227">
        <f t="shared" ref="DN126" si="1597">SUM(DM128,DM130,DM132,DM136,DM138,DM142,DM144,DM146,DM148)</f>
        <v>0</v>
      </c>
      <c r="DO126" s="1228">
        <f t="shared" ref="DO126" si="1598">SUM(DN128,DN130,DN132,DN136,DN138,DN142,DN144,DN146,DN148)</f>
        <v>0</v>
      </c>
      <c r="DP126" s="1227">
        <f t="shared" ref="DP126" si="1599">SUM(DO128,DO130,DO132,DO136,DO138,DO142,DO144,DO146,DO148)</f>
        <v>0</v>
      </c>
      <c r="DQ126" s="1227">
        <f t="shared" ref="DQ126" si="1600">SUM(DP128,DP130,DP132,DP136,DP138,DP142,DP144,DP146,DP148)</f>
        <v>0</v>
      </c>
      <c r="DR126" s="1227">
        <f t="shared" ref="DR126" si="1601">SUM(DQ128,DQ130,DQ132,DQ136,DQ138,DQ142,DQ144,DQ146,DQ148)</f>
        <v>0</v>
      </c>
      <c r="DS126" s="1227">
        <f t="shared" ref="DS126" si="1602">SUM(DR128,DR130,DR132,DR136,DR138,DR142,DR144,DR146,DR148)</f>
        <v>0</v>
      </c>
      <c r="DT126" s="1227">
        <f t="shared" ref="DT126" si="1603">SUM(DS128,DS130,DS132,DS136,DS138,DS142,DS144,DS146,DS148)</f>
        <v>0</v>
      </c>
      <c r="DU126" s="1227">
        <f t="shared" ref="DU126" si="1604">SUM(DT128,DT130,DT132,DT136,DT138,DT142,DT144,DT146,DT148)</f>
        <v>0</v>
      </c>
      <c r="DV126" s="1227">
        <f t="shared" ref="DV126" si="1605">SUM(DU128,DU130,DU132,DU136,DU138,DU142,DU144,DU146,DU148)</f>
        <v>0</v>
      </c>
      <c r="DW126" s="1227">
        <f t="shared" ref="DW126" si="1606">SUM(DV128,DV130,DV132,DV136,DV138,DV142,DV144,DV146,DV148)</f>
        <v>0</v>
      </c>
      <c r="DX126" s="1227">
        <f t="shared" ref="DX126" si="1607">SUM(DW128,DW130,DW132,DW136,DW138,DW142,DW144,DW146,DW148)</f>
        <v>0</v>
      </c>
      <c r="DY126" s="1227">
        <f t="shared" ref="DY126" si="1608">SUM(DX128,DX130,DX132,DX136,DX138,DX142,DX144,DX146,DX148)</f>
        <v>0</v>
      </c>
      <c r="DZ126" s="1227">
        <f t="shared" ref="DZ126" si="1609">SUM(DY128,DY130,DY132,DY136,DY138,DY142,DY144,DY146,DY148)</f>
        <v>0</v>
      </c>
      <c r="EA126" s="1228">
        <f t="shared" ref="EA126" si="1610">SUM(DZ128,DZ130,DZ132,DZ136,DZ138,DZ142,DZ144,DZ146,DZ148)</f>
        <v>0</v>
      </c>
      <c r="EB126" s="1227">
        <f t="shared" ref="EB126" si="1611">SUM(EA128,EA130,EA132,EA136,EA138,EA142,EA144,EA146,EA148)</f>
        <v>0</v>
      </c>
      <c r="EC126" s="1227">
        <f t="shared" ref="EC126" si="1612">SUM(EB128,EB130,EB132,EB136,EB138,EB142,EB144,EB146,EB148)</f>
        <v>0</v>
      </c>
      <c r="ED126" s="1229">
        <f t="shared" ref="ED126" si="1613">SUM(EC128,EC130,EC132,EC136,EC138,EC142,EC144,EC146,EC148)</f>
        <v>0</v>
      </c>
    </row>
    <row r="127" spans="1:134" outlineLevel="1" x14ac:dyDescent="0.25">
      <c r="A127">
        <v>8.1</v>
      </c>
      <c r="B127" t="s">
        <v>282</v>
      </c>
      <c r="C127" s="1279"/>
      <c r="D127" s="1625" t="s">
        <v>283</v>
      </c>
      <c r="E127" s="1625"/>
      <c r="F127" s="1625"/>
      <c r="G127" s="1625"/>
      <c r="H127" s="1625"/>
      <c r="I127" s="1625"/>
      <c r="J127" s="1625"/>
      <c r="K127" s="1625"/>
      <c r="L127" s="1224"/>
      <c r="M127" s="1223"/>
      <c r="N127" s="1230">
        <f>M127/100</f>
        <v>0</v>
      </c>
      <c r="O127" s="1231"/>
      <c r="P127" s="1231"/>
      <c r="Q127" s="1231"/>
      <c r="R127" s="1232">
        <f>P127-N127</f>
        <v>0</v>
      </c>
      <c r="S127" s="1233">
        <f>Q127*100</f>
        <v>0</v>
      </c>
      <c r="T127" s="1233"/>
      <c r="U127" s="1223"/>
      <c r="V127" s="628"/>
      <c r="W127" s="1234">
        <f>M127</f>
        <v>0</v>
      </c>
      <c r="X127" s="1235">
        <f>W127</f>
        <v>0</v>
      </c>
      <c r="Y127" s="1235">
        <f>X127</f>
        <v>0</v>
      </c>
      <c r="Z127" s="1235">
        <f>O127*100</f>
        <v>0</v>
      </c>
      <c r="AA127" s="1235">
        <f>Z127</f>
        <v>0</v>
      </c>
      <c r="AB127" s="1235">
        <f>AA127</f>
        <v>0</v>
      </c>
      <c r="AC127" s="1235">
        <f>P127*100</f>
        <v>0</v>
      </c>
      <c r="AD127" s="1235">
        <f>AC127</f>
        <v>0</v>
      </c>
      <c r="AE127" s="1235">
        <f>AD127</f>
        <v>0</v>
      </c>
      <c r="AF127" s="1235">
        <f>AE127</f>
        <v>0</v>
      </c>
      <c r="AG127" s="1235">
        <f>AF127</f>
        <v>0</v>
      </c>
      <c r="AH127" s="1235">
        <f>AG127</f>
        <v>0</v>
      </c>
      <c r="AI127" s="1236">
        <f>(((AH127*(1+($B$36*$B$4)))-AH127)/12)+AH127</f>
        <v>0</v>
      </c>
      <c r="AJ127" s="1235">
        <f t="shared" ref="AJ127" si="1614">(((AI127*(1+($B$36*$B$4)))-AI127)/12)+AI127</f>
        <v>0</v>
      </c>
      <c r="AK127" s="1235">
        <f t="shared" ref="AK127" si="1615">(((AJ127*(1+($B$36*$B$4)))-AJ127)/12)+AJ127</f>
        <v>0</v>
      </c>
      <c r="AL127" s="1235">
        <f t="shared" ref="AL127" si="1616">(((AK127*(1+($B$36*$B$4)))-AK127)/12)+AK127</f>
        <v>0</v>
      </c>
      <c r="AM127" s="1235">
        <f t="shared" ref="AM127" si="1617">(((AL127*(1+($B$36*$B$4)))-AL127)/12)+AL127</f>
        <v>0</v>
      </c>
      <c r="AN127" s="1235">
        <f t="shared" ref="AN127" si="1618">(((AM127*(1+($B$36*$B$4)))-AM127)/12)+AM127</f>
        <v>0</v>
      </c>
      <c r="AO127" s="1235">
        <f t="shared" ref="AO127" si="1619">(((AN127*(1+($B$36*$B$4)))-AN127)/12)+AN127</f>
        <v>0</v>
      </c>
      <c r="AP127" s="1235">
        <f t="shared" ref="AP127" si="1620">(((AO127*(1+($B$36*$B$4)))-AO127)/12)+AO127</f>
        <v>0</v>
      </c>
      <c r="AQ127" s="1235">
        <f t="shared" ref="AQ127" si="1621">(((AP127*(1+($B$36*$B$4)))-AP127)/12)+AP127</f>
        <v>0</v>
      </c>
      <c r="AR127" s="1235">
        <f t="shared" ref="AR127" si="1622">(((AQ127*(1+($B$36*$B$4)))-AQ127)/12)+AQ127</f>
        <v>0</v>
      </c>
      <c r="AS127" s="1235">
        <f t="shared" ref="AS127" si="1623">(((AR127*(1+($B$36*$B$4)))-AR127)/12)+AR127</f>
        <v>0</v>
      </c>
      <c r="AT127" s="1235">
        <f t="shared" ref="AT127" si="1624">(((AS127*(1+($B$36*$B$4)))-AS127)/12)+AS127</f>
        <v>0</v>
      </c>
      <c r="AU127" s="1236">
        <f t="shared" ref="AU127" si="1625">(((AT127*(1+($B$37*$B$4)))-AT127)/12)+AT127</f>
        <v>0</v>
      </c>
      <c r="AV127" s="1235">
        <f t="shared" ref="AV127" si="1626">(((AU127*(1+($B$37*$B$4)))-AU127)/12)+AU127</f>
        <v>0</v>
      </c>
      <c r="AW127" s="1235">
        <f t="shared" ref="AW127" si="1627">(((AV127*(1+($B$37*$B$4)))-AV127)/12)+AV127</f>
        <v>0</v>
      </c>
      <c r="AX127" s="1235">
        <f t="shared" ref="AX127" si="1628">(((AW127*(1+($B$37*$B$4)))-AW127)/12)+AW127</f>
        <v>0</v>
      </c>
      <c r="AY127" s="1235">
        <f t="shared" ref="AY127" si="1629">(((AX127*(1+($B$37*$B$4)))-AX127)/12)+AX127</f>
        <v>0</v>
      </c>
      <c r="AZ127" s="1235">
        <f t="shared" ref="AZ127" si="1630">(((AY127*(1+($B$37*$B$4)))-AY127)/12)+AY127</f>
        <v>0</v>
      </c>
      <c r="BA127" s="1235">
        <f t="shared" ref="BA127" si="1631">(((AZ127*(1+($B$37*$B$4)))-AZ127)/12)+AZ127</f>
        <v>0</v>
      </c>
      <c r="BB127" s="1235">
        <f t="shared" ref="BB127" si="1632">(((BA127*(1+($B$37*$B$4)))-BA127)/12)+BA127</f>
        <v>0</v>
      </c>
      <c r="BC127" s="1235">
        <f t="shared" ref="BC127" si="1633">(((BB127*(1+($B$37*$B$4)))-BB127)/12)+BB127</f>
        <v>0</v>
      </c>
      <c r="BD127" s="1235">
        <f t="shared" ref="BD127" si="1634">(((BC127*(1+($B$37*$B$4)))-BC127)/12)+BC127</f>
        <v>0</v>
      </c>
      <c r="BE127" s="1235">
        <f t="shared" ref="BE127" si="1635">(((BD127*(1+($B$37*$B$4)))-BD127)/12)+BD127</f>
        <v>0</v>
      </c>
      <c r="BF127" s="1235">
        <f t="shared" ref="BF127" si="1636">(((BE127*(1+($B$37*$B$4)))-BE127)/12)+BE127</f>
        <v>0</v>
      </c>
      <c r="BG127" s="1236">
        <f t="shared" ref="BG127" si="1637">(((BF127*(1+($B$38*$B$4)))-BF127)/12)+BF127</f>
        <v>0</v>
      </c>
      <c r="BH127" s="1235">
        <f t="shared" ref="BH127" si="1638">(((BG127*(1+($B$38*$B$4)))-BG127)/12)+BG127</f>
        <v>0</v>
      </c>
      <c r="BI127" s="1235">
        <f t="shared" ref="BI127" si="1639">(((BH127*(1+($B$38*$B$4)))-BH127)/12)+BH127</f>
        <v>0</v>
      </c>
      <c r="BJ127" s="1235">
        <f t="shared" ref="BJ127" si="1640">(((BI127*(1+($B$38*$B$4)))-BI127)/12)+BI127</f>
        <v>0</v>
      </c>
      <c r="BK127" s="1235">
        <f t="shared" ref="BK127" si="1641">(((BJ127*(1+($B$38*$B$4)))-BJ127)/12)+BJ127</f>
        <v>0</v>
      </c>
      <c r="BL127" s="1235">
        <f t="shared" ref="BL127" si="1642">(((BK127*(1+($B$38*$B$4)))-BK127)/12)+BK127</f>
        <v>0</v>
      </c>
      <c r="BM127" s="1235">
        <f t="shared" ref="BM127" si="1643">(((BL127*(1+($B$38*$B$4)))-BL127)/12)+BL127</f>
        <v>0</v>
      </c>
      <c r="BN127" s="1235">
        <f t="shared" ref="BN127" si="1644">(((BM127*(1+($B$38*$B$4)))-BM127)/12)+BM127</f>
        <v>0</v>
      </c>
      <c r="BO127" s="1235">
        <f t="shared" ref="BO127" si="1645">(((BN127*(1+($B$38*$B$4)))-BN127)/12)+BN127</f>
        <v>0</v>
      </c>
      <c r="BP127" s="1235">
        <f t="shared" ref="BP127" si="1646">(((BO127*(1+($B$38*$B$4)))-BO127)/12)+BO127</f>
        <v>0</v>
      </c>
      <c r="BQ127" s="1235">
        <f t="shared" ref="BQ127" si="1647">(((BP127*(1+($B$38*$B$4)))-BP127)/12)+BP127</f>
        <v>0</v>
      </c>
      <c r="BR127" s="1235">
        <f t="shared" ref="BR127" si="1648">(((BQ127*(1+($B$38*$B$4)))-BQ127)/12)+BQ127</f>
        <v>0</v>
      </c>
      <c r="BS127" s="1236">
        <f t="shared" ref="BS127" si="1649">(((BR127*(1+($B$39*$B$4)))-BR127)/12)+BR127</f>
        <v>0</v>
      </c>
      <c r="BT127" s="1235">
        <f t="shared" ref="BT127" si="1650">(((BS127*(1+($B$39*$B$4)))-BS127)/12)+BS127</f>
        <v>0</v>
      </c>
      <c r="BU127" s="1235">
        <f t="shared" ref="BU127" si="1651">(((BT127*(1+($B$39*$B$4)))-BT127)/12)+BT127</f>
        <v>0</v>
      </c>
      <c r="BV127" s="1235">
        <f t="shared" ref="BV127" si="1652">(((BU127*(1+($B$39*$B$4)))-BU127)/12)+BU127</f>
        <v>0</v>
      </c>
      <c r="BW127" s="1235">
        <f t="shared" ref="BW127" si="1653">(((BV127*(1+($B$39*$B$4)))-BV127)/12)+BV127</f>
        <v>0</v>
      </c>
      <c r="BX127" s="1235">
        <f t="shared" ref="BX127" si="1654">(((BW127*(1+($B$39*$B$4)))-BW127)/12)+BW127</f>
        <v>0</v>
      </c>
      <c r="BY127" s="1235">
        <f t="shared" ref="BY127" si="1655">(((BX127*(1+($B$39*$B$4)))-BX127)/12)+BX127</f>
        <v>0</v>
      </c>
      <c r="BZ127" s="1235">
        <f t="shared" ref="BZ127" si="1656">(((BY127*(1+($B$39*$B$4)))-BY127)/12)+BY127</f>
        <v>0</v>
      </c>
      <c r="CA127" s="1235">
        <f t="shared" ref="CA127" si="1657">(((BZ127*(1+($B$39*$B$4)))-BZ127)/12)+BZ127</f>
        <v>0</v>
      </c>
      <c r="CB127" s="1235">
        <f t="shared" ref="CB127" si="1658">(((CA127*(1+($B$39*$B$4)))-CA127)/12)+CA127</f>
        <v>0</v>
      </c>
      <c r="CC127" s="1235">
        <f t="shared" ref="CC127" si="1659">(((CB127*(1+($B$39*$B$4)))-CB127)/12)+CB127</f>
        <v>0</v>
      </c>
      <c r="CD127" s="1235">
        <f t="shared" ref="CD127" si="1660">(((CC127*(1+($B$39*$B$4)))-CC127)/12)+CC127</f>
        <v>0</v>
      </c>
      <c r="CE127" s="1236">
        <f t="shared" ref="CE127" si="1661">(((CD127*(1+($B$40*$B$4)))-CD127)/12)+CD127</f>
        <v>0</v>
      </c>
      <c r="CF127" s="1235">
        <f t="shared" ref="CF127" si="1662">(((CE127*(1+($B$40*$B$4)))-CE127)/12)+CE127</f>
        <v>0</v>
      </c>
      <c r="CG127" s="1235">
        <f t="shared" ref="CG127" si="1663">(((CF127*(1+($B$40*$B$4)))-CF127)/12)+CF127</f>
        <v>0</v>
      </c>
      <c r="CH127" s="1235">
        <f t="shared" ref="CH127" si="1664">(((CG127*(1+($B$40*$B$4)))-CG127)/12)+CG127</f>
        <v>0</v>
      </c>
      <c r="CI127" s="1235">
        <f t="shared" ref="CI127" si="1665">(((CH127*(1+($B$40*$B$4)))-CH127)/12)+CH127</f>
        <v>0</v>
      </c>
      <c r="CJ127" s="1235">
        <f t="shared" ref="CJ127" si="1666">(((CI127*(1+($B$40*$B$4)))-CI127)/12)+CI127</f>
        <v>0</v>
      </c>
      <c r="CK127" s="1235">
        <f t="shared" ref="CK127" si="1667">(((CJ127*(1+($B$40*$B$4)))-CJ127)/12)+CJ127</f>
        <v>0</v>
      </c>
      <c r="CL127" s="1235">
        <f t="shared" ref="CL127" si="1668">(((CK127*(1+($B$40*$B$4)))-CK127)/12)+CK127</f>
        <v>0</v>
      </c>
      <c r="CM127" s="1235">
        <f t="shared" ref="CM127" si="1669">(((CL127*(1+($B$40*$B$4)))-CL127)/12)+CL127</f>
        <v>0</v>
      </c>
      <c r="CN127" s="1235">
        <f t="shared" ref="CN127" si="1670">(((CM127*(1+($B$40*$B$4)))-CM127)/12)+CM127</f>
        <v>0</v>
      </c>
      <c r="CO127" s="1235">
        <f t="shared" ref="CO127" si="1671">(((CN127*(1+($B$40*$B$4)))-CN127)/12)+CN127</f>
        <v>0</v>
      </c>
      <c r="CP127" s="1235">
        <f t="shared" ref="CP127" si="1672">(((CO127*(1+($B$40*$B$4)))-CO127)/12)+CO127</f>
        <v>0</v>
      </c>
      <c r="CQ127" s="1236">
        <f t="shared" ref="CQ127" si="1673">(((CP127*(1+($B$41*$B$4)))-CP127)/12)+CP127</f>
        <v>0</v>
      </c>
      <c r="CR127" s="1235">
        <f t="shared" ref="CR127" si="1674">(((CQ127*(1+($B$41*$B$4)))-CQ127)/12)+CQ127</f>
        <v>0</v>
      </c>
      <c r="CS127" s="1235">
        <f t="shared" ref="CS127" si="1675">(((CR127*(1+($B$41*$B$4)))-CR127)/12)+CR127</f>
        <v>0</v>
      </c>
      <c r="CT127" s="1235">
        <f t="shared" ref="CT127" si="1676">(((CS127*(1+($B$41*$B$4)))-CS127)/12)+CS127</f>
        <v>0</v>
      </c>
      <c r="CU127" s="1235">
        <f t="shared" ref="CU127" si="1677">(((CT127*(1+($B$41*$B$4)))-CT127)/12)+CT127</f>
        <v>0</v>
      </c>
      <c r="CV127" s="1235">
        <f t="shared" ref="CV127" si="1678">(((CU127*(1+($B$41*$B$4)))-CU127)/12)+CU127</f>
        <v>0</v>
      </c>
      <c r="CW127" s="1235">
        <f t="shared" ref="CW127" si="1679">(((CV127*(1+($B$41*$B$4)))-CV127)/12)+CV127</f>
        <v>0</v>
      </c>
      <c r="CX127" s="1235">
        <f t="shared" ref="CX127" si="1680">(((CW127*(1+($B$41*$B$4)))-CW127)/12)+CW127</f>
        <v>0</v>
      </c>
      <c r="CY127" s="1235">
        <f t="shared" ref="CY127" si="1681">(((CX127*(1+($B$41*$B$4)))-CX127)/12)+CX127</f>
        <v>0</v>
      </c>
      <c r="CZ127" s="1235">
        <f t="shared" ref="CZ127" si="1682">(((CY127*(1+($B$41*$B$4)))-CY127)/12)+CY127</f>
        <v>0</v>
      </c>
      <c r="DA127" s="1235">
        <f t="shared" ref="DA127" si="1683">(((CZ127*(1+($B$41*$B$4)))-CZ127)/12)+CZ127</f>
        <v>0</v>
      </c>
      <c r="DB127" s="1235">
        <f t="shared" ref="DB127" si="1684">(((DA127*(1+($B$41*$B$4)))-DA127)/12)+DA127</f>
        <v>0</v>
      </c>
      <c r="DC127" s="1236">
        <f t="shared" ref="DC127" si="1685">(((DB127*(1+($B$42*$B$4)))-DB127)/12)+DB127</f>
        <v>0</v>
      </c>
      <c r="DD127" s="1235">
        <f t="shared" ref="DD127" si="1686">(((DC127*(1+($B$42*$B$4)))-DC127)/12)+DC127</f>
        <v>0</v>
      </c>
      <c r="DE127" s="1235">
        <f t="shared" ref="DE127" si="1687">(((DD127*(1+($B$42*$B$4)))-DD127)/12)+DD127</f>
        <v>0</v>
      </c>
      <c r="DF127" s="1235">
        <f t="shared" ref="DF127" si="1688">(((DE127*(1+($B$42*$B$4)))-DE127)/12)+DE127</f>
        <v>0</v>
      </c>
      <c r="DG127" s="1235">
        <f t="shared" ref="DG127" si="1689">(((DF127*(1+($B$42*$B$4)))-DF127)/12)+DF127</f>
        <v>0</v>
      </c>
      <c r="DH127" s="1235">
        <f t="shared" ref="DH127" si="1690">(((DG127*(1+($B$42*$B$4)))-DG127)/12)+DG127</f>
        <v>0</v>
      </c>
      <c r="DI127" s="1235">
        <f t="shared" ref="DI127" si="1691">(((DH127*(1+($B$42*$B$4)))-DH127)/12)+DH127</f>
        <v>0</v>
      </c>
      <c r="DJ127" s="1235">
        <f t="shared" ref="DJ127" si="1692">(((DI127*(1+($B$42*$B$4)))-DI127)/12)+DI127</f>
        <v>0</v>
      </c>
      <c r="DK127" s="1235">
        <f t="shared" ref="DK127" si="1693">(((DJ127*(1+($B$42*$B$4)))-DJ127)/12)+DJ127</f>
        <v>0</v>
      </c>
      <c r="DL127" s="1235">
        <f t="shared" ref="DL127" si="1694">(((DK127*(1+($B$42*$B$4)))-DK127)/12)+DK127</f>
        <v>0</v>
      </c>
      <c r="DM127" s="1235">
        <f t="shared" ref="DM127" si="1695">(((DL127*(1+($B$42*$B$4)))-DL127)/12)+DL127</f>
        <v>0</v>
      </c>
      <c r="DN127" s="1235">
        <f t="shared" ref="DN127" si="1696">(((DM127*(1+($B$42*$B$4)))-DM127)/12)+DM127</f>
        <v>0</v>
      </c>
      <c r="DO127" s="1236">
        <f t="shared" ref="DO127" si="1697">(((DN127*(1+($B$43*$B$4)))-DN127)/12)+DN127</f>
        <v>0</v>
      </c>
      <c r="DP127" s="1235">
        <f t="shared" ref="DP127" si="1698">(((DO127*(1+($B$43*$B$4)))-DO127)/12)+DO127</f>
        <v>0</v>
      </c>
      <c r="DQ127" s="1235">
        <f t="shared" ref="DQ127" si="1699">(((DP127*(1+($B$43*$B$4)))-DP127)/12)+DP127</f>
        <v>0</v>
      </c>
      <c r="DR127" s="1235">
        <f t="shared" ref="DR127" si="1700">(((DQ127*(1+($B$43*$B$4)))-DQ127)/12)+DQ127</f>
        <v>0</v>
      </c>
      <c r="DS127" s="1235">
        <f t="shared" ref="DS127" si="1701">(((DR127*(1+($B$43*$B$4)))-DR127)/12)+DR127</f>
        <v>0</v>
      </c>
      <c r="DT127" s="1235">
        <f t="shared" ref="DT127" si="1702">(((DS127*(1+($B$43*$B$4)))-DS127)/12)+DS127</f>
        <v>0</v>
      </c>
      <c r="DU127" s="1235">
        <f t="shared" ref="DU127" si="1703">(((DT127*(1+($B$43*$B$4)))-DT127)/12)+DT127</f>
        <v>0</v>
      </c>
      <c r="DV127" s="1235">
        <f t="shared" ref="DV127" si="1704">(((DU127*(1+($B$43*$B$4)))-DU127)/12)+DU127</f>
        <v>0</v>
      </c>
      <c r="DW127" s="1235">
        <f t="shared" ref="DW127" si="1705">(((DV127*(1+($B$43*$B$4)))-DV127)/12)+DV127</f>
        <v>0</v>
      </c>
      <c r="DX127" s="1235">
        <f t="shared" ref="DX127" si="1706">(((DW127*(1+($B$43*$B$4)))-DW127)/12)+DW127</f>
        <v>0</v>
      </c>
      <c r="DY127" s="1235">
        <f t="shared" ref="DY127" si="1707">(((DX127*(1+($B$43*$B$4)))-DX127)/12)+DX127</f>
        <v>0</v>
      </c>
      <c r="DZ127" s="1235">
        <f t="shared" ref="DZ127" si="1708">(((DY127*(1+($B$43*$B$4)))-DY127)/12)+DY127</f>
        <v>0</v>
      </c>
      <c r="EA127" s="1236">
        <f>(((DZ127*(1+($B$44*$B$4)))-DZ127)/12)+DZ127</f>
        <v>0</v>
      </c>
      <c r="EB127" s="1235">
        <f>(((EA127*(1+($B$44*$B$4)))-EA127)/12)+EA127</f>
        <v>0</v>
      </c>
      <c r="EC127" s="1235">
        <f>(((EB127*(1+($B$44*$B$4)))-EB127)/12)+EB127</f>
        <v>0</v>
      </c>
      <c r="ED127" s="1237">
        <f>(((EC127*(1+($B$44*$B$4)))-EC127)/12)+EC127</f>
        <v>0</v>
      </c>
    </row>
    <row r="128" spans="1:134" outlineLevel="1" x14ac:dyDescent="0.25">
      <c r="A128">
        <v>4.2</v>
      </c>
      <c r="B128" t="s">
        <v>284</v>
      </c>
      <c r="C128" s="1279"/>
      <c r="D128" s="1624"/>
      <c r="E128" s="1624"/>
      <c r="F128" s="1624"/>
      <c r="G128" s="1624"/>
      <c r="H128" s="1624"/>
      <c r="I128" s="1624"/>
      <c r="J128" s="1624"/>
      <c r="K128" s="1624"/>
      <c r="L128" s="1238"/>
      <c r="M128" s="1239"/>
      <c r="N128" s="1240"/>
      <c r="O128" s="1241"/>
      <c r="P128" s="1241"/>
      <c r="Q128" s="1241"/>
      <c r="R128" s="1242"/>
      <c r="S128" s="1243"/>
      <c r="T128" s="1243"/>
      <c r="U128" s="1239"/>
      <c r="V128" s="1244">
        <v>1</v>
      </c>
      <c r="W128" s="1245">
        <f>ROUNDUP($V128*(W127/100)/0.8,0)</f>
        <v>0</v>
      </c>
      <c r="X128" s="1246">
        <f t="shared" ref="X128:CI128" si="1709">ROUNDUP($V128*(X127/100)/0.8,0)</f>
        <v>0</v>
      </c>
      <c r="Y128" s="1246">
        <f t="shared" si="1709"/>
        <v>0</v>
      </c>
      <c r="Z128" s="1246">
        <f t="shared" si="1709"/>
        <v>0</v>
      </c>
      <c r="AA128" s="1246">
        <f t="shared" si="1709"/>
        <v>0</v>
      </c>
      <c r="AB128" s="1246">
        <f t="shared" si="1709"/>
        <v>0</v>
      </c>
      <c r="AC128" s="1246">
        <f t="shared" si="1709"/>
        <v>0</v>
      </c>
      <c r="AD128" s="1246">
        <f t="shared" si="1709"/>
        <v>0</v>
      </c>
      <c r="AE128" s="1246">
        <f t="shared" si="1709"/>
        <v>0</v>
      </c>
      <c r="AF128" s="1246">
        <f t="shared" si="1709"/>
        <v>0</v>
      </c>
      <c r="AG128" s="1246">
        <f t="shared" si="1709"/>
        <v>0</v>
      </c>
      <c r="AH128" s="1246">
        <f t="shared" si="1709"/>
        <v>0</v>
      </c>
      <c r="AI128" s="1247">
        <f t="shared" si="1709"/>
        <v>0</v>
      </c>
      <c r="AJ128" s="1246">
        <f t="shared" si="1709"/>
        <v>0</v>
      </c>
      <c r="AK128" s="1246">
        <f t="shared" si="1709"/>
        <v>0</v>
      </c>
      <c r="AL128" s="1246">
        <f t="shared" si="1709"/>
        <v>0</v>
      </c>
      <c r="AM128" s="1246">
        <f t="shared" si="1709"/>
        <v>0</v>
      </c>
      <c r="AN128" s="1246">
        <f t="shared" si="1709"/>
        <v>0</v>
      </c>
      <c r="AO128" s="1246">
        <f t="shared" si="1709"/>
        <v>0</v>
      </c>
      <c r="AP128" s="1246">
        <f t="shared" si="1709"/>
        <v>0</v>
      </c>
      <c r="AQ128" s="1246">
        <f t="shared" si="1709"/>
        <v>0</v>
      </c>
      <c r="AR128" s="1246">
        <f t="shared" si="1709"/>
        <v>0</v>
      </c>
      <c r="AS128" s="1246">
        <f t="shared" si="1709"/>
        <v>0</v>
      </c>
      <c r="AT128" s="1246">
        <f t="shared" si="1709"/>
        <v>0</v>
      </c>
      <c r="AU128" s="1247">
        <f t="shared" si="1709"/>
        <v>0</v>
      </c>
      <c r="AV128" s="1246">
        <f t="shared" si="1709"/>
        <v>0</v>
      </c>
      <c r="AW128" s="1246">
        <f t="shared" si="1709"/>
        <v>0</v>
      </c>
      <c r="AX128" s="1246">
        <f t="shared" si="1709"/>
        <v>0</v>
      </c>
      <c r="AY128" s="1246">
        <f t="shared" si="1709"/>
        <v>0</v>
      </c>
      <c r="AZ128" s="1246">
        <f t="shared" si="1709"/>
        <v>0</v>
      </c>
      <c r="BA128" s="1246">
        <f t="shared" si="1709"/>
        <v>0</v>
      </c>
      <c r="BB128" s="1246">
        <f t="shared" si="1709"/>
        <v>0</v>
      </c>
      <c r="BC128" s="1246">
        <f t="shared" si="1709"/>
        <v>0</v>
      </c>
      <c r="BD128" s="1246">
        <f t="shared" si="1709"/>
        <v>0</v>
      </c>
      <c r="BE128" s="1246">
        <f t="shared" si="1709"/>
        <v>0</v>
      </c>
      <c r="BF128" s="1246">
        <f t="shared" si="1709"/>
        <v>0</v>
      </c>
      <c r="BG128" s="1247">
        <f t="shared" si="1709"/>
        <v>0</v>
      </c>
      <c r="BH128" s="1246">
        <f t="shared" si="1709"/>
        <v>0</v>
      </c>
      <c r="BI128" s="1246">
        <f t="shared" si="1709"/>
        <v>0</v>
      </c>
      <c r="BJ128" s="1246">
        <f t="shared" si="1709"/>
        <v>0</v>
      </c>
      <c r="BK128" s="1246">
        <f t="shared" si="1709"/>
        <v>0</v>
      </c>
      <c r="BL128" s="1246">
        <f t="shared" si="1709"/>
        <v>0</v>
      </c>
      <c r="BM128" s="1246">
        <f t="shared" si="1709"/>
        <v>0</v>
      </c>
      <c r="BN128" s="1246">
        <f t="shared" si="1709"/>
        <v>0</v>
      </c>
      <c r="BO128" s="1246">
        <f t="shared" si="1709"/>
        <v>0</v>
      </c>
      <c r="BP128" s="1246">
        <f t="shared" si="1709"/>
        <v>0</v>
      </c>
      <c r="BQ128" s="1246">
        <f t="shared" si="1709"/>
        <v>0</v>
      </c>
      <c r="BR128" s="1246">
        <f t="shared" si="1709"/>
        <v>0</v>
      </c>
      <c r="BS128" s="1247">
        <f t="shared" si="1709"/>
        <v>0</v>
      </c>
      <c r="BT128" s="1246">
        <f t="shared" si="1709"/>
        <v>0</v>
      </c>
      <c r="BU128" s="1246">
        <f t="shared" si="1709"/>
        <v>0</v>
      </c>
      <c r="BV128" s="1246">
        <f t="shared" si="1709"/>
        <v>0</v>
      </c>
      <c r="BW128" s="1246">
        <f t="shared" si="1709"/>
        <v>0</v>
      </c>
      <c r="BX128" s="1246">
        <f t="shared" si="1709"/>
        <v>0</v>
      </c>
      <c r="BY128" s="1246">
        <f t="shared" si="1709"/>
        <v>0</v>
      </c>
      <c r="BZ128" s="1246">
        <f t="shared" si="1709"/>
        <v>0</v>
      </c>
      <c r="CA128" s="1246">
        <f t="shared" si="1709"/>
        <v>0</v>
      </c>
      <c r="CB128" s="1246">
        <f t="shared" si="1709"/>
        <v>0</v>
      </c>
      <c r="CC128" s="1246">
        <f t="shared" si="1709"/>
        <v>0</v>
      </c>
      <c r="CD128" s="1246">
        <f t="shared" si="1709"/>
        <v>0</v>
      </c>
      <c r="CE128" s="1247">
        <f t="shared" si="1709"/>
        <v>0</v>
      </c>
      <c r="CF128" s="1246">
        <f t="shared" si="1709"/>
        <v>0</v>
      </c>
      <c r="CG128" s="1246">
        <f t="shared" si="1709"/>
        <v>0</v>
      </c>
      <c r="CH128" s="1246">
        <f t="shared" si="1709"/>
        <v>0</v>
      </c>
      <c r="CI128" s="1246">
        <f t="shared" si="1709"/>
        <v>0</v>
      </c>
      <c r="CJ128" s="1246">
        <f t="shared" ref="CJ128:ED128" si="1710">ROUNDUP($V128*(CJ127/100)/0.8,0)</f>
        <v>0</v>
      </c>
      <c r="CK128" s="1246">
        <f t="shared" si="1710"/>
        <v>0</v>
      </c>
      <c r="CL128" s="1246">
        <f t="shared" si="1710"/>
        <v>0</v>
      </c>
      <c r="CM128" s="1246">
        <f t="shared" si="1710"/>
        <v>0</v>
      </c>
      <c r="CN128" s="1246">
        <f t="shared" si="1710"/>
        <v>0</v>
      </c>
      <c r="CO128" s="1246">
        <f t="shared" si="1710"/>
        <v>0</v>
      </c>
      <c r="CP128" s="1246">
        <f t="shared" si="1710"/>
        <v>0</v>
      </c>
      <c r="CQ128" s="1247">
        <f t="shared" si="1710"/>
        <v>0</v>
      </c>
      <c r="CR128" s="1246">
        <f t="shared" si="1710"/>
        <v>0</v>
      </c>
      <c r="CS128" s="1246">
        <f t="shared" si="1710"/>
        <v>0</v>
      </c>
      <c r="CT128" s="1246">
        <f t="shared" si="1710"/>
        <v>0</v>
      </c>
      <c r="CU128" s="1246">
        <f t="shared" si="1710"/>
        <v>0</v>
      </c>
      <c r="CV128" s="1246">
        <f t="shared" si="1710"/>
        <v>0</v>
      </c>
      <c r="CW128" s="1246">
        <f t="shared" si="1710"/>
        <v>0</v>
      </c>
      <c r="CX128" s="1246">
        <f t="shared" si="1710"/>
        <v>0</v>
      </c>
      <c r="CY128" s="1246">
        <f t="shared" si="1710"/>
        <v>0</v>
      </c>
      <c r="CZ128" s="1246">
        <f t="shared" si="1710"/>
        <v>0</v>
      </c>
      <c r="DA128" s="1246">
        <f t="shared" si="1710"/>
        <v>0</v>
      </c>
      <c r="DB128" s="1246">
        <f t="shared" si="1710"/>
        <v>0</v>
      </c>
      <c r="DC128" s="1247">
        <f t="shared" si="1710"/>
        <v>0</v>
      </c>
      <c r="DD128" s="1246">
        <f t="shared" si="1710"/>
        <v>0</v>
      </c>
      <c r="DE128" s="1246">
        <f t="shared" si="1710"/>
        <v>0</v>
      </c>
      <c r="DF128" s="1246">
        <f t="shared" si="1710"/>
        <v>0</v>
      </c>
      <c r="DG128" s="1246">
        <f t="shared" si="1710"/>
        <v>0</v>
      </c>
      <c r="DH128" s="1246">
        <f t="shared" si="1710"/>
        <v>0</v>
      </c>
      <c r="DI128" s="1246">
        <f t="shared" si="1710"/>
        <v>0</v>
      </c>
      <c r="DJ128" s="1246">
        <f t="shared" si="1710"/>
        <v>0</v>
      </c>
      <c r="DK128" s="1246">
        <f t="shared" si="1710"/>
        <v>0</v>
      </c>
      <c r="DL128" s="1246">
        <f t="shared" si="1710"/>
        <v>0</v>
      </c>
      <c r="DM128" s="1246">
        <f t="shared" si="1710"/>
        <v>0</v>
      </c>
      <c r="DN128" s="1246">
        <f t="shared" si="1710"/>
        <v>0</v>
      </c>
      <c r="DO128" s="1247">
        <f t="shared" si="1710"/>
        <v>0</v>
      </c>
      <c r="DP128" s="1246">
        <f t="shared" si="1710"/>
        <v>0</v>
      </c>
      <c r="DQ128" s="1246">
        <f t="shared" si="1710"/>
        <v>0</v>
      </c>
      <c r="DR128" s="1246">
        <f t="shared" si="1710"/>
        <v>0</v>
      </c>
      <c r="DS128" s="1246">
        <f t="shared" si="1710"/>
        <v>0</v>
      </c>
      <c r="DT128" s="1246">
        <f t="shared" si="1710"/>
        <v>0</v>
      </c>
      <c r="DU128" s="1246">
        <f t="shared" si="1710"/>
        <v>0</v>
      </c>
      <c r="DV128" s="1246">
        <f t="shared" si="1710"/>
        <v>0</v>
      </c>
      <c r="DW128" s="1246">
        <f t="shared" si="1710"/>
        <v>0</v>
      </c>
      <c r="DX128" s="1246">
        <f t="shared" si="1710"/>
        <v>0</v>
      </c>
      <c r="DY128" s="1246">
        <f t="shared" si="1710"/>
        <v>0</v>
      </c>
      <c r="DZ128" s="1246">
        <f t="shared" si="1710"/>
        <v>0</v>
      </c>
      <c r="EA128" s="1247">
        <f t="shared" si="1710"/>
        <v>0</v>
      </c>
      <c r="EB128" s="1246">
        <f t="shared" si="1710"/>
        <v>0</v>
      </c>
      <c r="EC128" s="1246">
        <f t="shared" si="1710"/>
        <v>0</v>
      </c>
      <c r="ED128" s="1248">
        <f t="shared" si="1710"/>
        <v>0</v>
      </c>
    </row>
    <row r="129" spans="1:134" outlineLevel="1" x14ac:dyDescent="0.25">
      <c r="A129">
        <v>3</v>
      </c>
      <c r="B129" t="s">
        <v>285</v>
      </c>
      <c r="C129" s="1279"/>
      <c r="D129" s="1623" t="s">
        <v>286</v>
      </c>
      <c r="E129" s="1623"/>
      <c r="F129" s="1623"/>
      <c r="G129" s="1623"/>
      <c r="H129" s="1623"/>
      <c r="I129" s="1623"/>
      <c r="J129" s="1623"/>
      <c r="K129" s="1623"/>
      <c r="L129" s="1249"/>
      <c r="M129" s="1250"/>
      <c r="N129" s="1251">
        <f>M129/100</f>
        <v>0</v>
      </c>
      <c r="O129" s="1252"/>
      <c r="P129" s="1252"/>
      <c r="Q129" s="1252"/>
      <c r="R129" s="1253">
        <f>P129-N129</f>
        <v>0</v>
      </c>
      <c r="S129" s="1254">
        <f>Q129*100</f>
        <v>0</v>
      </c>
      <c r="T129" s="1254"/>
      <c r="U129" s="1250"/>
      <c r="V129" s="1255"/>
      <c r="W129" s="1256">
        <f>M129</f>
        <v>0</v>
      </c>
      <c r="X129" s="1257">
        <f>W129</f>
        <v>0</v>
      </c>
      <c r="Y129" s="1257">
        <f>X129</f>
        <v>0</v>
      </c>
      <c r="Z129" s="1257">
        <f>O129*100</f>
        <v>0</v>
      </c>
      <c r="AA129" s="1257">
        <f>Z129</f>
        <v>0</v>
      </c>
      <c r="AB129" s="1257">
        <f>AA129</f>
        <v>0</v>
      </c>
      <c r="AC129" s="1257">
        <f>P129*100</f>
        <v>0</v>
      </c>
      <c r="AD129" s="1257">
        <f>AC129</f>
        <v>0</v>
      </c>
      <c r="AE129" s="1257">
        <f>AD129</f>
        <v>0</v>
      </c>
      <c r="AF129" s="1257">
        <f>AE129</f>
        <v>0</v>
      </c>
      <c r="AG129" s="1257">
        <f>AF129</f>
        <v>0</v>
      </c>
      <c r="AH129" s="1257">
        <f>AG129</f>
        <v>0</v>
      </c>
      <c r="AI129" s="1258">
        <f t="shared" ref="AI129" si="1711">(((AH129*(1+($B$36*$B$4)))-AH129)/12)+AH129</f>
        <v>0</v>
      </c>
      <c r="AJ129" s="1257">
        <f t="shared" ref="AJ129" si="1712">(((AI129*(1+($B$36*$B$4)))-AI129)/12)+AI129</f>
        <v>0</v>
      </c>
      <c r="AK129" s="1257">
        <f t="shared" ref="AK129" si="1713">(((AJ129*(1+($B$36*$B$4)))-AJ129)/12)+AJ129</f>
        <v>0</v>
      </c>
      <c r="AL129" s="1257">
        <f t="shared" ref="AL129" si="1714">(((AK129*(1+($B$36*$B$4)))-AK129)/12)+AK129</f>
        <v>0</v>
      </c>
      <c r="AM129" s="1257">
        <f t="shared" ref="AM129" si="1715">(((AL129*(1+($B$36*$B$4)))-AL129)/12)+AL129</f>
        <v>0</v>
      </c>
      <c r="AN129" s="1257">
        <f t="shared" ref="AN129" si="1716">(((AM129*(1+($B$36*$B$4)))-AM129)/12)+AM129</f>
        <v>0</v>
      </c>
      <c r="AO129" s="1257">
        <f t="shared" ref="AO129" si="1717">(((AN129*(1+($B$36*$B$4)))-AN129)/12)+AN129</f>
        <v>0</v>
      </c>
      <c r="AP129" s="1257">
        <f t="shared" ref="AP129" si="1718">(((AO129*(1+($B$36*$B$4)))-AO129)/12)+AO129</f>
        <v>0</v>
      </c>
      <c r="AQ129" s="1257">
        <f t="shared" ref="AQ129" si="1719">(((AP129*(1+($B$36*$B$4)))-AP129)/12)+AP129</f>
        <v>0</v>
      </c>
      <c r="AR129" s="1257">
        <f t="shared" ref="AR129" si="1720">(((AQ129*(1+($B$36*$B$4)))-AQ129)/12)+AQ129</f>
        <v>0</v>
      </c>
      <c r="AS129" s="1257">
        <f t="shared" ref="AS129" si="1721">(((AR129*(1+($B$36*$B$4)))-AR129)/12)+AR129</f>
        <v>0</v>
      </c>
      <c r="AT129" s="1257">
        <f t="shared" ref="AT129" si="1722">(((AS129*(1+($B$36*$B$4)))-AS129)/12)+AS129</f>
        <v>0</v>
      </c>
      <c r="AU129" s="1258">
        <f t="shared" ref="AU129" si="1723">(((AT129*(1+($B$37*$B$4)))-AT129)/12)+AT129</f>
        <v>0</v>
      </c>
      <c r="AV129" s="1257">
        <f t="shared" ref="AV129" si="1724">(((AU129*(1+($B$37*$B$4)))-AU129)/12)+AU129</f>
        <v>0</v>
      </c>
      <c r="AW129" s="1257">
        <f t="shared" ref="AW129" si="1725">(((AV129*(1+($B$37*$B$4)))-AV129)/12)+AV129</f>
        <v>0</v>
      </c>
      <c r="AX129" s="1257">
        <f t="shared" ref="AX129" si="1726">(((AW129*(1+($B$37*$B$4)))-AW129)/12)+AW129</f>
        <v>0</v>
      </c>
      <c r="AY129" s="1257">
        <f t="shared" ref="AY129" si="1727">(((AX129*(1+($B$37*$B$4)))-AX129)/12)+AX129</f>
        <v>0</v>
      </c>
      <c r="AZ129" s="1257">
        <f t="shared" ref="AZ129" si="1728">(((AY129*(1+($B$37*$B$4)))-AY129)/12)+AY129</f>
        <v>0</v>
      </c>
      <c r="BA129" s="1257">
        <f t="shared" ref="BA129" si="1729">(((AZ129*(1+($B$37*$B$4)))-AZ129)/12)+AZ129</f>
        <v>0</v>
      </c>
      <c r="BB129" s="1257">
        <f t="shared" ref="BB129" si="1730">(((BA129*(1+($B$37*$B$4)))-BA129)/12)+BA129</f>
        <v>0</v>
      </c>
      <c r="BC129" s="1257">
        <f t="shared" ref="BC129" si="1731">(((BB129*(1+($B$37*$B$4)))-BB129)/12)+BB129</f>
        <v>0</v>
      </c>
      <c r="BD129" s="1257">
        <f t="shared" ref="BD129" si="1732">(((BC129*(1+($B$37*$B$4)))-BC129)/12)+BC129</f>
        <v>0</v>
      </c>
      <c r="BE129" s="1257">
        <f t="shared" ref="BE129" si="1733">(((BD129*(1+($B$37*$B$4)))-BD129)/12)+BD129</f>
        <v>0</v>
      </c>
      <c r="BF129" s="1257">
        <f t="shared" ref="BF129" si="1734">(((BE129*(1+($B$37*$B$4)))-BE129)/12)+BE129</f>
        <v>0</v>
      </c>
      <c r="BG129" s="1258">
        <f t="shared" ref="BG129" si="1735">(((BF129*(1+($B$38*$B$4)))-BF129)/12)+BF129</f>
        <v>0</v>
      </c>
      <c r="BH129" s="1257">
        <f t="shared" ref="BH129" si="1736">(((BG129*(1+($B$38*$B$4)))-BG129)/12)+BG129</f>
        <v>0</v>
      </c>
      <c r="BI129" s="1257">
        <f t="shared" ref="BI129" si="1737">(((BH129*(1+($B$38*$B$4)))-BH129)/12)+BH129</f>
        <v>0</v>
      </c>
      <c r="BJ129" s="1257">
        <f t="shared" ref="BJ129" si="1738">(((BI129*(1+($B$38*$B$4)))-BI129)/12)+BI129</f>
        <v>0</v>
      </c>
      <c r="BK129" s="1257">
        <f t="shared" ref="BK129" si="1739">(((BJ129*(1+($B$38*$B$4)))-BJ129)/12)+BJ129</f>
        <v>0</v>
      </c>
      <c r="BL129" s="1257">
        <f t="shared" ref="BL129" si="1740">(((BK129*(1+($B$38*$B$4)))-BK129)/12)+BK129</f>
        <v>0</v>
      </c>
      <c r="BM129" s="1257">
        <f t="shared" ref="BM129" si="1741">(((BL129*(1+($B$38*$B$4)))-BL129)/12)+BL129</f>
        <v>0</v>
      </c>
      <c r="BN129" s="1257">
        <f t="shared" ref="BN129" si="1742">(((BM129*(1+($B$38*$B$4)))-BM129)/12)+BM129</f>
        <v>0</v>
      </c>
      <c r="BO129" s="1257">
        <f t="shared" ref="BO129" si="1743">(((BN129*(1+($B$38*$B$4)))-BN129)/12)+BN129</f>
        <v>0</v>
      </c>
      <c r="BP129" s="1257">
        <f t="shared" ref="BP129" si="1744">(((BO129*(1+($B$38*$B$4)))-BO129)/12)+BO129</f>
        <v>0</v>
      </c>
      <c r="BQ129" s="1257">
        <f t="shared" ref="BQ129" si="1745">(((BP129*(1+($B$38*$B$4)))-BP129)/12)+BP129</f>
        <v>0</v>
      </c>
      <c r="BR129" s="1257">
        <f t="shared" ref="BR129" si="1746">(((BQ129*(1+($B$38*$B$4)))-BQ129)/12)+BQ129</f>
        <v>0</v>
      </c>
      <c r="BS129" s="1258">
        <f t="shared" ref="BS129" si="1747">(((BR129*(1+($B$39*$B$4)))-BR129)/12)+BR129</f>
        <v>0</v>
      </c>
      <c r="BT129" s="1257">
        <f t="shared" ref="BT129" si="1748">(((BS129*(1+($B$39*$B$4)))-BS129)/12)+BS129</f>
        <v>0</v>
      </c>
      <c r="BU129" s="1257">
        <f t="shared" ref="BU129" si="1749">(((BT129*(1+($B$39*$B$4)))-BT129)/12)+BT129</f>
        <v>0</v>
      </c>
      <c r="BV129" s="1257">
        <f t="shared" ref="BV129" si="1750">(((BU129*(1+($B$39*$B$4)))-BU129)/12)+BU129</f>
        <v>0</v>
      </c>
      <c r="BW129" s="1257">
        <f t="shared" ref="BW129" si="1751">(((BV129*(1+($B$39*$B$4)))-BV129)/12)+BV129</f>
        <v>0</v>
      </c>
      <c r="BX129" s="1257">
        <f t="shared" ref="BX129" si="1752">(((BW129*(1+($B$39*$B$4)))-BW129)/12)+BW129</f>
        <v>0</v>
      </c>
      <c r="BY129" s="1257">
        <f t="shared" ref="BY129" si="1753">(((BX129*(1+($B$39*$B$4)))-BX129)/12)+BX129</f>
        <v>0</v>
      </c>
      <c r="BZ129" s="1257">
        <f t="shared" ref="BZ129" si="1754">(((BY129*(1+($B$39*$B$4)))-BY129)/12)+BY129</f>
        <v>0</v>
      </c>
      <c r="CA129" s="1257">
        <f t="shared" ref="CA129" si="1755">(((BZ129*(1+($B$39*$B$4)))-BZ129)/12)+BZ129</f>
        <v>0</v>
      </c>
      <c r="CB129" s="1257">
        <f t="shared" ref="CB129" si="1756">(((CA129*(1+($B$39*$B$4)))-CA129)/12)+CA129</f>
        <v>0</v>
      </c>
      <c r="CC129" s="1257">
        <f t="shared" ref="CC129" si="1757">(((CB129*(1+($B$39*$B$4)))-CB129)/12)+CB129</f>
        <v>0</v>
      </c>
      <c r="CD129" s="1257">
        <f t="shared" ref="CD129" si="1758">(((CC129*(1+($B$39*$B$4)))-CC129)/12)+CC129</f>
        <v>0</v>
      </c>
      <c r="CE129" s="1258">
        <f t="shared" ref="CE129" si="1759">(((CD129*(1+($B$40*$B$4)))-CD129)/12)+CD129</f>
        <v>0</v>
      </c>
      <c r="CF129" s="1257">
        <f t="shared" ref="CF129" si="1760">(((CE129*(1+($B$40*$B$4)))-CE129)/12)+CE129</f>
        <v>0</v>
      </c>
      <c r="CG129" s="1257">
        <f t="shared" ref="CG129" si="1761">(((CF129*(1+($B$40*$B$4)))-CF129)/12)+CF129</f>
        <v>0</v>
      </c>
      <c r="CH129" s="1257">
        <f t="shared" ref="CH129" si="1762">(((CG129*(1+($B$40*$B$4)))-CG129)/12)+CG129</f>
        <v>0</v>
      </c>
      <c r="CI129" s="1257">
        <f t="shared" ref="CI129" si="1763">(((CH129*(1+($B$40*$B$4)))-CH129)/12)+CH129</f>
        <v>0</v>
      </c>
      <c r="CJ129" s="1257">
        <f t="shared" ref="CJ129" si="1764">(((CI129*(1+($B$40*$B$4)))-CI129)/12)+CI129</f>
        <v>0</v>
      </c>
      <c r="CK129" s="1257">
        <f t="shared" ref="CK129" si="1765">(((CJ129*(1+($B$40*$B$4)))-CJ129)/12)+CJ129</f>
        <v>0</v>
      </c>
      <c r="CL129" s="1257">
        <f t="shared" ref="CL129" si="1766">(((CK129*(1+($B$40*$B$4)))-CK129)/12)+CK129</f>
        <v>0</v>
      </c>
      <c r="CM129" s="1257">
        <f t="shared" ref="CM129" si="1767">(((CL129*(1+($B$40*$B$4)))-CL129)/12)+CL129</f>
        <v>0</v>
      </c>
      <c r="CN129" s="1257">
        <f t="shared" ref="CN129" si="1768">(((CM129*(1+($B$40*$B$4)))-CM129)/12)+CM129</f>
        <v>0</v>
      </c>
      <c r="CO129" s="1257">
        <f t="shared" ref="CO129" si="1769">(((CN129*(1+($B$40*$B$4)))-CN129)/12)+CN129</f>
        <v>0</v>
      </c>
      <c r="CP129" s="1257">
        <f t="shared" ref="CP129" si="1770">(((CO129*(1+($B$40*$B$4)))-CO129)/12)+CO129</f>
        <v>0</v>
      </c>
      <c r="CQ129" s="1258">
        <f t="shared" ref="CQ129" si="1771">(((CP129*(1+($B$41*$B$4)))-CP129)/12)+CP129</f>
        <v>0</v>
      </c>
      <c r="CR129" s="1257">
        <f t="shared" ref="CR129" si="1772">(((CQ129*(1+($B$41*$B$4)))-CQ129)/12)+CQ129</f>
        <v>0</v>
      </c>
      <c r="CS129" s="1257">
        <f t="shared" ref="CS129" si="1773">(((CR129*(1+($B$41*$B$4)))-CR129)/12)+CR129</f>
        <v>0</v>
      </c>
      <c r="CT129" s="1257">
        <f t="shared" ref="CT129" si="1774">(((CS129*(1+($B$41*$B$4)))-CS129)/12)+CS129</f>
        <v>0</v>
      </c>
      <c r="CU129" s="1257">
        <f t="shared" ref="CU129" si="1775">(((CT129*(1+($B$41*$B$4)))-CT129)/12)+CT129</f>
        <v>0</v>
      </c>
      <c r="CV129" s="1257">
        <f t="shared" ref="CV129" si="1776">(((CU129*(1+($B$41*$B$4)))-CU129)/12)+CU129</f>
        <v>0</v>
      </c>
      <c r="CW129" s="1257">
        <f t="shared" ref="CW129" si="1777">(((CV129*(1+($B$41*$B$4)))-CV129)/12)+CV129</f>
        <v>0</v>
      </c>
      <c r="CX129" s="1257">
        <f t="shared" ref="CX129" si="1778">(((CW129*(1+($B$41*$B$4)))-CW129)/12)+CW129</f>
        <v>0</v>
      </c>
      <c r="CY129" s="1257">
        <f t="shared" ref="CY129" si="1779">(((CX129*(1+($B$41*$B$4)))-CX129)/12)+CX129</f>
        <v>0</v>
      </c>
      <c r="CZ129" s="1257">
        <f t="shared" ref="CZ129" si="1780">(((CY129*(1+($B$41*$B$4)))-CY129)/12)+CY129</f>
        <v>0</v>
      </c>
      <c r="DA129" s="1257">
        <f t="shared" ref="DA129" si="1781">(((CZ129*(1+($B$41*$B$4)))-CZ129)/12)+CZ129</f>
        <v>0</v>
      </c>
      <c r="DB129" s="1257">
        <f t="shared" ref="DB129" si="1782">(((DA129*(1+($B$41*$B$4)))-DA129)/12)+DA129</f>
        <v>0</v>
      </c>
      <c r="DC129" s="1258">
        <f t="shared" ref="DC129" si="1783">(((DB129*(1+($B$42*$B$4)))-DB129)/12)+DB129</f>
        <v>0</v>
      </c>
      <c r="DD129" s="1257">
        <f t="shared" ref="DD129" si="1784">(((DC129*(1+($B$42*$B$4)))-DC129)/12)+DC129</f>
        <v>0</v>
      </c>
      <c r="DE129" s="1257">
        <f t="shared" ref="DE129" si="1785">(((DD129*(1+($B$42*$B$4)))-DD129)/12)+DD129</f>
        <v>0</v>
      </c>
      <c r="DF129" s="1257">
        <f t="shared" ref="DF129" si="1786">(((DE129*(1+($B$42*$B$4)))-DE129)/12)+DE129</f>
        <v>0</v>
      </c>
      <c r="DG129" s="1257">
        <f t="shared" ref="DG129" si="1787">(((DF129*(1+($B$42*$B$4)))-DF129)/12)+DF129</f>
        <v>0</v>
      </c>
      <c r="DH129" s="1257">
        <f t="shared" ref="DH129" si="1788">(((DG129*(1+($B$42*$B$4)))-DG129)/12)+DG129</f>
        <v>0</v>
      </c>
      <c r="DI129" s="1257">
        <f t="shared" ref="DI129" si="1789">(((DH129*(1+($B$42*$B$4)))-DH129)/12)+DH129</f>
        <v>0</v>
      </c>
      <c r="DJ129" s="1257">
        <f t="shared" ref="DJ129" si="1790">(((DI129*(1+($B$42*$B$4)))-DI129)/12)+DI129</f>
        <v>0</v>
      </c>
      <c r="DK129" s="1257">
        <f t="shared" ref="DK129" si="1791">(((DJ129*(1+($B$42*$B$4)))-DJ129)/12)+DJ129</f>
        <v>0</v>
      </c>
      <c r="DL129" s="1257">
        <f t="shared" ref="DL129" si="1792">(((DK129*(1+($B$42*$B$4)))-DK129)/12)+DK129</f>
        <v>0</v>
      </c>
      <c r="DM129" s="1257">
        <f t="shared" ref="DM129" si="1793">(((DL129*(1+($B$42*$B$4)))-DL129)/12)+DL129</f>
        <v>0</v>
      </c>
      <c r="DN129" s="1257">
        <f t="shared" ref="DN129" si="1794">(((DM129*(1+($B$42*$B$4)))-DM129)/12)+DM129</f>
        <v>0</v>
      </c>
      <c r="DO129" s="1258">
        <f t="shared" ref="DO129" si="1795">(((DN129*(1+($B$43*$B$4)))-DN129)/12)+DN129</f>
        <v>0</v>
      </c>
      <c r="DP129" s="1257">
        <f t="shared" ref="DP129" si="1796">(((DO129*(1+($B$43*$B$4)))-DO129)/12)+DO129</f>
        <v>0</v>
      </c>
      <c r="DQ129" s="1257">
        <f t="shared" ref="DQ129" si="1797">(((DP129*(1+($B$43*$B$4)))-DP129)/12)+DP129</f>
        <v>0</v>
      </c>
      <c r="DR129" s="1257">
        <f t="shared" ref="DR129" si="1798">(((DQ129*(1+($B$43*$B$4)))-DQ129)/12)+DQ129</f>
        <v>0</v>
      </c>
      <c r="DS129" s="1257">
        <f t="shared" ref="DS129" si="1799">(((DR129*(1+($B$43*$B$4)))-DR129)/12)+DR129</f>
        <v>0</v>
      </c>
      <c r="DT129" s="1257">
        <f t="shared" ref="DT129" si="1800">(((DS129*(1+($B$43*$B$4)))-DS129)/12)+DS129</f>
        <v>0</v>
      </c>
      <c r="DU129" s="1257">
        <f t="shared" ref="DU129" si="1801">(((DT129*(1+($B$43*$B$4)))-DT129)/12)+DT129</f>
        <v>0</v>
      </c>
      <c r="DV129" s="1257">
        <f t="shared" ref="DV129" si="1802">(((DU129*(1+($B$43*$B$4)))-DU129)/12)+DU129</f>
        <v>0</v>
      </c>
      <c r="DW129" s="1257">
        <f t="shared" ref="DW129" si="1803">(((DV129*(1+($B$43*$B$4)))-DV129)/12)+DV129</f>
        <v>0</v>
      </c>
      <c r="DX129" s="1257">
        <f t="shared" ref="DX129" si="1804">(((DW129*(1+($B$43*$B$4)))-DW129)/12)+DW129</f>
        <v>0</v>
      </c>
      <c r="DY129" s="1257">
        <f t="shared" ref="DY129" si="1805">(((DX129*(1+($B$43*$B$4)))-DX129)/12)+DX129</f>
        <v>0</v>
      </c>
      <c r="DZ129" s="1257">
        <f t="shared" ref="DZ129" si="1806">(((DY129*(1+($B$43*$B$4)))-DY129)/12)+DY129</f>
        <v>0</v>
      </c>
      <c r="EA129" s="1258">
        <f>(((DZ129*(1+($B$44*$B$4)))-DZ129)/12)+DZ129</f>
        <v>0</v>
      </c>
      <c r="EB129" s="1257">
        <f>(((EA129*(1+($B$44*$B$4)))-EA129)/12)+EA129</f>
        <v>0</v>
      </c>
      <c r="EC129" s="1257">
        <f>(((EB129*(1+($B$44*$B$4)))-EB129)/12)+EB129</f>
        <v>0</v>
      </c>
      <c r="ED129" s="1259">
        <f>(((EC129*(1+($B$44*$B$4)))-EC129)/12)+EC129</f>
        <v>0</v>
      </c>
    </row>
    <row r="130" spans="1:134" outlineLevel="1" x14ac:dyDescent="0.25">
      <c r="A130">
        <v>6</v>
      </c>
      <c r="B130" t="s">
        <v>287</v>
      </c>
      <c r="C130" s="1279"/>
      <c r="D130" s="1623"/>
      <c r="E130" s="1623"/>
      <c r="F130" s="1623"/>
      <c r="G130" s="1623"/>
      <c r="H130" s="1623"/>
      <c r="I130" s="1623"/>
      <c r="J130" s="1623"/>
      <c r="K130" s="1623"/>
      <c r="L130" s="1249"/>
      <c r="M130" s="1250"/>
      <c r="N130" s="1251"/>
      <c r="O130" s="1252"/>
      <c r="P130" s="1252"/>
      <c r="Q130" s="1252"/>
      <c r="R130" s="1253"/>
      <c r="S130" s="1254"/>
      <c r="T130" s="1254"/>
      <c r="U130" s="1250"/>
      <c r="V130" s="1255">
        <v>1</v>
      </c>
      <c r="W130" s="1260">
        <f>ROUNDUP($V130*(W129/100)/0.8,0)</f>
        <v>0</v>
      </c>
      <c r="X130" s="1250">
        <f t="shared" ref="X130:CI130" si="1807">ROUNDUP($V130*(X129/100)/0.8,0)</f>
        <v>0</v>
      </c>
      <c r="Y130" s="1250">
        <f t="shared" si="1807"/>
        <v>0</v>
      </c>
      <c r="Z130" s="1250">
        <f t="shared" si="1807"/>
        <v>0</v>
      </c>
      <c r="AA130" s="1250">
        <f t="shared" si="1807"/>
        <v>0</v>
      </c>
      <c r="AB130" s="1250">
        <f t="shared" si="1807"/>
        <v>0</v>
      </c>
      <c r="AC130" s="1250">
        <f t="shared" si="1807"/>
        <v>0</v>
      </c>
      <c r="AD130" s="1250">
        <f t="shared" si="1807"/>
        <v>0</v>
      </c>
      <c r="AE130" s="1250">
        <f t="shared" si="1807"/>
        <v>0</v>
      </c>
      <c r="AF130" s="1250">
        <f t="shared" si="1807"/>
        <v>0</v>
      </c>
      <c r="AG130" s="1250">
        <f t="shared" si="1807"/>
        <v>0</v>
      </c>
      <c r="AH130" s="1250">
        <f t="shared" si="1807"/>
        <v>0</v>
      </c>
      <c r="AI130" s="1261">
        <f t="shared" si="1807"/>
        <v>0</v>
      </c>
      <c r="AJ130" s="1250">
        <f t="shared" si="1807"/>
        <v>0</v>
      </c>
      <c r="AK130" s="1250">
        <f t="shared" si="1807"/>
        <v>0</v>
      </c>
      <c r="AL130" s="1250">
        <f t="shared" si="1807"/>
        <v>0</v>
      </c>
      <c r="AM130" s="1250">
        <f t="shared" si="1807"/>
        <v>0</v>
      </c>
      <c r="AN130" s="1250">
        <f t="shared" si="1807"/>
        <v>0</v>
      </c>
      <c r="AO130" s="1250">
        <f t="shared" si="1807"/>
        <v>0</v>
      </c>
      <c r="AP130" s="1250">
        <f t="shared" si="1807"/>
        <v>0</v>
      </c>
      <c r="AQ130" s="1250">
        <f t="shared" si="1807"/>
        <v>0</v>
      </c>
      <c r="AR130" s="1250">
        <f t="shared" si="1807"/>
        <v>0</v>
      </c>
      <c r="AS130" s="1250">
        <f t="shared" si="1807"/>
        <v>0</v>
      </c>
      <c r="AT130" s="1250">
        <f t="shared" si="1807"/>
        <v>0</v>
      </c>
      <c r="AU130" s="1261">
        <f t="shared" si="1807"/>
        <v>0</v>
      </c>
      <c r="AV130" s="1250">
        <f t="shared" si="1807"/>
        <v>0</v>
      </c>
      <c r="AW130" s="1250">
        <f t="shared" si="1807"/>
        <v>0</v>
      </c>
      <c r="AX130" s="1250">
        <f t="shared" si="1807"/>
        <v>0</v>
      </c>
      <c r="AY130" s="1250">
        <f t="shared" si="1807"/>
        <v>0</v>
      </c>
      <c r="AZ130" s="1250">
        <f t="shared" si="1807"/>
        <v>0</v>
      </c>
      <c r="BA130" s="1250">
        <f t="shared" si="1807"/>
        <v>0</v>
      </c>
      <c r="BB130" s="1250">
        <f t="shared" si="1807"/>
        <v>0</v>
      </c>
      <c r="BC130" s="1250">
        <f t="shared" si="1807"/>
        <v>0</v>
      </c>
      <c r="BD130" s="1250">
        <f t="shared" si="1807"/>
        <v>0</v>
      </c>
      <c r="BE130" s="1250">
        <f t="shared" si="1807"/>
        <v>0</v>
      </c>
      <c r="BF130" s="1250">
        <f t="shared" si="1807"/>
        <v>0</v>
      </c>
      <c r="BG130" s="1261">
        <f t="shared" si="1807"/>
        <v>0</v>
      </c>
      <c r="BH130" s="1250">
        <f t="shared" si="1807"/>
        <v>0</v>
      </c>
      <c r="BI130" s="1250">
        <f t="shared" si="1807"/>
        <v>0</v>
      </c>
      <c r="BJ130" s="1250">
        <f t="shared" si="1807"/>
        <v>0</v>
      </c>
      <c r="BK130" s="1250">
        <f t="shared" si="1807"/>
        <v>0</v>
      </c>
      <c r="BL130" s="1250">
        <f t="shared" si="1807"/>
        <v>0</v>
      </c>
      <c r="BM130" s="1250">
        <f t="shared" si="1807"/>
        <v>0</v>
      </c>
      <c r="BN130" s="1250">
        <f t="shared" si="1807"/>
        <v>0</v>
      </c>
      <c r="BO130" s="1250">
        <f t="shared" si="1807"/>
        <v>0</v>
      </c>
      <c r="BP130" s="1250">
        <f t="shared" si="1807"/>
        <v>0</v>
      </c>
      <c r="BQ130" s="1250">
        <f t="shared" si="1807"/>
        <v>0</v>
      </c>
      <c r="BR130" s="1250">
        <f t="shared" si="1807"/>
        <v>0</v>
      </c>
      <c r="BS130" s="1261">
        <f t="shared" si="1807"/>
        <v>0</v>
      </c>
      <c r="BT130" s="1250">
        <f t="shared" si="1807"/>
        <v>0</v>
      </c>
      <c r="BU130" s="1250">
        <f t="shared" si="1807"/>
        <v>0</v>
      </c>
      <c r="BV130" s="1250">
        <f t="shared" si="1807"/>
        <v>0</v>
      </c>
      <c r="BW130" s="1250">
        <f t="shared" si="1807"/>
        <v>0</v>
      </c>
      <c r="BX130" s="1250">
        <f t="shared" si="1807"/>
        <v>0</v>
      </c>
      <c r="BY130" s="1250">
        <f t="shared" si="1807"/>
        <v>0</v>
      </c>
      <c r="BZ130" s="1250">
        <f t="shared" si="1807"/>
        <v>0</v>
      </c>
      <c r="CA130" s="1250">
        <f t="shared" si="1807"/>
        <v>0</v>
      </c>
      <c r="CB130" s="1250">
        <f t="shared" si="1807"/>
        <v>0</v>
      </c>
      <c r="CC130" s="1250">
        <f t="shared" si="1807"/>
        <v>0</v>
      </c>
      <c r="CD130" s="1250">
        <f t="shared" si="1807"/>
        <v>0</v>
      </c>
      <c r="CE130" s="1261">
        <f t="shared" si="1807"/>
        <v>0</v>
      </c>
      <c r="CF130" s="1250">
        <f t="shared" si="1807"/>
        <v>0</v>
      </c>
      <c r="CG130" s="1250">
        <f t="shared" si="1807"/>
        <v>0</v>
      </c>
      <c r="CH130" s="1250">
        <f t="shared" si="1807"/>
        <v>0</v>
      </c>
      <c r="CI130" s="1250">
        <f t="shared" si="1807"/>
        <v>0</v>
      </c>
      <c r="CJ130" s="1250">
        <f t="shared" ref="CJ130:ED130" si="1808">ROUNDUP($V130*(CJ129/100)/0.8,0)</f>
        <v>0</v>
      </c>
      <c r="CK130" s="1250">
        <f t="shared" si="1808"/>
        <v>0</v>
      </c>
      <c r="CL130" s="1250">
        <f t="shared" si="1808"/>
        <v>0</v>
      </c>
      <c r="CM130" s="1250">
        <f t="shared" si="1808"/>
        <v>0</v>
      </c>
      <c r="CN130" s="1250">
        <f t="shared" si="1808"/>
        <v>0</v>
      </c>
      <c r="CO130" s="1250">
        <f t="shared" si="1808"/>
        <v>0</v>
      </c>
      <c r="CP130" s="1250">
        <f t="shared" si="1808"/>
        <v>0</v>
      </c>
      <c r="CQ130" s="1261">
        <f t="shared" si="1808"/>
        <v>0</v>
      </c>
      <c r="CR130" s="1250">
        <f t="shared" si="1808"/>
        <v>0</v>
      </c>
      <c r="CS130" s="1250">
        <f t="shared" si="1808"/>
        <v>0</v>
      </c>
      <c r="CT130" s="1250">
        <f t="shared" si="1808"/>
        <v>0</v>
      </c>
      <c r="CU130" s="1250">
        <f t="shared" si="1808"/>
        <v>0</v>
      </c>
      <c r="CV130" s="1250">
        <f t="shared" si="1808"/>
        <v>0</v>
      </c>
      <c r="CW130" s="1250">
        <f t="shared" si="1808"/>
        <v>0</v>
      </c>
      <c r="CX130" s="1250">
        <f t="shared" si="1808"/>
        <v>0</v>
      </c>
      <c r="CY130" s="1250">
        <f t="shared" si="1808"/>
        <v>0</v>
      </c>
      <c r="CZ130" s="1250">
        <f t="shared" si="1808"/>
        <v>0</v>
      </c>
      <c r="DA130" s="1250">
        <f t="shared" si="1808"/>
        <v>0</v>
      </c>
      <c r="DB130" s="1250">
        <f t="shared" si="1808"/>
        <v>0</v>
      </c>
      <c r="DC130" s="1261">
        <f t="shared" si="1808"/>
        <v>0</v>
      </c>
      <c r="DD130" s="1250">
        <f t="shared" si="1808"/>
        <v>0</v>
      </c>
      <c r="DE130" s="1250">
        <f t="shared" si="1808"/>
        <v>0</v>
      </c>
      <c r="DF130" s="1250">
        <f t="shared" si="1808"/>
        <v>0</v>
      </c>
      <c r="DG130" s="1250">
        <f t="shared" si="1808"/>
        <v>0</v>
      </c>
      <c r="DH130" s="1250">
        <f t="shared" si="1808"/>
        <v>0</v>
      </c>
      <c r="DI130" s="1250">
        <f t="shared" si="1808"/>
        <v>0</v>
      </c>
      <c r="DJ130" s="1250">
        <f t="shared" si="1808"/>
        <v>0</v>
      </c>
      <c r="DK130" s="1250">
        <f t="shared" si="1808"/>
        <v>0</v>
      </c>
      <c r="DL130" s="1250">
        <f t="shared" si="1808"/>
        <v>0</v>
      </c>
      <c r="DM130" s="1250">
        <f t="shared" si="1808"/>
        <v>0</v>
      </c>
      <c r="DN130" s="1250">
        <f t="shared" si="1808"/>
        <v>0</v>
      </c>
      <c r="DO130" s="1261">
        <f t="shared" si="1808"/>
        <v>0</v>
      </c>
      <c r="DP130" s="1250">
        <f t="shared" si="1808"/>
        <v>0</v>
      </c>
      <c r="DQ130" s="1250">
        <f t="shared" si="1808"/>
        <v>0</v>
      </c>
      <c r="DR130" s="1250">
        <f t="shared" si="1808"/>
        <v>0</v>
      </c>
      <c r="DS130" s="1250">
        <f t="shared" si="1808"/>
        <v>0</v>
      </c>
      <c r="DT130" s="1250">
        <f t="shared" si="1808"/>
        <v>0</v>
      </c>
      <c r="DU130" s="1250">
        <f t="shared" si="1808"/>
        <v>0</v>
      </c>
      <c r="DV130" s="1250">
        <f t="shared" si="1808"/>
        <v>0</v>
      </c>
      <c r="DW130" s="1250">
        <f t="shared" si="1808"/>
        <v>0</v>
      </c>
      <c r="DX130" s="1250">
        <f t="shared" si="1808"/>
        <v>0</v>
      </c>
      <c r="DY130" s="1250">
        <f t="shared" si="1808"/>
        <v>0</v>
      </c>
      <c r="DZ130" s="1250">
        <f t="shared" si="1808"/>
        <v>0</v>
      </c>
      <c r="EA130" s="1261">
        <f t="shared" si="1808"/>
        <v>0</v>
      </c>
      <c r="EB130" s="1250">
        <f t="shared" si="1808"/>
        <v>0</v>
      </c>
      <c r="EC130" s="1250">
        <f t="shared" si="1808"/>
        <v>0</v>
      </c>
      <c r="ED130" s="1262">
        <f t="shared" si="1808"/>
        <v>0</v>
      </c>
    </row>
    <row r="131" spans="1:134" outlineLevel="1" x14ac:dyDescent="0.25">
      <c r="A131">
        <v>2</v>
      </c>
      <c r="B131" t="s">
        <v>288</v>
      </c>
      <c r="C131" s="1279"/>
      <c r="D131" s="1626" t="s">
        <v>289</v>
      </c>
      <c r="E131" s="1626"/>
      <c r="F131" s="1626"/>
      <c r="G131" s="1626"/>
      <c r="H131" s="1626"/>
      <c r="I131" s="1626"/>
      <c r="J131" s="1626"/>
      <c r="K131" s="1626"/>
      <c r="L131" s="1263"/>
      <c r="M131" s="1227"/>
      <c r="N131" s="1264">
        <f>M131/100</f>
        <v>0</v>
      </c>
      <c r="O131" s="1265"/>
      <c r="P131" s="1265"/>
      <c r="Q131" s="1265"/>
      <c r="R131" s="1266">
        <f>P131-N131</f>
        <v>0</v>
      </c>
      <c r="S131" s="1267">
        <f>Q131*100</f>
        <v>0</v>
      </c>
      <c r="T131" s="1267"/>
      <c r="U131" s="1227"/>
      <c r="V131" s="1268"/>
      <c r="W131" s="1234">
        <f>M131</f>
        <v>0</v>
      </c>
      <c r="X131" s="1235">
        <f>W131</f>
        <v>0</v>
      </c>
      <c r="Y131" s="1235">
        <f>X131</f>
        <v>0</v>
      </c>
      <c r="Z131" s="1235">
        <f>O131*100</f>
        <v>0</v>
      </c>
      <c r="AA131" s="1235">
        <f>Z131</f>
        <v>0</v>
      </c>
      <c r="AB131" s="1235">
        <f>AA131</f>
        <v>0</v>
      </c>
      <c r="AC131" s="1235">
        <f>P131*100</f>
        <v>0</v>
      </c>
      <c r="AD131" s="1235">
        <f>AC131</f>
        <v>0</v>
      </c>
      <c r="AE131" s="1235">
        <f>AD131</f>
        <v>0</v>
      </c>
      <c r="AF131" s="1235">
        <f>AE131</f>
        <v>0</v>
      </c>
      <c r="AG131" s="1235">
        <f>AF131</f>
        <v>0</v>
      </c>
      <c r="AH131" s="1235">
        <f>AG131</f>
        <v>0</v>
      </c>
      <c r="AI131" s="1236">
        <f t="shared" ref="AI131" si="1809">(((AH131*(1+($B$36*$B$4)))-AH131)/12)+AH131</f>
        <v>0</v>
      </c>
      <c r="AJ131" s="1235">
        <f t="shared" ref="AJ131" si="1810">(((AI131*(1+($B$36*$B$4)))-AI131)/12)+AI131</f>
        <v>0</v>
      </c>
      <c r="AK131" s="1235">
        <f t="shared" ref="AK131" si="1811">(((AJ131*(1+($B$36*$B$4)))-AJ131)/12)+AJ131</f>
        <v>0</v>
      </c>
      <c r="AL131" s="1235">
        <f t="shared" ref="AL131" si="1812">(((AK131*(1+($B$36*$B$4)))-AK131)/12)+AK131</f>
        <v>0</v>
      </c>
      <c r="AM131" s="1235">
        <f t="shared" ref="AM131" si="1813">(((AL131*(1+($B$36*$B$4)))-AL131)/12)+AL131</f>
        <v>0</v>
      </c>
      <c r="AN131" s="1235">
        <f t="shared" ref="AN131" si="1814">(((AM131*(1+($B$36*$B$4)))-AM131)/12)+AM131</f>
        <v>0</v>
      </c>
      <c r="AO131" s="1235">
        <f t="shared" ref="AO131" si="1815">(((AN131*(1+($B$36*$B$4)))-AN131)/12)+AN131</f>
        <v>0</v>
      </c>
      <c r="AP131" s="1235">
        <f t="shared" ref="AP131" si="1816">(((AO131*(1+($B$36*$B$4)))-AO131)/12)+AO131</f>
        <v>0</v>
      </c>
      <c r="AQ131" s="1235">
        <f t="shared" ref="AQ131" si="1817">(((AP131*(1+($B$36*$B$4)))-AP131)/12)+AP131</f>
        <v>0</v>
      </c>
      <c r="AR131" s="1235">
        <f t="shared" ref="AR131" si="1818">(((AQ131*(1+($B$36*$B$4)))-AQ131)/12)+AQ131</f>
        <v>0</v>
      </c>
      <c r="AS131" s="1235">
        <f t="shared" ref="AS131" si="1819">(((AR131*(1+($B$36*$B$4)))-AR131)/12)+AR131</f>
        <v>0</v>
      </c>
      <c r="AT131" s="1235">
        <f t="shared" ref="AT131" si="1820">(((AS131*(1+($B$36*$B$4)))-AS131)/12)+AS131</f>
        <v>0</v>
      </c>
      <c r="AU131" s="1236">
        <f t="shared" ref="AU131" si="1821">(((AT131*(1+($B$37*$B$4)))-AT131)/12)+AT131</f>
        <v>0</v>
      </c>
      <c r="AV131" s="1235">
        <f t="shared" ref="AV131" si="1822">(((AU131*(1+($B$37*$B$4)))-AU131)/12)+AU131</f>
        <v>0</v>
      </c>
      <c r="AW131" s="1235">
        <f t="shared" ref="AW131" si="1823">(((AV131*(1+($B$37*$B$4)))-AV131)/12)+AV131</f>
        <v>0</v>
      </c>
      <c r="AX131" s="1235">
        <f t="shared" ref="AX131" si="1824">(((AW131*(1+($B$37*$B$4)))-AW131)/12)+AW131</f>
        <v>0</v>
      </c>
      <c r="AY131" s="1235">
        <f t="shared" ref="AY131" si="1825">(((AX131*(1+($B$37*$B$4)))-AX131)/12)+AX131</f>
        <v>0</v>
      </c>
      <c r="AZ131" s="1235">
        <f t="shared" ref="AZ131" si="1826">(((AY131*(1+($B$37*$B$4)))-AY131)/12)+AY131</f>
        <v>0</v>
      </c>
      <c r="BA131" s="1235">
        <f t="shared" ref="BA131" si="1827">(((AZ131*(1+($B$37*$B$4)))-AZ131)/12)+AZ131</f>
        <v>0</v>
      </c>
      <c r="BB131" s="1235">
        <f t="shared" ref="BB131" si="1828">(((BA131*(1+($B$37*$B$4)))-BA131)/12)+BA131</f>
        <v>0</v>
      </c>
      <c r="BC131" s="1235">
        <f t="shared" ref="BC131" si="1829">(((BB131*(1+($B$37*$B$4)))-BB131)/12)+BB131</f>
        <v>0</v>
      </c>
      <c r="BD131" s="1235">
        <f t="shared" ref="BD131" si="1830">(((BC131*(1+($B$37*$B$4)))-BC131)/12)+BC131</f>
        <v>0</v>
      </c>
      <c r="BE131" s="1235">
        <f t="shared" ref="BE131" si="1831">(((BD131*(1+($B$37*$B$4)))-BD131)/12)+BD131</f>
        <v>0</v>
      </c>
      <c r="BF131" s="1235">
        <f t="shared" ref="BF131" si="1832">(((BE131*(1+($B$37*$B$4)))-BE131)/12)+BE131</f>
        <v>0</v>
      </c>
      <c r="BG131" s="1236">
        <f t="shared" ref="BG131" si="1833">(((BF131*(1+($B$38*$B$4)))-BF131)/12)+BF131</f>
        <v>0</v>
      </c>
      <c r="BH131" s="1235">
        <f t="shared" ref="BH131" si="1834">(((BG131*(1+($B$38*$B$4)))-BG131)/12)+BG131</f>
        <v>0</v>
      </c>
      <c r="BI131" s="1235">
        <f t="shared" ref="BI131" si="1835">(((BH131*(1+($B$38*$B$4)))-BH131)/12)+BH131</f>
        <v>0</v>
      </c>
      <c r="BJ131" s="1235">
        <f t="shared" ref="BJ131" si="1836">(((BI131*(1+($B$38*$B$4)))-BI131)/12)+BI131</f>
        <v>0</v>
      </c>
      <c r="BK131" s="1235">
        <f t="shared" ref="BK131" si="1837">(((BJ131*(1+($B$38*$B$4)))-BJ131)/12)+BJ131</f>
        <v>0</v>
      </c>
      <c r="BL131" s="1235">
        <f t="shared" ref="BL131" si="1838">(((BK131*(1+($B$38*$B$4)))-BK131)/12)+BK131</f>
        <v>0</v>
      </c>
      <c r="BM131" s="1235">
        <f t="shared" ref="BM131" si="1839">(((BL131*(1+($B$38*$B$4)))-BL131)/12)+BL131</f>
        <v>0</v>
      </c>
      <c r="BN131" s="1235">
        <f t="shared" ref="BN131" si="1840">(((BM131*(1+($B$38*$B$4)))-BM131)/12)+BM131</f>
        <v>0</v>
      </c>
      <c r="BO131" s="1235">
        <f t="shared" ref="BO131" si="1841">(((BN131*(1+($B$38*$B$4)))-BN131)/12)+BN131</f>
        <v>0</v>
      </c>
      <c r="BP131" s="1235">
        <f t="shared" ref="BP131" si="1842">(((BO131*(1+($B$38*$B$4)))-BO131)/12)+BO131</f>
        <v>0</v>
      </c>
      <c r="BQ131" s="1235">
        <f t="shared" ref="BQ131" si="1843">(((BP131*(1+($B$38*$B$4)))-BP131)/12)+BP131</f>
        <v>0</v>
      </c>
      <c r="BR131" s="1235">
        <f t="shared" ref="BR131" si="1844">(((BQ131*(1+($B$38*$B$4)))-BQ131)/12)+BQ131</f>
        <v>0</v>
      </c>
      <c r="BS131" s="1236">
        <f t="shared" ref="BS131" si="1845">(((BR131*(1+($B$39*$B$4)))-BR131)/12)+BR131</f>
        <v>0</v>
      </c>
      <c r="BT131" s="1235">
        <f t="shared" ref="BT131" si="1846">(((BS131*(1+($B$39*$B$4)))-BS131)/12)+BS131</f>
        <v>0</v>
      </c>
      <c r="BU131" s="1235">
        <f t="shared" ref="BU131" si="1847">(((BT131*(1+($B$39*$B$4)))-BT131)/12)+BT131</f>
        <v>0</v>
      </c>
      <c r="BV131" s="1235">
        <f t="shared" ref="BV131" si="1848">(((BU131*(1+($B$39*$B$4)))-BU131)/12)+BU131</f>
        <v>0</v>
      </c>
      <c r="BW131" s="1235">
        <f t="shared" ref="BW131" si="1849">(((BV131*(1+($B$39*$B$4)))-BV131)/12)+BV131</f>
        <v>0</v>
      </c>
      <c r="BX131" s="1235">
        <f t="shared" ref="BX131" si="1850">(((BW131*(1+($B$39*$B$4)))-BW131)/12)+BW131</f>
        <v>0</v>
      </c>
      <c r="BY131" s="1235">
        <f t="shared" ref="BY131" si="1851">(((BX131*(1+($B$39*$B$4)))-BX131)/12)+BX131</f>
        <v>0</v>
      </c>
      <c r="BZ131" s="1235">
        <f t="shared" ref="BZ131" si="1852">(((BY131*(1+($B$39*$B$4)))-BY131)/12)+BY131</f>
        <v>0</v>
      </c>
      <c r="CA131" s="1235">
        <f t="shared" ref="CA131" si="1853">(((BZ131*(1+($B$39*$B$4)))-BZ131)/12)+BZ131</f>
        <v>0</v>
      </c>
      <c r="CB131" s="1235">
        <f t="shared" ref="CB131" si="1854">(((CA131*(1+($B$39*$B$4)))-CA131)/12)+CA131</f>
        <v>0</v>
      </c>
      <c r="CC131" s="1235">
        <f t="shared" ref="CC131" si="1855">(((CB131*(1+($B$39*$B$4)))-CB131)/12)+CB131</f>
        <v>0</v>
      </c>
      <c r="CD131" s="1235">
        <f t="shared" ref="CD131" si="1856">(((CC131*(1+($B$39*$B$4)))-CC131)/12)+CC131</f>
        <v>0</v>
      </c>
      <c r="CE131" s="1236">
        <f t="shared" ref="CE131" si="1857">(((CD131*(1+($B$40*$B$4)))-CD131)/12)+CD131</f>
        <v>0</v>
      </c>
      <c r="CF131" s="1235">
        <f t="shared" ref="CF131" si="1858">(((CE131*(1+($B$40*$B$4)))-CE131)/12)+CE131</f>
        <v>0</v>
      </c>
      <c r="CG131" s="1235">
        <f t="shared" ref="CG131" si="1859">(((CF131*(1+($B$40*$B$4)))-CF131)/12)+CF131</f>
        <v>0</v>
      </c>
      <c r="CH131" s="1235">
        <f t="shared" ref="CH131" si="1860">(((CG131*(1+($B$40*$B$4)))-CG131)/12)+CG131</f>
        <v>0</v>
      </c>
      <c r="CI131" s="1235">
        <f t="shared" ref="CI131" si="1861">(((CH131*(1+($B$40*$B$4)))-CH131)/12)+CH131</f>
        <v>0</v>
      </c>
      <c r="CJ131" s="1235">
        <f t="shared" ref="CJ131" si="1862">(((CI131*(1+($B$40*$B$4)))-CI131)/12)+CI131</f>
        <v>0</v>
      </c>
      <c r="CK131" s="1235">
        <f t="shared" ref="CK131" si="1863">(((CJ131*(1+($B$40*$B$4)))-CJ131)/12)+CJ131</f>
        <v>0</v>
      </c>
      <c r="CL131" s="1235">
        <f t="shared" ref="CL131" si="1864">(((CK131*(1+($B$40*$B$4)))-CK131)/12)+CK131</f>
        <v>0</v>
      </c>
      <c r="CM131" s="1235">
        <f t="shared" ref="CM131" si="1865">(((CL131*(1+($B$40*$B$4)))-CL131)/12)+CL131</f>
        <v>0</v>
      </c>
      <c r="CN131" s="1235">
        <f t="shared" ref="CN131" si="1866">(((CM131*(1+($B$40*$B$4)))-CM131)/12)+CM131</f>
        <v>0</v>
      </c>
      <c r="CO131" s="1235">
        <f t="shared" ref="CO131" si="1867">(((CN131*(1+($B$40*$B$4)))-CN131)/12)+CN131</f>
        <v>0</v>
      </c>
      <c r="CP131" s="1235">
        <f t="shared" ref="CP131" si="1868">(((CO131*(1+($B$40*$B$4)))-CO131)/12)+CO131</f>
        <v>0</v>
      </c>
      <c r="CQ131" s="1236">
        <f t="shared" ref="CQ131" si="1869">(((CP131*(1+($B$41*$B$4)))-CP131)/12)+CP131</f>
        <v>0</v>
      </c>
      <c r="CR131" s="1235">
        <f t="shared" ref="CR131" si="1870">(((CQ131*(1+($B$41*$B$4)))-CQ131)/12)+CQ131</f>
        <v>0</v>
      </c>
      <c r="CS131" s="1235">
        <f t="shared" ref="CS131" si="1871">(((CR131*(1+($B$41*$B$4)))-CR131)/12)+CR131</f>
        <v>0</v>
      </c>
      <c r="CT131" s="1235">
        <f t="shared" ref="CT131" si="1872">(((CS131*(1+($B$41*$B$4)))-CS131)/12)+CS131</f>
        <v>0</v>
      </c>
      <c r="CU131" s="1235">
        <f t="shared" ref="CU131" si="1873">(((CT131*(1+($B$41*$B$4)))-CT131)/12)+CT131</f>
        <v>0</v>
      </c>
      <c r="CV131" s="1235">
        <f t="shared" ref="CV131" si="1874">(((CU131*(1+($B$41*$B$4)))-CU131)/12)+CU131</f>
        <v>0</v>
      </c>
      <c r="CW131" s="1235">
        <f t="shared" ref="CW131" si="1875">(((CV131*(1+($B$41*$B$4)))-CV131)/12)+CV131</f>
        <v>0</v>
      </c>
      <c r="CX131" s="1235">
        <f t="shared" ref="CX131" si="1876">(((CW131*(1+($B$41*$B$4)))-CW131)/12)+CW131</f>
        <v>0</v>
      </c>
      <c r="CY131" s="1235">
        <f t="shared" ref="CY131" si="1877">(((CX131*(1+($B$41*$B$4)))-CX131)/12)+CX131</f>
        <v>0</v>
      </c>
      <c r="CZ131" s="1235">
        <f t="shared" ref="CZ131" si="1878">(((CY131*(1+($B$41*$B$4)))-CY131)/12)+CY131</f>
        <v>0</v>
      </c>
      <c r="DA131" s="1235">
        <f t="shared" ref="DA131" si="1879">(((CZ131*(1+($B$41*$B$4)))-CZ131)/12)+CZ131</f>
        <v>0</v>
      </c>
      <c r="DB131" s="1235">
        <f t="shared" ref="DB131" si="1880">(((DA131*(1+($B$41*$B$4)))-DA131)/12)+DA131</f>
        <v>0</v>
      </c>
      <c r="DC131" s="1236">
        <f t="shared" ref="DC131" si="1881">(((DB131*(1+($B$42*$B$4)))-DB131)/12)+DB131</f>
        <v>0</v>
      </c>
      <c r="DD131" s="1235">
        <f t="shared" ref="DD131" si="1882">(((DC131*(1+($B$42*$B$4)))-DC131)/12)+DC131</f>
        <v>0</v>
      </c>
      <c r="DE131" s="1235">
        <f t="shared" ref="DE131" si="1883">(((DD131*(1+($B$42*$B$4)))-DD131)/12)+DD131</f>
        <v>0</v>
      </c>
      <c r="DF131" s="1235">
        <f t="shared" ref="DF131" si="1884">(((DE131*(1+($B$42*$B$4)))-DE131)/12)+DE131</f>
        <v>0</v>
      </c>
      <c r="DG131" s="1235">
        <f t="shared" ref="DG131" si="1885">(((DF131*(1+($B$42*$B$4)))-DF131)/12)+DF131</f>
        <v>0</v>
      </c>
      <c r="DH131" s="1235">
        <f t="shared" ref="DH131" si="1886">(((DG131*(1+($B$42*$B$4)))-DG131)/12)+DG131</f>
        <v>0</v>
      </c>
      <c r="DI131" s="1235">
        <f t="shared" ref="DI131" si="1887">(((DH131*(1+($B$42*$B$4)))-DH131)/12)+DH131</f>
        <v>0</v>
      </c>
      <c r="DJ131" s="1235">
        <f t="shared" ref="DJ131" si="1888">(((DI131*(1+($B$42*$B$4)))-DI131)/12)+DI131</f>
        <v>0</v>
      </c>
      <c r="DK131" s="1235">
        <f t="shared" ref="DK131" si="1889">(((DJ131*(1+($B$42*$B$4)))-DJ131)/12)+DJ131</f>
        <v>0</v>
      </c>
      <c r="DL131" s="1235">
        <f t="shared" ref="DL131" si="1890">(((DK131*(1+($B$42*$B$4)))-DK131)/12)+DK131</f>
        <v>0</v>
      </c>
      <c r="DM131" s="1235">
        <f t="shared" ref="DM131" si="1891">(((DL131*(1+($B$42*$B$4)))-DL131)/12)+DL131</f>
        <v>0</v>
      </c>
      <c r="DN131" s="1235">
        <f t="shared" ref="DN131" si="1892">(((DM131*(1+($B$42*$B$4)))-DM131)/12)+DM131</f>
        <v>0</v>
      </c>
      <c r="DO131" s="1236">
        <f t="shared" ref="DO131" si="1893">(((DN131*(1+($B$43*$B$4)))-DN131)/12)+DN131</f>
        <v>0</v>
      </c>
      <c r="DP131" s="1235">
        <f t="shared" ref="DP131" si="1894">(((DO131*(1+($B$43*$B$4)))-DO131)/12)+DO131</f>
        <v>0</v>
      </c>
      <c r="DQ131" s="1235">
        <f t="shared" ref="DQ131" si="1895">(((DP131*(1+($B$43*$B$4)))-DP131)/12)+DP131</f>
        <v>0</v>
      </c>
      <c r="DR131" s="1235">
        <f t="shared" ref="DR131" si="1896">(((DQ131*(1+($B$43*$B$4)))-DQ131)/12)+DQ131</f>
        <v>0</v>
      </c>
      <c r="DS131" s="1235">
        <f t="shared" ref="DS131" si="1897">(((DR131*(1+($B$43*$B$4)))-DR131)/12)+DR131</f>
        <v>0</v>
      </c>
      <c r="DT131" s="1235">
        <f t="shared" ref="DT131" si="1898">(((DS131*(1+($B$43*$B$4)))-DS131)/12)+DS131</f>
        <v>0</v>
      </c>
      <c r="DU131" s="1235">
        <f t="shared" ref="DU131" si="1899">(((DT131*(1+($B$43*$B$4)))-DT131)/12)+DT131</f>
        <v>0</v>
      </c>
      <c r="DV131" s="1235">
        <f t="shared" ref="DV131" si="1900">(((DU131*(1+($B$43*$B$4)))-DU131)/12)+DU131</f>
        <v>0</v>
      </c>
      <c r="DW131" s="1235">
        <f t="shared" ref="DW131" si="1901">(((DV131*(1+($B$43*$B$4)))-DV131)/12)+DV131</f>
        <v>0</v>
      </c>
      <c r="DX131" s="1235">
        <f t="shared" ref="DX131" si="1902">(((DW131*(1+($B$43*$B$4)))-DW131)/12)+DW131</f>
        <v>0</v>
      </c>
      <c r="DY131" s="1235">
        <f t="shared" ref="DY131" si="1903">(((DX131*(1+($B$43*$B$4)))-DX131)/12)+DX131</f>
        <v>0</v>
      </c>
      <c r="DZ131" s="1235">
        <f t="shared" ref="DZ131" si="1904">(((DY131*(1+($B$43*$B$4)))-DY131)/12)+DY131</f>
        <v>0</v>
      </c>
      <c r="EA131" s="1236">
        <f>(((DZ131*(1+($B$44*$B$4)))-DZ131)/12)+DZ131</f>
        <v>0</v>
      </c>
      <c r="EB131" s="1235">
        <f>(((EA131*(1+($B$44*$B$4)))-EA131)/12)+EA131</f>
        <v>0</v>
      </c>
      <c r="EC131" s="1235">
        <f>(((EB131*(1+($B$44*$B$4)))-EB131)/12)+EB131</f>
        <v>0</v>
      </c>
      <c r="ED131" s="1237">
        <f>(((EC131*(1+($B$44*$B$4)))-EC131)/12)+EC131</f>
        <v>0</v>
      </c>
    </row>
    <row r="132" spans="1:134" outlineLevel="1" x14ac:dyDescent="0.25">
      <c r="A132">
        <v>3</v>
      </c>
      <c r="B132" t="s">
        <v>290</v>
      </c>
      <c r="C132" s="1279"/>
      <c r="D132" s="1627"/>
      <c r="E132" s="1627"/>
      <c r="F132" s="1627"/>
      <c r="G132" s="1627"/>
      <c r="H132" s="1627"/>
      <c r="I132" s="1627"/>
      <c r="J132" s="1627"/>
      <c r="K132" s="1627"/>
      <c r="L132" s="1269"/>
      <c r="M132" s="1246"/>
      <c r="N132" s="1270"/>
      <c r="O132" s="1271"/>
      <c r="P132" s="1271"/>
      <c r="Q132" s="1271"/>
      <c r="R132" s="1272"/>
      <c r="S132" s="1273"/>
      <c r="T132" s="1273"/>
      <c r="U132" s="1246"/>
      <c r="V132" s="1274">
        <v>1</v>
      </c>
      <c r="W132" s="1245">
        <f>ROUNDUP($V132*(W131/100)/0.8,0)</f>
        <v>0</v>
      </c>
      <c r="X132" s="1246">
        <f t="shared" ref="X132:CI132" si="1905">ROUNDUP($V132*(X131/100)/0.8,0)</f>
        <v>0</v>
      </c>
      <c r="Y132" s="1246">
        <f t="shared" si="1905"/>
        <v>0</v>
      </c>
      <c r="Z132" s="1246">
        <f t="shared" si="1905"/>
        <v>0</v>
      </c>
      <c r="AA132" s="1246">
        <f t="shared" si="1905"/>
        <v>0</v>
      </c>
      <c r="AB132" s="1246">
        <f t="shared" si="1905"/>
        <v>0</v>
      </c>
      <c r="AC132" s="1246">
        <f t="shared" si="1905"/>
        <v>0</v>
      </c>
      <c r="AD132" s="1246">
        <f t="shared" si="1905"/>
        <v>0</v>
      </c>
      <c r="AE132" s="1246">
        <f t="shared" si="1905"/>
        <v>0</v>
      </c>
      <c r="AF132" s="1246">
        <f t="shared" si="1905"/>
        <v>0</v>
      </c>
      <c r="AG132" s="1246">
        <f t="shared" si="1905"/>
        <v>0</v>
      </c>
      <c r="AH132" s="1246">
        <f t="shared" si="1905"/>
        <v>0</v>
      </c>
      <c r="AI132" s="1247">
        <f t="shared" si="1905"/>
        <v>0</v>
      </c>
      <c r="AJ132" s="1246">
        <f t="shared" si="1905"/>
        <v>0</v>
      </c>
      <c r="AK132" s="1246">
        <f t="shared" si="1905"/>
        <v>0</v>
      </c>
      <c r="AL132" s="1246">
        <f t="shared" si="1905"/>
        <v>0</v>
      </c>
      <c r="AM132" s="1246">
        <f t="shared" si="1905"/>
        <v>0</v>
      </c>
      <c r="AN132" s="1246">
        <f t="shared" si="1905"/>
        <v>0</v>
      </c>
      <c r="AO132" s="1246">
        <f t="shared" si="1905"/>
        <v>0</v>
      </c>
      <c r="AP132" s="1246">
        <f t="shared" si="1905"/>
        <v>0</v>
      </c>
      <c r="AQ132" s="1246">
        <f t="shared" si="1905"/>
        <v>0</v>
      </c>
      <c r="AR132" s="1246">
        <f t="shared" si="1905"/>
        <v>0</v>
      </c>
      <c r="AS132" s="1246">
        <f t="shared" si="1905"/>
        <v>0</v>
      </c>
      <c r="AT132" s="1246">
        <f t="shared" si="1905"/>
        <v>0</v>
      </c>
      <c r="AU132" s="1247">
        <f t="shared" si="1905"/>
        <v>0</v>
      </c>
      <c r="AV132" s="1246">
        <f t="shared" si="1905"/>
        <v>0</v>
      </c>
      <c r="AW132" s="1246">
        <f t="shared" si="1905"/>
        <v>0</v>
      </c>
      <c r="AX132" s="1246">
        <f t="shared" si="1905"/>
        <v>0</v>
      </c>
      <c r="AY132" s="1246">
        <f t="shared" si="1905"/>
        <v>0</v>
      </c>
      <c r="AZ132" s="1246">
        <f t="shared" si="1905"/>
        <v>0</v>
      </c>
      <c r="BA132" s="1246">
        <f t="shared" si="1905"/>
        <v>0</v>
      </c>
      <c r="BB132" s="1246">
        <f t="shared" si="1905"/>
        <v>0</v>
      </c>
      <c r="BC132" s="1246">
        <f t="shared" si="1905"/>
        <v>0</v>
      </c>
      <c r="BD132" s="1246">
        <f t="shared" si="1905"/>
        <v>0</v>
      </c>
      <c r="BE132" s="1246">
        <f t="shared" si="1905"/>
        <v>0</v>
      </c>
      <c r="BF132" s="1246">
        <f t="shared" si="1905"/>
        <v>0</v>
      </c>
      <c r="BG132" s="1247">
        <f t="shared" si="1905"/>
        <v>0</v>
      </c>
      <c r="BH132" s="1246">
        <f t="shared" si="1905"/>
        <v>0</v>
      </c>
      <c r="BI132" s="1246">
        <f t="shared" si="1905"/>
        <v>0</v>
      </c>
      <c r="BJ132" s="1246">
        <f t="shared" si="1905"/>
        <v>0</v>
      </c>
      <c r="BK132" s="1246">
        <f t="shared" si="1905"/>
        <v>0</v>
      </c>
      <c r="BL132" s="1246">
        <f t="shared" si="1905"/>
        <v>0</v>
      </c>
      <c r="BM132" s="1246">
        <f t="shared" si="1905"/>
        <v>0</v>
      </c>
      <c r="BN132" s="1246">
        <f t="shared" si="1905"/>
        <v>0</v>
      </c>
      <c r="BO132" s="1246">
        <f t="shared" si="1905"/>
        <v>0</v>
      </c>
      <c r="BP132" s="1246">
        <f t="shared" si="1905"/>
        <v>0</v>
      </c>
      <c r="BQ132" s="1246">
        <f t="shared" si="1905"/>
        <v>0</v>
      </c>
      <c r="BR132" s="1246">
        <f t="shared" si="1905"/>
        <v>0</v>
      </c>
      <c r="BS132" s="1247">
        <f t="shared" si="1905"/>
        <v>0</v>
      </c>
      <c r="BT132" s="1246">
        <f t="shared" si="1905"/>
        <v>0</v>
      </c>
      <c r="BU132" s="1246">
        <f t="shared" si="1905"/>
        <v>0</v>
      </c>
      <c r="BV132" s="1246">
        <f t="shared" si="1905"/>
        <v>0</v>
      </c>
      <c r="BW132" s="1246">
        <f t="shared" si="1905"/>
        <v>0</v>
      </c>
      <c r="BX132" s="1246">
        <f t="shared" si="1905"/>
        <v>0</v>
      </c>
      <c r="BY132" s="1246">
        <f t="shared" si="1905"/>
        <v>0</v>
      </c>
      <c r="BZ132" s="1246">
        <f t="shared" si="1905"/>
        <v>0</v>
      </c>
      <c r="CA132" s="1246">
        <f t="shared" si="1905"/>
        <v>0</v>
      </c>
      <c r="CB132" s="1246">
        <f t="shared" si="1905"/>
        <v>0</v>
      </c>
      <c r="CC132" s="1246">
        <f t="shared" si="1905"/>
        <v>0</v>
      </c>
      <c r="CD132" s="1246">
        <f t="shared" si="1905"/>
        <v>0</v>
      </c>
      <c r="CE132" s="1247">
        <f t="shared" si="1905"/>
        <v>0</v>
      </c>
      <c r="CF132" s="1246">
        <f t="shared" si="1905"/>
        <v>0</v>
      </c>
      <c r="CG132" s="1246">
        <f t="shared" si="1905"/>
        <v>0</v>
      </c>
      <c r="CH132" s="1246">
        <f t="shared" si="1905"/>
        <v>0</v>
      </c>
      <c r="CI132" s="1246">
        <f t="shared" si="1905"/>
        <v>0</v>
      </c>
      <c r="CJ132" s="1246">
        <f t="shared" ref="CJ132:ED132" si="1906">ROUNDUP($V132*(CJ131/100)/0.8,0)</f>
        <v>0</v>
      </c>
      <c r="CK132" s="1246">
        <f t="shared" si="1906"/>
        <v>0</v>
      </c>
      <c r="CL132" s="1246">
        <f t="shared" si="1906"/>
        <v>0</v>
      </c>
      <c r="CM132" s="1246">
        <f t="shared" si="1906"/>
        <v>0</v>
      </c>
      <c r="CN132" s="1246">
        <f t="shared" si="1906"/>
        <v>0</v>
      </c>
      <c r="CO132" s="1246">
        <f t="shared" si="1906"/>
        <v>0</v>
      </c>
      <c r="CP132" s="1246">
        <f t="shared" si="1906"/>
        <v>0</v>
      </c>
      <c r="CQ132" s="1247">
        <f t="shared" si="1906"/>
        <v>0</v>
      </c>
      <c r="CR132" s="1246">
        <f t="shared" si="1906"/>
        <v>0</v>
      </c>
      <c r="CS132" s="1246">
        <f t="shared" si="1906"/>
        <v>0</v>
      </c>
      <c r="CT132" s="1246">
        <f t="shared" si="1906"/>
        <v>0</v>
      </c>
      <c r="CU132" s="1246">
        <f t="shared" si="1906"/>
        <v>0</v>
      </c>
      <c r="CV132" s="1246">
        <f t="shared" si="1906"/>
        <v>0</v>
      </c>
      <c r="CW132" s="1246">
        <f t="shared" si="1906"/>
        <v>0</v>
      </c>
      <c r="CX132" s="1246">
        <f t="shared" si="1906"/>
        <v>0</v>
      </c>
      <c r="CY132" s="1246">
        <f t="shared" si="1906"/>
        <v>0</v>
      </c>
      <c r="CZ132" s="1246">
        <f t="shared" si="1906"/>
        <v>0</v>
      </c>
      <c r="DA132" s="1246">
        <f t="shared" si="1906"/>
        <v>0</v>
      </c>
      <c r="DB132" s="1246">
        <f t="shared" si="1906"/>
        <v>0</v>
      </c>
      <c r="DC132" s="1247">
        <f t="shared" si="1906"/>
        <v>0</v>
      </c>
      <c r="DD132" s="1246">
        <f t="shared" si="1906"/>
        <v>0</v>
      </c>
      <c r="DE132" s="1246">
        <f t="shared" si="1906"/>
        <v>0</v>
      </c>
      <c r="DF132" s="1246">
        <f t="shared" si="1906"/>
        <v>0</v>
      </c>
      <c r="DG132" s="1246">
        <f t="shared" si="1906"/>
        <v>0</v>
      </c>
      <c r="DH132" s="1246">
        <f t="shared" si="1906"/>
        <v>0</v>
      </c>
      <c r="DI132" s="1246">
        <f t="shared" si="1906"/>
        <v>0</v>
      </c>
      <c r="DJ132" s="1246">
        <f t="shared" si="1906"/>
        <v>0</v>
      </c>
      <c r="DK132" s="1246">
        <f t="shared" si="1906"/>
        <v>0</v>
      </c>
      <c r="DL132" s="1246">
        <f t="shared" si="1906"/>
        <v>0</v>
      </c>
      <c r="DM132" s="1246">
        <f t="shared" si="1906"/>
        <v>0</v>
      </c>
      <c r="DN132" s="1246">
        <f t="shared" si="1906"/>
        <v>0</v>
      </c>
      <c r="DO132" s="1247">
        <f t="shared" si="1906"/>
        <v>0</v>
      </c>
      <c r="DP132" s="1246">
        <f t="shared" si="1906"/>
        <v>0</v>
      </c>
      <c r="DQ132" s="1246">
        <f t="shared" si="1906"/>
        <v>0</v>
      </c>
      <c r="DR132" s="1246">
        <f t="shared" si="1906"/>
        <v>0</v>
      </c>
      <c r="DS132" s="1246">
        <f t="shared" si="1906"/>
        <v>0</v>
      </c>
      <c r="DT132" s="1246">
        <f t="shared" si="1906"/>
        <v>0</v>
      </c>
      <c r="DU132" s="1246">
        <f t="shared" si="1906"/>
        <v>0</v>
      </c>
      <c r="DV132" s="1246">
        <f t="shared" si="1906"/>
        <v>0</v>
      </c>
      <c r="DW132" s="1246">
        <f t="shared" si="1906"/>
        <v>0</v>
      </c>
      <c r="DX132" s="1246">
        <f t="shared" si="1906"/>
        <v>0</v>
      </c>
      <c r="DY132" s="1246">
        <f t="shared" si="1906"/>
        <v>0</v>
      </c>
      <c r="DZ132" s="1246">
        <f t="shared" si="1906"/>
        <v>0</v>
      </c>
      <c r="EA132" s="1247">
        <f t="shared" si="1906"/>
        <v>0</v>
      </c>
      <c r="EB132" s="1246">
        <f t="shared" si="1906"/>
        <v>0</v>
      </c>
      <c r="EC132" s="1246">
        <f t="shared" si="1906"/>
        <v>0</v>
      </c>
      <c r="ED132" s="1248">
        <f t="shared" si="1906"/>
        <v>0</v>
      </c>
    </row>
    <row r="133" spans="1:134" outlineLevel="1" x14ac:dyDescent="0.25">
      <c r="A133">
        <v>1</v>
      </c>
      <c r="B133" t="s">
        <v>291</v>
      </c>
      <c r="C133" s="1279"/>
      <c r="D133" s="1623" t="s">
        <v>292</v>
      </c>
      <c r="E133" s="1623"/>
      <c r="F133" s="1623"/>
      <c r="G133" s="1623"/>
      <c r="H133" s="1623"/>
      <c r="I133" s="1623"/>
      <c r="J133" s="1623"/>
      <c r="K133" s="1623"/>
      <c r="L133" s="1249"/>
      <c r="M133" s="1250"/>
      <c r="N133" s="1251">
        <f>M133/100</f>
        <v>0</v>
      </c>
      <c r="O133" s="1252"/>
      <c r="P133" s="1252"/>
      <c r="Q133" s="1252"/>
      <c r="R133" s="1253">
        <f>P133-N133</f>
        <v>0</v>
      </c>
      <c r="S133" s="1254">
        <f>Q133*100</f>
        <v>0</v>
      </c>
      <c r="T133" s="1254"/>
      <c r="U133" s="1250"/>
      <c r="V133" s="1255"/>
      <c r="W133" s="1256">
        <f>M133</f>
        <v>0</v>
      </c>
      <c r="X133" s="1257">
        <f>W133</f>
        <v>0</v>
      </c>
      <c r="Y133" s="1257">
        <f>X133</f>
        <v>0</v>
      </c>
      <c r="Z133" s="1257">
        <f>O133*100</f>
        <v>0</v>
      </c>
      <c r="AA133" s="1257">
        <f>Z133</f>
        <v>0</v>
      </c>
      <c r="AB133" s="1257">
        <f>AA133</f>
        <v>0</v>
      </c>
      <c r="AC133" s="1257">
        <f>P133*100</f>
        <v>0</v>
      </c>
      <c r="AD133" s="1257">
        <f>AC133</f>
        <v>0</v>
      </c>
      <c r="AE133" s="1257">
        <f>AD133</f>
        <v>0</v>
      </c>
      <c r="AF133" s="1257">
        <f>AE133</f>
        <v>0</v>
      </c>
      <c r="AG133" s="1257">
        <f>AF133</f>
        <v>0</v>
      </c>
      <c r="AH133" s="1257">
        <f>AG133</f>
        <v>0</v>
      </c>
      <c r="AI133" s="1258">
        <f t="shared" ref="AI133" si="1907">(((AH133*(1+($B$36*$B$4)))-AH133)/12)+AH133</f>
        <v>0</v>
      </c>
      <c r="AJ133" s="1257">
        <f t="shared" ref="AJ133" si="1908">(((AI133*(1+($B$36*$B$4)))-AI133)/12)+AI133</f>
        <v>0</v>
      </c>
      <c r="AK133" s="1257">
        <f t="shared" ref="AK133" si="1909">(((AJ133*(1+($B$36*$B$4)))-AJ133)/12)+AJ133</f>
        <v>0</v>
      </c>
      <c r="AL133" s="1257">
        <f t="shared" ref="AL133" si="1910">(((AK133*(1+($B$36*$B$4)))-AK133)/12)+AK133</f>
        <v>0</v>
      </c>
      <c r="AM133" s="1257">
        <f t="shared" ref="AM133" si="1911">(((AL133*(1+($B$36*$B$4)))-AL133)/12)+AL133</f>
        <v>0</v>
      </c>
      <c r="AN133" s="1257">
        <f t="shared" ref="AN133" si="1912">(((AM133*(1+($B$36*$B$4)))-AM133)/12)+AM133</f>
        <v>0</v>
      </c>
      <c r="AO133" s="1257">
        <f t="shared" ref="AO133" si="1913">(((AN133*(1+($B$36*$B$4)))-AN133)/12)+AN133</f>
        <v>0</v>
      </c>
      <c r="AP133" s="1257">
        <f t="shared" ref="AP133" si="1914">(((AO133*(1+($B$36*$B$4)))-AO133)/12)+AO133</f>
        <v>0</v>
      </c>
      <c r="AQ133" s="1257">
        <f t="shared" ref="AQ133" si="1915">(((AP133*(1+($B$36*$B$4)))-AP133)/12)+AP133</f>
        <v>0</v>
      </c>
      <c r="AR133" s="1257">
        <f t="shared" ref="AR133" si="1916">(((AQ133*(1+($B$36*$B$4)))-AQ133)/12)+AQ133</f>
        <v>0</v>
      </c>
      <c r="AS133" s="1257">
        <f t="shared" ref="AS133" si="1917">(((AR133*(1+($B$36*$B$4)))-AR133)/12)+AR133</f>
        <v>0</v>
      </c>
      <c r="AT133" s="1257">
        <f t="shared" ref="AT133" si="1918">(((AS133*(1+($B$36*$B$4)))-AS133)/12)+AS133</f>
        <v>0</v>
      </c>
      <c r="AU133" s="1258">
        <f t="shared" ref="AU133" si="1919">(((AT133*(1+($B$37*$B$4)))-AT133)/12)+AT133</f>
        <v>0</v>
      </c>
      <c r="AV133" s="1257">
        <f t="shared" ref="AV133" si="1920">(((AU133*(1+($B$37*$B$4)))-AU133)/12)+AU133</f>
        <v>0</v>
      </c>
      <c r="AW133" s="1257">
        <f t="shared" ref="AW133" si="1921">(((AV133*(1+($B$37*$B$4)))-AV133)/12)+AV133</f>
        <v>0</v>
      </c>
      <c r="AX133" s="1257">
        <f t="shared" ref="AX133" si="1922">(((AW133*(1+($B$37*$B$4)))-AW133)/12)+AW133</f>
        <v>0</v>
      </c>
      <c r="AY133" s="1257">
        <f t="shared" ref="AY133" si="1923">(((AX133*(1+($B$37*$B$4)))-AX133)/12)+AX133</f>
        <v>0</v>
      </c>
      <c r="AZ133" s="1257">
        <f t="shared" ref="AZ133" si="1924">(((AY133*(1+($B$37*$B$4)))-AY133)/12)+AY133</f>
        <v>0</v>
      </c>
      <c r="BA133" s="1257">
        <f t="shared" ref="BA133" si="1925">(((AZ133*(1+($B$37*$B$4)))-AZ133)/12)+AZ133</f>
        <v>0</v>
      </c>
      <c r="BB133" s="1257">
        <f t="shared" ref="BB133" si="1926">(((BA133*(1+($B$37*$B$4)))-BA133)/12)+BA133</f>
        <v>0</v>
      </c>
      <c r="BC133" s="1257">
        <f t="shared" ref="BC133" si="1927">(((BB133*(1+($B$37*$B$4)))-BB133)/12)+BB133</f>
        <v>0</v>
      </c>
      <c r="BD133" s="1257">
        <f t="shared" ref="BD133" si="1928">(((BC133*(1+($B$37*$B$4)))-BC133)/12)+BC133</f>
        <v>0</v>
      </c>
      <c r="BE133" s="1257">
        <f t="shared" ref="BE133" si="1929">(((BD133*(1+($B$37*$B$4)))-BD133)/12)+BD133</f>
        <v>0</v>
      </c>
      <c r="BF133" s="1257">
        <f t="shared" ref="BF133" si="1930">(((BE133*(1+($B$37*$B$4)))-BE133)/12)+BE133</f>
        <v>0</v>
      </c>
      <c r="BG133" s="1258">
        <f t="shared" ref="BG133" si="1931">(((BF133*(1+($B$38*$B$4)))-BF133)/12)+BF133</f>
        <v>0</v>
      </c>
      <c r="BH133" s="1257">
        <f t="shared" ref="BH133" si="1932">(((BG133*(1+($B$38*$B$4)))-BG133)/12)+BG133</f>
        <v>0</v>
      </c>
      <c r="BI133" s="1257">
        <f t="shared" ref="BI133" si="1933">(((BH133*(1+($B$38*$B$4)))-BH133)/12)+BH133</f>
        <v>0</v>
      </c>
      <c r="BJ133" s="1257">
        <f t="shared" ref="BJ133" si="1934">(((BI133*(1+($B$38*$B$4)))-BI133)/12)+BI133</f>
        <v>0</v>
      </c>
      <c r="BK133" s="1257">
        <f t="shared" ref="BK133" si="1935">(((BJ133*(1+($B$38*$B$4)))-BJ133)/12)+BJ133</f>
        <v>0</v>
      </c>
      <c r="BL133" s="1257">
        <f t="shared" ref="BL133" si="1936">(((BK133*(1+($B$38*$B$4)))-BK133)/12)+BK133</f>
        <v>0</v>
      </c>
      <c r="BM133" s="1257">
        <f t="shared" ref="BM133" si="1937">(((BL133*(1+($B$38*$B$4)))-BL133)/12)+BL133</f>
        <v>0</v>
      </c>
      <c r="BN133" s="1257">
        <f t="shared" ref="BN133" si="1938">(((BM133*(1+($B$38*$B$4)))-BM133)/12)+BM133</f>
        <v>0</v>
      </c>
      <c r="BO133" s="1257">
        <f t="shared" ref="BO133" si="1939">(((BN133*(1+($B$38*$B$4)))-BN133)/12)+BN133</f>
        <v>0</v>
      </c>
      <c r="BP133" s="1257">
        <f t="shared" ref="BP133" si="1940">(((BO133*(1+($B$38*$B$4)))-BO133)/12)+BO133</f>
        <v>0</v>
      </c>
      <c r="BQ133" s="1257">
        <f t="shared" ref="BQ133" si="1941">(((BP133*(1+($B$38*$B$4)))-BP133)/12)+BP133</f>
        <v>0</v>
      </c>
      <c r="BR133" s="1257">
        <f t="shared" ref="BR133" si="1942">(((BQ133*(1+($B$38*$B$4)))-BQ133)/12)+BQ133</f>
        <v>0</v>
      </c>
      <c r="BS133" s="1258">
        <f t="shared" ref="BS133" si="1943">(((BR133*(1+($B$39*$B$4)))-BR133)/12)+BR133</f>
        <v>0</v>
      </c>
      <c r="BT133" s="1257">
        <f t="shared" ref="BT133" si="1944">(((BS133*(1+($B$39*$B$4)))-BS133)/12)+BS133</f>
        <v>0</v>
      </c>
      <c r="BU133" s="1257">
        <f t="shared" ref="BU133" si="1945">(((BT133*(1+($B$39*$B$4)))-BT133)/12)+BT133</f>
        <v>0</v>
      </c>
      <c r="BV133" s="1257">
        <f t="shared" ref="BV133" si="1946">(((BU133*(1+($B$39*$B$4)))-BU133)/12)+BU133</f>
        <v>0</v>
      </c>
      <c r="BW133" s="1257">
        <f t="shared" ref="BW133" si="1947">(((BV133*(1+($B$39*$B$4)))-BV133)/12)+BV133</f>
        <v>0</v>
      </c>
      <c r="BX133" s="1257">
        <f t="shared" ref="BX133" si="1948">(((BW133*(1+($B$39*$B$4)))-BW133)/12)+BW133</f>
        <v>0</v>
      </c>
      <c r="BY133" s="1257">
        <f t="shared" ref="BY133" si="1949">(((BX133*(1+($B$39*$B$4)))-BX133)/12)+BX133</f>
        <v>0</v>
      </c>
      <c r="BZ133" s="1257">
        <f t="shared" ref="BZ133" si="1950">(((BY133*(1+($B$39*$B$4)))-BY133)/12)+BY133</f>
        <v>0</v>
      </c>
      <c r="CA133" s="1257">
        <f t="shared" ref="CA133" si="1951">(((BZ133*(1+($B$39*$B$4)))-BZ133)/12)+BZ133</f>
        <v>0</v>
      </c>
      <c r="CB133" s="1257">
        <f t="shared" ref="CB133" si="1952">(((CA133*(1+($B$39*$B$4)))-CA133)/12)+CA133</f>
        <v>0</v>
      </c>
      <c r="CC133" s="1257">
        <f t="shared" ref="CC133" si="1953">(((CB133*(1+($B$39*$B$4)))-CB133)/12)+CB133</f>
        <v>0</v>
      </c>
      <c r="CD133" s="1257">
        <f t="shared" ref="CD133" si="1954">(((CC133*(1+($B$39*$B$4)))-CC133)/12)+CC133</f>
        <v>0</v>
      </c>
      <c r="CE133" s="1258">
        <f t="shared" ref="CE133" si="1955">(((CD133*(1+($B$40*$B$4)))-CD133)/12)+CD133</f>
        <v>0</v>
      </c>
      <c r="CF133" s="1257">
        <f t="shared" ref="CF133" si="1956">(((CE133*(1+($B$40*$B$4)))-CE133)/12)+CE133</f>
        <v>0</v>
      </c>
      <c r="CG133" s="1257">
        <f t="shared" ref="CG133" si="1957">(((CF133*(1+($B$40*$B$4)))-CF133)/12)+CF133</f>
        <v>0</v>
      </c>
      <c r="CH133" s="1257">
        <f t="shared" ref="CH133" si="1958">(((CG133*(1+($B$40*$B$4)))-CG133)/12)+CG133</f>
        <v>0</v>
      </c>
      <c r="CI133" s="1257">
        <f t="shared" ref="CI133" si="1959">(((CH133*(1+($B$40*$B$4)))-CH133)/12)+CH133</f>
        <v>0</v>
      </c>
      <c r="CJ133" s="1257">
        <f t="shared" ref="CJ133" si="1960">(((CI133*(1+($B$40*$B$4)))-CI133)/12)+CI133</f>
        <v>0</v>
      </c>
      <c r="CK133" s="1257">
        <f t="shared" ref="CK133" si="1961">(((CJ133*(1+($B$40*$B$4)))-CJ133)/12)+CJ133</f>
        <v>0</v>
      </c>
      <c r="CL133" s="1257">
        <f t="shared" ref="CL133" si="1962">(((CK133*(1+($B$40*$B$4)))-CK133)/12)+CK133</f>
        <v>0</v>
      </c>
      <c r="CM133" s="1257">
        <f t="shared" ref="CM133" si="1963">(((CL133*(1+($B$40*$B$4)))-CL133)/12)+CL133</f>
        <v>0</v>
      </c>
      <c r="CN133" s="1257">
        <f t="shared" ref="CN133" si="1964">(((CM133*(1+($B$40*$B$4)))-CM133)/12)+CM133</f>
        <v>0</v>
      </c>
      <c r="CO133" s="1257">
        <f t="shared" ref="CO133" si="1965">(((CN133*(1+($B$40*$B$4)))-CN133)/12)+CN133</f>
        <v>0</v>
      </c>
      <c r="CP133" s="1257">
        <f t="shared" ref="CP133" si="1966">(((CO133*(1+($B$40*$B$4)))-CO133)/12)+CO133</f>
        <v>0</v>
      </c>
      <c r="CQ133" s="1258">
        <f t="shared" ref="CQ133" si="1967">(((CP133*(1+($B$41*$B$4)))-CP133)/12)+CP133</f>
        <v>0</v>
      </c>
      <c r="CR133" s="1257">
        <f t="shared" ref="CR133" si="1968">(((CQ133*(1+($B$41*$B$4)))-CQ133)/12)+CQ133</f>
        <v>0</v>
      </c>
      <c r="CS133" s="1257">
        <f t="shared" ref="CS133" si="1969">(((CR133*(1+($B$41*$B$4)))-CR133)/12)+CR133</f>
        <v>0</v>
      </c>
      <c r="CT133" s="1257">
        <f t="shared" ref="CT133" si="1970">(((CS133*(1+($B$41*$B$4)))-CS133)/12)+CS133</f>
        <v>0</v>
      </c>
      <c r="CU133" s="1257">
        <f t="shared" ref="CU133" si="1971">(((CT133*(1+($B$41*$B$4)))-CT133)/12)+CT133</f>
        <v>0</v>
      </c>
      <c r="CV133" s="1257">
        <f t="shared" ref="CV133" si="1972">(((CU133*(1+($B$41*$B$4)))-CU133)/12)+CU133</f>
        <v>0</v>
      </c>
      <c r="CW133" s="1257">
        <f t="shared" ref="CW133" si="1973">(((CV133*(1+($B$41*$B$4)))-CV133)/12)+CV133</f>
        <v>0</v>
      </c>
      <c r="CX133" s="1257">
        <f t="shared" ref="CX133" si="1974">(((CW133*(1+($B$41*$B$4)))-CW133)/12)+CW133</f>
        <v>0</v>
      </c>
      <c r="CY133" s="1257">
        <f t="shared" ref="CY133" si="1975">(((CX133*(1+($B$41*$B$4)))-CX133)/12)+CX133</f>
        <v>0</v>
      </c>
      <c r="CZ133" s="1257">
        <f t="shared" ref="CZ133" si="1976">(((CY133*(1+($B$41*$B$4)))-CY133)/12)+CY133</f>
        <v>0</v>
      </c>
      <c r="DA133" s="1257">
        <f t="shared" ref="DA133" si="1977">(((CZ133*(1+($B$41*$B$4)))-CZ133)/12)+CZ133</f>
        <v>0</v>
      </c>
      <c r="DB133" s="1257">
        <f t="shared" ref="DB133" si="1978">(((DA133*(1+($B$41*$B$4)))-DA133)/12)+DA133</f>
        <v>0</v>
      </c>
      <c r="DC133" s="1258">
        <f t="shared" ref="DC133" si="1979">(((DB133*(1+($B$42*$B$4)))-DB133)/12)+DB133</f>
        <v>0</v>
      </c>
      <c r="DD133" s="1257">
        <f t="shared" ref="DD133" si="1980">(((DC133*(1+($B$42*$B$4)))-DC133)/12)+DC133</f>
        <v>0</v>
      </c>
      <c r="DE133" s="1257">
        <f t="shared" ref="DE133" si="1981">(((DD133*(1+($B$42*$B$4)))-DD133)/12)+DD133</f>
        <v>0</v>
      </c>
      <c r="DF133" s="1257">
        <f t="shared" ref="DF133" si="1982">(((DE133*(1+($B$42*$B$4)))-DE133)/12)+DE133</f>
        <v>0</v>
      </c>
      <c r="DG133" s="1257">
        <f t="shared" ref="DG133" si="1983">(((DF133*(1+($B$42*$B$4)))-DF133)/12)+DF133</f>
        <v>0</v>
      </c>
      <c r="DH133" s="1257">
        <f t="shared" ref="DH133" si="1984">(((DG133*(1+($B$42*$B$4)))-DG133)/12)+DG133</f>
        <v>0</v>
      </c>
      <c r="DI133" s="1257">
        <f t="shared" ref="DI133" si="1985">(((DH133*(1+($B$42*$B$4)))-DH133)/12)+DH133</f>
        <v>0</v>
      </c>
      <c r="DJ133" s="1257">
        <f t="shared" ref="DJ133" si="1986">(((DI133*(1+($B$42*$B$4)))-DI133)/12)+DI133</f>
        <v>0</v>
      </c>
      <c r="DK133" s="1257">
        <f t="shared" ref="DK133" si="1987">(((DJ133*(1+($B$42*$B$4)))-DJ133)/12)+DJ133</f>
        <v>0</v>
      </c>
      <c r="DL133" s="1257">
        <f t="shared" ref="DL133" si="1988">(((DK133*(1+($B$42*$B$4)))-DK133)/12)+DK133</f>
        <v>0</v>
      </c>
      <c r="DM133" s="1257">
        <f t="shared" ref="DM133" si="1989">(((DL133*(1+($B$42*$B$4)))-DL133)/12)+DL133</f>
        <v>0</v>
      </c>
      <c r="DN133" s="1257">
        <f t="shared" ref="DN133" si="1990">(((DM133*(1+($B$42*$B$4)))-DM133)/12)+DM133</f>
        <v>0</v>
      </c>
      <c r="DO133" s="1258">
        <f t="shared" ref="DO133" si="1991">(((DN133*(1+($B$43*$B$4)))-DN133)/12)+DN133</f>
        <v>0</v>
      </c>
      <c r="DP133" s="1257">
        <f t="shared" ref="DP133" si="1992">(((DO133*(1+($B$43*$B$4)))-DO133)/12)+DO133</f>
        <v>0</v>
      </c>
      <c r="DQ133" s="1257">
        <f t="shared" ref="DQ133" si="1993">(((DP133*(1+($B$43*$B$4)))-DP133)/12)+DP133</f>
        <v>0</v>
      </c>
      <c r="DR133" s="1257">
        <f t="shared" ref="DR133" si="1994">(((DQ133*(1+($B$43*$B$4)))-DQ133)/12)+DQ133</f>
        <v>0</v>
      </c>
      <c r="DS133" s="1257">
        <f t="shared" ref="DS133" si="1995">(((DR133*(1+($B$43*$B$4)))-DR133)/12)+DR133</f>
        <v>0</v>
      </c>
      <c r="DT133" s="1257">
        <f t="shared" ref="DT133" si="1996">(((DS133*(1+($B$43*$B$4)))-DS133)/12)+DS133</f>
        <v>0</v>
      </c>
      <c r="DU133" s="1257">
        <f t="shared" ref="DU133" si="1997">(((DT133*(1+($B$43*$B$4)))-DT133)/12)+DT133</f>
        <v>0</v>
      </c>
      <c r="DV133" s="1257">
        <f t="shared" ref="DV133" si="1998">(((DU133*(1+($B$43*$B$4)))-DU133)/12)+DU133</f>
        <v>0</v>
      </c>
      <c r="DW133" s="1257">
        <f t="shared" ref="DW133" si="1999">(((DV133*(1+($B$43*$B$4)))-DV133)/12)+DV133</f>
        <v>0</v>
      </c>
      <c r="DX133" s="1257">
        <f t="shared" ref="DX133" si="2000">(((DW133*(1+($B$43*$B$4)))-DW133)/12)+DW133</f>
        <v>0</v>
      </c>
      <c r="DY133" s="1257">
        <f t="shared" ref="DY133" si="2001">(((DX133*(1+($B$43*$B$4)))-DX133)/12)+DX133</f>
        <v>0</v>
      </c>
      <c r="DZ133" s="1257">
        <f t="shared" ref="DZ133" si="2002">(((DY133*(1+($B$43*$B$4)))-DY133)/12)+DY133</f>
        <v>0</v>
      </c>
      <c r="EA133" s="1258">
        <f>(((DZ133*(1+($B$44*$B$4)))-DZ133)/12)+DZ133</f>
        <v>0</v>
      </c>
      <c r="EB133" s="1257">
        <f>(((EA133*(1+($B$44*$B$4)))-EA133)/12)+EA133</f>
        <v>0</v>
      </c>
      <c r="EC133" s="1257">
        <f>(((EB133*(1+($B$44*$B$4)))-EB133)/12)+EB133</f>
        <v>0</v>
      </c>
      <c r="ED133" s="1259">
        <f>(((EC133*(1+($B$44*$B$4)))-EC133)/12)+EC133</f>
        <v>0</v>
      </c>
    </row>
    <row r="134" spans="1:134" outlineLevel="1" x14ac:dyDescent="0.25">
      <c r="A134">
        <v>6</v>
      </c>
      <c r="B134" t="s">
        <v>293</v>
      </c>
      <c r="C134" s="1279"/>
      <c r="D134" s="1624"/>
      <c r="E134" s="1624"/>
      <c r="F134" s="1624"/>
      <c r="G134" s="1624"/>
      <c r="H134" s="1624"/>
      <c r="I134" s="1624"/>
      <c r="J134" s="1624"/>
      <c r="K134" s="1624"/>
      <c r="L134" s="1238"/>
      <c r="M134" s="1239"/>
      <c r="N134" s="1240"/>
      <c r="O134" s="1241"/>
      <c r="P134" s="1241"/>
      <c r="Q134" s="1241"/>
      <c r="R134" s="1242"/>
      <c r="S134" s="1243"/>
      <c r="T134" s="1243"/>
      <c r="U134" s="1239"/>
      <c r="V134" s="1244">
        <v>1</v>
      </c>
      <c r="W134" s="1260">
        <f>ROUNDUP($V134*(W133/100)/0.8,0)</f>
        <v>0</v>
      </c>
      <c r="X134" s="1250">
        <f t="shared" ref="X134:CI134" si="2003">ROUNDUP($V134*(X133/100)/0.8,0)</f>
        <v>0</v>
      </c>
      <c r="Y134" s="1250">
        <f t="shared" si="2003"/>
        <v>0</v>
      </c>
      <c r="Z134" s="1250">
        <f t="shared" si="2003"/>
        <v>0</v>
      </c>
      <c r="AA134" s="1250">
        <f t="shared" si="2003"/>
        <v>0</v>
      </c>
      <c r="AB134" s="1250">
        <f t="shared" si="2003"/>
        <v>0</v>
      </c>
      <c r="AC134" s="1250">
        <f t="shared" si="2003"/>
        <v>0</v>
      </c>
      <c r="AD134" s="1250">
        <f t="shared" si="2003"/>
        <v>0</v>
      </c>
      <c r="AE134" s="1250">
        <f t="shared" si="2003"/>
        <v>0</v>
      </c>
      <c r="AF134" s="1250">
        <f t="shared" si="2003"/>
        <v>0</v>
      </c>
      <c r="AG134" s="1250">
        <f t="shared" si="2003"/>
        <v>0</v>
      </c>
      <c r="AH134" s="1250">
        <f t="shared" si="2003"/>
        <v>0</v>
      </c>
      <c r="AI134" s="1261">
        <f t="shared" si="2003"/>
        <v>0</v>
      </c>
      <c r="AJ134" s="1250">
        <f t="shared" si="2003"/>
        <v>0</v>
      </c>
      <c r="AK134" s="1250">
        <f t="shared" si="2003"/>
        <v>0</v>
      </c>
      <c r="AL134" s="1250">
        <f t="shared" si="2003"/>
        <v>0</v>
      </c>
      <c r="AM134" s="1250">
        <f t="shared" si="2003"/>
        <v>0</v>
      </c>
      <c r="AN134" s="1250">
        <f t="shared" si="2003"/>
        <v>0</v>
      </c>
      <c r="AO134" s="1250">
        <f t="shared" si="2003"/>
        <v>0</v>
      </c>
      <c r="AP134" s="1250">
        <f t="shared" si="2003"/>
        <v>0</v>
      </c>
      <c r="AQ134" s="1250">
        <f t="shared" si="2003"/>
        <v>0</v>
      </c>
      <c r="AR134" s="1250">
        <f t="shared" si="2003"/>
        <v>0</v>
      </c>
      <c r="AS134" s="1250">
        <f t="shared" si="2003"/>
        <v>0</v>
      </c>
      <c r="AT134" s="1250">
        <f t="shared" si="2003"/>
        <v>0</v>
      </c>
      <c r="AU134" s="1261">
        <f t="shared" si="2003"/>
        <v>0</v>
      </c>
      <c r="AV134" s="1250">
        <f t="shared" si="2003"/>
        <v>0</v>
      </c>
      <c r="AW134" s="1250">
        <f t="shared" si="2003"/>
        <v>0</v>
      </c>
      <c r="AX134" s="1250">
        <f t="shared" si="2003"/>
        <v>0</v>
      </c>
      <c r="AY134" s="1250">
        <f t="shared" si="2003"/>
        <v>0</v>
      </c>
      <c r="AZ134" s="1250">
        <f t="shared" si="2003"/>
        <v>0</v>
      </c>
      <c r="BA134" s="1250">
        <f t="shared" si="2003"/>
        <v>0</v>
      </c>
      <c r="BB134" s="1250">
        <f t="shared" si="2003"/>
        <v>0</v>
      </c>
      <c r="BC134" s="1250">
        <f t="shared" si="2003"/>
        <v>0</v>
      </c>
      <c r="BD134" s="1250">
        <f t="shared" si="2003"/>
        <v>0</v>
      </c>
      <c r="BE134" s="1250">
        <f t="shared" si="2003"/>
        <v>0</v>
      </c>
      <c r="BF134" s="1250">
        <f t="shared" si="2003"/>
        <v>0</v>
      </c>
      <c r="BG134" s="1261">
        <f t="shared" si="2003"/>
        <v>0</v>
      </c>
      <c r="BH134" s="1250">
        <f t="shared" si="2003"/>
        <v>0</v>
      </c>
      <c r="BI134" s="1250">
        <f t="shared" si="2003"/>
        <v>0</v>
      </c>
      <c r="BJ134" s="1250">
        <f t="shared" si="2003"/>
        <v>0</v>
      </c>
      <c r="BK134" s="1250">
        <f t="shared" si="2003"/>
        <v>0</v>
      </c>
      <c r="BL134" s="1250">
        <f t="shared" si="2003"/>
        <v>0</v>
      </c>
      <c r="BM134" s="1250">
        <f t="shared" si="2003"/>
        <v>0</v>
      </c>
      <c r="BN134" s="1250">
        <f t="shared" si="2003"/>
        <v>0</v>
      </c>
      <c r="BO134" s="1250">
        <f t="shared" si="2003"/>
        <v>0</v>
      </c>
      <c r="BP134" s="1250">
        <f t="shared" si="2003"/>
        <v>0</v>
      </c>
      <c r="BQ134" s="1250">
        <f t="shared" si="2003"/>
        <v>0</v>
      </c>
      <c r="BR134" s="1250">
        <f t="shared" si="2003"/>
        <v>0</v>
      </c>
      <c r="BS134" s="1261">
        <f t="shared" si="2003"/>
        <v>0</v>
      </c>
      <c r="BT134" s="1250">
        <f t="shared" si="2003"/>
        <v>0</v>
      </c>
      <c r="BU134" s="1250">
        <f t="shared" si="2003"/>
        <v>0</v>
      </c>
      <c r="BV134" s="1250">
        <f t="shared" si="2003"/>
        <v>0</v>
      </c>
      <c r="BW134" s="1250">
        <f t="shared" si="2003"/>
        <v>0</v>
      </c>
      <c r="BX134" s="1250">
        <f t="shared" si="2003"/>
        <v>0</v>
      </c>
      <c r="BY134" s="1250">
        <f t="shared" si="2003"/>
        <v>0</v>
      </c>
      <c r="BZ134" s="1250">
        <f t="shared" si="2003"/>
        <v>0</v>
      </c>
      <c r="CA134" s="1250">
        <f t="shared" si="2003"/>
        <v>0</v>
      </c>
      <c r="CB134" s="1250">
        <f t="shared" si="2003"/>
        <v>0</v>
      </c>
      <c r="CC134" s="1250">
        <f t="shared" si="2003"/>
        <v>0</v>
      </c>
      <c r="CD134" s="1250">
        <f t="shared" si="2003"/>
        <v>0</v>
      </c>
      <c r="CE134" s="1261">
        <f t="shared" si="2003"/>
        <v>0</v>
      </c>
      <c r="CF134" s="1250">
        <f t="shared" si="2003"/>
        <v>0</v>
      </c>
      <c r="CG134" s="1250">
        <f t="shared" si="2003"/>
        <v>0</v>
      </c>
      <c r="CH134" s="1250">
        <f t="shared" si="2003"/>
        <v>0</v>
      </c>
      <c r="CI134" s="1250">
        <f t="shared" si="2003"/>
        <v>0</v>
      </c>
      <c r="CJ134" s="1250">
        <f t="shared" ref="CJ134:ED134" si="2004">ROUNDUP($V134*(CJ133/100)/0.8,0)</f>
        <v>0</v>
      </c>
      <c r="CK134" s="1250">
        <f t="shared" si="2004"/>
        <v>0</v>
      </c>
      <c r="CL134" s="1250">
        <f t="shared" si="2004"/>
        <v>0</v>
      </c>
      <c r="CM134" s="1250">
        <f t="shared" si="2004"/>
        <v>0</v>
      </c>
      <c r="CN134" s="1250">
        <f t="shared" si="2004"/>
        <v>0</v>
      </c>
      <c r="CO134" s="1250">
        <f t="shared" si="2004"/>
        <v>0</v>
      </c>
      <c r="CP134" s="1250">
        <f t="shared" si="2004"/>
        <v>0</v>
      </c>
      <c r="CQ134" s="1261">
        <f t="shared" si="2004"/>
        <v>0</v>
      </c>
      <c r="CR134" s="1250">
        <f t="shared" si="2004"/>
        <v>0</v>
      </c>
      <c r="CS134" s="1250">
        <f t="shared" si="2004"/>
        <v>0</v>
      </c>
      <c r="CT134" s="1250">
        <f t="shared" si="2004"/>
        <v>0</v>
      </c>
      <c r="CU134" s="1250">
        <f t="shared" si="2004"/>
        <v>0</v>
      </c>
      <c r="CV134" s="1250">
        <f t="shared" si="2004"/>
        <v>0</v>
      </c>
      <c r="CW134" s="1250">
        <f t="shared" si="2004"/>
        <v>0</v>
      </c>
      <c r="CX134" s="1250">
        <f t="shared" si="2004"/>
        <v>0</v>
      </c>
      <c r="CY134" s="1250">
        <f t="shared" si="2004"/>
        <v>0</v>
      </c>
      <c r="CZ134" s="1250">
        <f t="shared" si="2004"/>
        <v>0</v>
      </c>
      <c r="DA134" s="1250">
        <f t="shared" si="2004"/>
        <v>0</v>
      </c>
      <c r="DB134" s="1250">
        <f t="shared" si="2004"/>
        <v>0</v>
      </c>
      <c r="DC134" s="1261">
        <f t="shared" si="2004"/>
        <v>0</v>
      </c>
      <c r="DD134" s="1250">
        <f t="shared" si="2004"/>
        <v>0</v>
      </c>
      <c r="DE134" s="1250">
        <f t="shared" si="2004"/>
        <v>0</v>
      </c>
      <c r="DF134" s="1250">
        <f t="shared" si="2004"/>
        <v>0</v>
      </c>
      <c r="DG134" s="1250">
        <f t="shared" si="2004"/>
        <v>0</v>
      </c>
      <c r="DH134" s="1250">
        <f t="shared" si="2004"/>
        <v>0</v>
      </c>
      <c r="DI134" s="1250">
        <f t="shared" si="2004"/>
        <v>0</v>
      </c>
      <c r="DJ134" s="1250">
        <f t="shared" si="2004"/>
        <v>0</v>
      </c>
      <c r="DK134" s="1250">
        <f t="shared" si="2004"/>
        <v>0</v>
      </c>
      <c r="DL134" s="1250">
        <f t="shared" si="2004"/>
        <v>0</v>
      </c>
      <c r="DM134" s="1250">
        <f t="shared" si="2004"/>
        <v>0</v>
      </c>
      <c r="DN134" s="1250">
        <f t="shared" si="2004"/>
        <v>0</v>
      </c>
      <c r="DO134" s="1261">
        <f t="shared" si="2004"/>
        <v>0</v>
      </c>
      <c r="DP134" s="1250">
        <f t="shared" si="2004"/>
        <v>0</v>
      </c>
      <c r="DQ134" s="1250">
        <f t="shared" si="2004"/>
        <v>0</v>
      </c>
      <c r="DR134" s="1250">
        <f t="shared" si="2004"/>
        <v>0</v>
      </c>
      <c r="DS134" s="1250">
        <f t="shared" si="2004"/>
        <v>0</v>
      </c>
      <c r="DT134" s="1250">
        <f t="shared" si="2004"/>
        <v>0</v>
      </c>
      <c r="DU134" s="1250">
        <f t="shared" si="2004"/>
        <v>0</v>
      </c>
      <c r="DV134" s="1250">
        <f t="shared" si="2004"/>
        <v>0</v>
      </c>
      <c r="DW134" s="1250">
        <f t="shared" si="2004"/>
        <v>0</v>
      </c>
      <c r="DX134" s="1250">
        <f t="shared" si="2004"/>
        <v>0</v>
      </c>
      <c r="DY134" s="1250">
        <f t="shared" si="2004"/>
        <v>0</v>
      </c>
      <c r="DZ134" s="1250">
        <f t="shared" si="2004"/>
        <v>0</v>
      </c>
      <c r="EA134" s="1261">
        <f t="shared" si="2004"/>
        <v>0</v>
      </c>
      <c r="EB134" s="1250">
        <f t="shared" si="2004"/>
        <v>0</v>
      </c>
      <c r="EC134" s="1250">
        <f t="shared" si="2004"/>
        <v>0</v>
      </c>
      <c r="ED134" s="1262">
        <f t="shared" si="2004"/>
        <v>0</v>
      </c>
    </row>
    <row r="135" spans="1:134" outlineLevel="1" x14ac:dyDescent="0.25">
      <c r="A135">
        <v>0.5</v>
      </c>
      <c r="B135" t="s">
        <v>294</v>
      </c>
      <c r="C135" s="1279"/>
      <c r="D135" s="1623" t="s">
        <v>295</v>
      </c>
      <c r="E135" s="1623"/>
      <c r="F135" s="1623"/>
      <c r="G135" s="1623"/>
      <c r="H135" s="1623"/>
      <c r="I135" s="1623"/>
      <c r="J135" s="1623"/>
      <c r="K135" s="1623"/>
      <c r="L135" s="1249"/>
      <c r="M135" s="1250"/>
      <c r="N135" s="1251">
        <f>M135/100</f>
        <v>0</v>
      </c>
      <c r="O135" s="1252"/>
      <c r="P135" s="1252"/>
      <c r="Q135" s="1252"/>
      <c r="R135" s="1253">
        <f>P135-N135</f>
        <v>0</v>
      </c>
      <c r="S135" s="1254">
        <f>Q135*100</f>
        <v>0</v>
      </c>
      <c r="T135" s="1254"/>
      <c r="U135" s="1250"/>
      <c r="V135" s="1255"/>
      <c r="W135" s="1234">
        <f>M135</f>
        <v>0</v>
      </c>
      <c r="X135" s="1235">
        <f>W135</f>
        <v>0</v>
      </c>
      <c r="Y135" s="1235">
        <f>X135</f>
        <v>0</v>
      </c>
      <c r="Z135" s="1235">
        <f>O135*100</f>
        <v>0</v>
      </c>
      <c r="AA135" s="1235">
        <f>Z135</f>
        <v>0</v>
      </c>
      <c r="AB135" s="1235">
        <f>AA135</f>
        <v>0</v>
      </c>
      <c r="AC135" s="1235">
        <f>P135*100</f>
        <v>0</v>
      </c>
      <c r="AD135" s="1235">
        <f>AC135</f>
        <v>0</v>
      </c>
      <c r="AE135" s="1235">
        <f>AD135</f>
        <v>0</v>
      </c>
      <c r="AF135" s="1235">
        <f>AE135</f>
        <v>0</v>
      </c>
      <c r="AG135" s="1235">
        <f>AF135</f>
        <v>0</v>
      </c>
      <c r="AH135" s="1235">
        <f>AG135</f>
        <v>0</v>
      </c>
      <c r="AI135" s="1236">
        <f t="shared" ref="AI135" si="2005">(((AH135*(1+($B$36*$B$4)))-AH135)/12)+AH135</f>
        <v>0</v>
      </c>
      <c r="AJ135" s="1235">
        <f t="shared" ref="AJ135" si="2006">(((AI135*(1+($B$36*$B$4)))-AI135)/12)+AI135</f>
        <v>0</v>
      </c>
      <c r="AK135" s="1235">
        <f t="shared" ref="AK135" si="2007">(((AJ135*(1+($B$36*$B$4)))-AJ135)/12)+AJ135</f>
        <v>0</v>
      </c>
      <c r="AL135" s="1235">
        <f t="shared" ref="AL135" si="2008">(((AK135*(1+($B$36*$B$4)))-AK135)/12)+AK135</f>
        <v>0</v>
      </c>
      <c r="AM135" s="1235">
        <f t="shared" ref="AM135" si="2009">(((AL135*(1+($B$36*$B$4)))-AL135)/12)+AL135</f>
        <v>0</v>
      </c>
      <c r="AN135" s="1235">
        <f t="shared" ref="AN135" si="2010">(((AM135*(1+($B$36*$B$4)))-AM135)/12)+AM135</f>
        <v>0</v>
      </c>
      <c r="AO135" s="1235">
        <f t="shared" ref="AO135" si="2011">(((AN135*(1+($B$36*$B$4)))-AN135)/12)+AN135</f>
        <v>0</v>
      </c>
      <c r="AP135" s="1235">
        <f t="shared" ref="AP135" si="2012">(((AO135*(1+($B$36*$B$4)))-AO135)/12)+AO135</f>
        <v>0</v>
      </c>
      <c r="AQ135" s="1235">
        <f t="shared" ref="AQ135" si="2013">(((AP135*(1+($B$36*$B$4)))-AP135)/12)+AP135</f>
        <v>0</v>
      </c>
      <c r="AR135" s="1235">
        <f t="shared" ref="AR135" si="2014">(((AQ135*(1+($B$36*$B$4)))-AQ135)/12)+AQ135</f>
        <v>0</v>
      </c>
      <c r="AS135" s="1235">
        <f t="shared" ref="AS135" si="2015">(((AR135*(1+($B$36*$B$4)))-AR135)/12)+AR135</f>
        <v>0</v>
      </c>
      <c r="AT135" s="1235">
        <f t="shared" ref="AT135" si="2016">(((AS135*(1+($B$36*$B$4)))-AS135)/12)+AS135</f>
        <v>0</v>
      </c>
      <c r="AU135" s="1236">
        <f t="shared" ref="AU135" si="2017">(((AT135*(1+($B$37*$B$4)))-AT135)/12)+AT135</f>
        <v>0</v>
      </c>
      <c r="AV135" s="1235">
        <f t="shared" ref="AV135" si="2018">(((AU135*(1+($B$37*$B$4)))-AU135)/12)+AU135</f>
        <v>0</v>
      </c>
      <c r="AW135" s="1235">
        <f t="shared" ref="AW135" si="2019">(((AV135*(1+($B$37*$B$4)))-AV135)/12)+AV135</f>
        <v>0</v>
      </c>
      <c r="AX135" s="1235">
        <f t="shared" ref="AX135" si="2020">(((AW135*(1+($B$37*$B$4)))-AW135)/12)+AW135</f>
        <v>0</v>
      </c>
      <c r="AY135" s="1235">
        <f t="shared" ref="AY135" si="2021">(((AX135*(1+($B$37*$B$4)))-AX135)/12)+AX135</f>
        <v>0</v>
      </c>
      <c r="AZ135" s="1235">
        <f t="shared" ref="AZ135" si="2022">(((AY135*(1+($B$37*$B$4)))-AY135)/12)+AY135</f>
        <v>0</v>
      </c>
      <c r="BA135" s="1235">
        <f t="shared" ref="BA135" si="2023">(((AZ135*(1+($B$37*$B$4)))-AZ135)/12)+AZ135</f>
        <v>0</v>
      </c>
      <c r="BB135" s="1235">
        <f t="shared" ref="BB135" si="2024">(((BA135*(1+($B$37*$B$4)))-BA135)/12)+BA135</f>
        <v>0</v>
      </c>
      <c r="BC135" s="1235">
        <f t="shared" ref="BC135" si="2025">(((BB135*(1+($B$37*$B$4)))-BB135)/12)+BB135</f>
        <v>0</v>
      </c>
      <c r="BD135" s="1235">
        <f t="shared" ref="BD135" si="2026">(((BC135*(1+($B$37*$B$4)))-BC135)/12)+BC135</f>
        <v>0</v>
      </c>
      <c r="BE135" s="1235">
        <f t="shared" ref="BE135" si="2027">(((BD135*(1+($B$37*$B$4)))-BD135)/12)+BD135</f>
        <v>0</v>
      </c>
      <c r="BF135" s="1235">
        <f t="shared" ref="BF135" si="2028">(((BE135*(1+($B$37*$B$4)))-BE135)/12)+BE135</f>
        <v>0</v>
      </c>
      <c r="BG135" s="1236">
        <f t="shared" ref="BG135" si="2029">(((BF135*(1+($B$38*$B$4)))-BF135)/12)+BF135</f>
        <v>0</v>
      </c>
      <c r="BH135" s="1235">
        <f t="shared" ref="BH135" si="2030">(((BG135*(1+($B$38*$B$4)))-BG135)/12)+BG135</f>
        <v>0</v>
      </c>
      <c r="BI135" s="1235">
        <f t="shared" ref="BI135" si="2031">(((BH135*(1+($B$38*$B$4)))-BH135)/12)+BH135</f>
        <v>0</v>
      </c>
      <c r="BJ135" s="1235">
        <f t="shared" ref="BJ135" si="2032">(((BI135*(1+($B$38*$B$4)))-BI135)/12)+BI135</f>
        <v>0</v>
      </c>
      <c r="BK135" s="1235">
        <f t="shared" ref="BK135" si="2033">(((BJ135*(1+($B$38*$B$4)))-BJ135)/12)+BJ135</f>
        <v>0</v>
      </c>
      <c r="BL135" s="1235">
        <f t="shared" ref="BL135" si="2034">(((BK135*(1+($B$38*$B$4)))-BK135)/12)+BK135</f>
        <v>0</v>
      </c>
      <c r="BM135" s="1235">
        <f t="shared" ref="BM135" si="2035">(((BL135*(1+($B$38*$B$4)))-BL135)/12)+BL135</f>
        <v>0</v>
      </c>
      <c r="BN135" s="1235">
        <f t="shared" ref="BN135" si="2036">(((BM135*(1+($B$38*$B$4)))-BM135)/12)+BM135</f>
        <v>0</v>
      </c>
      <c r="BO135" s="1235">
        <f t="shared" ref="BO135" si="2037">(((BN135*(1+($B$38*$B$4)))-BN135)/12)+BN135</f>
        <v>0</v>
      </c>
      <c r="BP135" s="1235">
        <f t="shared" ref="BP135" si="2038">(((BO135*(1+($B$38*$B$4)))-BO135)/12)+BO135</f>
        <v>0</v>
      </c>
      <c r="BQ135" s="1235">
        <f t="shared" ref="BQ135" si="2039">(((BP135*(1+($B$38*$B$4)))-BP135)/12)+BP135</f>
        <v>0</v>
      </c>
      <c r="BR135" s="1235">
        <f t="shared" ref="BR135" si="2040">(((BQ135*(1+($B$38*$B$4)))-BQ135)/12)+BQ135</f>
        <v>0</v>
      </c>
      <c r="BS135" s="1236">
        <f t="shared" ref="BS135" si="2041">(((BR135*(1+($B$39*$B$4)))-BR135)/12)+BR135</f>
        <v>0</v>
      </c>
      <c r="BT135" s="1235">
        <f t="shared" ref="BT135" si="2042">(((BS135*(1+($B$39*$B$4)))-BS135)/12)+BS135</f>
        <v>0</v>
      </c>
      <c r="BU135" s="1235">
        <f t="shared" ref="BU135" si="2043">(((BT135*(1+($B$39*$B$4)))-BT135)/12)+BT135</f>
        <v>0</v>
      </c>
      <c r="BV135" s="1235">
        <f t="shared" ref="BV135" si="2044">(((BU135*(1+($B$39*$B$4)))-BU135)/12)+BU135</f>
        <v>0</v>
      </c>
      <c r="BW135" s="1235">
        <f t="shared" ref="BW135" si="2045">(((BV135*(1+($B$39*$B$4)))-BV135)/12)+BV135</f>
        <v>0</v>
      </c>
      <c r="BX135" s="1235">
        <f t="shared" ref="BX135" si="2046">(((BW135*(1+($B$39*$B$4)))-BW135)/12)+BW135</f>
        <v>0</v>
      </c>
      <c r="BY135" s="1235">
        <f t="shared" ref="BY135" si="2047">(((BX135*(1+($B$39*$B$4)))-BX135)/12)+BX135</f>
        <v>0</v>
      </c>
      <c r="BZ135" s="1235">
        <f t="shared" ref="BZ135" si="2048">(((BY135*(1+($B$39*$B$4)))-BY135)/12)+BY135</f>
        <v>0</v>
      </c>
      <c r="CA135" s="1235">
        <f t="shared" ref="CA135" si="2049">(((BZ135*(1+($B$39*$B$4)))-BZ135)/12)+BZ135</f>
        <v>0</v>
      </c>
      <c r="CB135" s="1235">
        <f t="shared" ref="CB135" si="2050">(((CA135*(1+($B$39*$B$4)))-CA135)/12)+CA135</f>
        <v>0</v>
      </c>
      <c r="CC135" s="1235">
        <f t="shared" ref="CC135" si="2051">(((CB135*(1+($B$39*$B$4)))-CB135)/12)+CB135</f>
        <v>0</v>
      </c>
      <c r="CD135" s="1235">
        <f t="shared" ref="CD135" si="2052">(((CC135*(1+($B$39*$B$4)))-CC135)/12)+CC135</f>
        <v>0</v>
      </c>
      <c r="CE135" s="1236">
        <f t="shared" ref="CE135" si="2053">(((CD135*(1+($B$40*$B$4)))-CD135)/12)+CD135</f>
        <v>0</v>
      </c>
      <c r="CF135" s="1235">
        <f t="shared" ref="CF135" si="2054">(((CE135*(1+($B$40*$B$4)))-CE135)/12)+CE135</f>
        <v>0</v>
      </c>
      <c r="CG135" s="1235">
        <f t="shared" ref="CG135" si="2055">(((CF135*(1+($B$40*$B$4)))-CF135)/12)+CF135</f>
        <v>0</v>
      </c>
      <c r="CH135" s="1235">
        <f t="shared" ref="CH135" si="2056">(((CG135*(1+($B$40*$B$4)))-CG135)/12)+CG135</f>
        <v>0</v>
      </c>
      <c r="CI135" s="1235">
        <f t="shared" ref="CI135" si="2057">(((CH135*(1+($B$40*$B$4)))-CH135)/12)+CH135</f>
        <v>0</v>
      </c>
      <c r="CJ135" s="1235">
        <f t="shared" ref="CJ135" si="2058">(((CI135*(1+($B$40*$B$4)))-CI135)/12)+CI135</f>
        <v>0</v>
      </c>
      <c r="CK135" s="1235">
        <f t="shared" ref="CK135" si="2059">(((CJ135*(1+($B$40*$B$4)))-CJ135)/12)+CJ135</f>
        <v>0</v>
      </c>
      <c r="CL135" s="1235">
        <f t="shared" ref="CL135" si="2060">(((CK135*(1+($B$40*$B$4)))-CK135)/12)+CK135</f>
        <v>0</v>
      </c>
      <c r="CM135" s="1235">
        <f t="shared" ref="CM135" si="2061">(((CL135*(1+($B$40*$B$4)))-CL135)/12)+CL135</f>
        <v>0</v>
      </c>
      <c r="CN135" s="1235">
        <f t="shared" ref="CN135" si="2062">(((CM135*(1+($B$40*$B$4)))-CM135)/12)+CM135</f>
        <v>0</v>
      </c>
      <c r="CO135" s="1235">
        <f t="shared" ref="CO135" si="2063">(((CN135*(1+($B$40*$B$4)))-CN135)/12)+CN135</f>
        <v>0</v>
      </c>
      <c r="CP135" s="1235">
        <f t="shared" ref="CP135" si="2064">(((CO135*(1+($B$40*$B$4)))-CO135)/12)+CO135</f>
        <v>0</v>
      </c>
      <c r="CQ135" s="1236">
        <f t="shared" ref="CQ135" si="2065">(((CP135*(1+($B$41*$B$4)))-CP135)/12)+CP135</f>
        <v>0</v>
      </c>
      <c r="CR135" s="1235">
        <f t="shared" ref="CR135" si="2066">(((CQ135*(1+($B$41*$B$4)))-CQ135)/12)+CQ135</f>
        <v>0</v>
      </c>
      <c r="CS135" s="1235">
        <f t="shared" ref="CS135" si="2067">(((CR135*(1+($B$41*$B$4)))-CR135)/12)+CR135</f>
        <v>0</v>
      </c>
      <c r="CT135" s="1235">
        <f t="shared" ref="CT135" si="2068">(((CS135*(1+($B$41*$B$4)))-CS135)/12)+CS135</f>
        <v>0</v>
      </c>
      <c r="CU135" s="1235">
        <f t="shared" ref="CU135" si="2069">(((CT135*(1+($B$41*$B$4)))-CT135)/12)+CT135</f>
        <v>0</v>
      </c>
      <c r="CV135" s="1235">
        <f t="shared" ref="CV135" si="2070">(((CU135*(1+($B$41*$B$4)))-CU135)/12)+CU135</f>
        <v>0</v>
      </c>
      <c r="CW135" s="1235">
        <f t="shared" ref="CW135" si="2071">(((CV135*(1+($B$41*$B$4)))-CV135)/12)+CV135</f>
        <v>0</v>
      </c>
      <c r="CX135" s="1235">
        <f t="shared" ref="CX135" si="2072">(((CW135*(1+($B$41*$B$4)))-CW135)/12)+CW135</f>
        <v>0</v>
      </c>
      <c r="CY135" s="1235">
        <f t="shared" ref="CY135" si="2073">(((CX135*(1+($B$41*$B$4)))-CX135)/12)+CX135</f>
        <v>0</v>
      </c>
      <c r="CZ135" s="1235">
        <f t="shared" ref="CZ135" si="2074">(((CY135*(1+($B$41*$B$4)))-CY135)/12)+CY135</f>
        <v>0</v>
      </c>
      <c r="DA135" s="1235">
        <f t="shared" ref="DA135" si="2075">(((CZ135*(1+($B$41*$B$4)))-CZ135)/12)+CZ135</f>
        <v>0</v>
      </c>
      <c r="DB135" s="1235">
        <f t="shared" ref="DB135" si="2076">(((DA135*(1+($B$41*$B$4)))-DA135)/12)+DA135</f>
        <v>0</v>
      </c>
      <c r="DC135" s="1236">
        <f t="shared" ref="DC135" si="2077">(((DB135*(1+($B$42*$B$4)))-DB135)/12)+DB135</f>
        <v>0</v>
      </c>
      <c r="DD135" s="1235">
        <f t="shared" ref="DD135" si="2078">(((DC135*(1+($B$42*$B$4)))-DC135)/12)+DC135</f>
        <v>0</v>
      </c>
      <c r="DE135" s="1235">
        <f t="shared" ref="DE135" si="2079">(((DD135*(1+($B$42*$B$4)))-DD135)/12)+DD135</f>
        <v>0</v>
      </c>
      <c r="DF135" s="1235">
        <f t="shared" ref="DF135" si="2080">(((DE135*(1+($B$42*$B$4)))-DE135)/12)+DE135</f>
        <v>0</v>
      </c>
      <c r="DG135" s="1235">
        <f t="shared" ref="DG135" si="2081">(((DF135*(1+($B$42*$B$4)))-DF135)/12)+DF135</f>
        <v>0</v>
      </c>
      <c r="DH135" s="1235">
        <f t="shared" ref="DH135" si="2082">(((DG135*(1+($B$42*$B$4)))-DG135)/12)+DG135</f>
        <v>0</v>
      </c>
      <c r="DI135" s="1235">
        <f t="shared" ref="DI135" si="2083">(((DH135*(1+($B$42*$B$4)))-DH135)/12)+DH135</f>
        <v>0</v>
      </c>
      <c r="DJ135" s="1235">
        <f t="shared" ref="DJ135" si="2084">(((DI135*(1+($B$42*$B$4)))-DI135)/12)+DI135</f>
        <v>0</v>
      </c>
      <c r="DK135" s="1235">
        <f t="shared" ref="DK135" si="2085">(((DJ135*(1+($B$42*$B$4)))-DJ135)/12)+DJ135</f>
        <v>0</v>
      </c>
      <c r="DL135" s="1235">
        <f t="shared" ref="DL135" si="2086">(((DK135*(1+($B$42*$B$4)))-DK135)/12)+DK135</f>
        <v>0</v>
      </c>
      <c r="DM135" s="1235">
        <f t="shared" ref="DM135" si="2087">(((DL135*(1+($B$42*$B$4)))-DL135)/12)+DL135</f>
        <v>0</v>
      </c>
      <c r="DN135" s="1235">
        <f t="shared" ref="DN135" si="2088">(((DM135*(1+($B$42*$B$4)))-DM135)/12)+DM135</f>
        <v>0</v>
      </c>
      <c r="DO135" s="1236">
        <f t="shared" ref="DO135" si="2089">(((DN135*(1+($B$43*$B$4)))-DN135)/12)+DN135</f>
        <v>0</v>
      </c>
      <c r="DP135" s="1235">
        <f t="shared" ref="DP135" si="2090">(((DO135*(1+($B$43*$B$4)))-DO135)/12)+DO135</f>
        <v>0</v>
      </c>
      <c r="DQ135" s="1235">
        <f t="shared" ref="DQ135" si="2091">(((DP135*(1+($B$43*$B$4)))-DP135)/12)+DP135</f>
        <v>0</v>
      </c>
      <c r="DR135" s="1235">
        <f t="shared" ref="DR135" si="2092">(((DQ135*(1+($B$43*$B$4)))-DQ135)/12)+DQ135</f>
        <v>0</v>
      </c>
      <c r="DS135" s="1235">
        <f t="shared" ref="DS135" si="2093">(((DR135*(1+($B$43*$B$4)))-DR135)/12)+DR135</f>
        <v>0</v>
      </c>
      <c r="DT135" s="1235">
        <f t="shared" ref="DT135" si="2094">(((DS135*(1+($B$43*$B$4)))-DS135)/12)+DS135</f>
        <v>0</v>
      </c>
      <c r="DU135" s="1235">
        <f t="shared" ref="DU135" si="2095">(((DT135*(1+($B$43*$B$4)))-DT135)/12)+DT135</f>
        <v>0</v>
      </c>
      <c r="DV135" s="1235">
        <f t="shared" ref="DV135" si="2096">(((DU135*(1+($B$43*$B$4)))-DU135)/12)+DU135</f>
        <v>0</v>
      </c>
      <c r="DW135" s="1235">
        <f t="shared" ref="DW135" si="2097">(((DV135*(1+($B$43*$B$4)))-DV135)/12)+DV135</f>
        <v>0</v>
      </c>
      <c r="DX135" s="1235">
        <f t="shared" ref="DX135" si="2098">(((DW135*(1+($B$43*$B$4)))-DW135)/12)+DW135</f>
        <v>0</v>
      </c>
      <c r="DY135" s="1235">
        <f t="shared" ref="DY135" si="2099">(((DX135*(1+($B$43*$B$4)))-DX135)/12)+DX135</f>
        <v>0</v>
      </c>
      <c r="DZ135" s="1235">
        <f t="shared" ref="DZ135" si="2100">(((DY135*(1+($B$43*$B$4)))-DY135)/12)+DY135</f>
        <v>0</v>
      </c>
      <c r="EA135" s="1236">
        <f>(((DZ135*(1+($B$44*$B$4)))-DZ135)/12)+DZ135</f>
        <v>0</v>
      </c>
      <c r="EB135" s="1235">
        <f>(((EA135*(1+($B$44*$B$4)))-EA135)/12)+EA135</f>
        <v>0</v>
      </c>
      <c r="EC135" s="1235">
        <f>(((EB135*(1+($B$44*$B$4)))-EB135)/12)+EB135</f>
        <v>0</v>
      </c>
      <c r="ED135" s="1237">
        <f>(((EC135*(1+($B$44*$B$4)))-EC135)/12)+EC135</f>
        <v>0</v>
      </c>
    </row>
    <row r="136" spans="1:134" outlineLevel="1" x14ac:dyDescent="0.25">
      <c r="A136">
        <v>3</v>
      </c>
      <c r="B136" t="s">
        <v>296</v>
      </c>
      <c r="C136" s="1279"/>
      <c r="D136" s="1623"/>
      <c r="E136" s="1623"/>
      <c r="F136" s="1623"/>
      <c r="G136" s="1623"/>
      <c r="H136" s="1623"/>
      <c r="I136" s="1623"/>
      <c r="J136" s="1623"/>
      <c r="K136" s="1623"/>
      <c r="L136" s="1249"/>
      <c r="M136" s="1250"/>
      <c r="N136" s="1251"/>
      <c r="O136" s="1252"/>
      <c r="P136" s="1252"/>
      <c r="Q136" s="1252"/>
      <c r="R136" s="1253"/>
      <c r="S136" s="1254"/>
      <c r="T136" s="1254"/>
      <c r="U136" s="1250"/>
      <c r="V136" s="1255">
        <v>1</v>
      </c>
      <c r="W136" s="1245">
        <f>ROUNDUP($V136*(W135/100)/0.8,0)</f>
        <v>0</v>
      </c>
      <c r="X136" s="1246">
        <f t="shared" ref="X136:CI136" si="2101">ROUNDUP($V136*(X135/100)/0.8,0)</f>
        <v>0</v>
      </c>
      <c r="Y136" s="1246">
        <f t="shared" si="2101"/>
        <v>0</v>
      </c>
      <c r="Z136" s="1246">
        <f t="shared" si="2101"/>
        <v>0</v>
      </c>
      <c r="AA136" s="1246">
        <f t="shared" si="2101"/>
        <v>0</v>
      </c>
      <c r="AB136" s="1246">
        <f t="shared" si="2101"/>
        <v>0</v>
      </c>
      <c r="AC136" s="1246">
        <f t="shared" si="2101"/>
        <v>0</v>
      </c>
      <c r="AD136" s="1246">
        <f t="shared" si="2101"/>
        <v>0</v>
      </c>
      <c r="AE136" s="1246">
        <f t="shared" si="2101"/>
        <v>0</v>
      </c>
      <c r="AF136" s="1246">
        <f t="shared" si="2101"/>
        <v>0</v>
      </c>
      <c r="AG136" s="1246">
        <f t="shared" si="2101"/>
        <v>0</v>
      </c>
      <c r="AH136" s="1246">
        <f t="shared" si="2101"/>
        <v>0</v>
      </c>
      <c r="AI136" s="1247">
        <f t="shared" si="2101"/>
        <v>0</v>
      </c>
      <c r="AJ136" s="1246">
        <f t="shared" si="2101"/>
        <v>0</v>
      </c>
      <c r="AK136" s="1246">
        <f t="shared" si="2101"/>
        <v>0</v>
      </c>
      <c r="AL136" s="1246">
        <f t="shared" si="2101"/>
        <v>0</v>
      </c>
      <c r="AM136" s="1246">
        <f t="shared" si="2101"/>
        <v>0</v>
      </c>
      <c r="AN136" s="1246">
        <f t="shared" si="2101"/>
        <v>0</v>
      </c>
      <c r="AO136" s="1246">
        <f t="shared" si="2101"/>
        <v>0</v>
      </c>
      <c r="AP136" s="1246">
        <f t="shared" si="2101"/>
        <v>0</v>
      </c>
      <c r="AQ136" s="1246">
        <f t="shared" si="2101"/>
        <v>0</v>
      </c>
      <c r="AR136" s="1246">
        <f t="shared" si="2101"/>
        <v>0</v>
      </c>
      <c r="AS136" s="1246">
        <f t="shared" si="2101"/>
        <v>0</v>
      </c>
      <c r="AT136" s="1246">
        <f t="shared" si="2101"/>
        <v>0</v>
      </c>
      <c r="AU136" s="1247">
        <f t="shared" si="2101"/>
        <v>0</v>
      </c>
      <c r="AV136" s="1246">
        <f t="shared" si="2101"/>
        <v>0</v>
      </c>
      <c r="AW136" s="1246">
        <f t="shared" si="2101"/>
        <v>0</v>
      </c>
      <c r="AX136" s="1246">
        <f t="shared" si="2101"/>
        <v>0</v>
      </c>
      <c r="AY136" s="1246">
        <f t="shared" si="2101"/>
        <v>0</v>
      </c>
      <c r="AZ136" s="1246">
        <f t="shared" si="2101"/>
        <v>0</v>
      </c>
      <c r="BA136" s="1246">
        <f t="shared" si="2101"/>
        <v>0</v>
      </c>
      <c r="BB136" s="1246">
        <f t="shared" si="2101"/>
        <v>0</v>
      </c>
      <c r="BC136" s="1246">
        <f t="shared" si="2101"/>
        <v>0</v>
      </c>
      <c r="BD136" s="1246">
        <f t="shared" si="2101"/>
        <v>0</v>
      </c>
      <c r="BE136" s="1246">
        <f t="shared" si="2101"/>
        <v>0</v>
      </c>
      <c r="BF136" s="1246">
        <f t="shared" si="2101"/>
        <v>0</v>
      </c>
      <c r="BG136" s="1247">
        <f t="shared" si="2101"/>
        <v>0</v>
      </c>
      <c r="BH136" s="1246">
        <f t="shared" si="2101"/>
        <v>0</v>
      </c>
      <c r="BI136" s="1246">
        <f t="shared" si="2101"/>
        <v>0</v>
      </c>
      <c r="BJ136" s="1246">
        <f t="shared" si="2101"/>
        <v>0</v>
      </c>
      <c r="BK136" s="1246">
        <f t="shared" si="2101"/>
        <v>0</v>
      </c>
      <c r="BL136" s="1246">
        <f t="shared" si="2101"/>
        <v>0</v>
      </c>
      <c r="BM136" s="1246">
        <f t="shared" si="2101"/>
        <v>0</v>
      </c>
      <c r="BN136" s="1246">
        <f t="shared" si="2101"/>
        <v>0</v>
      </c>
      <c r="BO136" s="1246">
        <f t="shared" si="2101"/>
        <v>0</v>
      </c>
      <c r="BP136" s="1246">
        <f t="shared" si="2101"/>
        <v>0</v>
      </c>
      <c r="BQ136" s="1246">
        <f t="shared" si="2101"/>
        <v>0</v>
      </c>
      <c r="BR136" s="1246">
        <f t="shared" si="2101"/>
        <v>0</v>
      </c>
      <c r="BS136" s="1247">
        <f t="shared" si="2101"/>
        <v>0</v>
      </c>
      <c r="BT136" s="1246">
        <f t="shared" si="2101"/>
        <v>0</v>
      </c>
      <c r="BU136" s="1246">
        <f t="shared" si="2101"/>
        <v>0</v>
      </c>
      <c r="BV136" s="1246">
        <f t="shared" si="2101"/>
        <v>0</v>
      </c>
      <c r="BW136" s="1246">
        <f t="shared" si="2101"/>
        <v>0</v>
      </c>
      <c r="BX136" s="1246">
        <f t="shared" si="2101"/>
        <v>0</v>
      </c>
      <c r="BY136" s="1246">
        <f t="shared" si="2101"/>
        <v>0</v>
      </c>
      <c r="BZ136" s="1246">
        <f t="shared" si="2101"/>
        <v>0</v>
      </c>
      <c r="CA136" s="1246">
        <f t="shared" si="2101"/>
        <v>0</v>
      </c>
      <c r="CB136" s="1246">
        <f t="shared" si="2101"/>
        <v>0</v>
      </c>
      <c r="CC136" s="1246">
        <f t="shared" si="2101"/>
        <v>0</v>
      </c>
      <c r="CD136" s="1246">
        <f t="shared" si="2101"/>
        <v>0</v>
      </c>
      <c r="CE136" s="1247">
        <f t="shared" si="2101"/>
        <v>0</v>
      </c>
      <c r="CF136" s="1246">
        <f t="shared" si="2101"/>
        <v>0</v>
      </c>
      <c r="CG136" s="1246">
        <f t="shared" si="2101"/>
        <v>0</v>
      </c>
      <c r="CH136" s="1246">
        <f t="shared" si="2101"/>
        <v>0</v>
      </c>
      <c r="CI136" s="1246">
        <f t="shared" si="2101"/>
        <v>0</v>
      </c>
      <c r="CJ136" s="1246">
        <f t="shared" ref="CJ136:ED136" si="2102">ROUNDUP($V136*(CJ135/100)/0.8,0)</f>
        <v>0</v>
      </c>
      <c r="CK136" s="1246">
        <f t="shared" si="2102"/>
        <v>0</v>
      </c>
      <c r="CL136" s="1246">
        <f t="shared" si="2102"/>
        <v>0</v>
      </c>
      <c r="CM136" s="1246">
        <f t="shared" si="2102"/>
        <v>0</v>
      </c>
      <c r="CN136" s="1246">
        <f t="shared" si="2102"/>
        <v>0</v>
      </c>
      <c r="CO136" s="1246">
        <f t="shared" si="2102"/>
        <v>0</v>
      </c>
      <c r="CP136" s="1246">
        <f t="shared" si="2102"/>
        <v>0</v>
      </c>
      <c r="CQ136" s="1247">
        <f t="shared" si="2102"/>
        <v>0</v>
      </c>
      <c r="CR136" s="1246">
        <f t="shared" si="2102"/>
        <v>0</v>
      </c>
      <c r="CS136" s="1246">
        <f t="shared" si="2102"/>
        <v>0</v>
      </c>
      <c r="CT136" s="1246">
        <f t="shared" si="2102"/>
        <v>0</v>
      </c>
      <c r="CU136" s="1246">
        <f t="shared" si="2102"/>
        <v>0</v>
      </c>
      <c r="CV136" s="1246">
        <f t="shared" si="2102"/>
        <v>0</v>
      </c>
      <c r="CW136" s="1246">
        <f t="shared" si="2102"/>
        <v>0</v>
      </c>
      <c r="CX136" s="1246">
        <f t="shared" si="2102"/>
        <v>0</v>
      </c>
      <c r="CY136" s="1246">
        <f t="shared" si="2102"/>
        <v>0</v>
      </c>
      <c r="CZ136" s="1246">
        <f t="shared" si="2102"/>
        <v>0</v>
      </c>
      <c r="DA136" s="1246">
        <f t="shared" si="2102"/>
        <v>0</v>
      </c>
      <c r="DB136" s="1246">
        <f t="shared" si="2102"/>
        <v>0</v>
      </c>
      <c r="DC136" s="1247">
        <f t="shared" si="2102"/>
        <v>0</v>
      </c>
      <c r="DD136" s="1246">
        <f t="shared" si="2102"/>
        <v>0</v>
      </c>
      <c r="DE136" s="1246">
        <f t="shared" si="2102"/>
        <v>0</v>
      </c>
      <c r="DF136" s="1246">
        <f t="shared" si="2102"/>
        <v>0</v>
      </c>
      <c r="DG136" s="1246">
        <f t="shared" si="2102"/>
        <v>0</v>
      </c>
      <c r="DH136" s="1246">
        <f t="shared" si="2102"/>
        <v>0</v>
      </c>
      <c r="DI136" s="1246">
        <f t="shared" si="2102"/>
        <v>0</v>
      </c>
      <c r="DJ136" s="1246">
        <f t="shared" si="2102"/>
        <v>0</v>
      </c>
      <c r="DK136" s="1246">
        <f t="shared" si="2102"/>
        <v>0</v>
      </c>
      <c r="DL136" s="1246">
        <f t="shared" si="2102"/>
        <v>0</v>
      </c>
      <c r="DM136" s="1246">
        <f t="shared" si="2102"/>
        <v>0</v>
      </c>
      <c r="DN136" s="1246">
        <f t="shared" si="2102"/>
        <v>0</v>
      </c>
      <c r="DO136" s="1247">
        <f t="shared" si="2102"/>
        <v>0</v>
      </c>
      <c r="DP136" s="1246">
        <f t="shared" si="2102"/>
        <v>0</v>
      </c>
      <c r="DQ136" s="1246">
        <f t="shared" si="2102"/>
        <v>0</v>
      </c>
      <c r="DR136" s="1246">
        <f t="shared" si="2102"/>
        <v>0</v>
      </c>
      <c r="DS136" s="1246">
        <f t="shared" si="2102"/>
        <v>0</v>
      </c>
      <c r="DT136" s="1246">
        <f t="shared" si="2102"/>
        <v>0</v>
      </c>
      <c r="DU136" s="1246">
        <f t="shared" si="2102"/>
        <v>0</v>
      </c>
      <c r="DV136" s="1246">
        <f t="shared" si="2102"/>
        <v>0</v>
      </c>
      <c r="DW136" s="1246">
        <f t="shared" si="2102"/>
        <v>0</v>
      </c>
      <c r="DX136" s="1246">
        <f t="shared" si="2102"/>
        <v>0</v>
      </c>
      <c r="DY136" s="1246">
        <f t="shared" si="2102"/>
        <v>0</v>
      </c>
      <c r="DZ136" s="1246">
        <f t="shared" si="2102"/>
        <v>0</v>
      </c>
      <c r="EA136" s="1247">
        <f t="shared" si="2102"/>
        <v>0</v>
      </c>
      <c r="EB136" s="1246">
        <f t="shared" si="2102"/>
        <v>0</v>
      </c>
      <c r="EC136" s="1246">
        <f t="shared" si="2102"/>
        <v>0</v>
      </c>
      <c r="ED136" s="1248">
        <f t="shared" si="2102"/>
        <v>0</v>
      </c>
    </row>
    <row r="137" spans="1:134" outlineLevel="1" x14ac:dyDescent="0.25">
      <c r="A137">
        <v>4</v>
      </c>
      <c r="B137" t="s">
        <v>297</v>
      </c>
      <c r="C137" s="1279"/>
      <c r="D137" s="1625" t="s">
        <v>298</v>
      </c>
      <c r="E137" s="1625"/>
      <c r="F137" s="1625"/>
      <c r="G137" s="1625"/>
      <c r="H137" s="1625"/>
      <c r="I137" s="1625"/>
      <c r="J137" s="1625"/>
      <c r="K137" s="1625"/>
      <c r="L137" s="1224"/>
      <c r="M137" s="1223"/>
      <c r="N137" s="1230">
        <f>M137/100</f>
        <v>0</v>
      </c>
      <c r="O137" s="1231"/>
      <c r="P137" s="1231"/>
      <c r="Q137" s="1231"/>
      <c r="R137" s="1232">
        <f>P137-N137</f>
        <v>0</v>
      </c>
      <c r="S137" s="1233">
        <f>Q137*100</f>
        <v>0</v>
      </c>
      <c r="T137" s="1233"/>
      <c r="U137" s="1223"/>
      <c r="V137" s="628"/>
      <c r="W137" s="1256">
        <f>M137</f>
        <v>0</v>
      </c>
      <c r="X137" s="1257">
        <f>W137</f>
        <v>0</v>
      </c>
      <c r="Y137" s="1257">
        <f>X137</f>
        <v>0</v>
      </c>
      <c r="Z137" s="1257">
        <f>O137*100</f>
        <v>0</v>
      </c>
      <c r="AA137" s="1257">
        <f>Z137</f>
        <v>0</v>
      </c>
      <c r="AB137" s="1257">
        <f>AA137</f>
        <v>0</v>
      </c>
      <c r="AC137" s="1257">
        <f>P137*100</f>
        <v>0</v>
      </c>
      <c r="AD137" s="1257">
        <f>AC137</f>
        <v>0</v>
      </c>
      <c r="AE137" s="1257">
        <f>AD137</f>
        <v>0</v>
      </c>
      <c r="AF137" s="1257">
        <f>AE137</f>
        <v>0</v>
      </c>
      <c r="AG137" s="1257">
        <f>AF137</f>
        <v>0</v>
      </c>
      <c r="AH137" s="1257">
        <f>AG137</f>
        <v>0</v>
      </c>
      <c r="AI137" s="1258">
        <f t="shared" ref="AI137" si="2103">(((AH137*(1+($B$36*$B$4)))-AH137)/12)+AH137</f>
        <v>0</v>
      </c>
      <c r="AJ137" s="1257">
        <f t="shared" ref="AJ137" si="2104">(((AI137*(1+($B$36*$B$4)))-AI137)/12)+AI137</f>
        <v>0</v>
      </c>
      <c r="AK137" s="1257">
        <f t="shared" ref="AK137" si="2105">(((AJ137*(1+($B$36*$B$4)))-AJ137)/12)+AJ137</f>
        <v>0</v>
      </c>
      <c r="AL137" s="1257">
        <f t="shared" ref="AL137" si="2106">(((AK137*(1+($B$36*$B$4)))-AK137)/12)+AK137</f>
        <v>0</v>
      </c>
      <c r="AM137" s="1257">
        <f t="shared" ref="AM137" si="2107">(((AL137*(1+($B$36*$B$4)))-AL137)/12)+AL137</f>
        <v>0</v>
      </c>
      <c r="AN137" s="1257">
        <f t="shared" ref="AN137" si="2108">(((AM137*(1+($B$36*$B$4)))-AM137)/12)+AM137</f>
        <v>0</v>
      </c>
      <c r="AO137" s="1257">
        <f t="shared" ref="AO137" si="2109">(((AN137*(1+($B$36*$B$4)))-AN137)/12)+AN137</f>
        <v>0</v>
      </c>
      <c r="AP137" s="1257">
        <f t="shared" ref="AP137" si="2110">(((AO137*(1+($B$36*$B$4)))-AO137)/12)+AO137</f>
        <v>0</v>
      </c>
      <c r="AQ137" s="1257">
        <f t="shared" ref="AQ137" si="2111">(((AP137*(1+($B$36*$B$4)))-AP137)/12)+AP137</f>
        <v>0</v>
      </c>
      <c r="AR137" s="1257">
        <f t="shared" ref="AR137" si="2112">(((AQ137*(1+($B$36*$B$4)))-AQ137)/12)+AQ137</f>
        <v>0</v>
      </c>
      <c r="AS137" s="1257">
        <f t="shared" ref="AS137" si="2113">(((AR137*(1+($B$36*$B$4)))-AR137)/12)+AR137</f>
        <v>0</v>
      </c>
      <c r="AT137" s="1257">
        <f t="shared" ref="AT137" si="2114">(((AS137*(1+($B$36*$B$4)))-AS137)/12)+AS137</f>
        <v>0</v>
      </c>
      <c r="AU137" s="1258">
        <f t="shared" ref="AU137" si="2115">(((AT137*(1+($B$37*$B$4)))-AT137)/12)+AT137</f>
        <v>0</v>
      </c>
      <c r="AV137" s="1257">
        <f t="shared" ref="AV137" si="2116">(((AU137*(1+($B$37*$B$4)))-AU137)/12)+AU137</f>
        <v>0</v>
      </c>
      <c r="AW137" s="1257">
        <f t="shared" ref="AW137" si="2117">(((AV137*(1+($B$37*$B$4)))-AV137)/12)+AV137</f>
        <v>0</v>
      </c>
      <c r="AX137" s="1257">
        <f t="shared" ref="AX137" si="2118">(((AW137*(1+($B$37*$B$4)))-AW137)/12)+AW137</f>
        <v>0</v>
      </c>
      <c r="AY137" s="1257">
        <f t="shared" ref="AY137" si="2119">(((AX137*(1+($B$37*$B$4)))-AX137)/12)+AX137</f>
        <v>0</v>
      </c>
      <c r="AZ137" s="1257">
        <f t="shared" ref="AZ137" si="2120">(((AY137*(1+($B$37*$B$4)))-AY137)/12)+AY137</f>
        <v>0</v>
      </c>
      <c r="BA137" s="1257">
        <f t="shared" ref="BA137" si="2121">(((AZ137*(1+($B$37*$B$4)))-AZ137)/12)+AZ137</f>
        <v>0</v>
      </c>
      <c r="BB137" s="1257">
        <f t="shared" ref="BB137" si="2122">(((BA137*(1+($B$37*$B$4)))-BA137)/12)+BA137</f>
        <v>0</v>
      </c>
      <c r="BC137" s="1257">
        <f t="shared" ref="BC137" si="2123">(((BB137*(1+($B$37*$B$4)))-BB137)/12)+BB137</f>
        <v>0</v>
      </c>
      <c r="BD137" s="1257">
        <f t="shared" ref="BD137" si="2124">(((BC137*(1+($B$37*$B$4)))-BC137)/12)+BC137</f>
        <v>0</v>
      </c>
      <c r="BE137" s="1257">
        <f t="shared" ref="BE137" si="2125">(((BD137*(1+($B$37*$B$4)))-BD137)/12)+BD137</f>
        <v>0</v>
      </c>
      <c r="BF137" s="1257">
        <f t="shared" ref="BF137" si="2126">(((BE137*(1+($B$37*$B$4)))-BE137)/12)+BE137</f>
        <v>0</v>
      </c>
      <c r="BG137" s="1258">
        <f t="shared" ref="BG137" si="2127">(((BF137*(1+($B$38*$B$4)))-BF137)/12)+BF137</f>
        <v>0</v>
      </c>
      <c r="BH137" s="1257">
        <f t="shared" ref="BH137" si="2128">(((BG137*(1+($B$38*$B$4)))-BG137)/12)+BG137</f>
        <v>0</v>
      </c>
      <c r="BI137" s="1257">
        <f t="shared" ref="BI137" si="2129">(((BH137*(1+($B$38*$B$4)))-BH137)/12)+BH137</f>
        <v>0</v>
      </c>
      <c r="BJ137" s="1257">
        <f t="shared" ref="BJ137" si="2130">(((BI137*(1+($B$38*$B$4)))-BI137)/12)+BI137</f>
        <v>0</v>
      </c>
      <c r="BK137" s="1257">
        <f t="shared" ref="BK137" si="2131">(((BJ137*(1+($B$38*$B$4)))-BJ137)/12)+BJ137</f>
        <v>0</v>
      </c>
      <c r="BL137" s="1257">
        <f t="shared" ref="BL137" si="2132">(((BK137*(1+($B$38*$B$4)))-BK137)/12)+BK137</f>
        <v>0</v>
      </c>
      <c r="BM137" s="1257">
        <f t="shared" ref="BM137" si="2133">(((BL137*(1+($B$38*$B$4)))-BL137)/12)+BL137</f>
        <v>0</v>
      </c>
      <c r="BN137" s="1257">
        <f t="shared" ref="BN137" si="2134">(((BM137*(1+($B$38*$B$4)))-BM137)/12)+BM137</f>
        <v>0</v>
      </c>
      <c r="BO137" s="1257">
        <f t="shared" ref="BO137" si="2135">(((BN137*(1+($B$38*$B$4)))-BN137)/12)+BN137</f>
        <v>0</v>
      </c>
      <c r="BP137" s="1257">
        <f t="shared" ref="BP137" si="2136">(((BO137*(1+($B$38*$B$4)))-BO137)/12)+BO137</f>
        <v>0</v>
      </c>
      <c r="BQ137" s="1257">
        <f t="shared" ref="BQ137" si="2137">(((BP137*(1+($B$38*$B$4)))-BP137)/12)+BP137</f>
        <v>0</v>
      </c>
      <c r="BR137" s="1257">
        <f t="shared" ref="BR137" si="2138">(((BQ137*(1+($B$38*$B$4)))-BQ137)/12)+BQ137</f>
        <v>0</v>
      </c>
      <c r="BS137" s="1258">
        <f t="shared" ref="BS137" si="2139">(((BR137*(1+($B$39*$B$4)))-BR137)/12)+BR137</f>
        <v>0</v>
      </c>
      <c r="BT137" s="1257">
        <f t="shared" ref="BT137" si="2140">(((BS137*(1+($B$39*$B$4)))-BS137)/12)+BS137</f>
        <v>0</v>
      </c>
      <c r="BU137" s="1257">
        <f t="shared" ref="BU137" si="2141">(((BT137*(1+($B$39*$B$4)))-BT137)/12)+BT137</f>
        <v>0</v>
      </c>
      <c r="BV137" s="1257">
        <f t="shared" ref="BV137" si="2142">(((BU137*(1+($B$39*$B$4)))-BU137)/12)+BU137</f>
        <v>0</v>
      </c>
      <c r="BW137" s="1257">
        <f t="shared" ref="BW137" si="2143">(((BV137*(1+($B$39*$B$4)))-BV137)/12)+BV137</f>
        <v>0</v>
      </c>
      <c r="BX137" s="1257">
        <f t="shared" ref="BX137" si="2144">(((BW137*(1+($B$39*$B$4)))-BW137)/12)+BW137</f>
        <v>0</v>
      </c>
      <c r="BY137" s="1257">
        <f t="shared" ref="BY137" si="2145">(((BX137*(1+($B$39*$B$4)))-BX137)/12)+BX137</f>
        <v>0</v>
      </c>
      <c r="BZ137" s="1257">
        <f t="shared" ref="BZ137" si="2146">(((BY137*(1+($B$39*$B$4)))-BY137)/12)+BY137</f>
        <v>0</v>
      </c>
      <c r="CA137" s="1257">
        <f t="shared" ref="CA137" si="2147">(((BZ137*(1+($B$39*$B$4)))-BZ137)/12)+BZ137</f>
        <v>0</v>
      </c>
      <c r="CB137" s="1257">
        <f t="shared" ref="CB137" si="2148">(((CA137*(1+($B$39*$B$4)))-CA137)/12)+CA137</f>
        <v>0</v>
      </c>
      <c r="CC137" s="1257">
        <f t="shared" ref="CC137" si="2149">(((CB137*(1+($B$39*$B$4)))-CB137)/12)+CB137</f>
        <v>0</v>
      </c>
      <c r="CD137" s="1257">
        <f t="shared" ref="CD137" si="2150">(((CC137*(1+($B$39*$B$4)))-CC137)/12)+CC137</f>
        <v>0</v>
      </c>
      <c r="CE137" s="1258">
        <f t="shared" ref="CE137" si="2151">(((CD137*(1+($B$40*$B$4)))-CD137)/12)+CD137</f>
        <v>0</v>
      </c>
      <c r="CF137" s="1257">
        <f t="shared" ref="CF137" si="2152">(((CE137*(1+($B$40*$B$4)))-CE137)/12)+CE137</f>
        <v>0</v>
      </c>
      <c r="CG137" s="1257">
        <f t="shared" ref="CG137" si="2153">(((CF137*(1+($B$40*$B$4)))-CF137)/12)+CF137</f>
        <v>0</v>
      </c>
      <c r="CH137" s="1257">
        <f t="shared" ref="CH137" si="2154">(((CG137*(1+($B$40*$B$4)))-CG137)/12)+CG137</f>
        <v>0</v>
      </c>
      <c r="CI137" s="1257">
        <f t="shared" ref="CI137" si="2155">(((CH137*(1+($B$40*$B$4)))-CH137)/12)+CH137</f>
        <v>0</v>
      </c>
      <c r="CJ137" s="1257">
        <f t="shared" ref="CJ137" si="2156">(((CI137*(1+($B$40*$B$4)))-CI137)/12)+CI137</f>
        <v>0</v>
      </c>
      <c r="CK137" s="1257">
        <f t="shared" ref="CK137" si="2157">(((CJ137*(1+($B$40*$B$4)))-CJ137)/12)+CJ137</f>
        <v>0</v>
      </c>
      <c r="CL137" s="1257">
        <f t="shared" ref="CL137" si="2158">(((CK137*(1+($B$40*$B$4)))-CK137)/12)+CK137</f>
        <v>0</v>
      </c>
      <c r="CM137" s="1257">
        <f t="shared" ref="CM137" si="2159">(((CL137*(1+($B$40*$B$4)))-CL137)/12)+CL137</f>
        <v>0</v>
      </c>
      <c r="CN137" s="1257">
        <f t="shared" ref="CN137" si="2160">(((CM137*(1+($B$40*$B$4)))-CM137)/12)+CM137</f>
        <v>0</v>
      </c>
      <c r="CO137" s="1257">
        <f t="shared" ref="CO137" si="2161">(((CN137*(1+($B$40*$B$4)))-CN137)/12)+CN137</f>
        <v>0</v>
      </c>
      <c r="CP137" s="1257">
        <f t="shared" ref="CP137" si="2162">(((CO137*(1+($B$40*$B$4)))-CO137)/12)+CO137</f>
        <v>0</v>
      </c>
      <c r="CQ137" s="1258">
        <f t="shared" ref="CQ137" si="2163">(((CP137*(1+($B$41*$B$4)))-CP137)/12)+CP137</f>
        <v>0</v>
      </c>
      <c r="CR137" s="1257">
        <f t="shared" ref="CR137" si="2164">(((CQ137*(1+($B$41*$B$4)))-CQ137)/12)+CQ137</f>
        <v>0</v>
      </c>
      <c r="CS137" s="1257">
        <f t="shared" ref="CS137" si="2165">(((CR137*(1+($B$41*$B$4)))-CR137)/12)+CR137</f>
        <v>0</v>
      </c>
      <c r="CT137" s="1257">
        <f t="shared" ref="CT137" si="2166">(((CS137*(1+($B$41*$B$4)))-CS137)/12)+CS137</f>
        <v>0</v>
      </c>
      <c r="CU137" s="1257">
        <f t="shared" ref="CU137" si="2167">(((CT137*(1+($B$41*$B$4)))-CT137)/12)+CT137</f>
        <v>0</v>
      </c>
      <c r="CV137" s="1257">
        <f t="shared" ref="CV137" si="2168">(((CU137*(1+($B$41*$B$4)))-CU137)/12)+CU137</f>
        <v>0</v>
      </c>
      <c r="CW137" s="1257">
        <f t="shared" ref="CW137" si="2169">(((CV137*(1+($B$41*$B$4)))-CV137)/12)+CV137</f>
        <v>0</v>
      </c>
      <c r="CX137" s="1257">
        <f t="shared" ref="CX137" si="2170">(((CW137*(1+($B$41*$B$4)))-CW137)/12)+CW137</f>
        <v>0</v>
      </c>
      <c r="CY137" s="1257">
        <f t="shared" ref="CY137" si="2171">(((CX137*(1+($B$41*$B$4)))-CX137)/12)+CX137</f>
        <v>0</v>
      </c>
      <c r="CZ137" s="1257">
        <f t="shared" ref="CZ137" si="2172">(((CY137*(1+($B$41*$B$4)))-CY137)/12)+CY137</f>
        <v>0</v>
      </c>
      <c r="DA137" s="1257">
        <f t="shared" ref="DA137" si="2173">(((CZ137*(1+($B$41*$B$4)))-CZ137)/12)+CZ137</f>
        <v>0</v>
      </c>
      <c r="DB137" s="1257">
        <f t="shared" ref="DB137" si="2174">(((DA137*(1+($B$41*$B$4)))-DA137)/12)+DA137</f>
        <v>0</v>
      </c>
      <c r="DC137" s="1258">
        <f t="shared" ref="DC137" si="2175">(((DB137*(1+($B$42*$B$4)))-DB137)/12)+DB137</f>
        <v>0</v>
      </c>
      <c r="DD137" s="1257">
        <f t="shared" ref="DD137" si="2176">(((DC137*(1+($B$42*$B$4)))-DC137)/12)+DC137</f>
        <v>0</v>
      </c>
      <c r="DE137" s="1257">
        <f t="shared" ref="DE137" si="2177">(((DD137*(1+($B$42*$B$4)))-DD137)/12)+DD137</f>
        <v>0</v>
      </c>
      <c r="DF137" s="1257">
        <f t="shared" ref="DF137" si="2178">(((DE137*(1+($B$42*$B$4)))-DE137)/12)+DE137</f>
        <v>0</v>
      </c>
      <c r="DG137" s="1257">
        <f t="shared" ref="DG137" si="2179">(((DF137*(1+($B$42*$B$4)))-DF137)/12)+DF137</f>
        <v>0</v>
      </c>
      <c r="DH137" s="1257">
        <f t="shared" ref="DH137" si="2180">(((DG137*(1+($B$42*$B$4)))-DG137)/12)+DG137</f>
        <v>0</v>
      </c>
      <c r="DI137" s="1257">
        <f t="shared" ref="DI137" si="2181">(((DH137*(1+($B$42*$B$4)))-DH137)/12)+DH137</f>
        <v>0</v>
      </c>
      <c r="DJ137" s="1257">
        <f t="shared" ref="DJ137" si="2182">(((DI137*(1+($B$42*$B$4)))-DI137)/12)+DI137</f>
        <v>0</v>
      </c>
      <c r="DK137" s="1257">
        <f t="shared" ref="DK137" si="2183">(((DJ137*(1+($B$42*$B$4)))-DJ137)/12)+DJ137</f>
        <v>0</v>
      </c>
      <c r="DL137" s="1257">
        <f t="shared" ref="DL137" si="2184">(((DK137*(1+($B$42*$B$4)))-DK137)/12)+DK137</f>
        <v>0</v>
      </c>
      <c r="DM137" s="1257">
        <f t="shared" ref="DM137" si="2185">(((DL137*(1+($B$42*$B$4)))-DL137)/12)+DL137</f>
        <v>0</v>
      </c>
      <c r="DN137" s="1257">
        <f t="shared" ref="DN137" si="2186">(((DM137*(1+($B$42*$B$4)))-DM137)/12)+DM137</f>
        <v>0</v>
      </c>
      <c r="DO137" s="1258">
        <f t="shared" ref="DO137" si="2187">(((DN137*(1+($B$43*$B$4)))-DN137)/12)+DN137</f>
        <v>0</v>
      </c>
      <c r="DP137" s="1257">
        <f t="shared" ref="DP137" si="2188">(((DO137*(1+($B$43*$B$4)))-DO137)/12)+DO137</f>
        <v>0</v>
      </c>
      <c r="DQ137" s="1257">
        <f t="shared" ref="DQ137" si="2189">(((DP137*(1+($B$43*$B$4)))-DP137)/12)+DP137</f>
        <v>0</v>
      </c>
      <c r="DR137" s="1257">
        <f t="shared" ref="DR137" si="2190">(((DQ137*(1+($B$43*$B$4)))-DQ137)/12)+DQ137</f>
        <v>0</v>
      </c>
      <c r="DS137" s="1257">
        <f t="shared" ref="DS137" si="2191">(((DR137*(1+($B$43*$B$4)))-DR137)/12)+DR137</f>
        <v>0</v>
      </c>
      <c r="DT137" s="1257">
        <f t="shared" ref="DT137" si="2192">(((DS137*(1+($B$43*$B$4)))-DS137)/12)+DS137</f>
        <v>0</v>
      </c>
      <c r="DU137" s="1257">
        <f t="shared" ref="DU137" si="2193">(((DT137*(1+($B$43*$B$4)))-DT137)/12)+DT137</f>
        <v>0</v>
      </c>
      <c r="DV137" s="1257">
        <f t="shared" ref="DV137" si="2194">(((DU137*(1+($B$43*$B$4)))-DU137)/12)+DU137</f>
        <v>0</v>
      </c>
      <c r="DW137" s="1257">
        <f t="shared" ref="DW137" si="2195">(((DV137*(1+($B$43*$B$4)))-DV137)/12)+DV137</f>
        <v>0</v>
      </c>
      <c r="DX137" s="1257">
        <f t="shared" ref="DX137" si="2196">(((DW137*(1+($B$43*$B$4)))-DW137)/12)+DW137</f>
        <v>0</v>
      </c>
      <c r="DY137" s="1257">
        <f t="shared" ref="DY137" si="2197">(((DX137*(1+($B$43*$B$4)))-DX137)/12)+DX137</f>
        <v>0</v>
      </c>
      <c r="DZ137" s="1257">
        <f t="shared" ref="DZ137" si="2198">(((DY137*(1+($B$43*$B$4)))-DY137)/12)+DY137</f>
        <v>0</v>
      </c>
      <c r="EA137" s="1258">
        <f>(((DZ137*(1+($B$44*$B$4)))-DZ137)/12)+DZ137</f>
        <v>0</v>
      </c>
      <c r="EB137" s="1257">
        <f>(((EA137*(1+($B$44*$B$4)))-EA137)/12)+EA137</f>
        <v>0</v>
      </c>
      <c r="EC137" s="1257">
        <f>(((EB137*(1+($B$44*$B$4)))-EB137)/12)+EB137</f>
        <v>0</v>
      </c>
      <c r="ED137" s="1259">
        <f>(((EC137*(1+($B$44*$B$4)))-EC137)/12)+EC137</f>
        <v>0</v>
      </c>
    </row>
    <row r="138" spans="1:134" outlineLevel="1" x14ac:dyDescent="0.25">
      <c r="A138">
        <v>4</v>
      </c>
      <c r="B138" t="s">
        <v>299</v>
      </c>
      <c r="C138" s="1279"/>
      <c r="D138" s="1624"/>
      <c r="E138" s="1624"/>
      <c r="F138" s="1624"/>
      <c r="G138" s="1624"/>
      <c r="H138" s="1624"/>
      <c r="I138" s="1624"/>
      <c r="J138" s="1624"/>
      <c r="K138" s="1624"/>
      <c r="L138" s="1238"/>
      <c r="M138" s="1239"/>
      <c r="N138" s="1240"/>
      <c r="O138" s="1241"/>
      <c r="P138" s="1241"/>
      <c r="Q138" s="1241"/>
      <c r="R138" s="1242"/>
      <c r="S138" s="1243"/>
      <c r="T138" s="1243"/>
      <c r="U138" s="1239"/>
      <c r="V138" s="1244">
        <v>0.5</v>
      </c>
      <c r="W138" s="1260">
        <f>ROUNDUP($V138*(W137/100)/0.8,0)</f>
        <v>0</v>
      </c>
      <c r="X138" s="1250">
        <f t="shared" ref="X138:CI138" si="2199">ROUNDUP($V138*(X137/100)/0.8,0)</f>
        <v>0</v>
      </c>
      <c r="Y138" s="1250">
        <f t="shared" si="2199"/>
        <v>0</v>
      </c>
      <c r="Z138" s="1250">
        <f t="shared" si="2199"/>
        <v>0</v>
      </c>
      <c r="AA138" s="1250">
        <f t="shared" si="2199"/>
        <v>0</v>
      </c>
      <c r="AB138" s="1250">
        <f t="shared" si="2199"/>
        <v>0</v>
      </c>
      <c r="AC138" s="1250">
        <f t="shared" si="2199"/>
        <v>0</v>
      </c>
      <c r="AD138" s="1250">
        <f t="shared" si="2199"/>
        <v>0</v>
      </c>
      <c r="AE138" s="1250">
        <f t="shared" si="2199"/>
        <v>0</v>
      </c>
      <c r="AF138" s="1250">
        <f t="shared" si="2199"/>
        <v>0</v>
      </c>
      <c r="AG138" s="1250">
        <f t="shared" si="2199"/>
        <v>0</v>
      </c>
      <c r="AH138" s="1250">
        <f t="shared" si="2199"/>
        <v>0</v>
      </c>
      <c r="AI138" s="1261">
        <f t="shared" si="2199"/>
        <v>0</v>
      </c>
      <c r="AJ138" s="1250">
        <f t="shared" si="2199"/>
        <v>0</v>
      </c>
      <c r="AK138" s="1250">
        <f t="shared" si="2199"/>
        <v>0</v>
      </c>
      <c r="AL138" s="1250">
        <f t="shared" si="2199"/>
        <v>0</v>
      </c>
      <c r="AM138" s="1250">
        <f t="shared" si="2199"/>
        <v>0</v>
      </c>
      <c r="AN138" s="1250">
        <f t="shared" si="2199"/>
        <v>0</v>
      </c>
      <c r="AO138" s="1250">
        <f t="shared" si="2199"/>
        <v>0</v>
      </c>
      <c r="AP138" s="1250">
        <f t="shared" si="2199"/>
        <v>0</v>
      </c>
      <c r="AQ138" s="1250">
        <f t="shared" si="2199"/>
        <v>0</v>
      </c>
      <c r="AR138" s="1250">
        <f t="shared" si="2199"/>
        <v>0</v>
      </c>
      <c r="AS138" s="1250">
        <f t="shared" si="2199"/>
        <v>0</v>
      </c>
      <c r="AT138" s="1250">
        <f t="shared" si="2199"/>
        <v>0</v>
      </c>
      <c r="AU138" s="1261">
        <f t="shared" si="2199"/>
        <v>0</v>
      </c>
      <c r="AV138" s="1250">
        <f t="shared" si="2199"/>
        <v>0</v>
      </c>
      <c r="AW138" s="1250">
        <f t="shared" si="2199"/>
        <v>0</v>
      </c>
      <c r="AX138" s="1250">
        <f t="shared" si="2199"/>
        <v>0</v>
      </c>
      <c r="AY138" s="1250">
        <f t="shared" si="2199"/>
        <v>0</v>
      </c>
      <c r="AZ138" s="1250">
        <f t="shared" si="2199"/>
        <v>0</v>
      </c>
      <c r="BA138" s="1250">
        <f t="shared" si="2199"/>
        <v>0</v>
      </c>
      <c r="BB138" s="1250">
        <f t="shared" si="2199"/>
        <v>0</v>
      </c>
      <c r="BC138" s="1250">
        <f t="shared" si="2199"/>
        <v>0</v>
      </c>
      <c r="BD138" s="1250">
        <f t="shared" si="2199"/>
        <v>0</v>
      </c>
      <c r="BE138" s="1250">
        <f t="shared" si="2199"/>
        <v>0</v>
      </c>
      <c r="BF138" s="1250">
        <f t="shared" si="2199"/>
        <v>0</v>
      </c>
      <c r="BG138" s="1261">
        <f t="shared" si="2199"/>
        <v>0</v>
      </c>
      <c r="BH138" s="1250">
        <f t="shared" si="2199"/>
        <v>0</v>
      </c>
      <c r="BI138" s="1250">
        <f t="shared" si="2199"/>
        <v>0</v>
      </c>
      <c r="BJ138" s="1250">
        <f t="shared" si="2199"/>
        <v>0</v>
      </c>
      <c r="BK138" s="1250">
        <f t="shared" si="2199"/>
        <v>0</v>
      </c>
      <c r="BL138" s="1250">
        <f t="shared" si="2199"/>
        <v>0</v>
      </c>
      <c r="BM138" s="1250">
        <f t="shared" si="2199"/>
        <v>0</v>
      </c>
      <c r="BN138" s="1250">
        <f t="shared" si="2199"/>
        <v>0</v>
      </c>
      <c r="BO138" s="1250">
        <f t="shared" si="2199"/>
        <v>0</v>
      </c>
      <c r="BP138" s="1250">
        <f t="shared" si="2199"/>
        <v>0</v>
      </c>
      <c r="BQ138" s="1250">
        <f t="shared" si="2199"/>
        <v>0</v>
      </c>
      <c r="BR138" s="1250">
        <f t="shared" si="2199"/>
        <v>0</v>
      </c>
      <c r="BS138" s="1261">
        <f t="shared" si="2199"/>
        <v>0</v>
      </c>
      <c r="BT138" s="1250">
        <f t="shared" si="2199"/>
        <v>0</v>
      </c>
      <c r="BU138" s="1250">
        <f t="shared" si="2199"/>
        <v>0</v>
      </c>
      <c r="BV138" s="1250">
        <f t="shared" si="2199"/>
        <v>0</v>
      </c>
      <c r="BW138" s="1250">
        <f t="shared" si="2199"/>
        <v>0</v>
      </c>
      <c r="BX138" s="1250">
        <f t="shared" si="2199"/>
        <v>0</v>
      </c>
      <c r="BY138" s="1250">
        <f t="shared" si="2199"/>
        <v>0</v>
      </c>
      <c r="BZ138" s="1250">
        <f t="shared" si="2199"/>
        <v>0</v>
      </c>
      <c r="CA138" s="1250">
        <f t="shared" si="2199"/>
        <v>0</v>
      </c>
      <c r="CB138" s="1250">
        <f t="shared" si="2199"/>
        <v>0</v>
      </c>
      <c r="CC138" s="1250">
        <f t="shared" si="2199"/>
        <v>0</v>
      </c>
      <c r="CD138" s="1250">
        <f t="shared" si="2199"/>
        <v>0</v>
      </c>
      <c r="CE138" s="1261">
        <f t="shared" si="2199"/>
        <v>0</v>
      </c>
      <c r="CF138" s="1250">
        <f t="shared" si="2199"/>
        <v>0</v>
      </c>
      <c r="CG138" s="1250">
        <f t="shared" si="2199"/>
        <v>0</v>
      </c>
      <c r="CH138" s="1250">
        <f t="shared" si="2199"/>
        <v>0</v>
      </c>
      <c r="CI138" s="1250">
        <f t="shared" si="2199"/>
        <v>0</v>
      </c>
      <c r="CJ138" s="1250">
        <f t="shared" ref="CJ138:ED138" si="2200">ROUNDUP($V138*(CJ137/100)/0.8,0)</f>
        <v>0</v>
      </c>
      <c r="CK138" s="1250">
        <f t="shared" si="2200"/>
        <v>0</v>
      </c>
      <c r="CL138" s="1250">
        <f t="shared" si="2200"/>
        <v>0</v>
      </c>
      <c r="CM138" s="1250">
        <f t="shared" si="2200"/>
        <v>0</v>
      </c>
      <c r="CN138" s="1250">
        <f t="shared" si="2200"/>
        <v>0</v>
      </c>
      <c r="CO138" s="1250">
        <f t="shared" si="2200"/>
        <v>0</v>
      </c>
      <c r="CP138" s="1250">
        <f t="shared" si="2200"/>
        <v>0</v>
      </c>
      <c r="CQ138" s="1261">
        <f t="shared" si="2200"/>
        <v>0</v>
      </c>
      <c r="CR138" s="1250">
        <f t="shared" si="2200"/>
        <v>0</v>
      </c>
      <c r="CS138" s="1250">
        <f t="shared" si="2200"/>
        <v>0</v>
      </c>
      <c r="CT138" s="1250">
        <f t="shared" si="2200"/>
        <v>0</v>
      </c>
      <c r="CU138" s="1250">
        <f t="shared" si="2200"/>
        <v>0</v>
      </c>
      <c r="CV138" s="1250">
        <f t="shared" si="2200"/>
        <v>0</v>
      </c>
      <c r="CW138" s="1250">
        <f t="shared" si="2200"/>
        <v>0</v>
      </c>
      <c r="CX138" s="1250">
        <f t="shared" si="2200"/>
        <v>0</v>
      </c>
      <c r="CY138" s="1250">
        <f t="shared" si="2200"/>
        <v>0</v>
      </c>
      <c r="CZ138" s="1250">
        <f t="shared" si="2200"/>
        <v>0</v>
      </c>
      <c r="DA138" s="1250">
        <f t="shared" si="2200"/>
        <v>0</v>
      </c>
      <c r="DB138" s="1250">
        <f t="shared" si="2200"/>
        <v>0</v>
      </c>
      <c r="DC138" s="1261">
        <f t="shared" si="2200"/>
        <v>0</v>
      </c>
      <c r="DD138" s="1250">
        <f t="shared" si="2200"/>
        <v>0</v>
      </c>
      <c r="DE138" s="1250">
        <f t="shared" si="2200"/>
        <v>0</v>
      </c>
      <c r="DF138" s="1250">
        <f t="shared" si="2200"/>
        <v>0</v>
      </c>
      <c r="DG138" s="1250">
        <f t="shared" si="2200"/>
        <v>0</v>
      </c>
      <c r="DH138" s="1250">
        <f t="shared" si="2200"/>
        <v>0</v>
      </c>
      <c r="DI138" s="1250">
        <f t="shared" si="2200"/>
        <v>0</v>
      </c>
      <c r="DJ138" s="1250">
        <f t="shared" si="2200"/>
        <v>0</v>
      </c>
      <c r="DK138" s="1250">
        <f t="shared" si="2200"/>
        <v>0</v>
      </c>
      <c r="DL138" s="1250">
        <f t="shared" si="2200"/>
        <v>0</v>
      </c>
      <c r="DM138" s="1250">
        <f t="shared" si="2200"/>
        <v>0</v>
      </c>
      <c r="DN138" s="1250">
        <f t="shared" si="2200"/>
        <v>0</v>
      </c>
      <c r="DO138" s="1261">
        <f t="shared" si="2200"/>
        <v>0</v>
      </c>
      <c r="DP138" s="1250">
        <f t="shared" si="2200"/>
        <v>0</v>
      </c>
      <c r="DQ138" s="1250">
        <f t="shared" si="2200"/>
        <v>0</v>
      </c>
      <c r="DR138" s="1250">
        <f t="shared" si="2200"/>
        <v>0</v>
      </c>
      <c r="DS138" s="1250">
        <f t="shared" si="2200"/>
        <v>0</v>
      </c>
      <c r="DT138" s="1250">
        <f t="shared" si="2200"/>
        <v>0</v>
      </c>
      <c r="DU138" s="1250">
        <f t="shared" si="2200"/>
        <v>0</v>
      </c>
      <c r="DV138" s="1250">
        <f t="shared" si="2200"/>
        <v>0</v>
      </c>
      <c r="DW138" s="1250">
        <f t="shared" si="2200"/>
        <v>0</v>
      </c>
      <c r="DX138" s="1250">
        <f t="shared" si="2200"/>
        <v>0</v>
      </c>
      <c r="DY138" s="1250">
        <f t="shared" si="2200"/>
        <v>0</v>
      </c>
      <c r="DZ138" s="1250">
        <f t="shared" si="2200"/>
        <v>0</v>
      </c>
      <c r="EA138" s="1261">
        <f t="shared" si="2200"/>
        <v>0</v>
      </c>
      <c r="EB138" s="1250">
        <f t="shared" si="2200"/>
        <v>0</v>
      </c>
      <c r="EC138" s="1250">
        <f t="shared" si="2200"/>
        <v>0</v>
      </c>
      <c r="ED138" s="1262">
        <f t="shared" si="2200"/>
        <v>0</v>
      </c>
    </row>
    <row r="139" spans="1:134" outlineLevel="1" x14ac:dyDescent="0.25">
      <c r="A139">
        <v>4</v>
      </c>
      <c r="B139" t="s">
        <v>300</v>
      </c>
      <c r="C139" s="1279"/>
      <c r="D139" s="1623" t="s">
        <v>301</v>
      </c>
      <c r="E139" s="1623"/>
      <c r="F139" s="1623"/>
      <c r="G139" s="1623"/>
      <c r="H139" s="1623"/>
      <c r="I139" s="1623"/>
      <c r="J139" s="1623"/>
      <c r="K139" s="1623"/>
      <c r="L139" s="1249"/>
      <c r="M139" s="1250"/>
      <c r="N139" s="1251">
        <f>M139/100</f>
        <v>0</v>
      </c>
      <c r="O139" s="1252"/>
      <c r="P139" s="1252"/>
      <c r="Q139" s="1252"/>
      <c r="R139" s="1253">
        <f>P139-N139</f>
        <v>0</v>
      </c>
      <c r="S139" s="1254">
        <f>Q139*100</f>
        <v>0</v>
      </c>
      <c r="T139" s="1254"/>
      <c r="U139" s="1250"/>
      <c r="V139" s="1255"/>
      <c r="W139" s="1234">
        <f>M139</f>
        <v>0</v>
      </c>
      <c r="X139" s="1235">
        <f>W139</f>
        <v>0</v>
      </c>
      <c r="Y139" s="1235">
        <f>X139</f>
        <v>0</v>
      </c>
      <c r="Z139" s="1235">
        <f>O139*100</f>
        <v>0</v>
      </c>
      <c r="AA139" s="1235">
        <f>Z139</f>
        <v>0</v>
      </c>
      <c r="AB139" s="1235">
        <f>AA139</f>
        <v>0</v>
      </c>
      <c r="AC139" s="1235">
        <f>P139*100</f>
        <v>0</v>
      </c>
      <c r="AD139" s="1235">
        <f>AC139</f>
        <v>0</v>
      </c>
      <c r="AE139" s="1235">
        <f>AD139</f>
        <v>0</v>
      </c>
      <c r="AF139" s="1235">
        <f>AE139</f>
        <v>0</v>
      </c>
      <c r="AG139" s="1235">
        <f>AF139</f>
        <v>0</v>
      </c>
      <c r="AH139" s="1235">
        <f>AG139</f>
        <v>0</v>
      </c>
      <c r="AI139" s="1236">
        <f t="shared" ref="AI139" si="2201">(((AH139*(1+($B$36*$B$4)))-AH139)/12)+AH139</f>
        <v>0</v>
      </c>
      <c r="AJ139" s="1235">
        <f t="shared" ref="AJ139" si="2202">(((AI139*(1+($B$36*$B$4)))-AI139)/12)+AI139</f>
        <v>0</v>
      </c>
      <c r="AK139" s="1235">
        <f t="shared" ref="AK139" si="2203">(((AJ139*(1+($B$36*$B$4)))-AJ139)/12)+AJ139</f>
        <v>0</v>
      </c>
      <c r="AL139" s="1235">
        <f t="shared" ref="AL139" si="2204">(((AK139*(1+($B$36*$B$4)))-AK139)/12)+AK139</f>
        <v>0</v>
      </c>
      <c r="AM139" s="1235">
        <f t="shared" ref="AM139" si="2205">(((AL139*(1+($B$36*$B$4)))-AL139)/12)+AL139</f>
        <v>0</v>
      </c>
      <c r="AN139" s="1235">
        <f t="shared" ref="AN139" si="2206">(((AM139*(1+($B$36*$B$4)))-AM139)/12)+AM139</f>
        <v>0</v>
      </c>
      <c r="AO139" s="1235">
        <f t="shared" ref="AO139" si="2207">(((AN139*(1+($B$36*$B$4)))-AN139)/12)+AN139</f>
        <v>0</v>
      </c>
      <c r="AP139" s="1235">
        <f t="shared" ref="AP139" si="2208">(((AO139*(1+($B$36*$B$4)))-AO139)/12)+AO139</f>
        <v>0</v>
      </c>
      <c r="AQ139" s="1235">
        <f t="shared" ref="AQ139" si="2209">(((AP139*(1+($B$36*$B$4)))-AP139)/12)+AP139</f>
        <v>0</v>
      </c>
      <c r="AR139" s="1235">
        <f t="shared" ref="AR139" si="2210">(((AQ139*(1+($B$36*$B$4)))-AQ139)/12)+AQ139</f>
        <v>0</v>
      </c>
      <c r="AS139" s="1235">
        <f t="shared" ref="AS139" si="2211">(((AR139*(1+($B$36*$B$4)))-AR139)/12)+AR139</f>
        <v>0</v>
      </c>
      <c r="AT139" s="1235">
        <f t="shared" ref="AT139" si="2212">(((AS139*(1+($B$36*$B$4)))-AS139)/12)+AS139</f>
        <v>0</v>
      </c>
      <c r="AU139" s="1236">
        <f t="shared" ref="AU139" si="2213">(((AT139*(1+($B$37*$B$4)))-AT139)/12)+AT139</f>
        <v>0</v>
      </c>
      <c r="AV139" s="1235">
        <f t="shared" ref="AV139" si="2214">(((AU139*(1+($B$37*$B$4)))-AU139)/12)+AU139</f>
        <v>0</v>
      </c>
      <c r="AW139" s="1235">
        <f t="shared" ref="AW139" si="2215">(((AV139*(1+($B$37*$B$4)))-AV139)/12)+AV139</f>
        <v>0</v>
      </c>
      <c r="AX139" s="1235">
        <f t="shared" ref="AX139" si="2216">(((AW139*(1+($B$37*$B$4)))-AW139)/12)+AW139</f>
        <v>0</v>
      </c>
      <c r="AY139" s="1235">
        <f t="shared" ref="AY139" si="2217">(((AX139*(1+($B$37*$B$4)))-AX139)/12)+AX139</f>
        <v>0</v>
      </c>
      <c r="AZ139" s="1235">
        <f t="shared" ref="AZ139" si="2218">(((AY139*(1+($B$37*$B$4)))-AY139)/12)+AY139</f>
        <v>0</v>
      </c>
      <c r="BA139" s="1235">
        <f t="shared" ref="BA139" si="2219">(((AZ139*(1+($B$37*$B$4)))-AZ139)/12)+AZ139</f>
        <v>0</v>
      </c>
      <c r="BB139" s="1235">
        <f t="shared" ref="BB139" si="2220">(((BA139*(1+($B$37*$B$4)))-BA139)/12)+BA139</f>
        <v>0</v>
      </c>
      <c r="BC139" s="1235">
        <f t="shared" ref="BC139" si="2221">(((BB139*(1+($B$37*$B$4)))-BB139)/12)+BB139</f>
        <v>0</v>
      </c>
      <c r="BD139" s="1235">
        <f t="shared" ref="BD139" si="2222">(((BC139*(1+($B$37*$B$4)))-BC139)/12)+BC139</f>
        <v>0</v>
      </c>
      <c r="BE139" s="1235">
        <f t="shared" ref="BE139" si="2223">(((BD139*(1+($B$37*$B$4)))-BD139)/12)+BD139</f>
        <v>0</v>
      </c>
      <c r="BF139" s="1235">
        <f t="shared" ref="BF139" si="2224">(((BE139*(1+($B$37*$B$4)))-BE139)/12)+BE139</f>
        <v>0</v>
      </c>
      <c r="BG139" s="1236">
        <f t="shared" ref="BG139" si="2225">(((BF139*(1+($B$38*$B$4)))-BF139)/12)+BF139</f>
        <v>0</v>
      </c>
      <c r="BH139" s="1235">
        <f t="shared" ref="BH139" si="2226">(((BG139*(1+($B$38*$B$4)))-BG139)/12)+BG139</f>
        <v>0</v>
      </c>
      <c r="BI139" s="1235">
        <f t="shared" ref="BI139" si="2227">(((BH139*(1+($B$38*$B$4)))-BH139)/12)+BH139</f>
        <v>0</v>
      </c>
      <c r="BJ139" s="1235">
        <f t="shared" ref="BJ139" si="2228">(((BI139*(1+($B$38*$B$4)))-BI139)/12)+BI139</f>
        <v>0</v>
      </c>
      <c r="BK139" s="1235">
        <f t="shared" ref="BK139" si="2229">(((BJ139*(1+($B$38*$B$4)))-BJ139)/12)+BJ139</f>
        <v>0</v>
      </c>
      <c r="BL139" s="1235">
        <f t="shared" ref="BL139" si="2230">(((BK139*(1+($B$38*$B$4)))-BK139)/12)+BK139</f>
        <v>0</v>
      </c>
      <c r="BM139" s="1235">
        <f t="shared" ref="BM139" si="2231">(((BL139*(1+($B$38*$B$4)))-BL139)/12)+BL139</f>
        <v>0</v>
      </c>
      <c r="BN139" s="1235">
        <f t="shared" ref="BN139" si="2232">(((BM139*(1+($B$38*$B$4)))-BM139)/12)+BM139</f>
        <v>0</v>
      </c>
      <c r="BO139" s="1235">
        <f t="shared" ref="BO139" si="2233">(((BN139*(1+($B$38*$B$4)))-BN139)/12)+BN139</f>
        <v>0</v>
      </c>
      <c r="BP139" s="1235">
        <f t="shared" ref="BP139" si="2234">(((BO139*(1+($B$38*$B$4)))-BO139)/12)+BO139</f>
        <v>0</v>
      </c>
      <c r="BQ139" s="1235">
        <f t="shared" ref="BQ139" si="2235">(((BP139*(1+($B$38*$B$4)))-BP139)/12)+BP139</f>
        <v>0</v>
      </c>
      <c r="BR139" s="1235">
        <f t="shared" ref="BR139" si="2236">(((BQ139*(1+($B$38*$B$4)))-BQ139)/12)+BQ139</f>
        <v>0</v>
      </c>
      <c r="BS139" s="1236">
        <f t="shared" ref="BS139" si="2237">(((BR139*(1+($B$39*$B$4)))-BR139)/12)+BR139</f>
        <v>0</v>
      </c>
      <c r="BT139" s="1235">
        <f t="shared" ref="BT139" si="2238">(((BS139*(1+($B$39*$B$4)))-BS139)/12)+BS139</f>
        <v>0</v>
      </c>
      <c r="BU139" s="1235">
        <f t="shared" ref="BU139" si="2239">(((BT139*(1+($B$39*$B$4)))-BT139)/12)+BT139</f>
        <v>0</v>
      </c>
      <c r="BV139" s="1235">
        <f t="shared" ref="BV139" si="2240">(((BU139*(1+($B$39*$B$4)))-BU139)/12)+BU139</f>
        <v>0</v>
      </c>
      <c r="BW139" s="1235">
        <f t="shared" ref="BW139" si="2241">(((BV139*(1+($B$39*$B$4)))-BV139)/12)+BV139</f>
        <v>0</v>
      </c>
      <c r="BX139" s="1235">
        <f t="shared" ref="BX139" si="2242">(((BW139*(1+($B$39*$B$4)))-BW139)/12)+BW139</f>
        <v>0</v>
      </c>
      <c r="BY139" s="1235">
        <f t="shared" ref="BY139" si="2243">(((BX139*(1+($B$39*$B$4)))-BX139)/12)+BX139</f>
        <v>0</v>
      </c>
      <c r="BZ139" s="1235">
        <f t="shared" ref="BZ139" si="2244">(((BY139*(1+($B$39*$B$4)))-BY139)/12)+BY139</f>
        <v>0</v>
      </c>
      <c r="CA139" s="1235">
        <f t="shared" ref="CA139" si="2245">(((BZ139*(1+($B$39*$B$4)))-BZ139)/12)+BZ139</f>
        <v>0</v>
      </c>
      <c r="CB139" s="1235">
        <f t="shared" ref="CB139" si="2246">(((CA139*(1+($B$39*$B$4)))-CA139)/12)+CA139</f>
        <v>0</v>
      </c>
      <c r="CC139" s="1235">
        <f t="shared" ref="CC139" si="2247">(((CB139*(1+($B$39*$B$4)))-CB139)/12)+CB139</f>
        <v>0</v>
      </c>
      <c r="CD139" s="1235">
        <f t="shared" ref="CD139" si="2248">(((CC139*(1+($B$39*$B$4)))-CC139)/12)+CC139</f>
        <v>0</v>
      </c>
      <c r="CE139" s="1236">
        <f t="shared" ref="CE139" si="2249">(((CD139*(1+($B$40*$B$4)))-CD139)/12)+CD139</f>
        <v>0</v>
      </c>
      <c r="CF139" s="1235">
        <f t="shared" ref="CF139" si="2250">(((CE139*(1+($B$40*$B$4)))-CE139)/12)+CE139</f>
        <v>0</v>
      </c>
      <c r="CG139" s="1235">
        <f t="shared" ref="CG139" si="2251">(((CF139*(1+($B$40*$B$4)))-CF139)/12)+CF139</f>
        <v>0</v>
      </c>
      <c r="CH139" s="1235">
        <f t="shared" ref="CH139" si="2252">(((CG139*(1+($B$40*$B$4)))-CG139)/12)+CG139</f>
        <v>0</v>
      </c>
      <c r="CI139" s="1235">
        <f t="shared" ref="CI139" si="2253">(((CH139*(1+($B$40*$B$4)))-CH139)/12)+CH139</f>
        <v>0</v>
      </c>
      <c r="CJ139" s="1235">
        <f t="shared" ref="CJ139" si="2254">(((CI139*(1+($B$40*$B$4)))-CI139)/12)+CI139</f>
        <v>0</v>
      </c>
      <c r="CK139" s="1235">
        <f t="shared" ref="CK139" si="2255">(((CJ139*(1+($B$40*$B$4)))-CJ139)/12)+CJ139</f>
        <v>0</v>
      </c>
      <c r="CL139" s="1235">
        <f t="shared" ref="CL139" si="2256">(((CK139*(1+($B$40*$B$4)))-CK139)/12)+CK139</f>
        <v>0</v>
      </c>
      <c r="CM139" s="1235">
        <f t="shared" ref="CM139" si="2257">(((CL139*(1+($B$40*$B$4)))-CL139)/12)+CL139</f>
        <v>0</v>
      </c>
      <c r="CN139" s="1235">
        <f t="shared" ref="CN139" si="2258">(((CM139*(1+($B$40*$B$4)))-CM139)/12)+CM139</f>
        <v>0</v>
      </c>
      <c r="CO139" s="1235">
        <f t="shared" ref="CO139" si="2259">(((CN139*(1+($B$40*$B$4)))-CN139)/12)+CN139</f>
        <v>0</v>
      </c>
      <c r="CP139" s="1235">
        <f t="shared" ref="CP139" si="2260">(((CO139*(1+($B$40*$B$4)))-CO139)/12)+CO139</f>
        <v>0</v>
      </c>
      <c r="CQ139" s="1236">
        <f t="shared" ref="CQ139" si="2261">(((CP139*(1+($B$41*$B$4)))-CP139)/12)+CP139</f>
        <v>0</v>
      </c>
      <c r="CR139" s="1235">
        <f t="shared" ref="CR139" si="2262">(((CQ139*(1+($B$41*$B$4)))-CQ139)/12)+CQ139</f>
        <v>0</v>
      </c>
      <c r="CS139" s="1235">
        <f t="shared" ref="CS139" si="2263">(((CR139*(1+($B$41*$B$4)))-CR139)/12)+CR139</f>
        <v>0</v>
      </c>
      <c r="CT139" s="1235">
        <f t="shared" ref="CT139" si="2264">(((CS139*(1+($B$41*$B$4)))-CS139)/12)+CS139</f>
        <v>0</v>
      </c>
      <c r="CU139" s="1235">
        <f t="shared" ref="CU139" si="2265">(((CT139*(1+($B$41*$B$4)))-CT139)/12)+CT139</f>
        <v>0</v>
      </c>
      <c r="CV139" s="1235">
        <f t="shared" ref="CV139" si="2266">(((CU139*(1+($B$41*$B$4)))-CU139)/12)+CU139</f>
        <v>0</v>
      </c>
      <c r="CW139" s="1235">
        <f t="shared" ref="CW139" si="2267">(((CV139*(1+($B$41*$B$4)))-CV139)/12)+CV139</f>
        <v>0</v>
      </c>
      <c r="CX139" s="1235">
        <f t="shared" ref="CX139" si="2268">(((CW139*(1+($B$41*$B$4)))-CW139)/12)+CW139</f>
        <v>0</v>
      </c>
      <c r="CY139" s="1235">
        <f t="shared" ref="CY139" si="2269">(((CX139*(1+($B$41*$B$4)))-CX139)/12)+CX139</f>
        <v>0</v>
      </c>
      <c r="CZ139" s="1235">
        <f t="shared" ref="CZ139" si="2270">(((CY139*(1+($B$41*$B$4)))-CY139)/12)+CY139</f>
        <v>0</v>
      </c>
      <c r="DA139" s="1235">
        <f t="shared" ref="DA139" si="2271">(((CZ139*(1+($B$41*$B$4)))-CZ139)/12)+CZ139</f>
        <v>0</v>
      </c>
      <c r="DB139" s="1235">
        <f t="shared" ref="DB139" si="2272">(((DA139*(1+($B$41*$B$4)))-DA139)/12)+DA139</f>
        <v>0</v>
      </c>
      <c r="DC139" s="1236">
        <f t="shared" ref="DC139" si="2273">(((DB139*(1+($B$42*$B$4)))-DB139)/12)+DB139</f>
        <v>0</v>
      </c>
      <c r="DD139" s="1235">
        <f t="shared" ref="DD139" si="2274">(((DC139*(1+($B$42*$B$4)))-DC139)/12)+DC139</f>
        <v>0</v>
      </c>
      <c r="DE139" s="1235">
        <f t="shared" ref="DE139" si="2275">(((DD139*(1+($B$42*$B$4)))-DD139)/12)+DD139</f>
        <v>0</v>
      </c>
      <c r="DF139" s="1235">
        <f t="shared" ref="DF139" si="2276">(((DE139*(1+($B$42*$B$4)))-DE139)/12)+DE139</f>
        <v>0</v>
      </c>
      <c r="DG139" s="1235">
        <f t="shared" ref="DG139" si="2277">(((DF139*(1+($B$42*$B$4)))-DF139)/12)+DF139</f>
        <v>0</v>
      </c>
      <c r="DH139" s="1235">
        <f t="shared" ref="DH139" si="2278">(((DG139*(1+($B$42*$B$4)))-DG139)/12)+DG139</f>
        <v>0</v>
      </c>
      <c r="DI139" s="1235">
        <f t="shared" ref="DI139" si="2279">(((DH139*(1+($B$42*$B$4)))-DH139)/12)+DH139</f>
        <v>0</v>
      </c>
      <c r="DJ139" s="1235">
        <f t="shared" ref="DJ139" si="2280">(((DI139*(1+($B$42*$B$4)))-DI139)/12)+DI139</f>
        <v>0</v>
      </c>
      <c r="DK139" s="1235">
        <f t="shared" ref="DK139" si="2281">(((DJ139*(1+($B$42*$B$4)))-DJ139)/12)+DJ139</f>
        <v>0</v>
      </c>
      <c r="DL139" s="1235">
        <f t="shared" ref="DL139" si="2282">(((DK139*(1+($B$42*$B$4)))-DK139)/12)+DK139</f>
        <v>0</v>
      </c>
      <c r="DM139" s="1235">
        <f t="shared" ref="DM139" si="2283">(((DL139*(1+($B$42*$B$4)))-DL139)/12)+DL139</f>
        <v>0</v>
      </c>
      <c r="DN139" s="1235">
        <f t="shared" ref="DN139" si="2284">(((DM139*(1+($B$42*$B$4)))-DM139)/12)+DM139</f>
        <v>0</v>
      </c>
      <c r="DO139" s="1236">
        <f t="shared" ref="DO139" si="2285">(((DN139*(1+($B$43*$B$4)))-DN139)/12)+DN139</f>
        <v>0</v>
      </c>
      <c r="DP139" s="1235">
        <f t="shared" ref="DP139" si="2286">(((DO139*(1+($B$43*$B$4)))-DO139)/12)+DO139</f>
        <v>0</v>
      </c>
      <c r="DQ139" s="1235">
        <f t="shared" ref="DQ139" si="2287">(((DP139*(1+($B$43*$B$4)))-DP139)/12)+DP139</f>
        <v>0</v>
      </c>
      <c r="DR139" s="1235">
        <f t="shared" ref="DR139" si="2288">(((DQ139*(1+($B$43*$B$4)))-DQ139)/12)+DQ139</f>
        <v>0</v>
      </c>
      <c r="DS139" s="1235">
        <f t="shared" ref="DS139" si="2289">(((DR139*(1+($B$43*$B$4)))-DR139)/12)+DR139</f>
        <v>0</v>
      </c>
      <c r="DT139" s="1235">
        <f t="shared" ref="DT139" si="2290">(((DS139*(1+($B$43*$B$4)))-DS139)/12)+DS139</f>
        <v>0</v>
      </c>
      <c r="DU139" s="1235">
        <f t="shared" ref="DU139" si="2291">(((DT139*(1+($B$43*$B$4)))-DT139)/12)+DT139</f>
        <v>0</v>
      </c>
      <c r="DV139" s="1235">
        <f t="shared" ref="DV139" si="2292">(((DU139*(1+($B$43*$B$4)))-DU139)/12)+DU139</f>
        <v>0</v>
      </c>
      <c r="DW139" s="1235">
        <f t="shared" ref="DW139" si="2293">(((DV139*(1+($B$43*$B$4)))-DV139)/12)+DV139</f>
        <v>0</v>
      </c>
      <c r="DX139" s="1235">
        <f t="shared" ref="DX139" si="2294">(((DW139*(1+($B$43*$B$4)))-DW139)/12)+DW139</f>
        <v>0</v>
      </c>
      <c r="DY139" s="1235">
        <f t="shared" ref="DY139" si="2295">(((DX139*(1+($B$43*$B$4)))-DX139)/12)+DX139</f>
        <v>0</v>
      </c>
      <c r="DZ139" s="1235">
        <f t="shared" ref="DZ139" si="2296">(((DY139*(1+($B$43*$B$4)))-DY139)/12)+DY139</f>
        <v>0</v>
      </c>
      <c r="EA139" s="1236">
        <f>(((DZ139*(1+($B$44*$B$4)))-DZ139)/12)+DZ139</f>
        <v>0</v>
      </c>
      <c r="EB139" s="1235">
        <f>(((EA139*(1+($B$44*$B$4)))-EA139)/12)+EA139</f>
        <v>0</v>
      </c>
      <c r="EC139" s="1235">
        <f>(((EB139*(1+($B$44*$B$4)))-EB139)/12)+EB139</f>
        <v>0</v>
      </c>
      <c r="ED139" s="1237">
        <f>(((EC139*(1+($B$44*$B$4)))-EC139)/12)+EC139</f>
        <v>0</v>
      </c>
    </row>
    <row r="140" spans="1:134" outlineLevel="1" x14ac:dyDescent="0.25">
      <c r="C140" s="1279"/>
      <c r="D140" s="1623"/>
      <c r="E140" s="1623"/>
      <c r="F140" s="1623"/>
      <c r="G140" s="1623"/>
      <c r="H140" s="1623"/>
      <c r="I140" s="1623"/>
      <c r="J140" s="1623"/>
      <c r="K140" s="1623"/>
      <c r="L140" s="1249"/>
      <c r="M140" s="1250"/>
      <c r="N140" s="1251"/>
      <c r="O140" s="1252"/>
      <c r="P140" s="1252"/>
      <c r="Q140" s="1252"/>
      <c r="R140" s="1253"/>
      <c r="S140" s="1254"/>
      <c r="T140" s="1254"/>
      <c r="U140" s="1250"/>
      <c r="V140" s="1255">
        <v>1</v>
      </c>
      <c r="W140" s="1245">
        <f>ROUNDUP($V140*(W139/100)/0.8,0)</f>
        <v>0</v>
      </c>
      <c r="X140" s="1246">
        <f t="shared" ref="X140:CI140" si="2297">ROUNDUP($V140*(X139/100)/0.8,0)</f>
        <v>0</v>
      </c>
      <c r="Y140" s="1246">
        <f t="shared" si="2297"/>
        <v>0</v>
      </c>
      <c r="Z140" s="1246">
        <f t="shared" si="2297"/>
        <v>0</v>
      </c>
      <c r="AA140" s="1246">
        <f t="shared" si="2297"/>
        <v>0</v>
      </c>
      <c r="AB140" s="1246">
        <f t="shared" si="2297"/>
        <v>0</v>
      </c>
      <c r="AC140" s="1246">
        <f t="shared" si="2297"/>
        <v>0</v>
      </c>
      <c r="AD140" s="1246">
        <f t="shared" si="2297"/>
        <v>0</v>
      </c>
      <c r="AE140" s="1246">
        <f t="shared" si="2297"/>
        <v>0</v>
      </c>
      <c r="AF140" s="1246">
        <f t="shared" si="2297"/>
        <v>0</v>
      </c>
      <c r="AG140" s="1246">
        <f t="shared" si="2297"/>
        <v>0</v>
      </c>
      <c r="AH140" s="1246">
        <f t="shared" si="2297"/>
        <v>0</v>
      </c>
      <c r="AI140" s="1247">
        <f t="shared" si="2297"/>
        <v>0</v>
      </c>
      <c r="AJ140" s="1246">
        <f t="shared" si="2297"/>
        <v>0</v>
      </c>
      <c r="AK140" s="1246">
        <f t="shared" si="2297"/>
        <v>0</v>
      </c>
      <c r="AL140" s="1246">
        <f t="shared" si="2297"/>
        <v>0</v>
      </c>
      <c r="AM140" s="1246">
        <f t="shared" si="2297"/>
        <v>0</v>
      </c>
      <c r="AN140" s="1246">
        <f t="shared" si="2297"/>
        <v>0</v>
      </c>
      <c r="AO140" s="1246">
        <f t="shared" si="2297"/>
        <v>0</v>
      </c>
      <c r="AP140" s="1246">
        <f t="shared" si="2297"/>
        <v>0</v>
      </c>
      <c r="AQ140" s="1246">
        <f t="shared" si="2297"/>
        <v>0</v>
      </c>
      <c r="AR140" s="1246">
        <f t="shared" si="2297"/>
        <v>0</v>
      </c>
      <c r="AS140" s="1246">
        <f t="shared" si="2297"/>
        <v>0</v>
      </c>
      <c r="AT140" s="1246">
        <f t="shared" si="2297"/>
        <v>0</v>
      </c>
      <c r="AU140" s="1247">
        <f t="shared" si="2297"/>
        <v>0</v>
      </c>
      <c r="AV140" s="1246">
        <f t="shared" si="2297"/>
        <v>0</v>
      </c>
      <c r="AW140" s="1246">
        <f t="shared" si="2297"/>
        <v>0</v>
      </c>
      <c r="AX140" s="1246">
        <f t="shared" si="2297"/>
        <v>0</v>
      </c>
      <c r="AY140" s="1246">
        <f t="shared" si="2297"/>
        <v>0</v>
      </c>
      <c r="AZ140" s="1246">
        <f t="shared" si="2297"/>
        <v>0</v>
      </c>
      <c r="BA140" s="1246">
        <f t="shared" si="2297"/>
        <v>0</v>
      </c>
      <c r="BB140" s="1246">
        <f t="shared" si="2297"/>
        <v>0</v>
      </c>
      <c r="BC140" s="1246">
        <f t="shared" si="2297"/>
        <v>0</v>
      </c>
      <c r="BD140" s="1246">
        <f t="shared" si="2297"/>
        <v>0</v>
      </c>
      <c r="BE140" s="1246">
        <f t="shared" si="2297"/>
        <v>0</v>
      </c>
      <c r="BF140" s="1246">
        <f t="shared" si="2297"/>
        <v>0</v>
      </c>
      <c r="BG140" s="1247">
        <f t="shared" si="2297"/>
        <v>0</v>
      </c>
      <c r="BH140" s="1246">
        <f t="shared" si="2297"/>
        <v>0</v>
      </c>
      <c r="BI140" s="1246">
        <f t="shared" si="2297"/>
        <v>0</v>
      </c>
      <c r="BJ140" s="1246">
        <f t="shared" si="2297"/>
        <v>0</v>
      </c>
      <c r="BK140" s="1246">
        <f t="shared" si="2297"/>
        <v>0</v>
      </c>
      <c r="BL140" s="1246">
        <f t="shared" si="2297"/>
        <v>0</v>
      </c>
      <c r="BM140" s="1246">
        <f t="shared" si="2297"/>
        <v>0</v>
      </c>
      <c r="BN140" s="1246">
        <f t="shared" si="2297"/>
        <v>0</v>
      </c>
      <c r="BO140" s="1246">
        <f t="shared" si="2297"/>
        <v>0</v>
      </c>
      <c r="BP140" s="1246">
        <f t="shared" si="2297"/>
        <v>0</v>
      </c>
      <c r="BQ140" s="1246">
        <f t="shared" si="2297"/>
        <v>0</v>
      </c>
      <c r="BR140" s="1246">
        <f t="shared" si="2297"/>
        <v>0</v>
      </c>
      <c r="BS140" s="1247">
        <f t="shared" si="2297"/>
        <v>0</v>
      </c>
      <c r="BT140" s="1246">
        <f t="shared" si="2297"/>
        <v>0</v>
      </c>
      <c r="BU140" s="1246">
        <f t="shared" si="2297"/>
        <v>0</v>
      </c>
      <c r="BV140" s="1246">
        <f t="shared" si="2297"/>
        <v>0</v>
      </c>
      <c r="BW140" s="1246">
        <f t="shared" si="2297"/>
        <v>0</v>
      </c>
      <c r="BX140" s="1246">
        <f t="shared" si="2297"/>
        <v>0</v>
      </c>
      <c r="BY140" s="1246">
        <f t="shared" si="2297"/>
        <v>0</v>
      </c>
      <c r="BZ140" s="1246">
        <f t="shared" si="2297"/>
        <v>0</v>
      </c>
      <c r="CA140" s="1246">
        <f t="shared" si="2297"/>
        <v>0</v>
      </c>
      <c r="CB140" s="1246">
        <f t="shared" si="2297"/>
        <v>0</v>
      </c>
      <c r="CC140" s="1246">
        <f t="shared" si="2297"/>
        <v>0</v>
      </c>
      <c r="CD140" s="1246">
        <f t="shared" si="2297"/>
        <v>0</v>
      </c>
      <c r="CE140" s="1247">
        <f t="shared" si="2297"/>
        <v>0</v>
      </c>
      <c r="CF140" s="1246">
        <f t="shared" si="2297"/>
        <v>0</v>
      </c>
      <c r="CG140" s="1246">
        <f t="shared" si="2297"/>
        <v>0</v>
      </c>
      <c r="CH140" s="1246">
        <f t="shared" si="2297"/>
        <v>0</v>
      </c>
      <c r="CI140" s="1246">
        <f t="shared" si="2297"/>
        <v>0</v>
      </c>
      <c r="CJ140" s="1246">
        <f t="shared" ref="CJ140:ED140" si="2298">ROUNDUP($V140*(CJ139/100)/0.8,0)</f>
        <v>0</v>
      </c>
      <c r="CK140" s="1246">
        <f t="shared" si="2298"/>
        <v>0</v>
      </c>
      <c r="CL140" s="1246">
        <f t="shared" si="2298"/>
        <v>0</v>
      </c>
      <c r="CM140" s="1246">
        <f t="shared" si="2298"/>
        <v>0</v>
      </c>
      <c r="CN140" s="1246">
        <f t="shared" si="2298"/>
        <v>0</v>
      </c>
      <c r="CO140" s="1246">
        <f t="shared" si="2298"/>
        <v>0</v>
      </c>
      <c r="CP140" s="1246">
        <f t="shared" si="2298"/>
        <v>0</v>
      </c>
      <c r="CQ140" s="1247">
        <f t="shared" si="2298"/>
        <v>0</v>
      </c>
      <c r="CR140" s="1246">
        <f t="shared" si="2298"/>
        <v>0</v>
      </c>
      <c r="CS140" s="1246">
        <f t="shared" si="2298"/>
        <v>0</v>
      </c>
      <c r="CT140" s="1246">
        <f t="shared" si="2298"/>
        <v>0</v>
      </c>
      <c r="CU140" s="1246">
        <f t="shared" si="2298"/>
        <v>0</v>
      </c>
      <c r="CV140" s="1246">
        <f t="shared" si="2298"/>
        <v>0</v>
      </c>
      <c r="CW140" s="1246">
        <f t="shared" si="2298"/>
        <v>0</v>
      </c>
      <c r="CX140" s="1246">
        <f t="shared" si="2298"/>
        <v>0</v>
      </c>
      <c r="CY140" s="1246">
        <f t="shared" si="2298"/>
        <v>0</v>
      </c>
      <c r="CZ140" s="1246">
        <f t="shared" si="2298"/>
        <v>0</v>
      </c>
      <c r="DA140" s="1246">
        <f t="shared" si="2298"/>
        <v>0</v>
      </c>
      <c r="DB140" s="1246">
        <f t="shared" si="2298"/>
        <v>0</v>
      </c>
      <c r="DC140" s="1247">
        <f t="shared" si="2298"/>
        <v>0</v>
      </c>
      <c r="DD140" s="1246">
        <f t="shared" si="2298"/>
        <v>0</v>
      </c>
      <c r="DE140" s="1246">
        <f t="shared" si="2298"/>
        <v>0</v>
      </c>
      <c r="DF140" s="1246">
        <f t="shared" si="2298"/>
        <v>0</v>
      </c>
      <c r="DG140" s="1246">
        <f t="shared" si="2298"/>
        <v>0</v>
      </c>
      <c r="DH140" s="1246">
        <f t="shared" si="2298"/>
        <v>0</v>
      </c>
      <c r="DI140" s="1246">
        <f t="shared" si="2298"/>
        <v>0</v>
      </c>
      <c r="DJ140" s="1246">
        <f t="shared" si="2298"/>
        <v>0</v>
      </c>
      <c r="DK140" s="1246">
        <f t="shared" si="2298"/>
        <v>0</v>
      </c>
      <c r="DL140" s="1246">
        <f t="shared" si="2298"/>
        <v>0</v>
      </c>
      <c r="DM140" s="1246">
        <f t="shared" si="2298"/>
        <v>0</v>
      </c>
      <c r="DN140" s="1246">
        <f t="shared" si="2298"/>
        <v>0</v>
      </c>
      <c r="DO140" s="1247">
        <f t="shared" si="2298"/>
        <v>0</v>
      </c>
      <c r="DP140" s="1246">
        <f t="shared" si="2298"/>
        <v>0</v>
      </c>
      <c r="DQ140" s="1246">
        <f t="shared" si="2298"/>
        <v>0</v>
      </c>
      <c r="DR140" s="1246">
        <f t="shared" si="2298"/>
        <v>0</v>
      </c>
      <c r="DS140" s="1246">
        <f t="shared" si="2298"/>
        <v>0</v>
      </c>
      <c r="DT140" s="1246">
        <f t="shared" si="2298"/>
        <v>0</v>
      </c>
      <c r="DU140" s="1246">
        <f t="shared" si="2298"/>
        <v>0</v>
      </c>
      <c r="DV140" s="1246">
        <f t="shared" si="2298"/>
        <v>0</v>
      </c>
      <c r="DW140" s="1246">
        <f t="shared" si="2298"/>
        <v>0</v>
      </c>
      <c r="DX140" s="1246">
        <f t="shared" si="2298"/>
        <v>0</v>
      </c>
      <c r="DY140" s="1246">
        <f t="shared" si="2298"/>
        <v>0</v>
      </c>
      <c r="DZ140" s="1246">
        <f t="shared" si="2298"/>
        <v>0</v>
      </c>
      <c r="EA140" s="1247">
        <f t="shared" si="2298"/>
        <v>0</v>
      </c>
      <c r="EB140" s="1246">
        <f t="shared" si="2298"/>
        <v>0</v>
      </c>
      <c r="EC140" s="1246">
        <f t="shared" si="2298"/>
        <v>0</v>
      </c>
      <c r="ED140" s="1248">
        <f t="shared" si="2298"/>
        <v>0</v>
      </c>
    </row>
    <row r="141" spans="1:134" outlineLevel="1" x14ac:dyDescent="0.25">
      <c r="C141" s="1279"/>
      <c r="D141" s="1625" t="s">
        <v>302</v>
      </c>
      <c r="E141" s="1625"/>
      <c r="F141" s="1625"/>
      <c r="G141" s="1625"/>
      <c r="H141" s="1625"/>
      <c r="I141" s="1625"/>
      <c r="J141" s="1625"/>
      <c r="K141" s="1625"/>
      <c r="L141" s="1224"/>
      <c r="M141" s="1223"/>
      <c r="N141" s="1230">
        <f>M141/100</f>
        <v>0</v>
      </c>
      <c r="O141" s="1231"/>
      <c r="P141" s="1231"/>
      <c r="Q141" s="1231"/>
      <c r="R141" s="1232">
        <f>P141-N141</f>
        <v>0</v>
      </c>
      <c r="S141" s="1233">
        <f>Q141*100</f>
        <v>0</v>
      </c>
      <c r="T141" s="1233"/>
      <c r="U141" s="1223"/>
      <c r="V141" s="1275"/>
      <c r="W141" s="1234">
        <f>M141</f>
        <v>0</v>
      </c>
      <c r="X141" s="1235">
        <f>W141</f>
        <v>0</v>
      </c>
      <c r="Y141" s="1235">
        <f>X141</f>
        <v>0</v>
      </c>
      <c r="Z141" s="1235">
        <f>O141*100</f>
        <v>0</v>
      </c>
      <c r="AA141" s="1235">
        <f>Z141</f>
        <v>0</v>
      </c>
      <c r="AB141" s="1235">
        <f>AA141</f>
        <v>0</v>
      </c>
      <c r="AC141" s="1235">
        <f>P141*100</f>
        <v>0</v>
      </c>
      <c r="AD141" s="1235">
        <f>AC141</f>
        <v>0</v>
      </c>
      <c r="AE141" s="1235">
        <f>AD141</f>
        <v>0</v>
      </c>
      <c r="AF141" s="1235">
        <f>AE141</f>
        <v>0</v>
      </c>
      <c r="AG141" s="1235">
        <f>AF141</f>
        <v>0</v>
      </c>
      <c r="AH141" s="1235">
        <f>AG141</f>
        <v>0</v>
      </c>
      <c r="AI141" s="1236">
        <f t="shared" ref="AI141" si="2299">(((AH141*(1+($B$36*$B$4)))-AH141)/12)+AH141</f>
        <v>0</v>
      </c>
      <c r="AJ141" s="1235">
        <f t="shared" ref="AJ141" si="2300">(((AI141*(1+($B$36*$B$4)))-AI141)/12)+AI141</f>
        <v>0</v>
      </c>
      <c r="AK141" s="1235">
        <f t="shared" ref="AK141" si="2301">(((AJ141*(1+($B$36*$B$4)))-AJ141)/12)+AJ141</f>
        <v>0</v>
      </c>
      <c r="AL141" s="1235">
        <f t="shared" ref="AL141" si="2302">(((AK141*(1+($B$36*$B$4)))-AK141)/12)+AK141</f>
        <v>0</v>
      </c>
      <c r="AM141" s="1235">
        <f t="shared" ref="AM141" si="2303">(((AL141*(1+($B$36*$B$4)))-AL141)/12)+AL141</f>
        <v>0</v>
      </c>
      <c r="AN141" s="1235">
        <f t="shared" ref="AN141" si="2304">(((AM141*(1+($B$36*$B$4)))-AM141)/12)+AM141</f>
        <v>0</v>
      </c>
      <c r="AO141" s="1235">
        <f t="shared" ref="AO141" si="2305">(((AN141*(1+($B$36*$B$4)))-AN141)/12)+AN141</f>
        <v>0</v>
      </c>
      <c r="AP141" s="1235">
        <f t="shared" ref="AP141" si="2306">(((AO141*(1+($B$36*$B$4)))-AO141)/12)+AO141</f>
        <v>0</v>
      </c>
      <c r="AQ141" s="1235">
        <f t="shared" ref="AQ141" si="2307">(((AP141*(1+($B$36*$B$4)))-AP141)/12)+AP141</f>
        <v>0</v>
      </c>
      <c r="AR141" s="1235">
        <f t="shared" ref="AR141" si="2308">(((AQ141*(1+($B$36*$B$4)))-AQ141)/12)+AQ141</f>
        <v>0</v>
      </c>
      <c r="AS141" s="1235">
        <f t="shared" ref="AS141" si="2309">(((AR141*(1+($B$36*$B$4)))-AR141)/12)+AR141</f>
        <v>0</v>
      </c>
      <c r="AT141" s="1235">
        <f t="shared" ref="AT141" si="2310">(((AS141*(1+($B$36*$B$4)))-AS141)/12)+AS141</f>
        <v>0</v>
      </c>
      <c r="AU141" s="1236">
        <f t="shared" ref="AU141" si="2311">(((AT141*(1+($B$37*$B$4)))-AT141)/12)+AT141</f>
        <v>0</v>
      </c>
      <c r="AV141" s="1235">
        <f t="shared" ref="AV141" si="2312">(((AU141*(1+($B$37*$B$4)))-AU141)/12)+AU141</f>
        <v>0</v>
      </c>
      <c r="AW141" s="1235">
        <f t="shared" ref="AW141" si="2313">(((AV141*(1+($B$37*$B$4)))-AV141)/12)+AV141</f>
        <v>0</v>
      </c>
      <c r="AX141" s="1235">
        <f t="shared" ref="AX141" si="2314">(((AW141*(1+($B$37*$B$4)))-AW141)/12)+AW141</f>
        <v>0</v>
      </c>
      <c r="AY141" s="1235">
        <f t="shared" ref="AY141" si="2315">(((AX141*(1+($B$37*$B$4)))-AX141)/12)+AX141</f>
        <v>0</v>
      </c>
      <c r="AZ141" s="1235">
        <f t="shared" ref="AZ141" si="2316">(((AY141*(1+($B$37*$B$4)))-AY141)/12)+AY141</f>
        <v>0</v>
      </c>
      <c r="BA141" s="1235">
        <f t="shared" ref="BA141" si="2317">(((AZ141*(1+($B$37*$B$4)))-AZ141)/12)+AZ141</f>
        <v>0</v>
      </c>
      <c r="BB141" s="1235">
        <f t="shared" ref="BB141" si="2318">(((BA141*(1+($B$37*$B$4)))-BA141)/12)+BA141</f>
        <v>0</v>
      </c>
      <c r="BC141" s="1235">
        <f t="shared" ref="BC141" si="2319">(((BB141*(1+($B$37*$B$4)))-BB141)/12)+BB141</f>
        <v>0</v>
      </c>
      <c r="BD141" s="1235">
        <f t="shared" ref="BD141" si="2320">(((BC141*(1+($B$37*$B$4)))-BC141)/12)+BC141</f>
        <v>0</v>
      </c>
      <c r="BE141" s="1235">
        <f t="shared" ref="BE141" si="2321">(((BD141*(1+($B$37*$B$4)))-BD141)/12)+BD141</f>
        <v>0</v>
      </c>
      <c r="BF141" s="1235">
        <f t="shared" ref="BF141" si="2322">(((BE141*(1+($B$37*$B$4)))-BE141)/12)+BE141</f>
        <v>0</v>
      </c>
      <c r="BG141" s="1236">
        <f t="shared" ref="BG141" si="2323">(((BF141*(1+($B$38*$B$4)))-BF141)/12)+BF141</f>
        <v>0</v>
      </c>
      <c r="BH141" s="1235">
        <f t="shared" ref="BH141" si="2324">(((BG141*(1+($B$38*$B$4)))-BG141)/12)+BG141</f>
        <v>0</v>
      </c>
      <c r="BI141" s="1235">
        <f t="shared" ref="BI141" si="2325">(((BH141*(1+($B$38*$B$4)))-BH141)/12)+BH141</f>
        <v>0</v>
      </c>
      <c r="BJ141" s="1235">
        <f t="shared" ref="BJ141" si="2326">(((BI141*(1+($B$38*$B$4)))-BI141)/12)+BI141</f>
        <v>0</v>
      </c>
      <c r="BK141" s="1235">
        <f t="shared" ref="BK141" si="2327">(((BJ141*(1+($B$38*$B$4)))-BJ141)/12)+BJ141</f>
        <v>0</v>
      </c>
      <c r="BL141" s="1235">
        <f t="shared" ref="BL141" si="2328">(((BK141*(1+($B$38*$B$4)))-BK141)/12)+BK141</f>
        <v>0</v>
      </c>
      <c r="BM141" s="1235">
        <f t="shared" ref="BM141" si="2329">(((BL141*(1+($B$38*$B$4)))-BL141)/12)+BL141</f>
        <v>0</v>
      </c>
      <c r="BN141" s="1235">
        <f t="shared" ref="BN141" si="2330">(((BM141*(1+($B$38*$B$4)))-BM141)/12)+BM141</f>
        <v>0</v>
      </c>
      <c r="BO141" s="1235">
        <f t="shared" ref="BO141" si="2331">(((BN141*(1+($B$38*$B$4)))-BN141)/12)+BN141</f>
        <v>0</v>
      </c>
      <c r="BP141" s="1235">
        <f t="shared" ref="BP141" si="2332">(((BO141*(1+($B$38*$B$4)))-BO141)/12)+BO141</f>
        <v>0</v>
      </c>
      <c r="BQ141" s="1235">
        <f t="shared" ref="BQ141" si="2333">(((BP141*(1+($B$38*$B$4)))-BP141)/12)+BP141</f>
        <v>0</v>
      </c>
      <c r="BR141" s="1235">
        <f t="shared" ref="BR141" si="2334">(((BQ141*(1+($B$38*$B$4)))-BQ141)/12)+BQ141</f>
        <v>0</v>
      </c>
      <c r="BS141" s="1236">
        <f t="shared" ref="BS141" si="2335">(((BR141*(1+($B$39*$B$4)))-BR141)/12)+BR141</f>
        <v>0</v>
      </c>
      <c r="BT141" s="1235">
        <f t="shared" ref="BT141" si="2336">(((BS141*(1+($B$39*$B$4)))-BS141)/12)+BS141</f>
        <v>0</v>
      </c>
      <c r="BU141" s="1235">
        <f t="shared" ref="BU141" si="2337">(((BT141*(1+($B$39*$B$4)))-BT141)/12)+BT141</f>
        <v>0</v>
      </c>
      <c r="BV141" s="1235">
        <f t="shared" ref="BV141" si="2338">(((BU141*(1+($B$39*$B$4)))-BU141)/12)+BU141</f>
        <v>0</v>
      </c>
      <c r="BW141" s="1235">
        <f t="shared" ref="BW141" si="2339">(((BV141*(1+($B$39*$B$4)))-BV141)/12)+BV141</f>
        <v>0</v>
      </c>
      <c r="BX141" s="1235">
        <f t="shared" ref="BX141" si="2340">(((BW141*(1+($B$39*$B$4)))-BW141)/12)+BW141</f>
        <v>0</v>
      </c>
      <c r="BY141" s="1235">
        <f t="shared" ref="BY141" si="2341">(((BX141*(1+($B$39*$B$4)))-BX141)/12)+BX141</f>
        <v>0</v>
      </c>
      <c r="BZ141" s="1235">
        <f t="shared" ref="BZ141" si="2342">(((BY141*(1+($B$39*$B$4)))-BY141)/12)+BY141</f>
        <v>0</v>
      </c>
      <c r="CA141" s="1235">
        <f t="shared" ref="CA141" si="2343">(((BZ141*(1+($B$39*$B$4)))-BZ141)/12)+BZ141</f>
        <v>0</v>
      </c>
      <c r="CB141" s="1235">
        <f t="shared" ref="CB141" si="2344">(((CA141*(1+($B$39*$B$4)))-CA141)/12)+CA141</f>
        <v>0</v>
      </c>
      <c r="CC141" s="1235">
        <f t="shared" ref="CC141" si="2345">(((CB141*(1+($B$39*$B$4)))-CB141)/12)+CB141</f>
        <v>0</v>
      </c>
      <c r="CD141" s="1235">
        <f t="shared" ref="CD141" si="2346">(((CC141*(1+($B$39*$B$4)))-CC141)/12)+CC141</f>
        <v>0</v>
      </c>
      <c r="CE141" s="1236">
        <f t="shared" ref="CE141" si="2347">(((CD141*(1+($B$40*$B$4)))-CD141)/12)+CD141</f>
        <v>0</v>
      </c>
      <c r="CF141" s="1235">
        <f t="shared" ref="CF141" si="2348">(((CE141*(1+($B$40*$B$4)))-CE141)/12)+CE141</f>
        <v>0</v>
      </c>
      <c r="CG141" s="1235">
        <f t="shared" ref="CG141" si="2349">(((CF141*(1+($B$40*$B$4)))-CF141)/12)+CF141</f>
        <v>0</v>
      </c>
      <c r="CH141" s="1235">
        <f t="shared" ref="CH141" si="2350">(((CG141*(1+($B$40*$B$4)))-CG141)/12)+CG141</f>
        <v>0</v>
      </c>
      <c r="CI141" s="1235">
        <f t="shared" ref="CI141" si="2351">(((CH141*(1+($B$40*$B$4)))-CH141)/12)+CH141</f>
        <v>0</v>
      </c>
      <c r="CJ141" s="1235">
        <f t="shared" ref="CJ141" si="2352">(((CI141*(1+($B$40*$B$4)))-CI141)/12)+CI141</f>
        <v>0</v>
      </c>
      <c r="CK141" s="1235">
        <f t="shared" ref="CK141" si="2353">(((CJ141*(1+($B$40*$B$4)))-CJ141)/12)+CJ141</f>
        <v>0</v>
      </c>
      <c r="CL141" s="1235">
        <f t="shared" ref="CL141" si="2354">(((CK141*(1+($B$40*$B$4)))-CK141)/12)+CK141</f>
        <v>0</v>
      </c>
      <c r="CM141" s="1235">
        <f t="shared" ref="CM141" si="2355">(((CL141*(1+($B$40*$B$4)))-CL141)/12)+CL141</f>
        <v>0</v>
      </c>
      <c r="CN141" s="1235">
        <f t="shared" ref="CN141" si="2356">(((CM141*(1+($B$40*$B$4)))-CM141)/12)+CM141</f>
        <v>0</v>
      </c>
      <c r="CO141" s="1235">
        <f t="shared" ref="CO141" si="2357">(((CN141*(1+($B$40*$B$4)))-CN141)/12)+CN141</f>
        <v>0</v>
      </c>
      <c r="CP141" s="1235">
        <f t="shared" ref="CP141" si="2358">(((CO141*(1+($B$40*$B$4)))-CO141)/12)+CO141</f>
        <v>0</v>
      </c>
      <c r="CQ141" s="1236">
        <f t="shared" ref="CQ141" si="2359">(((CP141*(1+($B$41*$B$4)))-CP141)/12)+CP141</f>
        <v>0</v>
      </c>
      <c r="CR141" s="1235">
        <f t="shared" ref="CR141" si="2360">(((CQ141*(1+($B$41*$B$4)))-CQ141)/12)+CQ141</f>
        <v>0</v>
      </c>
      <c r="CS141" s="1235">
        <f t="shared" ref="CS141" si="2361">(((CR141*(1+($B$41*$B$4)))-CR141)/12)+CR141</f>
        <v>0</v>
      </c>
      <c r="CT141" s="1235">
        <f t="shared" ref="CT141" si="2362">(((CS141*(1+($B$41*$B$4)))-CS141)/12)+CS141</f>
        <v>0</v>
      </c>
      <c r="CU141" s="1235">
        <f t="shared" ref="CU141" si="2363">(((CT141*(1+($B$41*$B$4)))-CT141)/12)+CT141</f>
        <v>0</v>
      </c>
      <c r="CV141" s="1235">
        <f t="shared" ref="CV141" si="2364">(((CU141*(1+($B$41*$B$4)))-CU141)/12)+CU141</f>
        <v>0</v>
      </c>
      <c r="CW141" s="1235">
        <f t="shared" ref="CW141" si="2365">(((CV141*(1+($B$41*$B$4)))-CV141)/12)+CV141</f>
        <v>0</v>
      </c>
      <c r="CX141" s="1235">
        <f t="shared" ref="CX141" si="2366">(((CW141*(1+($B$41*$B$4)))-CW141)/12)+CW141</f>
        <v>0</v>
      </c>
      <c r="CY141" s="1235">
        <f t="shared" ref="CY141" si="2367">(((CX141*(1+($B$41*$B$4)))-CX141)/12)+CX141</f>
        <v>0</v>
      </c>
      <c r="CZ141" s="1235">
        <f t="shared" ref="CZ141" si="2368">(((CY141*(1+($B$41*$B$4)))-CY141)/12)+CY141</f>
        <v>0</v>
      </c>
      <c r="DA141" s="1235">
        <f t="shared" ref="DA141" si="2369">(((CZ141*(1+($B$41*$B$4)))-CZ141)/12)+CZ141</f>
        <v>0</v>
      </c>
      <c r="DB141" s="1235">
        <f t="shared" ref="DB141" si="2370">(((DA141*(1+($B$41*$B$4)))-DA141)/12)+DA141</f>
        <v>0</v>
      </c>
      <c r="DC141" s="1236">
        <f t="shared" ref="DC141" si="2371">(((DB141*(1+($B$42*$B$4)))-DB141)/12)+DB141</f>
        <v>0</v>
      </c>
      <c r="DD141" s="1235">
        <f t="shared" ref="DD141" si="2372">(((DC141*(1+($B$42*$B$4)))-DC141)/12)+DC141</f>
        <v>0</v>
      </c>
      <c r="DE141" s="1235">
        <f t="shared" ref="DE141" si="2373">(((DD141*(1+($B$42*$B$4)))-DD141)/12)+DD141</f>
        <v>0</v>
      </c>
      <c r="DF141" s="1235">
        <f t="shared" ref="DF141" si="2374">(((DE141*(1+($B$42*$B$4)))-DE141)/12)+DE141</f>
        <v>0</v>
      </c>
      <c r="DG141" s="1235">
        <f t="shared" ref="DG141" si="2375">(((DF141*(1+($B$42*$B$4)))-DF141)/12)+DF141</f>
        <v>0</v>
      </c>
      <c r="DH141" s="1235">
        <f t="shared" ref="DH141" si="2376">(((DG141*(1+($B$42*$B$4)))-DG141)/12)+DG141</f>
        <v>0</v>
      </c>
      <c r="DI141" s="1235">
        <f t="shared" ref="DI141" si="2377">(((DH141*(1+($B$42*$B$4)))-DH141)/12)+DH141</f>
        <v>0</v>
      </c>
      <c r="DJ141" s="1235">
        <f t="shared" ref="DJ141" si="2378">(((DI141*(1+($B$42*$B$4)))-DI141)/12)+DI141</f>
        <v>0</v>
      </c>
      <c r="DK141" s="1235">
        <f t="shared" ref="DK141" si="2379">(((DJ141*(1+($B$42*$B$4)))-DJ141)/12)+DJ141</f>
        <v>0</v>
      </c>
      <c r="DL141" s="1235">
        <f t="shared" ref="DL141" si="2380">(((DK141*(1+($B$42*$B$4)))-DK141)/12)+DK141</f>
        <v>0</v>
      </c>
      <c r="DM141" s="1235">
        <f t="shared" ref="DM141" si="2381">(((DL141*(1+($B$42*$B$4)))-DL141)/12)+DL141</f>
        <v>0</v>
      </c>
      <c r="DN141" s="1235">
        <f t="shared" ref="DN141" si="2382">(((DM141*(1+($B$42*$B$4)))-DM141)/12)+DM141</f>
        <v>0</v>
      </c>
      <c r="DO141" s="1236">
        <f t="shared" ref="DO141" si="2383">(((DN141*(1+($B$43*$B$4)))-DN141)/12)+DN141</f>
        <v>0</v>
      </c>
      <c r="DP141" s="1235">
        <f t="shared" ref="DP141" si="2384">(((DO141*(1+($B$43*$B$4)))-DO141)/12)+DO141</f>
        <v>0</v>
      </c>
      <c r="DQ141" s="1235">
        <f t="shared" ref="DQ141" si="2385">(((DP141*(1+($B$43*$B$4)))-DP141)/12)+DP141</f>
        <v>0</v>
      </c>
      <c r="DR141" s="1235">
        <f t="shared" ref="DR141" si="2386">(((DQ141*(1+($B$43*$B$4)))-DQ141)/12)+DQ141</f>
        <v>0</v>
      </c>
      <c r="DS141" s="1235">
        <f t="shared" ref="DS141" si="2387">(((DR141*(1+($B$43*$B$4)))-DR141)/12)+DR141</f>
        <v>0</v>
      </c>
      <c r="DT141" s="1235">
        <f t="shared" ref="DT141" si="2388">(((DS141*(1+($B$43*$B$4)))-DS141)/12)+DS141</f>
        <v>0</v>
      </c>
      <c r="DU141" s="1235">
        <f t="shared" ref="DU141" si="2389">(((DT141*(1+($B$43*$B$4)))-DT141)/12)+DT141</f>
        <v>0</v>
      </c>
      <c r="DV141" s="1235">
        <f t="shared" ref="DV141" si="2390">(((DU141*(1+($B$43*$B$4)))-DU141)/12)+DU141</f>
        <v>0</v>
      </c>
      <c r="DW141" s="1235">
        <f t="shared" ref="DW141" si="2391">(((DV141*(1+($B$43*$B$4)))-DV141)/12)+DV141</f>
        <v>0</v>
      </c>
      <c r="DX141" s="1235">
        <f t="shared" ref="DX141" si="2392">(((DW141*(1+($B$43*$B$4)))-DW141)/12)+DW141</f>
        <v>0</v>
      </c>
      <c r="DY141" s="1235">
        <f t="shared" ref="DY141" si="2393">(((DX141*(1+($B$43*$B$4)))-DX141)/12)+DX141</f>
        <v>0</v>
      </c>
      <c r="DZ141" s="1235">
        <f t="shared" ref="DZ141" si="2394">(((DY141*(1+($B$43*$B$4)))-DY141)/12)+DY141</f>
        <v>0</v>
      </c>
      <c r="EA141" s="1236">
        <f>(((DZ141*(1+($B$44*$B$4)))-DZ141)/12)+DZ141</f>
        <v>0</v>
      </c>
      <c r="EB141" s="1235">
        <f>(((EA141*(1+($B$44*$B$4)))-EA141)/12)+EA141</f>
        <v>0</v>
      </c>
      <c r="EC141" s="1235">
        <f>(((EB141*(1+($B$44*$B$4)))-EB141)/12)+EB141</f>
        <v>0</v>
      </c>
      <c r="ED141" s="1237">
        <f>(((EC141*(1+($B$44*$B$4)))-EC141)/12)+EC141</f>
        <v>0</v>
      </c>
    </row>
    <row r="142" spans="1:134" outlineLevel="1" x14ac:dyDescent="0.25">
      <c r="C142" s="1279"/>
      <c r="D142" s="1624"/>
      <c r="E142" s="1624"/>
      <c r="F142" s="1624"/>
      <c r="G142" s="1624"/>
      <c r="H142" s="1624"/>
      <c r="I142" s="1624"/>
      <c r="J142" s="1624"/>
      <c r="K142" s="1624"/>
      <c r="L142" s="1238"/>
      <c r="M142" s="1239"/>
      <c r="N142" s="1240"/>
      <c r="O142" s="1241"/>
      <c r="P142" s="1241"/>
      <c r="Q142" s="1241"/>
      <c r="R142" s="1242"/>
      <c r="S142" s="1243"/>
      <c r="T142" s="1243"/>
      <c r="U142" s="1239"/>
      <c r="V142" s="1276">
        <v>1</v>
      </c>
      <c r="W142" s="1245">
        <f>ROUNDUP($V142*(W141/100)/0.8,0)</f>
        <v>0</v>
      </c>
      <c r="X142" s="1246">
        <f t="shared" ref="X142:CI142" si="2395">ROUNDUP($V142*(X141/100)/0.8,0)</f>
        <v>0</v>
      </c>
      <c r="Y142" s="1246">
        <f t="shared" si="2395"/>
        <v>0</v>
      </c>
      <c r="Z142" s="1246">
        <f t="shared" si="2395"/>
        <v>0</v>
      </c>
      <c r="AA142" s="1246">
        <f t="shared" si="2395"/>
        <v>0</v>
      </c>
      <c r="AB142" s="1246">
        <f t="shared" si="2395"/>
        <v>0</v>
      </c>
      <c r="AC142" s="1246">
        <f t="shared" si="2395"/>
        <v>0</v>
      </c>
      <c r="AD142" s="1246">
        <f t="shared" si="2395"/>
        <v>0</v>
      </c>
      <c r="AE142" s="1246">
        <f t="shared" si="2395"/>
        <v>0</v>
      </c>
      <c r="AF142" s="1246">
        <f t="shared" si="2395"/>
        <v>0</v>
      </c>
      <c r="AG142" s="1246">
        <f t="shared" si="2395"/>
        <v>0</v>
      </c>
      <c r="AH142" s="1246">
        <f t="shared" si="2395"/>
        <v>0</v>
      </c>
      <c r="AI142" s="1247">
        <f t="shared" si="2395"/>
        <v>0</v>
      </c>
      <c r="AJ142" s="1246">
        <f t="shared" si="2395"/>
        <v>0</v>
      </c>
      <c r="AK142" s="1246">
        <f t="shared" si="2395"/>
        <v>0</v>
      </c>
      <c r="AL142" s="1246">
        <f t="shared" si="2395"/>
        <v>0</v>
      </c>
      <c r="AM142" s="1246">
        <f t="shared" si="2395"/>
        <v>0</v>
      </c>
      <c r="AN142" s="1246">
        <f t="shared" si="2395"/>
        <v>0</v>
      </c>
      <c r="AO142" s="1246">
        <f t="shared" si="2395"/>
        <v>0</v>
      </c>
      <c r="AP142" s="1246">
        <f t="shared" si="2395"/>
        <v>0</v>
      </c>
      <c r="AQ142" s="1246">
        <f t="shared" si="2395"/>
        <v>0</v>
      </c>
      <c r="AR142" s="1246">
        <f t="shared" si="2395"/>
        <v>0</v>
      </c>
      <c r="AS142" s="1246">
        <f t="shared" si="2395"/>
        <v>0</v>
      </c>
      <c r="AT142" s="1246">
        <f t="shared" si="2395"/>
        <v>0</v>
      </c>
      <c r="AU142" s="1247">
        <f t="shared" si="2395"/>
        <v>0</v>
      </c>
      <c r="AV142" s="1246">
        <f t="shared" si="2395"/>
        <v>0</v>
      </c>
      <c r="AW142" s="1246">
        <f t="shared" si="2395"/>
        <v>0</v>
      </c>
      <c r="AX142" s="1246">
        <f t="shared" si="2395"/>
        <v>0</v>
      </c>
      <c r="AY142" s="1246">
        <f t="shared" si="2395"/>
        <v>0</v>
      </c>
      <c r="AZ142" s="1246">
        <f t="shared" si="2395"/>
        <v>0</v>
      </c>
      <c r="BA142" s="1246">
        <f t="shared" si="2395"/>
        <v>0</v>
      </c>
      <c r="BB142" s="1246">
        <f t="shared" si="2395"/>
        <v>0</v>
      </c>
      <c r="BC142" s="1246">
        <f t="shared" si="2395"/>
        <v>0</v>
      </c>
      <c r="BD142" s="1246">
        <f t="shared" si="2395"/>
        <v>0</v>
      </c>
      <c r="BE142" s="1246">
        <f t="shared" si="2395"/>
        <v>0</v>
      </c>
      <c r="BF142" s="1246">
        <f t="shared" si="2395"/>
        <v>0</v>
      </c>
      <c r="BG142" s="1247">
        <f t="shared" si="2395"/>
        <v>0</v>
      </c>
      <c r="BH142" s="1246">
        <f t="shared" si="2395"/>
        <v>0</v>
      </c>
      <c r="BI142" s="1246">
        <f t="shared" si="2395"/>
        <v>0</v>
      </c>
      <c r="BJ142" s="1246">
        <f t="shared" si="2395"/>
        <v>0</v>
      </c>
      <c r="BK142" s="1246">
        <f t="shared" si="2395"/>
        <v>0</v>
      </c>
      <c r="BL142" s="1246">
        <f t="shared" si="2395"/>
        <v>0</v>
      </c>
      <c r="BM142" s="1246">
        <f t="shared" si="2395"/>
        <v>0</v>
      </c>
      <c r="BN142" s="1246">
        <f t="shared" si="2395"/>
        <v>0</v>
      </c>
      <c r="BO142" s="1246">
        <f t="shared" si="2395"/>
        <v>0</v>
      </c>
      <c r="BP142" s="1246">
        <f t="shared" si="2395"/>
        <v>0</v>
      </c>
      <c r="BQ142" s="1246">
        <f t="shared" si="2395"/>
        <v>0</v>
      </c>
      <c r="BR142" s="1246">
        <f t="shared" si="2395"/>
        <v>0</v>
      </c>
      <c r="BS142" s="1247">
        <f t="shared" si="2395"/>
        <v>0</v>
      </c>
      <c r="BT142" s="1246">
        <f t="shared" si="2395"/>
        <v>0</v>
      </c>
      <c r="BU142" s="1246">
        <f t="shared" si="2395"/>
        <v>0</v>
      </c>
      <c r="BV142" s="1246">
        <f t="shared" si="2395"/>
        <v>0</v>
      </c>
      <c r="BW142" s="1246">
        <f t="shared" si="2395"/>
        <v>0</v>
      </c>
      <c r="BX142" s="1246">
        <f t="shared" si="2395"/>
        <v>0</v>
      </c>
      <c r="BY142" s="1246">
        <f t="shared" si="2395"/>
        <v>0</v>
      </c>
      <c r="BZ142" s="1246">
        <f t="shared" si="2395"/>
        <v>0</v>
      </c>
      <c r="CA142" s="1246">
        <f t="shared" si="2395"/>
        <v>0</v>
      </c>
      <c r="CB142" s="1246">
        <f t="shared" si="2395"/>
        <v>0</v>
      </c>
      <c r="CC142" s="1246">
        <f t="shared" si="2395"/>
        <v>0</v>
      </c>
      <c r="CD142" s="1246">
        <f t="shared" si="2395"/>
        <v>0</v>
      </c>
      <c r="CE142" s="1247">
        <f t="shared" si="2395"/>
        <v>0</v>
      </c>
      <c r="CF142" s="1246">
        <f t="shared" si="2395"/>
        <v>0</v>
      </c>
      <c r="CG142" s="1246">
        <f t="shared" si="2395"/>
        <v>0</v>
      </c>
      <c r="CH142" s="1246">
        <f t="shared" si="2395"/>
        <v>0</v>
      </c>
      <c r="CI142" s="1246">
        <f t="shared" si="2395"/>
        <v>0</v>
      </c>
      <c r="CJ142" s="1246">
        <f t="shared" ref="CJ142:ED142" si="2396">ROUNDUP($V142*(CJ141/100)/0.8,0)</f>
        <v>0</v>
      </c>
      <c r="CK142" s="1246">
        <f t="shared" si="2396"/>
        <v>0</v>
      </c>
      <c r="CL142" s="1246">
        <f t="shared" si="2396"/>
        <v>0</v>
      </c>
      <c r="CM142" s="1246">
        <f t="shared" si="2396"/>
        <v>0</v>
      </c>
      <c r="CN142" s="1246">
        <f t="shared" si="2396"/>
        <v>0</v>
      </c>
      <c r="CO142" s="1246">
        <f t="shared" si="2396"/>
        <v>0</v>
      </c>
      <c r="CP142" s="1246">
        <f t="shared" si="2396"/>
        <v>0</v>
      </c>
      <c r="CQ142" s="1247">
        <f t="shared" si="2396"/>
        <v>0</v>
      </c>
      <c r="CR142" s="1246">
        <f t="shared" si="2396"/>
        <v>0</v>
      </c>
      <c r="CS142" s="1246">
        <f t="shared" si="2396"/>
        <v>0</v>
      </c>
      <c r="CT142" s="1246">
        <f t="shared" si="2396"/>
        <v>0</v>
      </c>
      <c r="CU142" s="1246">
        <f t="shared" si="2396"/>
        <v>0</v>
      </c>
      <c r="CV142" s="1246">
        <f t="shared" si="2396"/>
        <v>0</v>
      </c>
      <c r="CW142" s="1246">
        <f t="shared" si="2396"/>
        <v>0</v>
      </c>
      <c r="CX142" s="1246">
        <f t="shared" si="2396"/>
        <v>0</v>
      </c>
      <c r="CY142" s="1246">
        <f t="shared" si="2396"/>
        <v>0</v>
      </c>
      <c r="CZ142" s="1246">
        <f t="shared" si="2396"/>
        <v>0</v>
      </c>
      <c r="DA142" s="1246">
        <f t="shared" si="2396"/>
        <v>0</v>
      </c>
      <c r="DB142" s="1246">
        <f t="shared" si="2396"/>
        <v>0</v>
      </c>
      <c r="DC142" s="1247">
        <f t="shared" si="2396"/>
        <v>0</v>
      </c>
      <c r="DD142" s="1246">
        <f t="shared" si="2396"/>
        <v>0</v>
      </c>
      <c r="DE142" s="1246">
        <f t="shared" si="2396"/>
        <v>0</v>
      </c>
      <c r="DF142" s="1246">
        <f t="shared" si="2396"/>
        <v>0</v>
      </c>
      <c r="DG142" s="1246">
        <f t="shared" si="2396"/>
        <v>0</v>
      </c>
      <c r="DH142" s="1246">
        <f t="shared" si="2396"/>
        <v>0</v>
      </c>
      <c r="DI142" s="1246">
        <f t="shared" si="2396"/>
        <v>0</v>
      </c>
      <c r="DJ142" s="1246">
        <f t="shared" si="2396"/>
        <v>0</v>
      </c>
      <c r="DK142" s="1246">
        <f t="shared" si="2396"/>
        <v>0</v>
      </c>
      <c r="DL142" s="1246">
        <f t="shared" si="2396"/>
        <v>0</v>
      </c>
      <c r="DM142" s="1246">
        <f t="shared" si="2396"/>
        <v>0</v>
      </c>
      <c r="DN142" s="1246">
        <f t="shared" si="2396"/>
        <v>0</v>
      </c>
      <c r="DO142" s="1247">
        <f t="shared" si="2396"/>
        <v>0</v>
      </c>
      <c r="DP142" s="1246">
        <f t="shared" si="2396"/>
        <v>0</v>
      </c>
      <c r="DQ142" s="1246">
        <f t="shared" si="2396"/>
        <v>0</v>
      </c>
      <c r="DR142" s="1246">
        <f t="shared" si="2396"/>
        <v>0</v>
      </c>
      <c r="DS142" s="1246">
        <f t="shared" si="2396"/>
        <v>0</v>
      </c>
      <c r="DT142" s="1246">
        <f t="shared" si="2396"/>
        <v>0</v>
      </c>
      <c r="DU142" s="1246">
        <f t="shared" si="2396"/>
        <v>0</v>
      </c>
      <c r="DV142" s="1246">
        <f t="shared" si="2396"/>
        <v>0</v>
      </c>
      <c r="DW142" s="1246">
        <f t="shared" si="2396"/>
        <v>0</v>
      </c>
      <c r="DX142" s="1246">
        <f t="shared" si="2396"/>
        <v>0</v>
      </c>
      <c r="DY142" s="1246">
        <f t="shared" si="2396"/>
        <v>0</v>
      </c>
      <c r="DZ142" s="1246">
        <f t="shared" si="2396"/>
        <v>0</v>
      </c>
      <c r="EA142" s="1247">
        <f t="shared" si="2396"/>
        <v>0</v>
      </c>
      <c r="EB142" s="1246">
        <f t="shared" si="2396"/>
        <v>0</v>
      </c>
      <c r="EC142" s="1246">
        <f t="shared" si="2396"/>
        <v>0</v>
      </c>
      <c r="ED142" s="1248">
        <f t="shared" si="2396"/>
        <v>0</v>
      </c>
    </row>
    <row r="143" spans="1:134" outlineLevel="1" x14ac:dyDescent="0.25">
      <c r="C143" s="1279"/>
      <c r="D143" s="1625" t="s">
        <v>303</v>
      </c>
      <c r="E143" s="1625"/>
      <c r="F143" s="1625"/>
      <c r="G143" s="1625"/>
      <c r="H143" s="1625"/>
      <c r="I143" s="1625"/>
      <c r="J143" s="1625"/>
      <c r="K143" s="1625"/>
      <c r="L143" s="1224"/>
      <c r="M143" s="1223"/>
      <c r="N143" s="1230">
        <f>M143/100</f>
        <v>0</v>
      </c>
      <c r="O143" s="1231"/>
      <c r="P143" s="1231"/>
      <c r="Q143" s="1231"/>
      <c r="R143" s="1232">
        <f>P143-N143</f>
        <v>0</v>
      </c>
      <c r="S143" s="1233">
        <f>Q143*100</f>
        <v>0</v>
      </c>
      <c r="T143" s="1233"/>
      <c r="U143" s="1223"/>
      <c r="V143" s="628"/>
      <c r="W143" s="1256">
        <f>M143</f>
        <v>0</v>
      </c>
      <c r="X143" s="1257">
        <f>W143</f>
        <v>0</v>
      </c>
      <c r="Y143" s="1257">
        <f>X143</f>
        <v>0</v>
      </c>
      <c r="Z143" s="1257">
        <f>O143*100</f>
        <v>0</v>
      </c>
      <c r="AA143" s="1257">
        <f>Z143</f>
        <v>0</v>
      </c>
      <c r="AB143" s="1257">
        <f>AA143</f>
        <v>0</v>
      </c>
      <c r="AC143" s="1257">
        <f>P143*100</f>
        <v>0</v>
      </c>
      <c r="AD143" s="1257">
        <f>AC143</f>
        <v>0</v>
      </c>
      <c r="AE143" s="1257">
        <f>AD143</f>
        <v>0</v>
      </c>
      <c r="AF143" s="1257">
        <f>AE143</f>
        <v>0</v>
      </c>
      <c r="AG143" s="1257">
        <f>AF143</f>
        <v>0</v>
      </c>
      <c r="AH143" s="1257">
        <f>AG143</f>
        <v>0</v>
      </c>
      <c r="AI143" s="1258">
        <f t="shared" ref="AI143" si="2397">(((AH143*(1+($B$36*$B$4)))-AH143)/12)+AH143</f>
        <v>0</v>
      </c>
      <c r="AJ143" s="1257">
        <f t="shared" ref="AJ143" si="2398">(((AI143*(1+($B$36*$B$4)))-AI143)/12)+AI143</f>
        <v>0</v>
      </c>
      <c r="AK143" s="1257">
        <f t="shared" ref="AK143" si="2399">(((AJ143*(1+($B$36*$B$4)))-AJ143)/12)+AJ143</f>
        <v>0</v>
      </c>
      <c r="AL143" s="1257">
        <f t="shared" ref="AL143" si="2400">(((AK143*(1+($B$36*$B$4)))-AK143)/12)+AK143</f>
        <v>0</v>
      </c>
      <c r="AM143" s="1257">
        <f t="shared" ref="AM143" si="2401">(((AL143*(1+($B$36*$B$4)))-AL143)/12)+AL143</f>
        <v>0</v>
      </c>
      <c r="AN143" s="1257">
        <f t="shared" ref="AN143" si="2402">(((AM143*(1+($B$36*$B$4)))-AM143)/12)+AM143</f>
        <v>0</v>
      </c>
      <c r="AO143" s="1257">
        <f t="shared" ref="AO143" si="2403">(((AN143*(1+($B$36*$B$4)))-AN143)/12)+AN143</f>
        <v>0</v>
      </c>
      <c r="AP143" s="1257">
        <f t="shared" ref="AP143" si="2404">(((AO143*(1+($B$36*$B$4)))-AO143)/12)+AO143</f>
        <v>0</v>
      </c>
      <c r="AQ143" s="1257">
        <f t="shared" ref="AQ143" si="2405">(((AP143*(1+($B$36*$B$4)))-AP143)/12)+AP143</f>
        <v>0</v>
      </c>
      <c r="AR143" s="1257">
        <f t="shared" ref="AR143" si="2406">(((AQ143*(1+($B$36*$B$4)))-AQ143)/12)+AQ143</f>
        <v>0</v>
      </c>
      <c r="AS143" s="1257">
        <f t="shared" ref="AS143" si="2407">(((AR143*(1+($B$36*$B$4)))-AR143)/12)+AR143</f>
        <v>0</v>
      </c>
      <c r="AT143" s="1257">
        <f t="shared" ref="AT143" si="2408">(((AS143*(1+($B$36*$B$4)))-AS143)/12)+AS143</f>
        <v>0</v>
      </c>
      <c r="AU143" s="1258">
        <f t="shared" ref="AU143" si="2409">(((AT143*(1+($B$37*$B$4)))-AT143)/12)+AT143</f>
        <v>0</v>
      </c>
      <c r="AV143" s="1257">
        <f t="shared" ref="AV143" si="2410">(((AU143*(1+($B$37*$B$4)))-AU143)/12)+AU143</f>
        <v>0</v>
      </c>
      <c r="AW143" s="1257">
        <f t="shared" ref="AW143" si="2411">(((AV143*(1+($B$37*$B$4)))-AV143)/12)+AV143</f>
        <v>0</v>
      </c>
      <c r="AX143" s="1257">
        <f t="shared" ref="AX143" si="2412">(((AW143*(1+($B$37*$B$4)))-AW143)/12)+AW143</f>
        <v>0</v>
      </c>
      <c r="AY143" s="1257">
        <f t="shared" ref="AY143" si="2413">(((AX143*(1+($B$37*$B$4)))-AX143)/12)+AX143</f>
        <v>0</v>
      </c>
      <c r="AZ143" s="1257">
        <f t="shared" ref="AZ143" si="2414">(((AY143*(1+($B$37*$B$4)))-AY143)/12)+AY143</f>
        <v>0</v>
      </c>
      <c r="BA143" s="1257">
        <f t="shared" ref="BA143" si="2415">(((AZ143*(1+($B$37*$B$4)))-AZ143)/12)+AZ143</f>
        <v>0</v>
      </c>
      <c r="BB143" s="1257">
        <f t="shared" ref="BB143" si="2416">(((BA143*(1+($B$37*$B$4)))-BA143)/12)+BA143</f>
        <v>0</v>
      </c>
      <c r="BC143" s="1257">
        <f t="shared" ref="BC143" si="2417">(((BB143*(1+($B$37*$B$4)))-BB143)/12)+BB143</f>
        <v>0</v>
      </c>
      <c r="BD143" s="1257">
        <f t="shared" ref="BD143" si="2418">(((BC143*(1+($B$37*$B$4)))-BC143)/12)+BC143</f>
        <v>0</v>
      </c>
      <c r="BE143" s="1257">
        <f t="shared" ref="BE143" si="2419">(((BD143*(1+($B$37*$B$4)))-BD143)/12)+BD143</f>
        <v>0</v>
      </c>
      <c r="BF143" s="1257">
        <f t="shared" ref="BF143" si="2420">(((BE143*(1+($B$37*$B$4)))-BE143)/12)+BE143</f>
        <v>0</v>
      </c>
      <c r="BG143" s="1258">
        <f t="shared" ref="BG143" si="2421">(((BF143*(1+($B$38*$B$4)))-BF143)/12)+BF143</f>
        <v>0</v>
      </c>
      <c r="BH143" s="1257">
        <f t="shared" ref="BH143" si="2422">(((BG143*(1+($B$38*$B$4)))-BG143)/12)+BG143</f>
        <v>0</v>
      </c>
      <c r="BI143" s="1257">
        <f t="shared" ref="BI143" si="2423">(((BH143*(1+($B$38*$B$4)))-BH143)/12)+BH143</f>
        <v>0</v>
      </c>
      <c r="BJ143" s="1257">
        <f t="shared" ref="BJ143" si="2424">(((BI143*(1+($B$38*$B$4)))-BI143)/12)+BI143</f>
        <v>0</v>
      </c>
      <c r="BK143" s="1257">
        <f t="shared" ref="BK143" si="2425">(((BJ143*(1+($B$38*$B$4)))-BJ143)/12)+BJ143</f>
        <v>0</v>
      </c>
      <c r="BL143" s="1257">
        <f t="shared" ref="BL143" si="2426">(((BK143*(1+($B$38*$B$4)))-BK143)/12)+BK143</f>
        <v>0</v>
      </c>
      <c r="BM143" s="1257">
        <f t="shared" ref="BM143" si="2427">(((BL143*(1+($B$38*$B$4)))-BL143)/12)+BL143</f>
        <v>0</v>
      </c>
      <c r="BN143" s="1257">
        <f t="shared" ref="BN143" si="2428">(((BM143*(1+($B$38*$B$4)))-BM143)/12)+BM143</f>
        <v>0</v>
      </c>
      <c r="BO143" s="1257">
        <f t="shared" ref="BO143" si="2429">(((BN143*(1+($B$38*$B$4)))-BN143)/12)+BN143</f>
        <v>0</v>
      </c>
      <c r="BP143" s="1257">
        <f t="shared" ref="BP143" si="2430">(((BO143*(1+($B$38*$B$4)))-BO143)/12)+BO143</f>
        <v>0</v>
      </c>
      <c r="BQ143" s="1257">
        <f t="shared" ref="BQ143" si="2431">(((BP143*(1+($B$38*$B$4)))-BP143)/12)+BP143</f>
        <v>0</v>
      </c>
      <c r="BR143" s="1257">
        <f t="shared" ref="BR143" si="2432">(((BQ143*(1+($B$38*$B$4)))-BQ143)/12)+BQ143</f>
        <v>0</v>
      </c>
      <c r="BS143" s="1258">
        <f t="shared" ref="BS143" si="2433">(((BR143*(1+($B$39*$B$4)))-BR143)/12)+BR143</f>
        <v>0</v>
      </c>
      <c r="BT143" s="1257">
        <f t="shared" ref="BT143" si="2434">(((BS143*(1+($B$39*$B$4)))-BS143)/12)+BS143</f>
        <v>0</v>
      </c>
      <c r="BU143" s="1257">
        <f t="shared" ref="BU143" si="2435">(((BT143*(1+($B$39*$B$4)))-BT143)/12)+BT143</f>
        <v>0</v>
      </c>
      <c r="BV143" s="1257">
        <f t="shared" ref="BV143" si="2436">(((BU143*(1+($B$39*$B$4)))-BU143)/12)+BU143</f>
        <v>0</v>
      </c>
      <c r="BW143" s="1257">
        <f t="shared" ref="BW143" si="2437">(((BV143*(1+($B$39*$B$4)))-BV143)/12)+BV143</f>
        <v>0</v>
      </c>
      <c r="BX143" s="1257">
        <f t="shared" ref="BX143" si="2438">(((BW143*(1+($B$39*$B$4)))-BW143)/12)+BW143</f>
        <v>0</v>
      </c>
      <c r="BY143" s="1257">
        <f t="shared" ref="BY143" si="2439">(((BX143*(1+($B$39*$B$4)))-BX143)/12)+BX143</f>
        <v>0</v>
      </c>
      <c r="BZ143" s="1257">
        <f t="shared" ref="BZ143" si="2440">(((BY143*(1+($B$39*$B$4)))-BY143)/12)+BY143</f>
        <v>0</v>
      </c>
      <c r="CA143" s="1257">
        <f t="shared" ref="CA143" si="2441">(((BZ143*(1+($B$39*$B$4)))-BZ143)/12)+BZ143</f>
        <v>0</v>
      </c>
      <c r="CB143" s="1257">
        <f t="shared" ref="CB143" si="2442">(((CA143*(1+($B$39*$B$4)))-CA143)/12)+CA143</f>
        <v>0</v>
      </c>
      <c r="CC143" s="1257">
        <f t="shared" ref="CC143" si="2443">(((CB143*(1+($B$39*$B$4)))-CB143)/12)+CB143</f>
        <v>0</v>
      </c>
      <c r="CD143" s="1257">
        <f t="shared" ref="CD143" si="2444">(((CC143*(1+($B$39*$B$4)))-CC143)/12)+CC143</f>
        <v>0</v>
      </c>
      <c r="CE143" s="1258">
        <f t="shared" ref="CE143" si="2445">(((CD143*(1+($B$40*$B$4)))-CD143)/12)+CD143</f>
        <v>0</v>
      </c>
      <c r="CF143" s="1257">
        <f t="shared" ref="CF143" si="2446">(((CE143*(1+($B$40*$B$4)))-CE143)/12)+CE143</f>
        <v>0</v>
      </c>
      <c r="CG143" s="1257">
        <f t="shared" ref="CG143" si="2447">(((CF143*(1+($B$40*$B$4)))-CF143)/12)+CF143</f>
        <v>0</v>
      </c>
      <c r="CH143" s="1257">
        <f t="shared" ref="CH143" si="2448">(((CG143*(1+($B$40*$B$4)))-CG143)/12)+CG143</f>
        <v>0</v>
      </c>
      <c r="CI143" s="1257">
        <f t="shared" ref="CI143" si="2449">(((CH143*(1+($B$40*$B$4)))-CH143)/12)+CH143</f>
        <v>0</v>
      </c>
      <c r="CJ143" s="1257">
        <f t="shared" ref="CJ143" si="2450">(((CI143*(1+($B$40*$B$4)))-CI143)/12)+CI143</f>
        <v>0</v>
      </c>
      <c r="CK143" s="1257">
        <f t="shared" ref="CK143" si="2451">(((CJ143*(1+($B$40*$B$4)))-CJ143)/12)+CJ143</f>
        <v>0</v>
      </c>
      <c r="CL143" s="1257">
        <f t="shared" ref="CL143" si="2452">(((CK143*(1+($B$40*$B$4)))-CK143)/12)+CK143</f>
        <v>0</v>
      </c>
      <c r="CM143" s="1257">
        <f t="shared" ref="CM143" si="2453">(((CL143*(1+($B$40*$B$4)))-CL143)/12)+CL143</f>
        <v>0</v>
      </c>
      <c r="CN143" s="1257">
        <f t="shared" ref="CN143" si="2454">(((CM143*(1+($B$40*$B$4)))-CM143)/12)+CM143</f>
        <v>0</v>
      </c>
      <c r="CO143" s="1257">
        <f t="shared" ref="CO143" si="2455">(((CN143*(1+($B$40*$B$4)))-CN143)/12)+CN143</f>
        <v>0</v>
      </c>
      <c r="CP143" s="1257">
        <f t="shared" ref="CP143" si="2456">(((CO143*(1+($B$40*$B$4)))-CO143)/12)+CO143</f>
        <v>0</v>
      </c>
      <c r="CQ143" s="1258">
        <f t="shared" ref="CQ143" si="2457">(((CP143*(1+($B$41*$B$4)))-CP143)/12)+CP143</f>
        <v>0</v>
      </c>
      <c r="CR143" s="1257">
        <f t="shared" ref="CR143" si="2458">(((CQ143*(1+($B$41*$B$4)))-CQ143)/12)+CQ143</f>
        <v>0</v>
      </c>
      <c r="CS143" s="1257">
        <f t="shared" ref="CS143" si="2459">(((CR143*(1+($B$41*$B$4)))-CR143)/12)+CR143</f>
        <v>0</v>
      </c>
      <c r="CT143" s="1257">
        <f t="shared" ref="CT143" si="2460">(((CS143*(1+($B$41*$B$4)))-CS143)/12)+CS143</f>
        <v>0</v>
      </c>
      <c r="CU143" s="1257">
        <f t="shared" ref="CU143" si="2461">(((CT143*(1+($B$41*$B$4)))-CT143)/12)+CT143</f>
        <v>0</v>
      </c>
      <c r="CV143" s="1257">
        <f t="shared" ref="CV143" si="2462">(((CU143*(1+($B$41*$B$4)))-CU143)/12)+CU143</f>
        <v>0</v>
      </c>
      <c r="CW143" s="1257">
        <f t="shared" ref="CW143" si="2463">(((CV143*(1+($B$41*$B$4)))-CV143)/12)+CV143</f>
        <v>0</v>
      </c>
      <c r="CX143" s="1257">
        <f t="shared" ref="CX143" si="2464">(((CW143*(1+($B$41*$B$4)))-CW143)/12)+CW143</f>
        <v>0</v>
      </c>
      <c r="CY143" s="1257">
        <f t="shared" ref="CY143" si="2465">(((CX143*(1+($B$41*$B$4)))-CX143)/12)+CX143</f>
        <v>0</v>
      </c>
      <c r="CZ143" s="1257">
        <f t="shared" ref="CZ143" si="2466">(((CY143*(1+($B$41*$B$4)))-CY143)/12)+CY143</f>
        <v>0</v>
      </c>
      <c r="DA143" s="1257">
        <f t="shared" ref="DA143" si="2467">(((CZ143*(1+($B$41*$B$4)))-CZ143)/12)+CZ143</f>
        <v>0</v>
      </c>
      <c r="DB143" s="1257">
        <f t="shared" ref="DB143" si="2468">(((DA143*(1+($B$41*$B$4)))-DA143)/12)+DA143</f>
        <v>0</v>
      </c>
      <c r="DC143" s="1258">
        <f t="shared" ref="DC143" si="2469">(((DB143*(1+($B$42*$B$4)))-DB143)/12)+DB143</f>
        <v>0</v>
      </c>
      <c r="DD143" s="1257">
        <f t="shared" ref="DD143" si="2470">(((DC143*(1+($B$42*$B$4)))-DC143)/12)+DC143</f>
        <v>0</v>
      </c>
      <c r="DE143" s="1257">
        <f t="shared" ref="DE143" si="2471">(((DD143*(1+($B$42*$B$4)))-DD143)/12)+DD143</f>
        <v>0</v>
      </c>
      <c r="DF143" s="1257">
        <f t="shared" ref="DF143" si="2472">(((DE143*(1+($B$42*$B$4)))-DE143)/12)+DE143</f>
        <v>0</v>
      </c>
      <c r="DG143" s="1257">
        <f t="shared" ref="DG143" si="2473">(((DF143*(1+($B$42*$B$4)))-DF143)/12)+DF143</f>
        <v>0</v>
      </c>
      <c r="DH143" s="1257">
        <f t="shared" ref="DH143" si="2474">(((DG143*(1+($B$42*$B$4)))-DG143)/12)+DG143</f>
        <v>0</v>
      </c>
      <c r="DI143" s="1257">
        <f t="shared" ref="DI143" si="2475">(((DH143*(1+($B$42*$B$4)))-DH143)/12)+DH143</f>
        <v>0</v>
      </c>
      <c r="DJ143" s="1257">
        <f t="shared" ref="DJ143" si="2476">(((DI143*(1+($B$42*$B$4)))-DI143)/12)+DI143</f>
        <v>0</v>
      </c>
      <c r="DK143" s="1257">
        <f t="shared" ref="DK143" si="2477">(((DJ143*(1+($B$42*$B$4)))-DJ143)/12)+DJ143</f>
        <v>0</v>
      </c>
      <c r="DL143" s="1257">
        <f t="shared" ref="DL143" si="2478">(((DK143*(1+($B$42*$B$4)))-DK143)/12)+DK143</f>
        <v>0</v>
      </c>
      <c r="DM143" s="1257">
        <f t="shared" ref="DM143" si="2479">(((DL143*(1+($B$42*$B$4)))-DL143)/12)+DL143</f>
        <v>0</v>
      </c>
      <c r="DN143" s="1257">
        <f t="shared" ref="DN143" si="2480">(((DM143*(1+($B$42*$B$4)))-DM143)/12)+DM143</f>
        <v>0</v>
      </c>
      <c r="DO143" s="1258">
        <f t="shared" ref="DO143" si="2481">(((DN143*(1+($B$43*$B$4)))-DN143)/12)+DN143</f>
        <v>0</v>
      </c>
      <c r="DP143" s="1257">
        <f t="shared" ref="DP143" si="2482">(((DO143*(1+($B$43*$B$4)))-DO143)/12)+DO143</f>
        <v>0</v>
      </c>
      <c r="DQ143" s="1257">
        <f t="shared" ref="DQ143" si="2483">(((DP143*(1+($B$43*$B$4)))-DP143)/12)+DP143</f>
        <v>0</v>
      </c>
      <c r="DR143" s="1257">
        <f t="shared" ref="DR143" si="2484">(((DQ143*(1+($B$43*$B$4)))-DQ143)/12)+DQ143</f>
        <v>0</v>
      </c>
      <c r="DS143" s="1257">
        <f t="shared" ref="DS143" si="2485">(((DR143*(1+($B$43*$B$4)))-DR143)/12)+DR143</f>
        <v>0</v>
      </c>
      <c r="DT143" s="1257">
        <f t="shared" ref="DT143" si="2486">(((DS143*(1+($B$43*$B$4)))-DS143)/12)+DS143</f>
        <v>0</v>
      </c>
      <c r="DU143" s="1257">
        <f t="shared" ref="DU143" si="2487">(((DT143*(1+($B$43*$B$4)))-DT143)/12)+DT143</f>
        <v>0</v>
      </c>
      <c r="DV143" s="1257">
        <f t="shared" ref="DV143" si="2488">(((DU143*(1+($B$43*$B$4)))-DU143)/12)+DU143</f>
        <v>0</v>
      </c>
      <c r="DW143" s="1257">
        <f t="shared" ref="DW143" si="2489">(((DV143*(1+($B$43*$B$4)))-DV143)/12)+DV143</f>
        <v>0</v>
      </c>
      <c r="DX143" s="1257">
        <f t="shared" ref="DX143" si="2490">(((DW143*(1+($B$43*$B$4)))-DW143)/12)+DW143</f>
        <v>0</v>
      </c>
      <c r="DY143" s="1257">
        <f t="shared" ref="DY143" si="2491">(((DX143*(1+($B$43*$B$4)))-DX143)/12)+DX143</f>
        <v>0</v>
      </c>
      <c r="DZ143" s="1257">
        <f t="shared" ref="DZ143" si="2492">(((DY143*(1+($B$43*$B$4)))-DY143)/12)+DY143</f>
        <v>0</v>
      </c>
      <c r="EA143" s="1258">
        <f>(((DZ143*(1+($B$44*$B$4)))-DZ143)/12)+DZ143</f>
        <v>0</v>
      </c>
      <c r="EB143" s="1257">
        <f>(((EA143*(1+($B$44*$B$4)))-EA143)/12)+EA143</f>
        <v>0</v>
      </c>
      <c r="EC143" s="1257">
        <f>(((EB143*(1+($B$44*$B$4)))-EB143)/12)+EB143</f>
        <v>0</v>
      </c>
      <c r="ED143" s="1259">
        <f>(((EC143*(1+($B$44*$B$4)))-EC143)/12)+EC143</f>
        <v>0</v>
      </c>
    </row>
    <row r="144" spans="1:134" outlineLevel="1" x14ac:dyDescent="0.25">
      <c r="C144" s="1279"/>
      <c r="D144" s="1624"/>
      <c r="E144" s="1624"/>
      <c r="F144" s="1624"/>
      <c r="G144" s="1624"/>
      <c r="H144" s="1624"/>
      <c r="I144" s="1624"/>
      <c r="J144" s="1624"/>
      <c r="K144" s="1624"/>
      <c r="L144" s="1238"/>
      <c r="M144" s="1239"/>
      <c r="N144" s="1240"/>
      <c r="O144" s="1241"/>
      <c r="P144" s="1241"/>
      <c r="Q144" s="1241"/>
      <c r="R144" s="1242"/>
      <c r="S144" s="1243"/>
      <c r="T144" s="1243"/>
      <c r="U144" s="1239"/>
      <c r="V144" s="1244">
        <v>1</v>
      </c>
      <c r="W144" s="1260">
        <f>ROUNDUP($V144*(W143/100)/0.8,0)</f>
        <v>0</v>
      </c>
      <c r="X144" s="1250">
        <f t="shared" ref="X144:CI144" si="2493">ROUNDUP($V144*(X143/100)/0.8,0)</f>
        <v>0</v>
      </c>
      <c r="Y144" s="1250">
        <f t="shared" si="2493"/>
        <v>0</v>
      </c>
      <c r="Z144" s="1250">
        <f t="shared" si="2493"/>
        <v>0</v>
      </c>
      <c r="AA144" s="1250">
        <f t="shared" si="2493"/>
        <v>0</v>
      </c>
      <c r="AB144" s="1250">
        <f t="shared" si="2493"/>
        <v>0</v>
      </c>
      <c r="AC144" s="1250">
        <f t="shared" si="2493"/>
        <v>0</v>
      </c>
      <c r="AD144" s="1250">
        <f t="shared" si="2493"/>
        <v>0</v>
      </c>
      <c r="AE144" s="1250">
        <f t="shared" si="2493"/>
        <v>0</v>
      </c>
      <c r="AF144" s="1250">
        <f t="shared" si="2493"/>
        <v>0</v>
      </c>
      <c r="AG144" s="1250">
        <f t="shared" si="2493"/>
        <v>0</v>
      </c>
      <c r="AH144" s="1250">
        <f t="shared" si="2493"/>
        <v>0</v>
      </c>
      <c r="AI144" s="1261">
        <f t="shared" si="2493"/>
        <v>0</v>
      </c>
      <c r="AJ144" s="1250">
        <f t="shared" si="2493"/>
        <v>0</v>
      </c>
      <c r="AK144" s="1250">
        <f t="shared" si="2493"/>
        <v>0</v>
      </c>
      <c r="AL144" s="1250">
        <f t="shared" si="2493"/>
        <v>0</v>
      </c>
      <c r="AM144" s="1250">
        <f t="shared" si="2493"/>
        <v>0</v>
      </c>
      <c r="AN144" s="1250">
        <f t="shared" si="2493"/>
        <v>0</v>
      </c>
      <c r="AO144" s="1250">
        <f t="shared" si="2493"/>
        <v>0</v>
      </c>
      <c r="AP144" s="1250">
        <f t="shared" si="2493"/>
        <v>0</v>
      </c>
      <c r="AQ144" s="1250">
        <f t="shared" si="2493"/>
        <v>0</v>
      </c>
      <c r="AR144" s="1250">
        <f t="shared" si="2493"/>
        <v>0</v>
      </c>
      <c r="AS144" s="1250">
        <f t="shared" si="2493"/>
        <v>0</v>
      </c>
      <c r="AT144" s="1250">
        <f t="shared" si="2493"/>
        <v>0</v>
      </c>
      <c r="AU144" s="1261">
        <f t="shared" si="2493"/>
        <v>0</v>
      </c>
      <c r="AV144" s="1250">
        <f t="shared" si="2493"/>
        <v>0</v>
      </c>
      <c r="AW144" s="1250">
        <f t="shared" si="2493"/>
        <v>0</v>
      </c>
      <c r="AX144" s="1250">
        <f t="shared" si="2493"/>
        <v>0</v>
      </c>
      <c r="AY144" s="1250">
        <f t="shared" si="2493"/>
        <v>0</v>
      </c>
      <c r="AZ144" s="1250">
        <f t="shared" si="2493"/>
        <v>0</v>
      </c>
      <c r="BA144" s="1250">
        <f t="shared" si="2493"/>
        <v>0</v>
      </c>
      <c r="BB144" s="1250">
        <f t="shared" si="2493"/>
        <v>0</v>
      </c>
      <c r="BC144" s="1250">
        <f t="shared" si="2493"/>
        <v>0</v>
      </c>
      <c r="BD144" s="1250">
        <f t="shared" si="2493"/>
        <v>0</v>
      </c>
      <c r="BE144" s="1250">
        <f t="shared" si="2493"/>
        <v>0</v>
      </c>
      <c r="BF144" s="1250">
        <f t="shared" si="2493"/>
        <v>0</v>
      </c>
      <c r="BG144" s="1261">
        <f t="shared" si="2493"/>
        <v>0</v>
      </c>
      <c r="BH144" s="1250">
        <f t="shared" si="2493"/>
        <v>0</v>
      </c>
      <c r="BI144" s="1250">
        <f t="shared" si="2493"/>
        <v>0</v>
      </c>
      <c r="BJ144" s="1250">
        <f t="shared" si="2493"/>
        <v>0</v>
      </c>
      <c r="BK144" s="1250">
        <f t="shared" si="2493"/>
        <v>0</v>
      </c>
      <c r="BL144" s="1250">
        <f t="shared" si="2493"/>
        <v>0</v>
      </c>
      <c r="BM144" s="1250">
        <f t="shared" si="2493"/>
        <v>0</v>
      </c>
      <c r="BN144" s="1250">
        <f t="shared" si="2493"/>
        <v>0</v>
      </c>
      <c r="BO144" s="1250">
        <f t="shared" si="2493"/>
        <v>0</v>
      </c>
      <c r="BP144" s="1250">
        <f t="shared" si="2493"/>
        <v>0</v>
      </c>
      <c r="BQ144" s="1250">
        <f t="shared" si="2493"/>
        <v>0</v>
      </c>
      <c r="BR144" s="1250">
        <f t="shared" si="2493"/>
        <v>0</v>
      </c>
      <c r="BS144" s="1261">
        <f t="shared" si="2493"/>
        <v>0</v>
      </c>
      <c r="BT144" s="1250">
        <f t="shared" si="2493"/>
        <v>0</v>
      </c>
      <c r="BU144" s="1250">
        <f t="shared" si="2493"/>
        <v>0</v>
      </c>
      <c r="BV144" s="1250">
        <f t="shared" si="2493"/>
        <v>0</v>
      </c>
      <c r="BW144" s="1250">
        <f t="shared" si="2493"/>
        <v>0</v>
      </c>
      <c r="BX144" s="1250">
        <f t="shared" si="2493"/>
        <v>0</v>
      </c>
      <c r="BY144" s="1250">
        <f t="shared" si="2493"/>
        <v>0</v>
      </c>
      <c r="BZ144" s="1250">
        <f t="shared" si="2493"/>
        <v>0</v>
      </c>
      <c r="CA144" s="1250">
        <f t="shared" si="2493"/>
        <v>0</v>
      </c>
      <c r="CB144" s="1250">
        <f t="shared" si="2493"/>
        <v>0</v>
      </c>
      <c r="CC144" s="1250">
        <f t="shared" si="2493"/>
        <v>0</v>
      </c>
      <c r="CD144" s="1250">
        <f t="shared" si="2493"/>
        <v>0</v>
      </c>
      <c r="CE144" s="1261">
        <f t="shared" si="2493"/>
        <v>0</v>
      </c>
      <c r="CF144" s="1250">
        <f t="shared" si="2493"/>
        <v>0</v>
      </c>
      <c r="CG144" s="1250">
        <f t="shared" si="2493"/>
        <v>0</v>
      </c>
      <c r="CH144" s="1250">
        <f t="shared" si="2493"/>
        <v>0</v>
      </c>
      <c r="CI144" s="1250">
        <f t="shared" si="2493"/>
        <v>0</v>
      </c>
      <c r="CJ144" s="1250">
        <f t="shared" ref="CJ144:ED144" si="2494">ROUNDUP($V144*(CJ143/100)/0.8,0)</f>
        <v>0</v>
      </c>
      <c r="CK144" s="1250">
        <f t="shared" si="2494"/>
        <v>0</v>
      </c>
      <c r="CL144" s="1250">
        <f t="shared" si="2494"/>
        <v>0</v>
      </c>
      <c r="CM144" s="1250">
        <f t="shared" si="2494"/>
        <v>0</v>
      </c>
      <c r="CN144" s="1250">
        <f t="shared" si="2494"/>
        <v>0</v>
      </c>
      <c r="CO144" s="1250">
        <f t="shared" si="2494"/>
        <v>0</v>
      </c>
      <c r="CP144" s="1250">
        <f t="shared" si="2494"/>
        <v>0</v>
      </c>
      <c r="CQ144" s="1261">
        <f t="shared" si="2494"/>
        <v>0</v>
      </c>
      <c r="CR144" s="1250">
        <f t="shared" si="2494"/>
        <v>0</v>
      </c>
      <c r="CS144" s="1250">
        <f t="shared" si="2494"/>
        <v>0</v>
      </c>
      <c r="CT144" s="1250">
        <f t="shared" si="2494"/>
        <v>0</v>
      </c>
      <c r="CU144" s="1250">
        <f t="shared" si="2494"/>
        <v>0</v>
      </c>
      <c r="CV144" s="1250">
        <f t="shared" si="2494"/>
        <v>0</v>
      </c>
      <c r="CW144" s="1250">
        <f t="shared" si="2494"/>
        <v>0</v>
      </c>
      <c r="CX144" s="1250">
        <f t="shared" si="2494"/>
        <v>0</v>
      </c>
      <c r="CY144" s="1250">
        <f t="shared" si="2494"/>
        <v>0</v>
      </c>
      <c r="CZ144" s="1250">
        <f t="shared" si="2494"/>
        <v>0</v>
      </c>
      <c r="DA144" s="1250">
        <f t="shared" si="2494"/>
        <v>0</v>
      </c>
      <c r="DB144" s="1250">
        <f t="shared" si="2494"/>
        <v>0</v>
      </c>
      <c r="DC144" s="1261">
        <f t="shared" si="2494"/>
        <v>0</v>
      </c>
      <c r="DD144" s="1250">
        <f t="shared" si="2494"/>
        <v>0</v>
      </c>
      <c r="DE144" s="1250">
        <f t="shared" si="2494"/>
        <v>0</v>
      </c>
      <c r="DF144" s="1250">
        <f t="shared" si="2494"/>
        <v>0</v>
      </c>
      <c r="DG144" s="1250">
        <f t="shared" si="2494"/>
        <v>0</v>
      </c>
      <c r="DH144" s="1250">
        <f t="shared" si="2494"/>
        <v>0</v>
      </c>
      <c r="DI144" s="1250">
        <f t="shared" si="2494"/>
        <v>0</v>
      </c>
      <c r="DJ144" s="1250">
        <f t="shared" si="2494"/>
        <v>0</v>
      </c>
      <c r="DK144" s="1250">
        <f t="shared" si="2494"/>
        <v>0</v>
      </c>
      <c r="DL144" s="1250">
        <f t="shared" si="2494"/>
        <v>0</v>
      </c>
      <c r="DM144" s="1250">
        <f t="shared" si="2494"/>
        <v>0</v>
      </c>
      <c r="DN144" s="1250">
        <f t="shared" si="2494"/>
        <v>0</v>
      </c>
      <c r="DO144" s="1261">
        <f t="shared" si="2494"/>
        <v>0</v>
      </c>
      <c r="DP144" s="1250">
        <f t="shared" si="2494"/>
        <v>0</v>
      </c>
      <c r="DQ144" s="1250">
        <f t="shared" si="2494"/>
        <v>0</v>
      </c>
      <c r="DR144" s="1250">
        <f t="shared" si="2494"/>
        <v>0</v>
      </c>
      <c r="DS144" s="1250">
        <f t="shared" si="2494"/>
        <v>0</v>
      </c>
      <c r="DT144" s="1250">
        <f t="shared" si="2494"/>
        <v>0</v>
      </c>
      <c r="DU144" s="1250">
        <f t="shared" si="2494"/>
        <v>0</v>
      </c>
      <c r="DV144" s="1250">
        <f t="shared" si="2494"/>
        <v>0</v>
      </c>
      <c r="DW144" s="1250">
        <f t="shared" si="2494"/>
        <v>0</v>
      </c>
      <c r="DX144" s="1250">
        <f t="shared" si="2494"/>
        <v>0</v>
      </c>
      <c r="DY144" s="1250">
        <f t="shared" si="2494"/>
        <v>0</v>
      </c>
      <c r="DZ144" s="1250">
        <f t="shared" si="2494"/>
        <v>0</v>
      </c>
      <c r="EA144" s="1261">
        <f t="shared" si="2494"/>
        <v>0</v>
      </c>
      <c r="EB144" s="1250">
        <f t="shared" si="2494"/>
        <v>0</v>
      </c>
      <c r="EC144" s="1250">
        <f t="shared" si="2494"/>
        <v>0</v>
      </c>
      <c r="ED144" s="1262">
        <f t="shared" si="2494"/>
        <v>0</v>
      </c>
    </row>
    <row r="145" spans="3:134" outlineLevel="1" x14ac:dyDescent="0.25">
      <c r="C145" s="1279"/>
      <c r="D145" s="1625" t="s">
        <v>304</v>
      </c>
      <c r="E145" s="1625"/>
      <c r="F145" s="1625"/>
      <c r="G145" s="1625"/>
      <c r="H145" s="1625"/>
      <c r="I145" s="1625"/>
      <c r="J145" s="1625"/>
      <c r="K145" s="1625"/>
      <c r="L145" s="1224"/>
      <c r="M145" s="1223"/>
      <c r="N145" s="1230">
        <f>M145/100</f>
        <v>0</v>
      </c>
      <c r="O145" s="1231"/>
      <c r="P145" s="1231"/>
      <c r="Q145" s="1231"/>
      <c r="R145" s="1232">
        <f>P145-N145</f>
        <v>0</v>
      </c>
      <c r="S145" s="1233">
        <f>Q145*100</f>
        <v>0</v>
      </c>
      <c r="T145" s="1233"/>
      <c r="U145" s="1223"/>
      <c r="V145" s="628"/>
      <c r="W145" s="1234">
        <f>M145</f>
        <v>0</v>
      </c>
      <c r="X145" s="1235">
        <f>W145</f>
        <v>0</v>
      </c>
      <c r="Y145" s="1235">
        <f>X145</f>
        <v>0</v>
      </c>
      <c r="Z145" s="1235">
        <f>O145*100</f>
        <v>0</v>
      </c>
      <c r="AA145" s="1235">
        <f>Z145</f>
        <v>0</v>
      </c>
      <c r="AB145" s="1235">
        <f>AA145</f>
        <v>0</v>
      </c>
      <c r="AC145" s="1235">
        <f>P145*100</f>
        <v>0</v>
      </c>
      <c r="AD145" s="1235">
        <f>AC145</f>
        <v>0</v>
      </c>
      <c r="AE145" s="1235">
        <f>AD145</f>
        <v>0</v>
      </c>
      <c r="AF145" s="1235">
        <f>AE145</f>
        <v>0</v>
      </c>
      <c r="AG145" s="1235">
        <f>AF145</f>
        <v>0</v>
      </c>
      <c r="AH145" s="1235">
        <f>AG145</f>
        <v>0</v>
      </c>
      <c r="AI145" s="1236">
        <f t="shared" ref="AI145" si="2495">(((AH145*(1+($B$36*$B$4)))-AH145)/12)+AH145</f>
        <v>0</v>
      </c>
      <c r="AJ145" s="1235">
        <f t="shared" ref="AJ145" si="2496">(((AI145*(1+($B$36*$B$4)))-AI145)/12)+AI145</f>
        <v>0</v>
      </c>
      <c r="AK145" s="1235">
        <f t="shared" ref="AK145" si="2497">(((AJ145*(1+($B$36*$B$4)))-AJ145)/12)+AJ145</f>
        <v>0</v>
      </c>
      <c r="AL145" s="1235">
        <f t="shared" ref="AL145" si="2498">(((AK145*(1+($B$36*$B$4)))-AK145)/12)+AK145</f>
        <v>0</v>
      </c>
      <c r="AM145" s="1235">
        <f t="shared" ref="AM145" si="2499">(((AL145*(1+($B$36*$B$4)))-AL145)/12)+AL145</f>
        <v>0</v>
      </c>
      <c r="AN145" s="1235">
        <f t="shared" ref="AN145" si="2500">(((AM145*(1+($B$36*$B$4)))-AM145)/12)+AM145</f>
        <v>0</v>
      </c>
      <c r="AO145" s="1235">
        <f t="shared" ref="AO145" si="2501">(((AN145*(1+($B$36*$B$4)))-AN145)/12)+AN145</f>
        <v>0</v>
      </c>
      <c r="AP145" s="1235">
        <f t="shared" ref="AP145" si="2502">(((AO145*(1+($B$36*$B$4)))-AO145)/12)+AO145</f>
        <v>0</v>
      </c>
      <c r="AQ145" s="1235">
        <f t="shared" ref="AQ145" si="2503">(((AP145*(1+($B$36*$B$4)))-AP145)/12)+AP145</f>
        <v>0</v>
      </c>
      <c r="AR145" s="1235">
        <f t="shared" ref="AR145" si="2504">(((AQ145*(1+($B$36*$B$4)))-AQ145)/12)+AQ145</f>
        <v>0</v>
      </c>
      <c r="AS145" s="1235">
        <f t="shared" ref="AS145" si="2505">(((AR145*(1+($B$36*$B$4)))-AR145)/12)+AR145</f>
        <v>0</v>
      </c>
      <c r="AT145" s="1235">
        <f t="shared" ref="AT145" si="2506">(((AS145*(1+($B$36*$B$4)))-AS145)/12)+AS145</f>
        <v>0</v>
      </c>
      <c r="AU145" s="1236">
        <f t="shared" ref="AU145" si="2507">(((AT145*(1+($B$37*$B$4)))-AT145)/12)+AT145</f>
        <v>0</v>
      </c>
      <c r="AV145" s="1235">
        <f t="shared" ref="AV145" si="2508">(((AU145*(1+($B$37*$B$4)))-AU145)/12)+AU145</f>
        <v>0</v>
      </c>
      <c r="AW145" s="1235">
        <f t="shared" ref="AW145" si="2509">(((AV145*(1+($B$37*$B$4)))-AV145)/12)+AV145</f>
        <v>0</v>
      </c>
      <c r="AX145" s="1235">
        <f t="shared" ref="AX145" si="2510">(((AW145*(1+($B$37*$B$4)))-AW145)/12)+AW145</f>
        <v>0</v>
      </c>
      <c r="AY145" s="1235">
        <f t="shared" ref="AY145" si="2511">(((AX145*(1+($B$37*$B$4)))-AX145)/12)+AX145</f>
        <v>0</v>
      </c>
      <c r="AZ145" s="1235">
        <f t="shared" ref="AZ145" si="2512">(((AY145*(1+($B$37*$B$4)))-AY145)/12)+AY145</f>
        <v>0</v>
      </c>
      <c r="BA145" s="1235">
        <f t="shared" ref="BA145" si="2513">(((AZ145*(1+($B$37*$B$4)))-AZ145)/12)+AZ145</f>
        <v>0</v>
      </c>
      <c r="BB145" s="1235">
        <f t="shared" ref="BB145" si="2514">(((BA145*(1+($B$37*$B$4)))-BA145)/12)+BA145</f>
        <v>0</v>
      </c>
      <c r="BC145" s="1235">
        <f t="shared" ref="BC145" si="2515">(((BB145*(1+($B$37*$B$4)))-BB145)/12)+BB145</f>
        <v>0</v>
      </c>
      <c r="BD145" s="1235">
        <f t="shared" ref="BD145" si="2516">(((BC145*(1+($B$37*$B$4)))-BC145)/12)+BC145</f>
        <v>0</v>
      </c>
      <c r="BE145" s="1235">
        <f t="shared" ref="BE145" si="2517">(((BD145*(1+($B$37*$B$4)))-BD145)/12)+BD145</f>
        <v>0</v>
      </c>
      <c r="BF145" s="1235">
        <f t="shared" ref="BF145" si="2518">(((BE145*(1+($B$37*$B$4)))-BE145)/12)+BE145</f>
        <v>0</v>
      </c>
      <c r="BG145" s="1236">
        <f t="shared" ref="BG145" si="2519">(((BF145*(1+($B$38*$B$4)))-BF145)/12)+BF145</f>
        <v>0</v>
      </c>
      <c r="BH145" s="1235">
        <f t="shared" ref="BH145" si="2520">(((BG145*(1+($B$38*$B$4)))-BG145)/12)+BG145</f>
        <v>0</v>
      </c>
      <c r="BI145" s="1235">
        <f t="shared" ref="BI145" si="2521">(((BH145*(1+($B$38*$B$4)))-BH145)/12)+BH145</f>
        <v>0</v>
      </c>
      <c r="BJ145" s="1235">
        <f t="shared" ref="BJ145" si="2522">(((BI145*(1+($B$38*$B$4)))-BI145)/12)+BI145</f>
        <v>0</v>
      </c>
      <c r="BK145" s="1235">
        <f t="shared" ref="BK145" si="2523">(((BJ145*(1+($B$38*$B$4)))-BJ145)/12)+BJ145</f>
        <v>0</v>
      </c>
      <c r="BL145" s="1235">
        <f t="shared" ref="BL145" si="2524">(((BK145*(1+($B$38*$B$4)))-BK145)/12)+BK145</f>
        <v>0</v>
      </c>
      <c r="BM145" s="1235">
        <f t="shared" ref="BM145" si="2525">(((BL145*(1+($B$38*$B$4)))-BL145)/12)+BL145</f>
        <v>0</v>
      </c>
      <c r="BN145" s="1235">
        <f t="shared" ref="BN145" si="2526">(((BM145*(1+($B$38*$B$4)))-BM145)/12)+BM145</f>
        <v>0</v>
      </c>
      <c r="BO145" s="1235">
        <f t="shared" ref="BO145" si="2527">(((BN145*(1+($B$38*$B$4)))-BN145)/12)+BN145</f>
        <v>0</v>
      </c>
      <c r="BP145" s="1235">
        <f t="shared" ref="BP145" si="2528">(((BO145*(1+($B$38*$B$4)))-BO145)/12)+BO145</f>
        <v>0</v>
      </c>
      <c r="BQ145" s="1235">
        <f t="shared" ref="BQ145" si="2529">(((BP145*(1+($B$38*$B$4)))-BP145)/12)+BP145</f>
        <v>0</v>
      </c>
      <c r="BR145" s="1235">
        <f t="shared" ref="BR145" si="2530">(((BQ145*(1+($B$38*$B$4)))-BQ145)/12)+BQ145</f>
        <v>0</v>
      </c>
      <c r="BS145" s="1236">
        <f t="shared" ref="BS145" si="2531">(((BR145*(1+($B$39*$B$4)))-BR145)/12)+BR145</f>
        <v>0</v>
      </c>
      <c r="BT145" s="1235">
        <f t="shared" ref="BT145" si="2532">(((BS145*(1+($B$39*$B$4)))-BS145)/12)+BS145</f>
        <v>0</v>
      </c>
      <c r="BU145" s="1235">
        <f t="shared" ref="BU145" si="2533">(((BT145*(1+($B$39*$B$4)))-BT145)/12)+BT145</f>
        <v>0</v>
      </c>
      <c r="BV145" s="1235">
        <f t="shared" ref="BV145" si="2534">(((BU145*(1+($B$39*$B$4)))-BU145)/12)+BU145</f>
        <v>0</v>
      </c>
      <c r="BW145" s="1235">
        <f t="shared" ref="BW145" si="2535">(((BV145*(1+($B$39*$B$4)))-BV145)/12)+BV145</f>
        <v>0</v>
      </c>
      <c r="BX145" s="1235">
        <f t="shared" ref="BX145" si="2536">(((BW145*(1+($B$39*$B$4)))-BW145)/12)+BW145</f>
        <v>0</v>
      </c>
      <c r="BY145" s="1235">
        <f t="shared" ref="BY145" si="2537">(((BX145*(1+($B$39*$B$4)))-BX145)/12)+BX145</f>
        <v>0</v>
      </c>
      <c r="BZ145" s="1235">
        <f t="shared" ref="BZ145" si="2538">(((BY145*(1+($B$39*$B$4)))-BY145)/12)+BY145</f>
        <v>0</v>
      </c>
      <c r="CA145" s="1235">
        <f t="shared" ref="CA145" si="2539">(((BZ145*(1+($B$39*$B$4)))-BZ145)/12)+BZ145</f>
        <v>0</v>
      </c>
      <c r="CB145" s="1235">
        <f t="shared" ref="CB145" si="2540">(((CA145*(1+($B$39*$B$4)))-CA145)/12)+CA145</f>
        <v>0</v>
      </c>
      <c r="CC145" s="1235">
        <f t="shared" ref="CC145" si="2541">(((CB145*(1+($B$39*$B$4)))-CB145)/12)+CB145</f>
        <v>0</v>
      </c>
      <c r="CD145" s="1235">
        <f t="shared" ref="CD145" si="2542">(((CC145*(1+($B$39*$B$4)))-CC145)/12)+CC145</f>
        <v>0</v>
      </c>
      <c r="CE145" s="1236">
        <f t="shared" ref="CE145" si="2543">(((CD145*(1+($B$40*$B$4)))-CD145)/12)+CD145</f>
        <v>0</v>
      </c>
      <c r="CF145" s="1235">
        <f t="shared" ref="CF145" si="2544">(((CE145*(1+($B$40*$B$4)))-CE145)/12)+CE145</f>
        <v>0</v>
      </c>
      <c r="CG145" s="1235">
        <f t="shared" ref="CG145" si="2545">(((CF145*(1+($B$40*$B$4)))-CF145)/12)+CF145</f>
        <v>0</v>
      </c>
      <c r="CH145" s="1235">
        <f t="shared" ref="CH145" si="2546">(((CG145*(1+($B$40*$B$4)))-CG145)/12)+CG145</f>
        <v>0</v>
      </c>
      <c r="CI145" s="1235">
        <f t="shared" ref="CI145" si="2547">(((CH145*(1+($B$40*$B$4)))-CH145)/12)+CH145</f>
        <v>0</v>
      </c>
      <c r="CJ145" s="1235">
        <f t="shared" ref="CJ145" si="2548">(((CI145*(1+($B$40*$B$4)))-CI145)/12)+CI145</f>
        <v>0</v>
      </c>
      <c r="CK145" s="1235">
        <f t="shared" ref="CK145" si="2549">(((CJ145*(1+($B$40*$B$4)))-CJ145)/12)+CJ145</f>
        <v>0</v>
      </c>
      <c r="CL145" s="1235">
        <f t="shared" ref="CL145" si="2550">(((CK145*(1+($B$40*$B$4)))-CK145)/12)+CK145</f>
        <v>0</v>
      </c>
      <c r="CM145" s="1235">
        <f t="shared" ref="CM145" si="2551">(((CL145*(1+($B$40*$B$4)))-CL145)/12)+CL145</f>
        <v>0</v>
      </c>
      <c r="CN145" s="1235">
        <f t="shared" ref="CN145" si="2552">(((CM145*(1+($B$40*$B$4)))-CM145)/12)+CM145</f>
        <v>0</v>
      </c>
      <c r="CO145" s="1235">
        <f t="shared" ref="CO145" si="2553">(((CN145*(1+($B$40*$B$4)))-CN145)/12)+CN145</f>
        <v>0</v>
      </c>
      <c r="CP145" s="1235">
        <f t="shared" ref="CP145" si="2554">(((CO145*(1+($B$40*$B$4)))-CO145)/12)+CO145</f>
        <v>0</v>
      </c>
      <c r="CQ145" s="1236">
        <f t="shared" ref="CQ145" si="2555">(((CP145*(1+($B$41*$B$4)))-CP145)/12)+CP145</f>
        <v>0</v>
      </c>
      <c r="CR145" s="1235">
        <f t="shared" ref="CR145" si="2556">(((CQ145*(1+($B$41*$B$4)))-CQ145)/12)+CQ145</f>
        <v>0</v>
      </c>
      <c r="CS145" s="1235">
        <f t="shared" ref="CS145" si="2557">(((CR145*(1+($B$41*$B$4)))-CR145)/12)+CR145</f>
        <v>0</v>
      </c>
      <c r="CT145" s="1235">
        <f t="shared" ref="CT145" si="2558">(((CS145*(1+($B$41*$B$4)))-CS145)/12)+CS145</f>
        <v>0</v>
      </c>
      <c r="CU145" s="1235">
        <f t="shared" ref="CU145" si="2559">(((CT145*(1+($B$41*$B$4)))-CT145)/12)+CT145</f>
        <v>0</v>
      </c>
      <c r="CV145" s="1235">
        <f t="shared" ref="CV145" si="2560">(((CU145*(1+($B$41*$B$4)))-CU145)/12)+CU145</f>
        <v>0</v>
      </c>
      <c r="CW145" s="1235">
        <f t="shared" ref="CW145" si="2561">(((CV145*(1+($B$41*$B$4)))-CV145)/12)+CV145</f>
        <v>0</v>
      </c>
      <c r="CX145" s="1235">
        <f t="shared" ref="CX145" si="2562">(((CW145*(1+($B$41*$B$4)))-CW145)/12)+CW145</f>
        <v>0</v>
      </c>
      <c r="CY145" s="1235">
        <f t="shared" ref="CY145" si="2563">(((CX145*(1+($B$41*$B$4)))-CX145)/12)+CX145</f>
        <v>0</v>
      </c>
      <c r="CZ145" s="1235">
        <f t="shared" ref="CZ145" si="2564">(((CY145*(1+($B$41*$B$4)))-CY145)/12)+CY145</f>
        <v>0</v>
      </c>
      <c r="DA145" s="1235">
        <f t="shared" ref="DA145" si="2565">(((CZ145*(1+($B$41*$B$4)))-CZ145)/12)+CZ145</f>
        <v>0</v>
      </c>
      <c r="DB145" s="1235">
        <f t="shared" ref="DB145" si="2566">(((DA145*(1+($B$41*$B$4)))-DA145)/12)+DA145</f>
        <v>0</v>
      </c>
      <c r="DC145" s="1236">
        <f t="shared" ref="DC145" si="2567">(((DB145*(1+($B$42*$B$4)))-DB145)/12)+DB145</f>
        <v>0</v>
      </c>
      <c r="DD145" s="1235">
        <f t="shared" ref="DD145" si="2568">(((DC145*(1+($B$42*$B$4)))-DC145)/12)+DC145</f>
        <v>0</v>
      </c>
      <c r="DE145" s="1235">
        <f t="shared" ref="DE145" si="2569">(((DD145*(1+($B$42*$B$4)))-DD145)/12)+DD145</f>
        <v>0</v>
      </c>
      <c r="DF145" s="1235">
        <f t="shared" ref="DF145" si="2570">(((DE145*(1+($B$42*$B$4)))-DE145)/12)+DE145</f>
        <v>0</v>
      </c>
      <c r="DG145" s="1235">
        <f t="shared" ref="DG145" si="2571">(((DF145*(1+($B$42*$B$4)))-DF145)/12)+DF145</f>
        <v>0</v>
      </c>
      <c r="DH145" s="1235">
        <f t="shared" ref="DH145" si="2572">(((DG145*(1+($B$42*$B$4)))-DG145)/12)+DG145</f>
        <v>0</v>
      </c>
      <c r="DI145" s="1235">
        <f t="shared" ref="DI145" si="2573">(((DH145*(1+($B$42*$B$4)))-DH145)/12)+DH145</f>
        <v>0</v>
      </c>
      <c r="DJ145" s="1235">
        <f t="shared" ref="DJ145" si="2574">(((DI145*(1+($B$42*$B$4)))-DI145)/12)+DI145</f>
        <v>0</v>
      </c>
      <c r="DK145" s="1235">
        <f t="shared" ref="DK145" si="2575">(((DJ145*(1+($B$42*$B$4)))-DJ145)/12)+DJ145</f>
        <v>0</v>
      </c>
      <c r="DL145" s="1235">
        <f t="shared" ref="DL145" si="2576">(((DK145*(1+($B$42*$B$4)))-DK145)/12)+DK145</f>
        <v>0</v>
      </c>
      <c r="DM145" s="1235">
        <f t="shared" ref="DM145" si="2577">(((DL145*(1+($B$42*$B$4)))-DL145)/12)+DL145</f>
        <v>0</v>
      </c>
      <c r="DN145" s="1235">
        <f t="shared" ref="DN145" si="2578">(((DM145*(1+($B$42*$B$4)))-DM145)/12)+DM145</f>
        <v>0</v>
      </c>
      <c r="DO145" s="1236">
        <f t="shared" ref="DO145" si="2579">(((DN145*(1+($B$43*$B$4)))-DN145)/12)+DN145</f>
        <v>0</v>
      </c>
      <c r="DP145" s="1235">
        <f t="shared" ref="DP145" si="2580">(((DO145*(1+($B$43*$B$4)))-DO145)/12)+DO145</f>
        <v>0</v>
      </c>
      <c r="DQ145" s="1235">
        <f t="shared" ref="DQ145" si="2581">(((DP145*(1+($B$43*$B$4)))-DP145)/12)+DP145</f>
        <v>0</v>
      </c>
      <c r="DR145" s="1235">
        <f t="shared" ref="DR145" si="2582">(((DQ145*(1+($B$43*$B$4)))-DQ145)/12)+DQ145</f>
        <v>0</v>
      </c>
      <c r="DS145" s="1235">
        <f t="shared" ref="DS145" si="2583">(((DR145*(1+($B$43*$B$4)))-DR145)/12)+DR145</f>
        <v>0</v>
      </c>
      <c r="DT145" s="1235">
        <f t="shared" ref="DT145" si="2584">(((DS145*(1+($B$43*$B$4)))-DS145)/12)+DS145</f>
        <v>0</v>
      </c>
      <c r="DU145" s="1235">
        <f t="shared" ref="DU145" si="2585">(((DT145*(1+($B$43*$B$4)))-DT145)/12)+DT145</f>
        <v>0</v>
      </c>
      <c r="DV145" s="1235">
        <f t="shared" ref="DV145" si="2586">(((DU145*(1+($B$43*$B$4)))-DU145)/12)+DU145</f>
        <v>0</v>
      </c>
      <c r="DW145" s="1235">
        <f t="shared" ref="DW145" si="2587">(((DV145*(1+($B$43*$B$4)))-DV145)/12)+DV145</f>
        <v>0</v>
      </c>
      <c r="DX145" s="1235">
        <f t="shared" ref="DX145" si="2588">(((DW145*(1+($B$43*$B$4)))-DW145)/12)+DW145</f>
        <v>0</v>
      </c>
      <c r="DY145" s="1235">
        <f t="shared" ref="DY145" si="2589">(((DX145*(1+($B$43*$B$4)))-DX145)/12)+DX145</f>
        <v>0</v>
      </c>
      <c r="DZ145" s="1235">
        <f t="shared" ref="DZ145" si="2590">(((DY145*(1+($B$43*$B$4)))-DY145)/12)+DY145</f>
        <v>0</v>
      </c>
      <c r="EA145" s="1236">
        <f>(((DZ145*(1+($B$44*$B$4)))-DZ145)/12)+DZ145</f>
        <v>0</v>
      </c>
      <c r="EB145" s="1235">
        <f>(((EA145*(1+($B$44*$B$4)))-EA145)/12)+EA145</f>
        <v>0</v>
      </c>
      <c r="EC145" s="1235">
        <f>(((EB145*(1+($B$44*$B$4)))-EB145)/12)+EB145</f>
        <v>0</v>
      </c>
      <c r="ED145" s="1237">
        <f>(((EC145*(1+($B$44*$B$4)))-EC145)/12)+EC145</f>
        <v>0</v>
      </c>
    </row>
    <row r="146" spans="3:134" outlineLevel="1" x14ac:dyDescent="0.25">
      <c r="C146" s="1279"/>
      <c r="D146" s="1624"/>
      <c r="E146" s="1624"/>
      <c r="F146" s="1624"/>
      <c r="G146" s="1624"/>
      <c r="H146" s="1624"/>
      <c r="I146" s="1624"/>
      <c r="J146" s="1624"/>
      <c r="K146" s="1624"/>
      <c r="L146" s="1238"/>
      <c r="M146" s="1239"/>
      <c r="N146" s="1240"/>
      <c r="O146" s="1241"/>
      <c r="P146" s="1241"/>
      <c r="Q146" s="1241"/>
      <c r="R146" s="1242"/>
      <c r="S146" s="1243"/>
      <c r="T146" s="1243"/>
      <c r="U146" s="1239"/>
      <c r="V146" s="1244">
        <v>0.5</v>
      </c>
      <c r="W146" s="1245">
        <f>ROUNDUP($V146*(W145/100)/0.8,0)</f>
        <v>0</v>
      </c>
      <c r="X146" s="1246">
        <f t="shared" ref="X146:CI146" si="2591">ROUNDUP($V146*(X145/100)/0.8,0)</f>
        <v>0</v>
      </c>
      <c r="Y146" s="1246">
        <f t="shared" si="2591"/>
        <v>0</v>
      </c>
      <c r="Z146" s="1246">
        <f t="shared" si="2591"/>
        <v>0</v>
      </c>
      <c r="AA146" s="1246">
        <f t="shared" si="2591"/>
        <v>0</v>
      </c>
      <c r="AB146" s="1246">
        <f t="shared" si="2591"/>
        <v>0</v>
      </c>
      <c r="AC146" s="1246">
        <f t="shared" si="2591"/>
        <v>0</v>
      </c>
      <c r="AD146" s="1246">
        <f t="shared" si="2591"/>
        <v>0</v>
      </c>
      <c r="AE146" s="1246">
        <f t="shared" si="2591"/>
        <v>0</v>
      </c>
      <c r="AF146" s="1246">
        <f t="shared" si="2591"/>
        <v>0</v>
      </c>
      <c r="AG146" s="1246">
        <f t="shared" si="2591"/>
        <v>0</v>
      </c>
      <c r="AH146" s="1246">
        <f t="shared" si="2591"/>
        <v>0</v>
      </c>
      <c r="AI146" s="1247">
        <f t="shared" si="2591"/>
        <v>0</v>
      </c>
      <c r="AJ146" s="1246">
        <f t="shared" si="2591"/>
        <v>0</v>
      </c>
      <c r="AK146" s="1246">
        <f t="shared" si="2591"/>
        <v>0</v>
      </c>
      <c r="AL146" s="1246">
        <f t="shared" si="2591"/>
        <v>0</v>
      </c>
      <c r="AM146" s="1246">
        <f t="shared" si="2591"/>
        <v>0</v>
      </c>
      <c r="AN146" s="1246">
        <f t="shared" si="2591"/>
        <v>0</v>
      </c>
      <c r="AO146" s="1246">
        <f t="shared" si="2591"/>
        <v>0</v>
      </c>
      <c r="AP146" s="1246">
        <f t="shared" si="2591"/>
        <v>0</v>
      </c>
      <c r="AQ146" s="1246">
        <f t="shared" si="2591"/>
        <v>0</v>
      </c>
      <c r="AR146" s="1246">
        <f t="shared" si="2591"/>
        <v>0</v>
      </c>
      <c r="AS146" s="1246">
        <f t="shared" si="2591"/>
        <v>0</v>
      </c>
      <c r="AT146" s="1246">
        <f t="shared" si="2591"/>
        <v>0</v>
      </c>
      <c r="AU146" s="1247">
        <f t="shared" si="2591"/>
        <v>0</v>
      </c>
      <c r="AV146" s="1246">
        <f t="shared" si="2591"/>
        <v>0</v>
      </c>
      <c r="AW146" s="1246">
        <f t="shared" si="2591"/>
        <v>0</v>
      </c>
      <c r="AX146" s="1246">
        <f t="shared" si="2591"/>
        <v>0</v>
      </c>
      <c r="AY146" s="1246">
        <f t="shared" si="2591"/>
        <v>0</v>
      </c>
      <c r="AZ146" s="1246">
        <f t="shared" si="2591"/>
        <v>0</v>
      </c>
      <c r="BA146" s="1246">
        <f t="shared" si="2591"/>
        <v>0</v>
      </c>
      <c r="BB146" s="1246">
        <f t="shared" si="2591"/>
        <v>0</v>
      </c>
      <c r="BC146" s="1246">
        <f t="shared" si="2591"/>
        <v>0</v>
      </c>
      <c r="BD146" s="1246">
        <f t="shared" si="2591"/>
        <v>0</v>
      </c>
      <c r="BE146" s="1246">
        <f t="shared" si="2591"/>
        <v>0</v>
      </c>
      <c r="BF146" s="1246">
        <f t="shared" si="2591"/>
        <v>0</v>
      </c>
      <c r="BG146" s="1247">
        <f t="shared" si="2591"/>
        <v>0</v>
      </c>
      <c r="BH146" s="1246">
        <f t="shared" si="2591"/>
        <v>0</v>
      </c>
      <c r="BI146" s="1246">
        <f t="shared" si="2591"/>
        <v>0</v>
      </c>
      <c r="BJ146" s="1246">
        <f t="shared" si="2591"/>
        <v>0</v>
      </c>
      <c r="BK146" s="1246">
        <f t="shared" si="2591"/>
        <v>0</v>
      </c>
      <c r="BL146" s="1246">
        <f t="shared" si="2591"/>
        <v>0</v>
      </c>
      <c r="BM146" s="1246">
        <f t="shared" si="2591"/>
        <v>0</v>
      </c>
      <c r="BN146" s="1246">
        <f t="shared" si="2591"/>
        <v>0</v>
      </c>
      <c r="BO146" s="1246">
        <f t="shared" si="2591"/>
        <v>0</v>
      </c>
      <c r="BP146" s="1246">
        <f t="shared" si="2591"/>
        <v>0</v>
      </c>
      <c r="BQ146" s="1246">
        <f t="shared" si="2591"/>
        <v>0</v>
      </c>
      <c r="BR146" s="1246">
        <f t="shared" si="2591"/>
        <v>0</v>
      </c>
      <c r="BS146" s="1247">
        <f t="shared" si="2591"/>
        <v>0</v>
      </c>
      <c r="BT146" s="1246">
        <f t="shared" si="2591"/>
        <v>0</v>
      </c>
      <c r="BU146" s="1246">
        <f t="shared" si="2591"/>
        <v>0</v>
      </c>
      <c r="BV146" s="1246">
        <f t="shared" si="2591"/>
        <v>0</v>
      </c>
      <c r="BW146" s="1246">
        <f t="shared" si="2591"/>
        <v>0</v>
      </c>
      <c r="BX146" s="1246">
        <f t="shared" si="2591"/>
        <v>0</v>
      </c>
      <c r="BY146" s="1246">
        <f t="shared" si="2591"/>
        <v>0</v>
      </c>
      <c r="BZ146" s="1246">
        <f t="shared" si="2591"/>
        <v>0</v>
      </c>
      <c r="CA146" s="1246">
        <f t="shared" si="2591"/>
        <v>0</v>
      </c>
      <c r="CB146" s="1246">
        <f t="shared" si="2591"/>
        <v>0</v>
      </c>
      <c r="CC146" s="1246">
        <f t="shared" si="2591"/>
        <v>0</v>
      </c>
      <c r="CD146" s="1246">
        <f t="shared" si="2591"/>
        <v>0</v>
      </c>
      <c r="CE146" s="1247">
        <f t="shared" si="2591"/>
        <v>0</v>
      </c>
      <c r="CF146" s="1246">
        <f t="shared" si="2591"/>
        <v>0</v>
      </c>
      <c r="CG146" s="1246">
        <f t="shared" si="2591"/>
        <v>0</v>
      </c>
      <c r="CH146" s="1246">
        <f t="shared" si="2591"/>
        <v>0</v>
      </c>
      <c r="CI146" s="1246">
        <f t="shared" si="2591"/>
        <v>0</v>
      </c>
      <c r="CJ146" s="1246">
        <f t="shared" ref="CJ146:ED146" si="2592">ROUNDUP($V146*(CJ145/100)/0.8,0)</f>
        <v>0</v>
      </c>
      <c r="CK146" s="1246">
        <f t="shared" si="2592"/>
        <v>0</v>
      </c>
      <c r="CL146" s="1246">
        <f t="shared" si="2592"/>
        <v>0</v>
      </c>
      <c r="CM146" s="1246">
        <f t="shared" si="2592"/>
        <v>0</v>
      </c>
      <c r="CN146" s="1246">
        <f t="shared" si="2592"/>
        <v>0</v>
      </c>
      <c r="CO146" s="1246">
        <f t="shared" si="2592"/>
        <v>0</v>
      </c>
      <c r="CP146" s="1246">
        <f t="shared" si="2592"/>
        <v>0</v>
      </c>
      <c r="CQ146" s="1247">
        <f t="shared" si="2592"/>
        <v>0</v>
      </c>
      <c r="CR146" s="1246">
        <f t="shared" si="2592"/>
        <v>0</v>
      </c>
      <c r="CS146" s="1246">
        <f t="shared" si="2592"/>
        <v>0</v>
      </c>
      <c r="CT146" s="1246">
        <f t="shared" si="2592"/>
        <v>0</v>
      </c>
      <c r="CU146" s="1246">
        <f t="shared" si="2592"/>
        <v>0</v>
      </c>
      <c r="CV146" s="1246">
        <f t="shared" si="2592"/>
        <v>0</v>
      </c>
      <c r="CW146" s="1246">
        <f t="shared" si="2592"/>
        <v>0</v>
      </c>
      <c r="CX146" s="1246">
        <f t="shared" si="2592"/>
        <v>0</v>
      </c>
      <c r="CY146" s="1246">
        <f t="shared" si="2592"/>
        <v>0</v>
      </c>
      <c r="CZ146" s="1246">
        <f t="shared" si="2592"/>
        <v>0</v>
      </c>
      <c r="DA146" s="1246">
        <f t="shared" si="2592"/>
        <v>0</v>
      </c>
      <c r="DB146" s="1246">
        <f t="shared" si="2592"/>
        <v>0</v>
      </c>
      <c r="DC146" s="1247">
        <f t="shared" si="2592"/>
        <v>0</v>
      </c>
      <c r="DD146" s="1246">
        <f t="shared" si="2592"/>
        <v>0</v>
      </c>
      <c r="DE146" s="1246">
        <f t="shared" si="2592"/>
        <v>0</v>
      </c>
      <c r="DF146" s="1246">
        <f t="shared" si="2592"/>
        <v>0</v>
      </c>
      <c r="DG146" s="1246">
        <f t="shared" si="2592"/>
        <v>0</v>
      </c>
      <c r="DH146" s="1246">
        <f t="shared" si="2592"/>
        <v>0</v>
      </c>
      <c r="DI146" s="1246">
        <f t="shared" si="2592"/>
        <v>0</v>
      </c>
      <c r="DJ146" s="1246">
        <f t="shared" si="2592"/>
        <v>0</v>
      </c>
      <c r="DK146" s="1246">
        <f t="shared" si="2592"/>
        <v>0</v>
      </c>
      <c r="DL146" s="1246">
        <f t="shared" si="2592"/>
        <v>0</v>
      </c>
      <c r="DM146" s="1246">
        <f t="shared" si="2592"/>
        <v>0</v>
      </c>
      <c r="DN146" s="1246">
        <f t="shared" si="2592"/>
        <v>0</v>
      </c>
      <c r="DO146" s="1247">
        <f t="shared" si="2592"/>
        <v>0</v>
      </c>
      <c r="DP146" s="1246">
        <f t="shared" si="2592"/>
        <v>0</v>
      </c>
      <c r="DQ146" s="1246">
        <f t="shared" si="2592"/>
        <v>0</v>
      </c>
      <c r="DR146" s="1246">
        <f t="shared" si="2592"/>
        <v>0</v>
      </c>
      <c r="DS146" s="1246">
        <f t="shared" si="2592"/>
        <v>0</v>
      </c>
      <c r="DT146" s="1246">
        <f t="shared" si="2592"/>
        <v>0</v>
      </c>
      <c r="DU146" s="1246">
        <f t="shared" si="2592"/>
        <v>0</v>
      </c>
      <c r="DV146" s="1246">
        <f t="shared" si="2592"/>
        <v>0</v>
      </c>
      <c r="DW146" s="1246">
        <f t="shared" si="2592"/>
        <v>0</v>
      </c>
      <c r="DX146" s="1246">
        <f t="shared" si="2592"/>
        <v>0</v>
      </c>
      <c r="DY146" s="1246">
        <f t="shared" si="2592"/>
        <v>0</v>
      </c>
      <c r="DZ146" s="1246">
        <f t="shared" si="2592"/>
        <v>0</v>
      </c>
      <c r="EA146" s="1247">
        <f t="shared" si="2592"/>
        <v>0</v>
      </c>
      <c r="EB146" s="1246">
        <f t="shared" si="2592"/>
        <v>0</v>
      </c>
      <c r="EC146" s="1246">
        <f t="shared" si="2592"/>
        <v>0</v>
      </c>
      <c r="ED146" s="1248">
        <f t="shared" si="2592"/>
        <v>0</v>
      </c>
    </row>
    <row r="147" spans="3:134" outlineLevel="1" x14ac:dyDescent="0.25">
      <c r="C147" s="1279"/>
      <c r="D147" s="1625" t="s">
        <v>305</v>
      </c>
      <c r="E147" s="1625"/>
      <c r="F147" s="1625"/>
      <c r="G147" s="1625"/>
      <c r="H147" s="1625"/>
      <c r="I147" s="1625"/>
      <c r="J147" s="1625"/>
      <c r="K147" s="1625"/>
      <c r="L147" s="1224"/>
      <c r="M147" s="1223"/>
      <c r="N147" s="1230">
        <f>M147/100</f>
        <v>0</v>
      </c>
      <c r="O147" s="1231"/>
      <c r="P147" s="1231"/>
      <c r="Q147" s="1231"/>
      <c r="R147" s="1232">
        <f>P147-N147</f>
        <v>0</v>
      </c>
      <c r="S147" s="1233">
        <f>Q147*100</f>
        <v>0</v>
      </c>
      <c r="T147" s="1233"/>
      <c r="U147" s="1223"/>
      <c r="V147" s="628"/>
      <c r="W147" s="1256">
        <f>M147</f>
        <v>0</v>
      </c>
      <c r="X147" s="1257">
        <f>W147</f>
        <v>0</v>
      </c>
      <c r="Y147" s="1257">
        <f>X147</f>
        <v>0</v>
      </c>
      <c r="Z147" s="1257">
        <f>O147*100</f>
        <v>0</v>
      </c>
      <c r="AA147" s="1257">
        <f>Z147</f>
        <v>0</v>
      </c>
      <c r="AB147" s="1257">
        <f>AA147</f>
        <v>0</v>
      </c>
      <c r="AC147" s="1257">
        <f>P147*100</f>
        <v>0</v>
      </c>
      <c r="AD147" s="1257">
        <f>AC147</f>
        <v>0</v>
      </c>
      <c r="AE147" s="1257">
        <f>AD147</f>
        <v>0</v>
      </c>
      <c r="AF147" s="1257">
        <f>AE147</f>
        <v>0</v>
      </c>
      <c r="AG147" s="1257">
        <f>AF147</f>
        <v>0</v>
      </c>
      <c r="AH147" s="1257">
        <f>AG147</f>
        <v>0</v>
      </c>
      <c r="AI147" s="1258">
        <f t="shared" ref="AI147" si="2593">(((AH147*(1+($B$36*$B$4)))-AH147)/12)+AH147</f>
        <v>0</v>
      </c>
      <c r="AJ147" s="1257">
        <f t="shared" ref="AJ147" si="2594">(((AI147*(1+($B$36*$B$4)))-AI147)/12)+AI147</f>
        <v>0</v>
      </c>
      <c r="AK147" s="1257">
        <f t="shared" ref="AK147" si="2595">(((AJ147*(1+($B$36*$B$4)))-AJ147)/12)+AJ147</f>
        <v>0</v>
      </c>
      <c r="AL147" s="1257">
        <f t="shared" ref="AL147" si="2596">(((AK147*(1+($B$36*$B$4)))-AK147)/12)+AK147</f>
        <v>0</v>
      </c>
      <c r="AM147" s="1257">
        <f t="shared" ref="AM147" si="2597">(((AL147*(1+($B$36*$B$4)))-AL147)/12)+AL147</f>
        <v>0</v>
      </c>
      <c r="AN147" s="1257">
        <f t="shared" ref="AN147" si="2598">(((AM147*(1+($B$36*$B$4)))-AM147)/12)+AM147</f>
        <v>0</v>
      </c>
      <c r="AO147" s="1257">
        <f t="shared" ref="AO147" si="2599">(((AN147*(1+($B$36*$B$4)))-AN147)/12)+AN147</f>
        <v>0</v>
      </c>
      <c r="AP147" s="1257">
        <f t="shared" ref="AP147" si="2600">(((AO147*(1+($B$36*$B$4)))-AO147)/12)+AO147</f>
        <v>0</v>
      </c>
      <c r="AQ147" s="1257">
        <f t="shared" ref="AQ147" si="2601">(((AP147*(1+($B$36*$B$4)))-AP147)/12)+AP147</f>
        <v>0</v>
      </c>
      <c r="AR147" s="1257">
        <f t="shared" ref="AR147" si="2602">(((AQ147*(1+($B$36*$B$4)))-AQ147)/12)+AQ147</f>
        <v>0</v>
      </c>
      <c r="AS147" s="1257">
        <f t="shared" ref="AS147" si="2603">(((AR147*(1+($B$36*$B$4)))-AR147)/12)+AR147</f>
        <v>0</v>
      </c>
      <c r="AT147" s="1257">
        <f t="shared" ref="AT147" si="2604">(((AS147*(1+($B$36*$B$4)))-AS147)/12)+AS147</f>
        <v>0</v>
      </c>
      <c r="AU147" s="1258">
        <f t="shared" ref="AU147" si="2605">(((AT147*(1+($B$37*$B$4)))-AT147)/12)+AT147</f>
        <v>0</v>
      </c>
      <c r="AV147" s="1257">
        <f t="shared" ref="AV147" si="2606">(((AU147*(1+($B$37*$B$4)))-AU147)/12)+AU147</f>
        <v>0</v>
      </c>
      <c r="AW147" s="1257">
        <f t="shared" ref="AW147" si="2607">(((AV147*(1+($B$37*$B$4)))-AV147)/12)+AV147</f>
        <v>0</v>
      </c>
      <c r="AX147" s="1257">
        <f t="shared" ref="AX147" si="2608">(((AW147*(1+($B$37*$B$4)))-AW147)/12)+AW147</f>
        <v>0</v>
      </c>
      <c r="AY147" s="1257">
        <f t="shared" ref="AY147" si="2609">(((AX147*(1+($B$37*$B$4)))-AX147)/12)+AX147</f>
        <v>0</v>
      </c>
      <c r="AZ147" s="1257">
        <f t="shared" ref="AZ147" si="2610">(((AY147*(1+($B$37*$B$4)))-AY147)/12)+AY147</f>
        <v>0</v>
      </c>
      <c r="BA147" s="1257">
        <f t="shared" ref="BA147" si="2611">(((AZ147*(1+($B$37*$B$4)))-AZ147)/12)+AZ147</f>
        <v>0</v>
      </c>
      <c r="BB147" s="1257">
        <f t="shared" ref="BB147" si="2612">(((BA147*(1+($B$37*$B$4)))-BA147)/12)+BA147</f>
        <v>0</v>
      </c>
      <c r="BC147" s="1257">
        <f t="shared" ref="BC147" si="2613">(((BB147*(1+($B$37*$B$4)))-BB147)/12)+BB147</f>
        <v>0</v>
      </c>
      <c r="BD147" s="1257">
        <f t="shared" ref="BD147" si="2614">(((BC147*(1+($B$37*$B$4)))-BC147)/12)+BC147</f>
        <v>0</v>
      </c>
      <c r="BE147" s="1257">
        <f t="shared" ref="BE147" si="2615">(((BD147*(1+($B$37*$B$4)))-BD147)/12)+BD147</f>
        <v>0</v>
      </c>
      <c r="BF147" s="1257">
        <f t="shared" ref="BF147" si="2616">(((BE147*(1+($B$37*$B$4)))-BE147)/12)+BE147</f>
        <v>0</v>
      </c>
      <c r="BG147" s="1258">
        <f t="shared" ref="BG147" si="2617">(((BF147*(1+($B$38*$B$4)))-BF147)/12)+BF147</f>
        <v>0</v>
      </c>
      <c r="BH147" s="1257">
        <f t="shared" ref="BH147" si="2618">(((BG147*(1+($B$38*$B$4)))-BG147)/12)+BG147</f>
        <v>0</v>
      </c>
      <c r="BI147" s="1257">
        <f t="shared" ref="BI147" si="2619">(((BH147*(1+($B$38*$B$4)))-BH147)/12)+BH147</f>
        <v>0</v>
      </c>
      <c r="BJ147" s="1257">
        <f t="shared" ref="BJ147" si="2620">(((BI147*(1+($B$38*$B$4)))-BI147)/12)+BI147</f>
        <v>0</v>
      </c>
      <c r="BK147" s="1257">
        <f t="shared" ref="BK147" si="2621">(((BJ147*(1+($B$38*$B$4)))-BJ147)/12)+BJ147</f>
        <v>0</v>
      </c>
      <c r="BL147" s="1257">
        <f t="shared" ref="BL147" si="2622">(((BK147*(1+($B$38*$B$4)))-BK147)/12)+BK147</f>
        <v>0</v>
      </c>
      <c r="BM147" s="1257">
        <f t="shared" ref="BM147" si="2623">(((BL147*(1+($B$38*$B$4)))-BL147)/12)+BL147</f>
        <v>0</v>
      </c>
      <c r="BN147" s="1257">
        <f t="shared" ref="BN147" si="2624">(((BM147*(1+($B$38*$B$4)))-BM147)/12)+BM147</f>
        <v>0</v>
      </c>
      <c r="BO147" s="1257">
        <f t="shared" ref="BO147" si="2625">(((BN147*(1+($B$38*$B$4)))-BN147)/12)+BN147</f>
        <v>0</v>
      </c>
      <c r="BP147" s="1257">
        <f t="shared" ref="BP147" si="2626">(((BO147*(1+($B$38*$B$4)))-BO147)/12)+BO147</f>
        <v>0</v>
      </c>
      <c r="BQ147" s="1257">
        <f t="shared" ref="BQ147" si="2627">(((BP147*(1+($B$38*$B$4)))-BP147)/12)+BP147</f>
        <v>0</v>
      </c>
      <c r="BR147" s="1257">
        <f t="shared" ref="BR147" si="2628">(((BQ147*(1+($B$38*$B$4)))-BQ147)/12)+BQ147</f>
        <v>0</v>
      </c>
      <c r="BS147" s="1258">
        <f t="shared" ref="BS147" si="2629">(((BR147*(1+($B$39*$B$4)))-BR147)/12)+BR147</f>
        <v>0</v>
      </c>
      <c r="BT147" s="1257">
        <f t="shared" ref="BT147" si="2630">(((BS147*(1+($B$39*$B$4)))-BS147)/12)+BS147</f>
        <v>0</v>
      </c>
      <c r="BU147" s="1257">
        <f t="shared" ref="BU147" si="2631">(((BT147*(1+($B$39*$B$4)))-BT147)/12)+BT147</f>
        <v>0</v>
      </c>
      <c r="BV147" s="1257">
        <f t="shared" ref="BV147" si="2632">(((BU147*(1+($B$39*$B$4)))-BU147)/12)+BU147</f>
        <v>0</v>
      </c>
      <c r="BW147" s="1257">
        <f t="shared" ref="BW147" si="2633">(((BV147*(1+($B$39*$B$4)))-BV147)/12)+BV147</f>
        <v>0</v>
      </c>
      <c r="BX147" s="1257">
        <f t="shared" ref="BX147" si="2634">(((BW147*(1+($B$39*$B$4)))-BW147)/12)+BW147</f>
        <v>0</v>
      </c>
      <c r="BY147" s="1257">
        <f t="shared" ref="BY147" si="2635">(((BX147*(1+($B$39*$B$4)))-BX147)/12)+BX147</f>
        <v>0</v>
      </c>
      <c r="BZ147" s="1257">
        <f t="shared" ref="BZ147" si="2636">(((BY147*(1+($B$39*$B$4)))-BY147)/12)+BY147</f>
        <v>0</v>
      </c>
      <c r="CA147" s="1257">
        <f t="shared" ref="CA147" si="2637">(((BZ147*(1+($B$39*$B$4)))-BZ147)/12)+BZ147</f>
        <v>0</v>
      </c>
      <c r="CB147" s="1257">
        <f t="shared" ref="CB147" si="2638">(((CA147*(1+($B$39*$B$4)))-CA147)/12)+CA147</f>
        <v>0</v>
      </c>
      <c r="CC147" s="1257">
        <f t="shared" ref="CC147" si="2639">(((CB147*(1+($B$39*$B$4)))-CB147)/12)+CB147</f>
        <v>0</v>
      </c>
      <c r="CD147" s="1257">
        <f t="shared" ref="CD147" si="2640">(((CC147*(1+($B$39*$B$4)))-CC147)/12)+CC147</f>
        <v>0</v>
      </c>
      <c r="CE147" s="1258">
        <f t="shared" ref="CE147" si="2641">(((CD147*(1+($B$40*$B$4)))-CD147)/12)+CD147</f>
        <v>0</v>
      </c>
      <c r="CF147" s="1257">
        <f t="shared" ref="CF147" si="2642">(((CE147*(1+($B$40*$B$4)))-CE147)/12)+CE147</f>
        <v>0</v>
      </c>
      <c r="CG147" s="1257">
        <f t="shared" ref="CG147" si="2643">(((CF147*(1+($B$40*$B$4)))-CF147)/12)+CF147</f>
        <v>0</v>
      </c>
      <c r="CH147" s="1257">
        <f t="shared" ref="CH147" si="2644">(((CG147*(1+($B$40*$B$4)))-CG147)/12)+CG147</f>
        <v>0</v>
      </c>
      <c r="CI147" s="1257">
        <f t="shared" ref="CI147" si="2645">(((CH147*(1+($B$40*$B$4)))-CH147)/12)+CH147</f>
        <v>0</v>
      </c>
      <c r="CJ147" s="1257">
        <f t="shared" ref="CJ147" si="2646">(((CI147*(1+($B$40*$B$4)))-CI147)/12)+CI147</f>
        <v>0</v>
      </c>
      <c r="CK147" s="1257">
        <f t="shared" ref="CK147" si="2647">(((CJ147*(1+($B$40*$B$4)))-CJ147)/12)+CJ147</f>
        <v>0</v>
      </c>
      <c r="CL147" s="1257">
        <f t="shared" ref="CL147" si="2648">(((CK147*(1+($B$40*$B$4)))-CK147)/12)+CK147</f>
        <v>0</v>
      </c>
      <c r="CM147" s="1257">
        <f t="shared" ref="CM147" si="2649">(((CL147*(1+($B$40*$B$4)))-CL147)/12)+CL147</f>
        <v>0</v>
      </c>
      <c r="CN147" s="1257">
        <f t="shared" ref="CN147" si="2650">(((CM147*(1+($B$40*$B$4)))-CM147)/12)+CM147</f>
        <v>0</v>
      </c>
      <c r="CO147" s="1257">
        <f t="shared" ref="CO147" si="2651">(((CN147*(1+($B$40*$B$4)))-CN147)/12)+CN147</f>
        <v>0</v>
      </c>
      <c r="CP147" s="1257">
        <f t="shared" ref="CP147" si="2652">(((CO147*(1+($B$40*$B$4)))-CO147)/12)+CO147</f>
        <v>0</v>
      </c>
      <c r="CQ147" s="1258">
        <f t="shared" ref="CQ147" si="2653">(((CP147*(1+($B$41*$B$4)))-CP147)/12)+CP147</f>
        <v>0</v>
      </c>
      <c r="CR147" s="1257">
        <f t="shared" ref="CR147" si="2654">(((CQ147*(1+($B$41*$B$4)))-CQ147)/12)+CQ147</f>
        <v>0</v>
      </c>
      <c r="CS147" s="1257">
        <f t="shared" ref="CS147" si="2655">(((CR147*(1+($B$41*$B$4)))-CR147)/12)+CR147</f>
        <v>0</v>
      </c>
      <c r="CT147" s="1257">
        <f t="shared" ref="CT147" si="2656">(((CS147*(1+($B$41*$B$4)))-CS147)/12)+CS147</f>
        <v>0</v>
      </c>
      <c r="CU147" s="1257">
        <f t="shared" ref="CU147" si="2657">(((CT147*(1+($B$41*$B$4)))-CT147)/12)+CT147</f>
        <v>0</v>
      </c>
      <c r="CV147" s="1257">
        <f t="shared" ref="CV147" si="2658">(((CU147*(1+($B$41*$B$4)))-CU147)/12)+CU147</f>
        <v>0</v>
      </c>
      <c r="CW147" s="1257">
        <f t="shared" ref="CW147" si="2659">(((CV147*(1+($B$41*$B$4)))-CV147)/12)+CV147</f>
        <v>0</v>
      </c>
      <c r="CX147" s="1257">
        <f t="shared" ref="CX147" si="2660">(((CW147*(1+($B$41*$B$4)))-CW147)/12)+CW147</f>
        <v>0</v>
      </c>
      <c r="CY147" s="1257">
        <f t="shared" ref="CY147" si="2661">(((CX147*(1+($B$41*$B$4)))-CX147)/12)+CX147</f>
        <v>0</v>
      </c>
      <c r="CZ147" s="1257">
        <f t="shared" ref="CZ147" si="2662">(((CY147*(1+($B$41*$B$4)))-CY147)/12)+CY147</f>
        <v>0</v>
      </c>
      <c r="DA147" s="1257">
        <f t="shared" ref="DA147" si="2663">(((CZ147*(1+($B$41*$B$4)))-CZ147)/12)+CZ147</f>
        <v>0</v>
      </c>
      <c r="DB147" s="1257">
        <f t="shared" ref="DB147" si="2664">(((DA147*(1+($B$41*$B$4)))-DA147)/12)+DA147</f>
        <v>0</v>
      </c>
      <c r="DC147" s="1258">
        <f t="shared" ref="DC147" si="2665">(((DB147*(1+($B$42*$B$4)))-DB147)/12)+DB147</f>
        <v>0</v>
      </c>
      <c r="DD147" s="1257">
        <f t="shared" ref="DD147" si="2666">(((DC147*(1+($B$42*$B$4)))-DC147)/12)+DC147</f>
        <v>0</v>
      </c>
      <c r="DE147" s="1257">
        <f t="shared" ref="DE147" si="2667">(((DD147*(1+($B$42*$B$4)))-DD147)/12)+DD147</f>
        <v>0</v>
      </c>
      <c r="DF147" s="1257">
        <f t="shared" ref="DF147" si="2668">(((DE147*(1+($B$42*$B$4)))-DE147)/12)+DE147</f>
        <v>0</v>
      </c>
      <c r="DG147" s="1257">
        <f t="shared" ref="DG147" si="2669">(((DF147*(1+($B$42*$B$4)))-DF147)/12)+DF147</f>
        <v>0</v>
      </c>
      <c r="DH147" s="1257">
        <f t="shared" ref="DH147" si="2670">(((DG147*(1+($B$42*$B$4)))-DG147)/12)+DG147</f>
        <v>0</v>
      </c>
      <c r="DI147" s="1257">
        <f t="shared" ref="DI147" si="2671">(((DH147*(1+($B$42*$B$4)))-DH147)/12)+DH147</f>
        <v>0</v>
      </c>
      <c r="DJ147" s="1257">
        <f t="shared" ref="DJ147" si="2672">(((DI147*(1+($B$42*$B$4)))-DI147)/12)+DI147</f>
        <v>0</v>
      </c>
      <c r="DK147" s="1257">
        <f t="shared" ref="DK147" si="2673">(((DJ147*(1+($B$42*$B$4)))-DJ147)/12)+DJ147</f>
        <v>0</v>
      </c>
      <c r="DL147" s="1257">
        <f t="shared" ref="DL147" si="2674">(((DK147*(1+($B$42*$B$4)))-DK147)/12)+DK147</f>
        <v>0</v>
      </c>
      <c r="DM147" s="1257">
        <f t="shared" ref="DM147" si="2675">(((DL147*(1+($B$42*$B$4)))-DL147)/12)+DL147</f>
        <v>0</v>
      </c>
      <c r="DN147" s="1257">
        <f t="shared" ref="DN147" si="2676">(((DM147*(1+($B$42*$B$4)))-DM147)/12)+DM147</f>
        <v>0</v>
      </c>
      <c r="DO147" s="1258">
        <f t="shared" ref="DO147" si="2677">(((DN147*(1+($B$43*$B$4)))-DN147)/12)+DN147</f>
        <v>0</v>
      </c>
      <c r="DP147" s="1257">
        <f t="shared" ref="DP147" si="2678">(((DO147*(1+($B$43*$B$4)))-DO147)/12)+DO147</f>
        <v>0</v>
      </c>
      <c r="DQ147" s="1257">
        <f t="shared" ref="DQ147" si="2679">(((DP147*(1+($B$43*$B$4)))-DP147)/12)+DP147</f>
        <v>0</v>
      </c>
      <c r="DR147" s="1257">
        <f t="shared" ref="DR147" si="2680">(((DQ147*(1+($B$43*$B$4)))-DQ147)/12)+DQ147</f>
        <v>0</v>
      </c>
      <c r="DS147" s="1257">
        <f t="shared" ref="DS147" si="2681">(((DR147*(1+($B$43*$B$4)))-DR147)/12)+DR147</f>
        <v>0</v>
      </c>
      <c r="DT147" s="1257">
        <f t="shared" ref="DT147" si="2682">(((DS147*(1+($B$43*$B$4)))-DS147)/12)+DS147</f>
        <v>0</v>
      </c>
      <c r="DU147" s="1257">
        <f t="shared" ref="DU147" si="2683">(((DT147*(1+($B$43*$B$4)))-DT147)/12)+DT147</f>
        <v>0</v>
      </c>
      <c r="DV147" s="1257">
        <f t="shared" ref="DV147" si="2684">(((DU147*(1+($B$43*$B$4)))-DU147)/12)+DU147</f>
        <v>0</v>
      </c>
      <c r="DW147" s="1257">
        <f t="shared" ref="DW147" si="2685">(((DV147*(1+($B$43*$B$4)))-DV147)/12)+DV147</f>
        <v>0</v>
      </c>
      <c r="DX147" s="1257">
        <f t="shared" ref="DX147" si="2686">(((DW147*(1+($B$43*$B$4)))-DW147)/12)+DW147</f>
        <v>0</v>
      </c>
      <c r="DY147" s="1257">
        <f t="shared" ref="DY147" si="2687">(((DX147*(1+($B$43*$B$4)))-DX147)/12)+DX147</f>
        <v>0</v>
      </c>
      <c r="DZ147" s="1257">
        <f t="shared" ref="DZ147" si="2688">(((DY147*(1+($B$43*$B$4)))-DY147)/12)+DY147</f>
        <v>0</v>
      </c>
      <c r="EA147" s="1258">
        <f>(((DZ147*(1+($B$44*$B$4)))-DZ147)/12)+DZ147</f>
        <v>0</v>
      </c>
      <c r="EB147" s="1257">
        <f>(((EA147*(1+($B$44*$B$4)))-EA147)/12)+EA147</f>
        <v>0</v>
      </c>
      <c r="EC147" s="1257">
        <f>(((EB147*(1+($B$44*$B$4)))-EB147)/12)+EB147</f>
        <v>0</v>
      </c>
      <c r="ED147" s="1259">
        <f>(((EC147*(1+($B$44*$B$4)))-EC147)/12)+EC147</f>
        <v>0</v>
      </c>
    </row>
    <row r="148" spans="3:134" outlineLevel="1" x14ac:dyDescent="0.25">
      <c r="C148" s="1279"/>
      <c r="D148" s="1624"/>
      <c r="E148" s="1624"/>
      <c r="F148" s="1624"/>
      <c r="G148" s="1624"/>
      <c r="H148" s="1624"/>
      <c r="I148" s="1624"/>
      <c r="J148" s="1624"/>
      <c r="K148" s="1624"/>
      <c r="L148" s="1238"/>
      <c r="M148" s="1239"/>
      <c r="N148" s="1240"/>
      <c r="O148" s="1241"/>
      <c r="P148" s="1241"/>
      <c r="Q148" s="1241"/>
      <c r="R148" s="1242"/>
      <c r="S148" s="1243"/>
      <c r="T148" s="1243"/>
      <c r="U148" s="1239"/>
      <c r="V148" s="1244">
        <v>1</v>
      </c>
      <c r="W148" s="1260">
        <f>ROUNDUP($V148*(W147/100)/0.8,0)</f>
        <v>0</v>
      </c>
      <c r="X148" s="1250">
        <f t="shared" ref="X148:CI148" si="2689">ROUNDUP($V148*(X147/100)/0.8,0)</f>
        <v>0</v>
      </c>
      <c r="Y148" s="1250">
        <f t="shared" si="2689"/>
        <v>0</v>
      </c>
      <c r="Z148" s="1250">
        <f t="shared" si="2689"/>
        <v>0</v>
      </c>
      <c r="AA148" s="1250">
        <f t="shared" si="2689"/>
        <v>0</v>
      </c>
      <c r="AB148" s="1250">
        <f t="shared" si="2689"/>
        <v>0</v>
      </c>
      <c r="AC148" s="1250">
        <f t="shared" si="2689"/>
        <v>0</v>
      </c>
      <c r="AD148" s="1250">
        <f t="shared" si="2689"/>
        <v>0</v>
      </c>
      <c r="AE148" s="1250">
        <f t="shared" si="2689"/>
        <v>0</v>
      </c>
      <c r="AF148" s="1250">
        <f t="shared" si="2689"/>
        <v>0</v>
      </c>
      <c r="AG148" s="1250">
        <f t="shared" si="2689"/>
        <v>0</v>
      </c>
      <c r="AH148" s="1250">
        <f t="shared" si="2689"/>
        <v>0</v>
      </c>
      <c r="AI148" s="1261">
        <f t="shared" si="2689"/>
        <v>0</v>
      </c>
      <c r="AJ148" s="1250">
        <f t="shared" si="2689"/>
        <v>0</v>
      </c>
      <c r="AK148" s="1250">
        <f t="shared" si="2689"/>
        <v>0</v>
      </c>
      <c r="AL148" s="1250">
        <f t="shared" si="2689"/>
        <v>0</v>
      </c>
      <c r="AM148" s="1250">
        <f t="shared" si="2689"/>
        <v>0</v>
      </c>
      <c r="AN148" s="1250">
        <f t="shared" si="2689"/>
        <v>0</v>
      </c>
      <c r="AO148" s="1250">
        <f t="shared" si="2689"/>
        <v>0</v>
      </c>
      <c r="AP148" s="1250">
        <f t="shared" si="2689"/>
        <v>0</v>
      </c>
      <c r="AQ148" s="1250">
        <f t="shared" si="2689"/>
        <v>0</v>
      </c>
      <c r="AR148" s="1250">
        <f t="shared" si="2689"/>
        <v>0</v>
      </c>
      <c r="AS148" s="1250">
        <f t="shared" si="2689"/>
        <v>0</v>
      </c>
      <c r="AT148" s="1250">
        <f t="shared" si="2689"/>
        <v>0</v>
      </c>
      <c r="AU148" s="1261">
        <f t="shared" si="2689"/>
        <v>0</v>
      </c>
      <c r="AV148" s="1250">
        <f t="shared" si="2689"/>
        <v>0</v>
      </c>
      <c r="AW148" s="1250">
        <f t="shared" si="2689"/>
        <v>0</v>
      </c>
      <c r="AX148" s="1250">
        <f t="shared" si="2689"/>
        <v>0</v>
      </c>
      <c r="AY148" s="1250">
        <f t="shared" si="2689"/>
        <v>0</v>
      </c>
      <c r="AZ148" s="1250">
        <f t="shared" si="2689"/>
        <v>0</v>
      </c>
      <c r="BA148" s="1250">
        <f t="shared" si="2689"/>
        <v>0</v>
      </c>
      <c r="BB148" s="1250">
        <f t="shared" si="2689"/>
        <v>0</v>
      </c>
      <c r="BC148" s="1250">
        <f t="shared" si="2689"/>
        <v>0</v>
      </c>
      <c r="BD148" s="1250">
        <f t="shared" si="2689"/>
        <v>0</v>
      </c>
      <c r="BE148" s="1250">
        <f t="shared" si="2689"/>
        <v>0</v>
      </c>
      <c r="BF148" s="1250">
        <f t="shared" si="2689"/>
        <v>0</v>
      </c>
      <c r="BG148" s="1261">
        <f t="shared" si="2689"/>
        <v>0</v>
      </c>
      <c r="BH148" s="1250">
        <f t="shared" si="2689"/>
        <v>0</v>
      </c>
      <c r="BI148" s="1250">
        <f t="shared" si="2689"/>
        <v>0</v>
      </c>
      <c r="BJ148" s="1250">
        <f t="shared" si="2689"/>
        <v>0</v>
      </c>
      <c r="BK148" s="1250">
        <f t="shared" si="2689"/>
        <v>0</v>
      </c>
      <c r="BL148" s="1250">
        <f t="shared" si="2689"/>
        <v>0</v>
      </c>
      <c r="BM148" s="1250">
        <f t="shared" si="2689"/>
        <v>0</v>
      </c>
      <c r="BN148" s="1250">
        <f t="shared" si="2689"/>
        <v>0</v>
      </c>
      <c r="BO148" s="1250">
        <f t="shared" si="2689"/>
        <v>0</v>
      </c>
      <c r="BP148" s="1250">
        <f t="shared" si="2689"/>
        <v>0</v>
      </c>
      <c r="BQ148" s="1250">
        <f t="shared" si="2689"/>
        <v>0</v>
      </c>
      <c r="BR148" s="1250">
        <f t="shared" si="2689"/>
        <v>0</v>
      </c>
      <c r="BS148" s="1261">
        <f t="shared" si="2689"/>
        <v>0</v>
      </c>
      <c r="BT148" s="1250">
        <f t="shared" si="2689"/>
        <v>0</v>
      </c>
      <c r="BU148" s="1250">
        <f t="shared" si="2689"/>
        <v>0</v>
      </c>
      <c r="BV148" s="1250">
        <f t="shared" si="2689"/>
        <v>0</v>
      </c>
      <c r="BW148" s="1250">
        <f t="shared" si="2689"/>
        <v>0</v>
      </c>
      <c r="BX148" s="1250">
        <f t="shared" si="2689"/>
        <v>0</v>
      </c>
      <c r="BY148" s="1250">
        <f t="shared" si="2689"/>
        <v>0</v>
      </c>
      <c r="BZ148" s="1250">
        <f t="shared" si="2689"/>
        <v>0</v>
      </c>
      <c r="CA148" s="1250">
        <f t="shared" si="2689"/>
        <v>0</v>
      </c>
      <c r="CB148" s="1250">
        <f t="shared" si="2689"/>
        <v>0</v>
      </c>
      <c r="CC148" s="1250">
        <f t="shared" si="2689"/>
        <v>0</v>
      </c>
      <c r="CD148" s="1250">
        <f t="shared" si="2689"/>
        <v>0</v>
      </c>
      <c r="CE148" s="1261">
        <f t="shared" si="2689"/>
        <v>0</v>
      </c>
      <c r="CF148" s="1250">
        <f t="shared" si="2689"/>
        <v>0</v>
      </c>
      <c r="CG148" s="1250">
        <f t="shared" si="2689"/>
        <v>0</v>
      </c>
      <c r="CH148" s="1250">
        <f t="shared" si="2689"/>
        <v>0</v>
      </c>
      <c r="CI148" s="1250">
        <f t="shared" si="2689"/>
        <v>0</v>
      </c>
      <c r="CJ148" s="1250">
        <f t="shared" ref="CJ148:ED148" si="2690">ROUNDUP($V148*(CJ147/100)/0.8,0)</f>
        <v>0</v>
      </c>
      <c r="CK148" s="1250">
        <f t="shared" si="2690"/>
        <v>0</v>
      </c>
      <c r="CL148" s="1250">
        <f t="shared" si="2690"/>
        <v>0</v>
      </c>
      <c r="CM148" s="1250">
        <f t="shared" si="2690"/>
        <v>0</v>
      </c>
      <c r="CN148" s="1250">
        <f t="shared" si="2690"/>
        <v>0</v>
      </c>
      <c r="CO148" s="1250">
        <f t="shared" si="2690"/>
        <v>0</v>
      </c>
      <c r="CP148" s="1250">
        <f t="shared" si="2690"/>
        <v>0</v>
      </c>
      <c r="CQ148" s="1261">
        <f t="shared" si="2690"/>
        <v>0</v>
      </c>
      <c r="CR148" s="1250">
        <f t="shared" si="2690"/>
        <v>0</v>
      </c>
      <c r="CS148" s="1250">
        <f t="shared" si="2690"/>
        <v>0</v>
      </c>
      <c r="CT148" s="1250">
        <f t="shared" si="2690"/>
        <v>0</v>
      </c>
      <c r="CU148" s="1250">
        <f t="shared" si="2690"/>
        <v>0</v>
      </c>
      <c r="CV148" s="1250">
        <f t="shared" si="2690"/>
        <v>0</v>
      </c>
      <c r="CW148" s="1250">
        <f t="shared" si="2690"/>
        <v>0</v>
      </c>
      <c r="CX148" s="1250">
        <f t="shared" si="2690"/>
        <v>0</v>
      </c>
      <c r="CY148" s="1250">
        <f t="shared" si="2690"/>
        <v>0</v>
      </c>
      <c r="CZ148" s="1250">
        <f t="shared" si="2690"/>
        <v>0</v>
      </c>
      <c r="DA148" s="1250">
        <f t="shared" si="2690"/>
        <v>0</v>
      </c>
      <c r="DB148" s="1250">
        <f t="shared" si="2690"/>
        <v>0</v>
      </c>
      <c r="DC148" s="1261">
        <f t="shared" si="2690"/>
        <v>0</v>
      </c>
      <c r="DD148" s="1250">
        <f t="shared" si="2690"/>
        <v>0</v>
      </c>
      <c r="DE148" s="1250">
        <f t="shared" si="2690"/>
        <v>0</v>
      </c>
      <c r="DF148" s="1250">
        <f t="shared" si="2690"/>
        <v>0</v>
      </c>
      <c r="DG148" s="1250">
        <f t="shared" si="2690"/>
        <v>0</v>
      </c>
      <c r="DH148" s="1250">
        <f t="shared" si="2690"/>
        <v>0</v>
      </c>
      <c r="DI148" s="1250">
        <f t="shared" si="2690"/>
        <v>0</v>
      </c>
      <c r="DJ148" s="1250">
        <f t="shared" si="2690"/>
        <v>0</v>
      </c>
      <c r="DK148" s="1250">
        <f t="shared" si="2690"/>
        <v>0</v>
      </c>
      <c r="DL148" s="1250">
        <f t="shared" si="2690"/>
        <v>0</v>
      </c>
      <c r="DM148" s="1250">
        <f t="shared" si="2690"/>
        <v>0</v>
      </c>
      <c r="DN148" s="1250">
        <f t="shared" si="2690"/>
        <v>0</v>
      </c>
      <c r="DO148" s="1261">
        <f t="shared" si="2690"/>
        <v>0</v>
      </c>
      <c r="DP148" s="1250">
        <f t="shared" si="2690"/>
        <v>0</v>
      </c>
      <c r="DQ148" s="1250">
        <f t="shared" si="2690"/>
        <v>0</v>
      </c>
      <c r="DR148" s="1250">
        <f t="shared" si="2690"/>
        <v>0</v>
      </c>
      <c r="DS148" s="1250">
        <f t="shared" si="2690"/>
        <v>0</v>
      </c>
      <c r="DT148" s="1250">
        <f t="shared" si="2690"/>
        <v>0</v>
      </c>
      <c r="DU148" s="1250">
        <f t="shared" si="2690"/>
        <v>0</v>
      </c>
      <c r="DV148" s="1250">
        <f t="shared" si="2690"/>
        <v>0</v>
      </c>
      <c r="DW148" s="1250">
        <f t="shared" si="2690"/>
        <v>0</v>
      </c>
      <c r="DX148" s="1250">
        <f t="shared" si="2690"/>
        <v>0</v>
      </c>
      <c r="DY148" s="1250">
        <f t="shared" si="2690"/>
        <v>0</v>
      </c>
      <c r="DZ148" s="1250">
        <f t="shared" si="2690"/>
        <v>0</v>
      </c>
      <c r="EA148" s="1261">
        <f t="shared" si="2690"/>
        <v>0</v>
      </c>
      <c r="EB148" s="1250">
        <f t="shared" si="2690"/>
        <v>0</v>
      </c>
      <c r="EC148" s="1250">
        <f t="shared" si="2690"/>
        <v>0</v>
      </c>
      <c r="ED148" s="1262">
        <f t="shared" si="2690"/>
        <v>0</v>
      </c>
    </row>
    <row r="149" spans="3:134" outlineLevel="1" x14ac:dyDescent="0.25">
      <c r="C149" s="1279"/>
      <c r="D149" s="1623" t="s">
        <v>279</v>
      </c>
      <c r="E149" s="1623"/>
      <c r="F149" s="1623"/>
      <c r="G149" s="1623"/>
      <c r="H149" s="1623"/>
      <c r="I149" s="1623"/>
      <c r="J149" s="1623"/>
      <c r="K149" s="1623"/>
      <c r="L149" s="1249"/>
      <c r="M149" s="1250"/>
      <c r="N149" s="1230">
        <f>M149/100</f>
        <v>0</v>
      </c>
      <c r="O149" s="1231"/>
      <c r="P149" s="1231"/>
      <c r="Q149" s="1252"/>
      <c r="R149" s="1232">
        <f>P149-N149</f>
        <v>0</v>
      </c>
      <c r="S149" s="1252"/>
      <c r="T149" s="1252"/>
      <c r="U149" s="1250"/>
      <c r="V149" s="1255"/>
      <c r="W149" s="1234">
        <f>M149</f>
        <v>0</v>
      </c>
      <c r="X149" s="1235">
        <f>W149</f>
        <v>0</v>
      </c>
      <c r="Y149" s="1235">
        <f>X149</f>
        <v>0</v>
      </c>
      <c r="Z149" s="1235">
        <f>O149*100</f>
        <v>0</v>
      </c>
      <c r="AA149" s="1235">
        <f>Z149</f>
        <v>0</v>
      </c>
      <c r="AB149" s="1235">
        <f>AA149</f>
        <v>0</v>
      </c>
      <c r="AC149" s="1235">
        <f>P149*100</f>
        <v>0</v>
      </c>
      <c r="AD149" s="1235">
        <f>AC149</f>
        <v>0</v>
      </c>
      <c r="AE149" s="1235">
        <f>AD149</f>
        <v>0</v>
      </c>
      <c r="AF149" s="1235">
        <f>AE149</f>
        <v>0</v>
      </c>
      <c r="AG149" s="1235">
        <f>AF149</f>
        <v>0</v>
      </c>
      <c r="AH149" s="1235">
        <f>AG149</f>
        <v>0</v>
      </c>
      <c r="AI149" s="1236">
        <f t="shared" ref="AI149" si="2691">(((AH149*(1+($B$36*$B$4)))-AH149)/12)+AH149</f>
        <v>0</v>
      </c>
      <c r="AJ149" s="1235">
        <f t="shared" ref="AJ149" si="2692">(((AI149*(1+($B$36*$B$4)))-AI149)/12)+AI149</f>
        <v>0</v>
      </c>
      <c r="AK149" s="1235">
        <f t="shared" ref="AK149" si="2693">(((AJ149*(1+($B$36*$B$4)))-AJ149)/12)+AJ149</f>
        <v>0</v>
      </c>
      <c r="AL149" s="1235">
        <f t="shared" ref="AL149" si="2694">(((AK149*(1+($B$36*$B$4)))-AK149)/12)+AK149</f>
        <v>0</v>
      </c>
      <c r="AM149" s="1235">
        <f t="shared" ref="AM149" si="2695">(((AL149*(1+($B$36*$B$4)))-AL149)/12)+AL149</f>
        <v>0</v>
      </c>
      <c r="AN149" s="1235">
        <f t="shared" ref="AN149" si="2696">(((AM149*(1+($B$36*$B$4)))-AM149)/12)+AM149</f>
        <v>0</v>
      </c>
      <c r="AO149" s="1235">
        <f t="shared" ref="AO149" si="2697">(((AN149*(1+($B$36*$B$4)))-AN149)/12)+AN149</f>
        <v>0</v>
      </c>
      <c r="AP149" s="1235">
        <f t="shared" ref="AP149" si="2698">(((AO149*(1+($B$36*$B$4)))-AO149)/12)+AO149</f>
        <v>0</v>
      </c>
      <c r="AQ149" s="1235">
        <f t="shared" ref="AQ149" si="2699">(((AP149*(1+($B$36*$B$4)))-AP149)/12)+AP149</f>
        <v>0</v>
      </c>
      <c r="AR149" s="1235">
        <f t="shared" ref="AR149" si="2700">(((AQ149*(1+($B$36*$B$4)))-AQ149)/12)+AQ149</f>
        <v>0</v>
      </c>
      <c r="AS149" s="1235">
        <f t="shared" ref="AS149" si="2701">(((AR149*(1+($B$36*$B$4)))-AR149)/12)+AR149</f>
        <v>0</v>
      </c>
      <c r="AT149" s="1235">
        <f t="shared" ref="AT149" si="2702">(((AS149*(1+($B$36*$B$4)))-AS149)/12)+AS149</f>
        <v>0</v>
      </c>
      <c r="AU149" s="1236">
        <f t="shared" ref="AU149" si="2703">(((AT149*(1+($B$37*$B$4)))-AT149)/12)+AT149</f>
        <v>0</v>
      </c>
      <c r="AV149" s="1235">
        <f t="shared" ref="AV149" si="2704">(((AU149*(1+($B$37*$B$4)))-AU149)/12)+AU149</f>
        <v>0</v>
      </c>
      <c r="AW149" s="1235">
        <f t="shared" ref="AW149" si="2705">(((AV149*(1+($B$37*$B$4)))-AV149)/12)+AV149</f>
        <v>0</v>
      </c>
      <c r="AX149" s="1235">
        <f t="shared" ref="AX149" si="2706">(((AW149*(1+($B$37*$B$4)))-AW149)/12)+AW149</f>
        <v>0</v>
      </c>
      <c r="AY149" s="1235">
        <f t="shared" ref="AY149" si="2707">(((AX149*(1+($B$37*$B$4)))-AX149)/12)+AX149</f>
        <v>0</v>
      </c>
      <c r="AZ149" s="1235">
        <f t="shared" ref="AZ149" si="2708">(((AY149*(1+($B$37*$B$4)))-AY149)/12)+AY149</f>
        <v>0</v>
      </c>
      <c r="BA149" s="1235">
        <f t="shared" ref="BA149" si="2709">(((AZ149*(1+($B$37*$B$4)))-AZ149)/12)+AZ149</f>
        <v>0</v>
      </c>
      <c r="BB149" s="1235">
        <f t="shared" ref="BB149" si="2710">(((BA149*(1+($B$37*$B$4)))-BA149)/12)+BA149</f>
        <v>0</v>
      </c>
      <c r="BC149" s="1235">
        <f t="shared" ref="BC149" si="2711">(((BB149*(1+($B$37*$B$4)))-BB149)/12)+BB149</f>
        <v>0</v>
      </c>
      <c r="BD149" s="1235">
        <f t="shared" ref="BD149" si="2712">(((BC149*(1+($B$37*$B$4)))-BC149)/12)+BC149</f>
        <v>0</v>
      </c>
      <c r="BE149" s="1235">
        <f t="shared" ref="BE149" si="2713">(((BD149*(1+($B$37*$B$4)))-BD149)/12)+BD149</f>
        <v>0</v>
      </c>
      <c r="BF149" s="1235">
        <f t="shared" ref="BF149" si="2714">(((BE149*(1+($B$37*$B$4)))-BE149)/12)+BE149</f>
        <v>0</v>
      </c>
      <c r="BG149" s="1236">
        <f t="shared" ref="BG149" si="2715">(((BF149*(1+($B$38*$B$4)))-BF149)/12)+BF149</f>
        <v>0</v>
      </c>
      <c r="BH149" s="1235">
        <f t="shared" ref="BH149" si="2716">(((BG149*(1+($B$38*$B$4)))-BG149)/12)+BG149</f>
        <v>0</v>
      </c>
      <c r="BI149" s="1235">
        <f t="shared" ref="BI149" si="2717">(((BH149*(1+($B$38*$B$4)))-BH149)/12)+BH149</f>
        <v>0</v>
      </c>
      <c r="BJ149" s="1235">
        <f t="shared" ref="BJ149" si="2718">(((BI149*(1+($B$38*$B$4)))-BI149)/12)+BI149</f>
        <v>0</v>
      </c>
      <c r="BK149" s="1235">
        <f t="shared" ref="BK149" si="2719">(((BJ149*(1+($B$38*$B$4)))-BJ149)/12)+BJ149</f>
        <v>0</v>
      </c>
      <c r="BL149" s="1235">
        <f t="shared" ref="BL149" si="2720">(((BK149*(1+($B$38*$B$4)))-BK149)/12)+BK149</f>
        <v>0</v>
      </c>
      <c r="BM149" s="1235">
        <f t="shared" ref="BM149" si="2721">(((BL149*(1+($B$38*$B$4)))-BL149)/12)+BL149</f>
        <v>0</v>
      </c>
      <c r="BN149" s="1235">
        <f t="shared" ref="BN149" si="2722">(((BM149*(1+($B$38*$B$4)))-BM149)/12)+BM149</f>
        <v>0</v>
      </c>
      <c r="BO149" s="1235">
        <f t="shared" ref="BO149" si="2723">(((BN149*(1+($B$38*$B$4)))-BN149)/12)+BN149</f>
        <v>0</v>
      </c>
      <c r="BP149" s="1235">
        <f t="shared" ref="BP149" si="2724">(((BO149*(1+($B$38*$B$4)))-BO149)/12)+BO149</f>
        <v>0</v>
      </c>
      <c r="BQ149" s="1235">
        <f t="shared" ref="BQ149" si="2725">(((BP149*(1+($B$38*$B$4)))-BP149)/12)+BP149</f>
        <v>0</v>
      </c>
      <c r="BR149" s="1235">
        <f t="shared" ref="BR149" si="2726">(((BQ149*(1+($B$38*$B$4)))-BQ149)/12)+BQ149</f>
        <v>0</v>
      </c>
      <c r="BS149" s="1236">
        <f t="shared" ref="BS149" si="2727">(((BR149*(1+($B$39*$B$4)))-BR149)/12)+BR149</f>
        <v>0</v>
      </c>
      <c r="BT149" s="1235">
        <f t="shared" ref="BT149" si="2728">(((BS149*(1+($B$39*$B$4)))-BS149)/12)+BS149</f>
        <v>0</v>
      </c>
      <c r="BU149" s="1235">
        <f t="shared" ref="BU149" si="2729">(((BT149*(1+($B$39*$B$4)))-BT149)/12)+BT149</f>
        <v>0</v>
      </c>
      <c r="BV149" s="1235">
        <f t="shared" ref="BV149" si="2730">(((BU149*(1+($B$39*$B$4)))-BU149)/12)+BU149</f>
        <v>0</v>
      </c>
      <c r="BW149" s="1235">
        <f t="shared" ref="BW149" si="2731">(((BV149*(1+($B$39*$B$4)))-BV149)/12)+BV149</f>
        <v>0</v>
      </c>
      <c r="BX149" s="1235">
        <f t="shared" ref="BX149" si="2732">(((BW149*(1+($B$39*$B$4)))-BW149)/12)+BW149</f>
        <v>0</v>
      </c>
      <c r="BY149" s="1235">
        <f t="shared" ref="BY149" si="2733">(((BX149*(1+($B$39*$B$4)))-BX149)/12)+BX149</f>
        <v>0</v>
      </c>
      <c r="BZ149" s="1235">
        <f t="shared" ref="BZ149" si="2734">(((BY149*(1+($B$39*$B$4)))-BY149)/12)+BY149</f>
        <v>0</v>
      </c>
      <c r="CA149" s="1235">
        <f t="shared" ref="CA149" si="2735">(((BZ149*(1+($B$39*$B$4)))-BZ149)/12)+BZ149</f>
        <v>0</v>
      </c>
      <c r="CB149" s="1235">
        <f t="shared" ref="CB149" si="2736">(((CA149*(1+($B$39*$B$4)))-CA149)/12)+CA149</f>
        <v>0</v>
      </c>
      <c r="CC149" s="1235">
        <f t="shared" ref="CC149" si="2737">(((CB149*(1+($B$39*$B$4)))-CB149)/12)+CB149</f>
        <v>0</v>
      </c>
      <c r="CD149" s="1235">
        <f t="shared" ref="CD149" si="2738">(((CC149*(1+($B$39*$B$4)))-CC149)/12)+CC149</f>
        <v>0</v>
      </c>
      <c r="CE149" s="1236">
        <f t="shared" ref="CE149" si="2739">(((CD149*(1+($B$40*$B$4)))-CD149)/12)+CD149</f>
        <v>0</v>
      </c>
      <c r="CF149" s="1235">
        <f t="shared" ref="CF149" si="2740">(((CE149*(1+($B$40*$B$4)))-CE149)/12)+CE149</f>
        <v>0</v>
      </c>
      <c r="CG149" s="1235">
        <f t="shared" ref="CG149" si="2741">(((CF149*(1+($B$40*$B$4)))-CF149)/12)+CF149</f>
        <v>0</v>
      </c>
      <c r="CH149" s="1235">
        <f t="shared" ref="CH149" si="2742">(((CG149*(1+($B$40*$B$4)))-CG149)/12)+CG149</f>
        <v>0</v>
      </c>
      <c r="CI149" s="1235">
        <f t="shared" ref="CI149" si="2743">(((CH149*(1+($B$40*$B$4)))-CH149)/12)+CH149</f>
        <v>0</v>
      </c>
      <c r="CJ149" s="1235">
        <f t="shared" ref="CJ149" si="2744">(((CI149*(1+($B$40*$B$4)))-CI149)/12)+CI149</f>
        <v>0</v>
      </c>
      <c r="CK149" s="1235">
        <f t="shared" ref="CK149" si="2745">(((CJ149*(1+($B$40*$B$4)))-CJ149)/12)+CJ149</f>
        <v>0</v>
      </c>
      <c r="CL149" s="1235">
        <f t="shared" ref="CL149" si="2746">(((CK149*(1+($B$40*$B$4)))-CK149)/12)+CK149</f>
        <v>0</v>
      </c>
      <c r="CM149" s="1235">
        <f t="shared" ref="CM149" si="2747">(((CL149*(1+($B$40*$B$4)))-CL149)/12)+CL149</f>
        <v>0</v>
      </c>
      <c r="CN149" s="1235">
        <f t="shared" ref="CN149" si="2748">(((CM149*(1+($B$40*$B$4)))-CM149)/12)+CM149</f>
        <v>0</v>
      </c>
      <c r="CO149" s="1235">
        <f t="shared" ref="CO149" si="2749">(((CN149*(1+($B$40*$B$4)))-CN149)/12)+CN149</f>
        <v>0</v>
      </c>
      <c r="CP149" s="1235">
        <f t="shared" ref="CP149" si="2750">(((CO149*(1+($B$40*$B$4)))-CO149)/12)+CO149</f>
        <v>0</v>
      </c>
      <c r="CQ149" s="1236">
        <f t="shared" ref="CQ149" si="2751">(((CP149*(1+($B$41*$B$4)))-CP149)/12)+CP149</f>
        <v>0</v>
      </c>
      <c r="CR149" s="1235">
        <f t="shared" ref="CR149" si="2752">(((CQ149*(1+($B$41*$B$4)))-CQ149)/12)+CQ149</f>
        <v>0</v>
      </c>
      <c r="CS149" s="1235">
        <f t="shared" ref="CS149" si="2753">(((CR149*(1+($B$41*$B$4)))-CR149)/12)+CR149</f>
        <v>0</v>
      </c>
      <c r="CT149" s="1235">
        <f t="shared" ref="CT149" si="2754">(((CS149*(1+($B$41*$B$4)))-CS149)/12)+CS149</f>
        <v>0</v>
      </c>
      <c r="CU149" s="1235">
        <f t="shared" ref="CU149" si="2755">(((CT149*(1+($B$41*$B$4)))-CT149)/12)+CT149</f>
        <v>0</v>
      </c>
      <c r="CV149" s="1235">
        <f t="shared" ref="CV149" si="2756">(((CU149*(1+($B$41*$B$4)))-CU149)/12)+CU149</f>
        <v>0</v>
      </c>
      <c r="CW149" s="1235">
        <f t="shared" ref="CW149" si="2757">(((CV149*(1+($B$41*$B$4)))-CV149)/12)+CV149</f>
        <v>0</v>
      </c>
      <c r="CX149" s="1235">
        <f t="shared" ref="CX149" si="2758">(((CW149*(1+($B$41*$B$4)))-CW149)/12)+CW149</f>
        <v>0</v>
      </c>
      <c r="CY149" s="1235">
        <f t="shared" ref="CY149" si="2759">(((CX149*(1+($B$41*$B$4)))-CX149)/12)+CX149</f>
        <v>0</v>
      </c>
      <c r="CZ149" s="1235">
        <f t="shared" ref="CZ149" si="2760">(((CY149*(1+($B$41*$B$4)))-CY149)/12)+CY149</f>
        <v>0</v>
      </c>
      <c r="DA149" s="1235">
        <f t="shared" ref="DA149" si="2761">(((CZ149*(1+($B$41*$B$4)))-CZ149)/12)+CZ149</f>
        <v>0</v>
      </c>
      <c r="DB149" s="1235">
        <f t="shared" ref="DB149" si="2762">(((DA149*(1+($B$41*$B$4)))-DA149)/12)+DA149</f>
        <v>0</v>
      </c>
      <c r="DC149" s="1236">
        <f t="shared" ref="DC149" si="2763">(((DB149*(1+($B$42*$B$4)))-DB149)/12)+DB149</f>
        <v>0</v>
      </c>
      <c r="DD149" s="1235">
        <f t="shared" ref="DD149" si="2764">(((DC149*(1+($B$42*$B$4)))-DC149)/12)+DC149</f>
        <v>0</v>
      </c>
      <c r="DE149" s="1235">
        <f t="shared" ref="DE149" si="2765">(((DD149*(1+($B$42*$B$4)))-DD149)/12)+DD149</f>
        <v>0</v>
      </c>
      <c r="DF149" s="1235">
        <f t="shared" ref="DF149" si="2766">(((DE149*(1+($B$42*$B$4)))-DE149)/12)+DE149</f>
        <v>0</v>
      </c>
      <c r="DG149" s="1235">
        <f t="shared" ref="DG149" si="2767">(((DF149*(1+($B$42*$B$4)))-DF149)/12)+DF149</f>
        <v>0</v>
      </c>
      <c r="DH149" s="1235">
        <f t="shared" ref="DH149" si="2768">(((DG149*(1+($B$42*$B$4)))-DG149)/12)+DG149</f>
        <v>0</v>
      </c>
      <c r="DI149" s="1235">
        <f t="shared" ref="DI149" si="2769">(((DH149*(1+($B$42*$B$4)))-DH149)/12)+DH149</f>
        <v>0</v>
      </c>
      <c r="DJ149" s="1235">
        <f t="shared" ref="DJ149" si="2770">(((DI149*(1+($B$42*$B$4)))-DI149)/12)+DI149</f>
        <v>0</v>
      </c>
      <c r="DK149" s="1235">
        <f t="shared" ref="DK149" si="2771">(((DJ149*(1+($B$42*$B$4)))-DJ149)/12)+DJ149</f>
        <v>0</v>
      </c>
      <c r="DL149" s="1235">
        <f t="shared" ref="DL149" si="2772">(((DK149*(1+($B$42*$B$4)))-DK149)/12)+DK149</f>
        <v>0</v>
      </c>
      <c r="DM149" s="1235">
        <f t="shared" ref="DM149" si="2773">(((DL149*(1+($B$42*$B$4)))-DL149)/12)+DL149</f>
        <v>0</v>
      </c>
      <c r="DN149" s="1235">
        <f t="shared" ref="DN149" si="2774">(((DM149*(1+($B$42*$B$4)))-DM149)/12)+DM149</f>
        <v>0</v>
      </c>
      <c r="DO149" s="1236">
        <f t="shared" ref="DO149" si="2775">(((DN149*(1+($B$43*$B$4)))-DN149)/12)+DN149</f>
        <v>0</v>
      </c>
      <c r="DP149" s="1235">
        <f t="shared" ref="DP149" si="2776">(((DO149*(1+($B$43*$B$4)))-DO149)/12)+DO149</f>
        <v>0</v>
      </c>
      <c r="DQ149" s="1235">
        <f t="shared" ref="DQ149" si="2777">(((DP149*(1+($B$43*$B$4)))-DP149)/12)+DP149</f>
        <v>0</v>
      </c>
      <c r="DR149" s="1235">
        <f t="shared" ref="DR149" si="2778">(((DQ149*(1+($B$43*$B$4)))-DQ149)/12)+DQ149</f>
        <v>0</v>
      </c>
      <c r="DS149" s="1235">
        <f t="shared" ref="DS149" si="2779">(((DR149*(1+($B$43*$B$4)))-DR149)/12)+DR149</f>
        <v>0</v>
      </c>
      <c r="DT149" s="1235">
        <f t="shared" ref="DT149" si="2780">(((DS149*(1+($B$43*$B$4)))-DS149)/12)+DS149</f>
        <v>0</v>
      </c>
      <c r="DU149" s="1235">
        <f t="shared" ref="DU149" si="2781">(((DT149*(1+($B$43*$B$4)))-DT149)/12)+DT149</f>
        <v>0</v>
      </c>
      <c r="DV149" s="1235">
        <f t="shared" ref="DV149" si="2782">(((DU149*(1+($B$43*$B$4)))-DU149)/12)+DU149</f>
        <v>0</v>
      </c>
      <c r="DW149" s="1235">
        <f t="shared" ref="DW149" si="2783">(((DV149*(1+($B$43*$B$4)))-DV149)/12)+DV149</f>
        <v>0</v>
      </c>
      <c r="DX149" s="1235">
        <f t="shared" ref="DX149" si="2784">(((DW149*(1+($B$43*$B$4)))-DW149)/12)+DW149</f>
        <v>0</v>
      </c>
      <c r="DY149" s="1235">
        <f t="shared" ref="DY149" si="2785">(((DX149*(1+($B$43*$B$4)))-DX149)/12)+DX149</f>
        <v>0</v>
      </c>
      <c r="DZ149" s="1235">
        <f t="shared" ref="DZ149" si="2786">(((DY149*(1+($B$43*$B$4)))-DY149)/12)+DY149</f>
        <v>0</v>
      </c>
      <c r="EA149" s="1236">
        <f>(((DZ149*(1+($B$44*$B$4)))-DZ149)/12)+DZ149</f>
        <v>0</v>
      </c>
      <c r="EB149" s="1235">
        <f>(((EA149*(1+($B$44*$B$4)))-EA149)/12)+EA149</f>
        <v>0</v>
      </c>
      <c r="EC149" s="1235">
        <f>(((EB149*(1+($B$44*$B$4)))-EB149)/12)+EB149</f>
        <v>0</v>
      </c>
      <c r="ED149" s="1237">
        <f>(((EC149*(1+($B$44*$B$4)))-EC149)/12)+EC149</f>
        <v>0</v>
      </c>
    </row>
    <row r="150" spans="3:134" ht="15.75" outlineLevel="1" thickBot="1" x14ac:dyDescent="0.3">
      <c r="C150" s="1280"/>
      <c r="D150" s="1624"/>
      <c r="E150" s="1624"/>
      <c r="F150" s="1624"/>
      <c r="G150" s="1624"/>
      <c r="H150" s="1624"/>
      <c r="I150" s="1624"/>
      <c r="J150" s="1624"/>
      <c r="K150" s="1624"/>
      <c r="L150" s="1238"/>
      <c r="M150" s="1239"/>
      <c r="N150" s="1277"/>
      <c r="O150" s="1278"/>
      <c r="P150" s="1241"/>
      <c r="Q150" s="1241"/>
      <c r="R150" s="1242"/>
      <c r="S150" s="1241"/>
      <c r="T150" s="1241"/>
      <c r="U150" s="1239"/>
      <c r="V150" s="1244">
        <f>ROUNDUP((ROUNDUP(U150/37.5/0.82,0))+((ROUNDUP(U150/37.5/0.82,0))/4),0)</f>
        <v>0</v>
      </c>
      <c r="W150" s="1245">
        <f t="shared" ref="W150:CH150" si="2787">ROUNDUP($V150*(W149/100),0)</f>
        <v>0</v>
      </c>
      <c r="X150" s="1246">
        <f t="shared" si="2787"/>
        <v>0</v>
      </c>
      <c r="Y150" s="1246">
        <f t="shared" si="2787"/>
        <v>0</v>
      </c>
      <c r="Z150" s="1246">
        <f t="shared" si="2787"/>
        <v>0</v>
      </c>
      <c r="AA150" s="1246">
        <f t="shared" si="2787"/>
        <v>0</v>
      </c>
      <c r="AB150" s="1246">
        <f t="shared" si="2787"/>
        <v>0</v>
      </c>
      <c r="AC150" s="1246">
        <f t="shared" si="2787"/>
        <v>0</v>
      </c>
      <c r="AD150" s="1246">
        <f t="shared" si="2787"/>
        <v>0</v>
      </c>
      <c r="AE150" s="1246">
        <f t="shared" si="2787"/>
        <v>0</v>
      </c>
      <c r="AF150" s="1246">
        <f t="shared" si="2787"/>
        <v>0</v>
      </c>
      <c r="AG150" s="1246">
        <f t="shared" si="2787"/>
        <v>0</v>
      </c>
      <c r="AH150" s="1246">
        <f t="shared" si="2787"/>
        <v>0</v>
      </c>
      <c r="AI150" s="1247">
        <f t="shared" si="2787"/>
        <v>0</v>
      </c>
      <c r="AJ150" s="1246">
        <f t="shared" si="2787"/>
        <v>0</v>
      </c>
      <c r="AK150" s="1246">
        <f t="shared" si="2787"/>
        <v>0</v>
      </c>
      <c r="AL150" s="1246">
        <f t="shared" si="2787"/>
        <v>0</v>
      </c>
      <c r="AM150" s="1246">
        <f t="shared" si="2787"/>
        <v>0</v>
      </c>
      <c r="AN150" s="1246">
        <f t="shared" si="2787"/>
        <v>0</v>
      </c>
      <c r="AO150" s="1246">
        <f t="shared" si="2787"/>
        <v>0</v>
      </c>
      <c r="AP150" s="1246">
        <f t="shared" si="2787"/>
        <v>0</v>
      </c>
      <c r="AQ150" s="1246">
        <f t="shared" si="2787"/>
        <v>0</v>
      </c>
      <c r="AR150" s="1246">
        <f t="shared" si="2787"/>
        <v>0</v>
      </c>
      <c r="AS150" s="1246">
        <f t="shared" si="2787"/>
        <v>0</v>
      </c>
      <c r="AT150" s="1246">
        <f t="shared" si="2787"/>
        <v>0</v>
      </c>
      <c r="AU150" s="1247">
        <f t="shared" si="2787"/>
        <v>0</v>
      </c>
      <c r="AV150" s="1246">
        <f t="shared" si="2787"/>
        <v>0</v>
      </c>
      <c r="AW150" s="1246">
        <f t="shared" si="2787"/>
        <v>0</v>
      </c>
      <c r="AX150" s="1246">
        <f t="shared" si="2787"/>
        <v>0</v>
      </c>
      <c r="AY150" s="1246">
        <f t="shared" si="2787"/>
        <v>0</v>
      </c>
      <c r="AZ150" s="1246">
        <f t="shared" si="2787"/>
        <v>0</v>
      </c>
      <c r="BA150" s="1246">
        <f t="shared" si="2787"/>
        <v>0</v>
      </c>
      <c r="BB150" s="1246">
        <f t="shared" si="2787"/>
        <v>0</v>
      </c>
      <c r="BC150" s="1246">
        <f t="shared" si="2787"/>
        <v>0</v>
      </c>
      <c r="BD150" s="1246">
        <f t="shared" si="2787"/>
        <v>0</v>
      </c>
      <c r="BE150" s="1246">
        <f t="shared" si="2787"/>
        <v>0</v>
      </c>
      <c r="BF150" s="1246">
        <f t="shared" si="2787"/>
        <v>0</v>
      </c>
      <c r="BG150" s="1247">
        <f t="shared" si="2787"/>
        <v>0</v>
      </c>
      <c r="BH150" s="1246">
        <f t="shared" si="2787"/>
        <v>0</v>
      </c>
      <c r="BI150" s="1246">
        <f t="shared" si="2787"/>
        <v>0</v>
      </c>
      <c r="BJ150" s="1246">
        <f t="shared" si="2787"/>
        <v>0</v>
      </c>
      <c r="BK150" s="1246">
        <f t="shared" si="2787"/>
        <v>0</v>
      </c>
      <c r="BL150" s="1246">
        <f t="shared" si="2787"/>
        <v>0</v>
      </c>
      <c r="BM150" s="1246">
        <f t="shared" si="2787"/>
        <v>0</v>
      </c>
      <c r="BN150" s="1246">
        <f t="shared" si="2787"/>
        <v>0</v>
      </c>
      <c r="BO150" s="1246">
        <f t="shared" si="2787"/>
        <v>0</v>
      </c>
      <c r="BP150" s="1246">
        <f t="shared" si="2787"/>
        <v>0</v>
      </c>
      <c r="BQ150" s="1246">
        <f t="shared" si="2787"/>
        <v>0</v>
      </c>
      <c r="BR150" s="1246">
        <f t="shared" si="2787"/>
        <v>0</v>
      </c>
      <c r="BS150" s="1247">
        <f t="shared" si="2787"/>
        <v>0</v>
      </c>
      <c r="BT150" s="1246">
        <f t="shared" si="2787"/>
        <v>0</v>
      </c>
      <c r="BU150" s="1246">
        <f t="shared" si="2787"/>
        <v>0</v>
      </c>
      <c r="BV150" s="1246">
        <f t="shared" si="2787"/>
        <v>0</v>
      </c>
      <c r="BW150" s="1246">
        <f t="shared" si="2787"/>
        <v>0</v>
      </c>
      <c r="BX150" s="1246">
        <f t="shared" si="2787"/>
        <v>0</v>
      </c>
      <c r="BY150" s="1246">
        <f t="shared" si="2787"/>
        <v>0</v>
      </c>
      <c r="BZ150" s="1246">
        <f t="shared" si="2787"/>
        <v>0</v>
      </c>
      <c r="CA150" s="1246">
        <f t="shared" si="2787"/>
        <v>0</v>
      </c>
      <c r="CB150" s="1246">
        <f t="shared" si="2787"/>
        <v>0</v>
      </c>
      <c r="CC150" s="1246">
        <f t="shared" si="2787"/>
        <v>0</v>
      </c>
      <c r="CD150" s="1246">
        <f t="shared" si="2787"/>
        <v>0</v>
      </c>
      <c r="CE150" s="1247">
        <f t="shared" si="2787"/>
        <v>0</v>
      </c>
      <c r="CF150" s="1246">
        <f t="shared" si="2787"/>
        <v>0</v>
      </c>
      <c r="CG150" s="1246">
        <f t="shared" si="2787"/>
        <v>0</v>
      </c>
      <c r="CH150" s="1246">
        <f t="shared" si="2787"/>
        <v>0</v>
      </c>
      <c r="CI150" s="1246">
        <f t="shared" ref="CI150:ED150" si="2788">ROUNDUP($V150*(CI149/100),0)</f>
        <v>0</v>
      </c>
      <c r="CJ150" s="1246">
        <f t="shared" si="2788"/>
        <v>0</v>
      </c>
      <c r="CK150" s="1246">
        <f t="shared" si="2788"/>
        <v>0</v>
      </c>
      <c r="CL150" s="1246">
        <f t="shared" si="2788"/>
        <v>0</v>
      </c>
      <c r="CM150" s="1246">
        <f t="shared" si="2788"/>
        <v>0</v>
      </c>
      <c r="CN150" s="1246">
        <f t="shared" si="2788"/>
        <v>0</v>
      </c>
      <c r="CO150" s="1246">
        <f t="shared" si="2788"/>
        <v>0</v>
      </c>
      <c r="CP150" s="1246">
        <f t="shared" si="2788"/>
        <v>0</v>
      </c>
      <c r="CQ150" s="1247">
        <f t="shared" si="2788"/>
        <v>0</v>
      </c>
      <c r="CR150" s="1246">
        <f t="shared" si="2788"/>
        <v>0</v>
      </c>
      <c r="CS150" s="1246">
        <f t="shared" si="2788"/>
        <v>0</v>
      </c>
      <c r="CT150" s="1246">
        <f t="shared" si="2788"/>
        <v>0</v>
      </c>
      <c r="CU150" s="1246">
        <f t="shared" si="2788"/>
        <v>0</v>
      </c>
      <c r="CV150" s="1246">
        <f t="shared" si="2788"/>
        <v>0</v>
      </c>
      <c r="CW150" s="1246">
        <f t="shared" si="2788"/>
        <v>0</v>
      </c>
      <c r="CX150" s="1246">
        <f t="shared" si="2788"/>
        <v>0</v>
      </c>
      <c r="CY150" s="1246">
        <f t="shared" si="2788"/>
        <v>0</v>
      </c>
      <c r="CZ150" s="1246">
        <f t="shared" si="2788"/>
        <v>0</v>
      </c>
      <c r="DA150" s="1246">
        <f t="shared" si="2788"/>
        <v>0</v>
      </c>
      <c r="DB150" s="1246">
        <f t="shared" si="2788"/>
        <v>0</v>
      </c>
      <c r="DC150" s="1247">
        <f t="shared" si="2788"/>
        <v>0</v>
      </c>
      <c r="DD150" s="1246">
        <f t="shared" si="2788"/>
        <v>0</v>
      </c>
      <c r="DE150" s="1246">
        <f t="shared" si="2788"/>
        <v>0</v>
      </c>
      <c r="DF150" s="1246">
        <f t="shared" si="2788"/>
        <v>0</v>
      </c>
      <c r="DG150" s="1246">
        <f t="shared" si="2788"/>
        <v>0</v>
      </c>
      <c r="DH150" s="1246">
        <f t="shared" si="2788"/>
        <v>0</v>
      </c>
      <c r="DI150" s="1246">
        <f t="shared" si="2788"/>
        <v>0</v>
      </c>
      <c r="DJ150" s="1246">
        <f t="shared" si="2788"/>
        <v>0</v>
      </c>
      <c r="DK150" s="1246">
        <f t="shared" si="2788"/>
        <v>0</v>
      </c>
      <c r="DL150" s="1246">
        <f t="shared" si="2788"/>
        <v>0</v>
      </c>
      <c r="DM150" s="1246">
        <f t="shared" si="2788"/>
        <v>0</v>
      </c>
      <c r="DN150" s="1246">
        <f t="shared" si="2788"/>
        <v>0</v>
      </c>
      <c r="DO150" s="1247">
        <f t="shared" si="2788"/>
        <v>0</v>
      </c>
      <c r="DP150" s="1246">
        <f t="shared" si="2788"/>
        <v>0</v>
      </c>
      <c r="DQ150" s="1246">
        <f t="shared" si="2788"/>
        <v>0</v>
      </c>
      <c r="DR150" s="1246">
        <f t="shared" si="2788"/>
        <v>0</v>
      </c>
      <c r="DS150" s="1246">
        <f t="shared" si="2788"/>
        <v>0</v>
      </c>
      <c r="DT150" s="1246">
        <f t="shared" si="2788"/>
        <v>0</v>
      </c>
      <c r="DU150" s="1246">
        <f t="shared" si="2788"/>
        <v>0</v>
      </c>
      <c r="DV150" s="1246">
        <f t="shared" si="2788"/>
        <v>0</v>
      </c>
      <c r="DW150" s="1246">
        <f t="shared" si="2788"/>
        <v>0</v>
      </c>
      <c r="DX150" s="1246">
        <f t="shared" si="2788"/>
        <v>0</v>
      </c>
      <c r="DY150" s="1246">
        <f t="shared" si="2788"/>
        <v>0</v>
      </c>
      <c r="DZ150" s="1246">
        <f t="shared" si="2788"/>
        <v>0</v>
      </c>
      <c r="EA150" s="1247">
        <f t="shared" si="2788"/>
        <v>0</v>
      </c>
      <c r="EB150" s="1246">
        <f t="shared" si="2788"/>
        <v>0</v>
      </c>
      <c r="EC150" s="1246">
        <f t="shared" si="2788"/>
        <v>0</v>
      </c>
      <c r="ED150" s="1248">
        <f t="shared" si="2788"/>
        <v>0</v>
      </c>
    </row>
    <row r="151" spans="3:134" x14ac:dyDescent="0.25">
      <c r="V151"/>
    </row>
    <row r="152" spans="3:134" x14ac:dyDescent="0.25">
      <c r="E152" s="11"/>
      <c r="F152" s="11"/>
      <c r="G152" s="11"/>
      <c r="H152" s="11"/>
      <c r="I152" s="11"/>
      <c r="J152" s="11"/>
      <c r="K152" s="11"/>
    </row>
    <row r="153" spans="3:134" x14ac:dyDescent="0.25">
      <c r="E153" s="11"/>
      <c r="F153" s="11"/>
      <c r="G153" s="11"/>
      <c r="H153" s="11"/>
      <c r="I153" s="11"/>
      <c r="J153" s="11"/>
      <c r="K153" s="11"/>
      <c r="U153" s="43"/>
      <c r="V153"/>
    </row>
    <row r="154" spans="3:134" x14ac:dyDescent="0.25">
      <c r="L154" s="11"/>
      <c r="M154" s="11"/>
      <c r="O154" s="11"/>
      <c r="P154" s="11"/>
      <c r="Q154" s="11"/>
      <c r="R154" s="11"/>
      <c r="S154" s="11"/>
      <c r="T154" s="11"/>
      <c r="U154" s="7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</row>
    <row r="155" spans="3:134" x14ac:dyDescent="0.25">
      <c r="U155" s="43"/>
      <c r="V155"/>
    </row>
    <row r="156" spans="3:134" x14ac:dyDescent="0.25">
      <c r="K156" s="11"/>
      <c r="U156" s="43"/>
      <c r="V156"/>
    </row>
    <row r="157" spans="3:134" x14ac:dyDescent="0.25">
      <c r="U157" s="43"/>
      <c r="V157"/>
    </row>
    <row r="158" spans="3:134" x14ac:dyDescent="0.25">
      <c r="U158" s="43"/>
      <c r="V158"/>
    </row>
    <row r="159" spans="3:134" x14ac:dyDescent="0.25">
      <c r="U159" s="43"/>
      <c r="V159"/>
    </row>
    <row r="160" spans="3:134" x14ac:dyDescent="0.25">
      <c r="U160" s="43"/>
      <c r="V160"/>
    </row>
    <row r="161" spans="21:22" x14ac:dyDescent="0.25">
      <c r="U161" s="43"/>
      <c r="V161"/>
    </row>
    <row r="162" spans="21:22" x14ac:dyDescent="0.25">
      <c r="U162" s="43"/>
      <c r="V162"/>
    </row>
    <row r="163" spans="21:22" x14ac:dyDescent="0.25">
      <c r="U163" s="43"/>
      <c r="V163"/>
    </row>
    <row r="164" spans="21:22" x14ac:dyDescent="0.25">
      <c r="U164" s="43"/>
      <c r="V164"/>
    </row>
    <row r="165" spans="21:22" x14ac:dyDescent="0.25">
      <c r="U165" s="43"/>
      <c r="V165"/>
    </row>
    <row r="166" spans="21:22" x14ac:dyDescent="0.25">
      <c r="U166" s="43"/>
      <c r="V166"/>
    </row>
  </sheetData>
  <mergeCells count="118">
    <mergeCell ref="T1:T5"/>
    <mergeCell ref="S45:T45"/>
    <mergeCell ref="D46:M46"/>
    <mergeCell ref="S59:T59"/>
    <mergeCell ref="S73:T73"/>
    <mergeCell ref="S97:T97"/>
    <mergeCell ref="D117:K118"/>
    <mergeCell ref="D119:K120"/>
    <mergeCell ref="D107:K108"/>
    <mergeCell ref="D109:K110"/>
    <mergeCell ref="D111:K112"/>
    <mergeCell ref="D113:K114"/>
    <mergeCell ref="D49:K50"/>
    <mergeCell ref="D85:K86"/>
    <mergeCell ref="D87:K88"/>
    <mergeCell ref="D89:K90"/>
    <mergeCell ref="D91:K92"/>
    <mergeCell ref="D93:K94"/>
    <mergeCell ref="D77:K78"/>
    <mergeCell ref="M1:M5"/>
    <mergeCell ref="N1:N5"/>
    <mergeCell ref="O1:O5"/>
    <mergeCell ref="P1:P5"/>
    <mergeCell ref="R1:R5"/>
    <mergeCell ref="W1:ED2"/>
    <mergeCell ref="W3:Y3"/>
    <mergeCell ref="Z3:AB3"/>
    <mergeCell ref="AC3:AE3"/>
    <mergeCell ref="AF3:AH3"/>
    <mergeCell ref="AI3:AK3"/>
    <mergeCell ref="D121:K122"/>
    <mergeCell ref="D123:K124"/>
    <mergeCell ref="D105:K106"/>
    <mergeCell ref="D101:K102"/>
    <mergeCell ref="D103:K104"/>
    <mergeCell ref="EA3:EC3"/>
    <mergeCell ref="CT3:CV3"/>
    <mergeCell ref="CW3:CY3"/>
    <mergeCell ref="CZ3:DB3"/>
    <mergeCell ref="DC3:DE3"/>
    <mergeCell ref="DF3:DH3"/>
    <mergeCell ref="DI3:DK3"/>
    <mergeCell ref="DL3:DN3"/>
    <mergeCell ref="DO3:DQ3"/>
    <mergeCell ref="DR3:DT3"/>
    <mergeCell ref="V1:V5"/>
    <mergeCell ref="D37:K38"/>
    <mergeCell ref="D39:K40"/>
    <mergeCell ref="DU3:DW3"/>
    <mergeCell ref="DX3:DZ3"/>
    <mergeCell ref="AL3:AN3"/>
    <mergeCell ref="AO3:AQ3"/>
    <mergeCell ref="BD3:BF3"/>
    <mergeCell ref="CQ3:CS3"/>
    <mergeCell ref="BJ3:BL3"/>
    <mergeCell ref="BM3:BO3"/>
    <mergeCell ref="BP3:BR3"/>
    <mergeCell ref="BS3:BU3"/>
    <mergeCell ref="BV3:BX3"/>
    <mergeCell ref="BY3:CA3"/>
    <mergeCell ref="CB3:CD3"/>
    <mergeCell ref="CE3:CG3"/>
    <mergeCell ref="CH3:CJ3"/>
    <mergeCell ref="CK3:CM3"/>
    <mergeCell ref="CN3:CP3"/>
    <mergeCell ref="BG3:BI3"/>
    <mergeCell ref="AR3:AT3"/>
    <mergeCell ref="AU3:AW3"/>
    <mergeCell ref="AX3:AZ3"/>
    <mergeCell ref="BA3:BC3"/>
    <mergeCell ref="J20:J21"/>
    <mergeCell ref="A34:B34"/>
    <mergeCell ref="D115:K116"/>
    <mergeCell ref="A48:B48"/>
    <mergeCell ref="D51:K52"/>
    <mergeCell ref="D55:K56"/>
    <mergeCell ref="D63:K64"/>
    <mergeCell ref="D65:K66"/>
    <mergeCell ref="D67:K68"/>
    <mergeCell ref="D69:K70"/>
    <mergeCell ref="A64:B64"/>
    <mergeCell ref="C34:C99"/>
    <mergeCell ref="D53:K54"/>
    <mergeCell ref="U1:U5"/>
    <mergeCell ref="D79:K80"/>
    <mergeCell ref="D81:K82"/>
    <mergeCell ref="D83:K84"/>
    <mergeCell ref="D43:L43"/>
    <mergeCell ref="D44:L44"/>
    <mergeCell ref="D57:L57"/>
    <mergeCell ref="D147:K148"/>
    <mergeCell ref="D97:L97"/>
    <mergeCell ref="D58:L58"/>
    <mergeCell ref="D71:L71"/>
    <mergeCell ref="D72:L72"/>
    <mergeCell ref="D95:L95"/>
    <mergeCell ref="D96:L96"/>
    <mergeCell ref="D45:L45"/>
    <mergeCell ref="D59:L59"/>
    <mergeCell ref="D73:L73"/>
    <mergeCell ref="D41:K42"/>
    <mergeCell ref="C4:K4"/>
    <mergeCell ref="S1:S5"/>
    <mergeCell ref="Q1:Q5"/>
    <mergeCell ref="C2:K2"/>
    <mergeCell ref="C3:K3"/>
    <mergeCell ref="D35:K36"/>
    <mergeCell ref="D149:K150"/>
    <mergeCell ref="D137:K138"/>
    <mergeCell ref="D139:K140"/>
    <mergeCell ref="D141:K142"/>
    <mergeCell ref="D143:K144"/>
    <mergeCell ref="D145:K146"/>
    <mergeCell ref="D127:K128"/>
    <mergeCell ref="D129:K130"/>
    <mergeCell ref="D131:K132"/>
    <mergeCell ref="D133:K134"/>
    <mergeCell ref="D135:K136"/>
  </mergeCells>
  <phoneticPr fontId="11" type="noConversion"/>
  <conditionalFormatting sqref="W3:EC3">
    <cfRule type="cellIs" dxfId="450" priority="230" operator="equal">
      <formula>2029</formula>
    </cfRule>
    <cfRule type="cellIs" dxfId="449" priority="231" operator="equal">
      <formula>2027</formula>
    </cfRule>
    <cfRule type="cellIs" dxfId="448" priority="232" operator="equal">
      <formula>2025</formula>
    </cfRule>
    <cfRule type="cellIs" dxfId="447" priority="233" operator="equal">
      <formula>2023</formula>
    </cfRule>
    <cfRule type="cellIs" dxfId="446" priority="234" operator="equal">
      <formula>2021</formula>
    </cfRule>
  </conditionalFormatting>
  <conditionalFormatting sqref="W35:ED35 W37:ED37 W39:ED39 W41:ED41 W49:ED49 W51:ED51 W55:ED55 W77:ED77 W79:ED79 W81:ED81 W83:ED83 W85:ED85 W87:ED87 W89:ED89 W91:ED91 W93:ED93 W63:ED63 W95:ED95 W65:ED65 W67:ED67 W69:ED69 W71:ED71 W57:ED57 W43:ED43">
    <cfRule type="cellIs" dxfId="445" priority="229" operator="greaterThan">
      <formula>79.9</formula>
    </cfRule>
  </conditionalFormatting>
  <conditionalFormatting sqref="W35:ED35 W37:ED37 W39:ED39 W41:ED41 W49:ED49 W51:ED51 W55:ED55 W77:ED77 W79:ED79 W81:ED81 W83:ED83 W85:ED85 W87:ED87 W89:ED89 W91:ED91 W93:ED93 W63:ED63 W95:ED95 W65:ED65 W67:ED67 W69:ED69 W71:ED71 W57:ED57 W43:ED43">
    <cfRule type="cellIs" dxfId="444" priority="228" operator="lessThan">
      <formula>79.9</formula>
    </cfRule>
  </conditionalFormatting>
  <conditionalFormatting sqref="N35:P35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7:P38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9:P40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1:P42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9:P49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:P51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5:P55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3:P63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5:P65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7:P67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9:P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77:P77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79:P7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81:P81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83:P83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85:P85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87:P87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89:P8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91:P91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93:P93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5:T95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3 R77 R69 R67 R65 R79 R81 R83 R85 R87 R89 R91 R93">
    <cfRule type="iconSet" priority="165">
      <iconSet iconSet="3Symbols">
        <cfvo type="percent" val="0"/>
        <cfvo type="percent" val="33"/>
        <cfvo type="percent" val="67"/>
      </iconSet>
    </cfRule>
  </conditionalFormatting>
  <conditionalFormatting sqref="W40:ED40 W10:AH29 AJ10:AT29 AV10:BF29 BH10:BR29 BT10:CD29 CF10:CP29 CR10:DB29 DD10:DN29 DP10:DZ29 EB10:ED29">
    <cfRule type="cellIs" dxfId="443" priority="159" operator="greaterThan">
      <formula>V10</formula>
    </cfRule>
  </conditionalFormatting>
  <conditionalFormatting sqref="W38:ED38">
    <cfRule type="cellIs" dxfId="442" priority="157" operator="greaterThan">
      <formula>V38</formula>
    </cfRule>
  </conditionalFormatting>
  <conditionalFormatting sqref="W36:ED36">
    <cfRule type="cellIs" dxfId="441" priority="156" operator="greaterThan">
      <formula>V36</formula>
    </cfRule>
  </conditionalFormatting>
  <conditionalFormatting sqref="W42:ED42">
    <cfRule type="cellIs" dxfId="440" priority="155" operator="greaterThan">
      <formula>V42</formula>
    </cfRule>
  </conditionalFormatting>
  <conditionalFormatting sqref="W34:ED34">
    <cfRule type="cellIs" dxfId="439" priority="154" operator="greaterThan">
      <formula>V34</formula>
    </cfRule>
  </conditionalFormatting>
  <conditionalFormatting sqref="W48:ED48">
    <cfRule type="cellIs" dxfId="438" priority="153" operator="greaterThan">
      <formula>V48</formula>
    </cfRule>
  </conditionalFormatting>
  <conditionalFormatting sqref="W50:ED50">
    <cfRule type="cellIs" dxfId="437" priority="152" operator="greaterThan">
      <formula>V50</formula>
    </cfRule>
  </conditionalFormatting>
  <conditionalFormatting sqref="W52:ED52 W54:ED54">
    <cfRule type="cellIs" dxfId="436" priority="151" operator="greaterThan">
      <formula>V52</formula>
    </cfRule>
  </conditionalFormatting>
  <conditionalFormatting sqref="W56:ED56">
    <cfRule type="cellIs" dxfId="435" priority="150" operator="greaterThan">
      <formula>V56</formula>
    </cfRule>
  </conditionalFormatting>
  <conditionalFormatting sqref="W9:ED9 W32:AH32 AJ32:AT32 AV32:BF32 BH32:BR32 BT32:CD32 CF32:CP32 CR32:DB32 DD32:DN32 DP32:DZ32 EB32:ED32 W30:ED31">
    <cfRule type="cellIs" dxfId="434" priority="148" operator="greaterThan">
      <formula>V9</formula>
    </cfRule>
  </conditionalFormatting>
  <conditionalFormatting sqref="EA64:ED64">
    <cfRule type="cellIs" dxfId="433" priority="147" operator="greaterThan">
      <formula>DZ64</formula>
    </cfRule>
  </conditionalFormatting>
  <conditionalFormatting sqref="W66:ED66">
    <cfRule type="cellIs" dxfId="432" priority="146" operator="greaterThan">
      <formula>V66</formula>
    </cfRule>
  </conditionalFormatting>
  <conditionalFormatting sqref="W68:ED68">
    <cfRule type="cellIs" dxfId="431" priority="145" operator="greaterThan">
      <formula>V68</formula>
    </cfRule>
  </conditionalFormatting>
  <conditionalFormatting sqref="W70:ED70">
    <cfRule type="cellIs" dxfId="430" priority="144" operator="greaterThan">
      <formula>V70</formula>
    </cfRule>
  </conditionalFormatting>
  <conditionalFormatting sqref="W78:ED78">
    <cfRule type="cellIs" dxfId="429" priority="141" operator="greaterThan">
      <formula>V78</formula>
    </cfRule>
  </conditionalFormatting>
  <conditionalFormatting sqref="W94:ED94 W92:ED92 W90:ED90 W88:ED88 W86:ED86 W84:ED84 W82:ED82 W80:ED80">
    <cfRule type="cellIs" dxfId="428" priority="140" operator="greaterThan">
      <formula>V80</formula>
    </cfRule>
  </conditionalFormatting>
  <conditionalFormatting sqref="N95:P95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95">
    <cfRule type="iconSet" priority="134">
      <iconSet iconSet="3Symbols">
        <cfvo type="percent" val="0"/>
        <cfvo type="percent" val="33"/>
        <cfvo type="percent" val="67"/>
      </iconSet>
    </cfRule>
  </conditionalFormatting>
  <conditionalFormatting sqref="W101:ED101 W103:ED103 W107:ED107 W109:ED109 W111:ED111 W113:ED113 W115:ED115">
    <cfRule type="cellIs" dxfId="427" priority="127" operator="greaterThan">
      <formula>79.9</formula>
    </cfRule>
  </conditionalFormatting>
  <conditionalFormatting sqref="W101:ED101 W103:ED103 W107:ED107 W109:ED109 W111:ED111 W113:ED113 W115:ED115">
    <cfRule type="cellIs" dxfId="426" priority="126" operator="lessThan">
      <formula>79.9</formula>
    </cfRule>
  </conditionalFormatting>
  <conditionalFormatting sqref="N101:P101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3:P103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7:P10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9:P10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11:P111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13:P113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15:P115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15 R101 R103 R107 R109 R111 R113">
    <cfRule type="iconSet" priority="115">
      <iconSet iconSet="3Symbols">
        <cfvo type="percent" val="0"/>
        <cfvo type="percent" val="33"/>
        <cfvo type="percent" val="67"/>
      </iconSet>
    </cfRule>
  </conditionalFormatting>
  <conditionalFormatting sqref="W102:ED102">
    <cfRule type="cellIs" dxfId="425" priority="114" operator="greaterThan">
      <formula>V102</formula>
    </cfRule>
  </conditionalFormatting>
  <conditionalFormatting sqref="W116:ED116 W114:ED114 W112:ED112 W110:ED110 W108:ED108 W104:ED104">
    <cfRule type="cellIs" dxfId="424" priority="113" operator="greaterThan">
      <formula>V104</formula>
    </cfRule>
  </conditionalFormatting>
  <conditionalFormatting sqref="W119:ED119">
    <cfRule type="cellIs" dxfId="423" priority="109" operator="greaterThan">
      <formula>79.9</formula>
    </cfRule>
  </conditionalFormatting>
  <conditionalFormatting sqref="W119:ED119">
    <cfRule type="cellIs" dxfId="422" priority="108" operator="lessThan">
      <formula>79.9</formula>
    </cfRule>
  </conditionalFormatting>
  <conditionalFormatting sqref="N119:P11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19">
    <cfRule type="iconSet" priority="104">
      <iconSet iconSet="3Symbols">
        <cfvo type="percent" val="0"/>
        <cfvo type="percent" val="33"/>
        <cfvo type="percent" val="67"/>
      </iconSet>
    </cfRule>
  </conditionalFormatting>
  <conditionalFormatting sqref="W120:ED120">
    <cfRule type="cellIs" dxfId="421" priority="103" operator="greaterThan">
      <formula>V120</formula>
    </cfRule>
  </conditionalFormatting>
  <conditionalFormatting sqref="W117:ED117">
    <cfRule type="cellIs" dxfId="420" priority="93" operator="greaterThan">
      <formula>79.9</formula>
    </cfRule>
  </conditionalFormatting>
  <conditionalFormatting sqref="W117:ED117">
    <cfRule type="cellIs" dxfId="419" priority="92" operator="lessThan">
      <formula>79.9</formula>
    </cfRule>
  </conditionalFormatting>
  <conditionalFormatting sqref="N117:P11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17">
    <cfRule type="iconSet" priority="90">
      <iconSet iconSet="3Symbols">
        <cfvo type="percent" val="0"/>
        <cfvo type="percent" val="33"/>
        <cfvo type="percent" val="67"/>
      </iconSet>
    </cfRule>
  </conditionalFormatting>
  <conditionalFormatting sqref="W118:ED118">
    <cfRule type="cellIs" dxfId="418" priority="89" operator="greaterThan">
      <formula>V118</formula>
    </cfRule>
  </conditionalFormatting>
  <conditionalFormatting sqref="W121:ED121">
    <cfRule type="cellIs" dxfId="417" priority="88" operator="greaterThan">
      <formula>79.9</formula>
    </cfRule>
  </conditionalFormatting>
  <conditionalFormatting sqref="W121:ED121">
    <cfRule type="cellIs" dxfId="416" priority="87" operator="lessThan">
      <formula>79.9</formula>
    </cfRule>
  </conditionalFormatting>
  <conditionalFormatting sqref="N121:P121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1">
    <cfRule type="iconSet" priority="85">
      <iconSet iconSet="3Symbols">
        <cfvo type="percent" val="0"/>
        <cfvo type="percent" val="33"/>
        <cfvo type="percent" val="67"/>
      </iconSet>
    </cfRule>
  </conditionalFormatting>
  <conditionalFormatting sqref="W122:ED122">
    <cfRule type="cellIs" dxfId="415" priority="84" operator="greaterThan">
      <formula>V122</formula>
    </cfRule>
  </conditionalFormatting>
  <conditionalFormatting sqref="W105:ED105">
    <cfRule type="cellIs" dxfId="414" priority="83" operator="greaterThan">
      <formula>79.9</formula>
    </cfRule>
  </conditionalFormatting>
  <conditionalFormatting sqref="W105:ED105">
    <cfRule type="cellIs" dxfId="413" priority="82" operator="lessThan">
      <formula>79.9</formula>
    </cfRule>
  </conditionalFormatting>
  <conditionalFormatting sqref="N105:P10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05">
    <cfRule type="iconSet" priority="80">
      <iconSet iconSet="3Symbols">
        <cfvo type="percent" val="0"/>
        <cfvo type="percent" val="33"/>
        <cfvo type="percent" val="67"/>
      </iconSet>
    </cfRule>
  </conditionalFormatting>
  <conditionalFormatting sqref="W106:ED106">
    <cfRule type="cellIs" dxfId="412" priority="79" operator="greaterThan">
      <formula>V106</formula>
    </cfRule>
  </conditionalFormatting>
  <conditionalFormatting sqref="W8:ED8">
    <cfRule type="cellIs" dxfId="411" priority="77" operator="greaterThan">
      <formula>V8</formula>
    </cfRule>
  </conditionalFormatting>
  <conditionalFormatting sqref="W100:ED100">
    <cfRule type="cellIs" dxfId="410" priority="76" operator="greaterThan">
      <formula>V100</formula>
    </cfRule>
  </conditionalFormatting>
  <conditionalFormatting sqref="W127:ED127 W129:ED129 W133:ED133 W135:ED135 W137:ED137 W139:ED139 W141:ED141">
    <cfRule type="cellIs" dxfId="409" priority="75" operator="greaterThan">
      <formula>79.9</formula>
    </cfRule>
  </conditionalFormatting>
  <conditionalFormatting sqref="W127:ED127 W129:ED129 W133:ED133 W135:ED135 W137:ED137 W139:ED139 W141:ED141">
    <cfRule type="cellIs" dxfId="408" priority="74" operator="lessThan">
      <formula>79.9</formula>
    </cfRule>
  </conditionalFormatting>
  <conditionalFormatting sqref="N127:P127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P12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3:P133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5:P135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7:P137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9:P13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1:P14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1 R127 R129 R133 R135 R137 R139">
    <cfRule type="iconSet" priority="66">
      <iconSet iconSet="3Symbols">
        <cfvo type="percent" val="0"/>
        <cfvo type="percent" val="33"/>
        <cfvo type="percent" val="67"/>
      </iconSet>
    </cfRule>
  </conditionalFormatting>
  <conditionalFormatting sqref="W128:ED128">
    <cfRule type="cellIs" dxfId="407" priority="65" operator="greaterThan">
      <formula>V128</formula>
    </cfRule>
  </conditionalFormatting>
  <conditionalFormatting sqref="W142:ED142 W140:ED140 W138:ED138 W136:ED136 W134:ED134 W130:ED130">
    <cfRule type="cellIs" dxfId="406" priority="64" operator="greaterThan">
      <formula>V130</formula>
    </cfRule>
  </conditionalFormatting>
  <conditionalFormatting sqref="W145:ED145">
    <cfRule type="cellIs" dxfId="405" priority="63" operator="greaterThan">
      <formula>79.9</formula>
    </cfRule>
  </conditionalFormatting>
  <conditionalFormatting sqref="W145:ED145">
    <cfRule type="cellIs" dxfId="404" priority="62" operator="lessThan">
      <formula>79.9</formula>
    </cfRule>
  </conditionalFormatting>
  <conditionalFormatting sqref="N145:P14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5">
    <cfRule type="iconSet" priority="60">
      <iconSet iconSet="3Symbols">
        <cfvo type="percent" val="0"/>
        <cfvo type="percent" val="33"/>
        <cfvo type="percent" val="67"/>
      </iconSet>
    </cfRule>
  </conditionalFormatting>
  <conditionalFormatting sqref="W146:ED146">
    <cfRule type="cellIs" dxfId="403" priority="59" operator="greaterThan">
      <formula>V146</formula>
    </cfRule>
  </conditionalFormatting>
  <conditionalFormatting sqref="W149:ED149">
    <cfRule type="cellIs" dxfId="402" priority="58" operator="greaterThan">
      <formula>79.9</formula>
    </cfRule>
  </conditionalFormatting>
  <conditionalFormatting sqref="W149:ED149">
    <cfRule type="cellIs" dxfId="401" priority="57" operator="lessThan">
      <formula>79.9</formula>
    </cfRule>
  </conditionalFormatting>
  <conditionalFormatting sqref="S149:T14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9:P14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9">
    <cfRule type="iconSet" priority="54">
      <iconSet iconSet="3Symbols">
        <cfvo type="percent" val="0"/>
        <cfvo type="percent" val="33"/>
        <cfvo type="percent" val="67"/>
      </iconSet>
    </cfRule>
  </conditionalFormatting>
  <conditionalFormatting sqref="W150:ED150">
    <cfRule type="cellIs" dxfId="400" priority="53" operator="greaterThan">
      <formula>V150</formula>
    </cfRule>
  </conditionalFormatting>
  <conditionalFormatting sqref="W143:ED143">
    <cfRule type="cellIs" dxfId="399" priority="52" operator="greaterThan">
      <formula>79.9</formula>
    </cfRule>
  </conditionalFormatting>
  <conditionalFormatting sqref="W143:ED143">
    <cfRule type="cellIs" dxfId="398" priority="51" operator="lessThan">
      <formula>79.9</formula>
    </cfRule>
  </conditionalFormatting>
  <conditionalFormatting sqref="N143:P14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3">
    <cfRule type="iconSet" priority="49">
      <iconSet iconSet="3Symbols">
        <cfvo type="percent" val="0"/>
        <cfvo type="percent" val="33"/>
        <cfvo type="percent" val="67"/>
      </iconSet>
    </cfRule>
  </conditionalFormatting>
  <conditionalFormatting sqref="W144:ED144">
    <cfRule type="cellIs" dxfId="397" priority="48" operator="greaterThan">
      <formula>V144</formula>
    </cfRule>
  </conditionalFormatting>
  <conditionalFormatting sqref="W147:ED147">
    <cfRule type="cellIs" dxfId="396" priority="47" operator="greaterThan">
      <formula>79.9</formula>
    </cfRule>
  </conditionalFormatting>
  <conditionalFormatting sqref="W147:ED147">
    <cfRule type="cellIs" dxfId="395" priority="46" operator="lessThan">
      <formula>79.9</formula>
    </cfRule>
  </conditionalFormatting>
  <conditionalFormatting sqref="N147:P14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47">
    <cfRule type="iconSet" priority="44">
      <iconSet iconSet="3Symbols">
        <cfvo type="percent" val="0"/>
        <cfvo type="percent" val="33"/>
        <cfvo type="percent" val="67"/>
      </iconSet>
    </cfRule>
  </conditionalFormatting>
  <conditionalFormatting sqref="W148:ED148">
    <cfRule type="cellIs" dxfId="394" priority="43" operator="greaterThan">
      <formula>V148</formula>
    </cfRule>
  </conditionalFormatting>
  <conditionalFormatting sqref="W131:ED131">
    <cfRule type="cellIs" dxfId="393" priority="42" operator="greaterThan">
      <formula>79.9</formula>
    </cfRule>
  </conditionalFormatting>
  <conditionalFormatting sqref="W131:ED131">
    <cfRule type="cellIs" dxfId="392" priority="41" operator="lessThan">
      <formula>79.9</formula>
    </cfRule>
  </conditionalFormatting>
  <conditionalFormatting sqref="N131:P13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1">
    <cfRule type="iconSet" priority="39">
      <iconSet iconSet="3Symbols">
        <cfvo type="percent" val="0"/>
        <cfvo type="percent" val="33"/>
        <cfvo type="percent" val="67"/>
      </iconSet>
    </cfRule>
  </conditionalFormatting>
  <conditionalFormatting sqref="W132:ED132">
    <cfRule type="cellIs" dxfId="391" priority="38" operator="greaterThan">
      <formula>V132</formula>
    </cfRule>
  </conditionalFormatting>
  <conditionalFormatting sqref="W126:ED126">
    <cfRule type="cellIs" dxfId="390" priority="37" operator="greaterThan">
      <formula>V126</formula>
    </cfRule>
  </conditionalFormatting>
  <conditionalFormatting sqref="R35:R42">
    <cfRule type="iconSet" priority="36">
      <iconSet iconSet="3Symbols">
        <cfvo type="percent" val="0"/>
        <cfvo type="percent" val="33"/>
        <cfvo type="percent" val="67"/>
      </iconSet>
    </cfRule>
  </conditionalFormatting>
  <conditionalFormatting sqref="R49:R56">
    <cfRule type="iconSet" priority="35">
      <iconSet iconSet="3Symbols">
        <cfvo type="percent" val="0"/>
        <cfvo type="percent" val="33"/>
        <cfvo type="percent" val="67"/>
      </iconSet>
    </cfRule>
  </conditionalFormatting>
  <conditionalFormatting sqref="W123:ED123">
    <cfRule type="cellIs" dxfId="389" priority="18" operator="greaterThan">
      <formula>79.9</formula>
    </cfRule>
  </conditionalFormatting>
  <conditionalFormatting sqref="W123:ED123">
    <cfRule type="cellIs" dxfId="388" priority="17" operator="lessThan">
      <formula>79.9</formula>
    </cfRule>
  </conditionalFormatting>
  <conditionalFormatting sqref="S123:T1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3:P1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3">
    <cfRule type="iconSet" priority="14">
      <iconSet iconSet="3Symbols">
        <cfvo type="percent" val="0"/>
        <cfvo type="percent" val="33"/>
        <cfvo type="percent" val="67"/>
      </iconSet>
    </cfRule>
  </conditionalFormatting>
  <conditionalFormatting sqref="S71:T7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71:P7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71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S57:T5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:P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iconSet" priority="8">
      <iconSet iconSet="3Symbols">
        <cfvo type="percent" val="0"/>
        <cfvo type="percent" val="33"/>
        <cfvo type="percent" val="67"/>
      </iconSet>
    </cfRule>
  </conditionalFormatting>
  <conditionalFormatting sqref="S43:T4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3:P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3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W64:DZ64">
    <cfRule type="cellIs" dxfId="387" priority="4" operator="greaterThan">
      <formula>V64</formula>
    </cfRule>
  </conditionalFormatting>
  <conditionalFormatting sqref="W53:ED53">
    <cfRule type="cellIs" dxfId="386" priority="3" operator="greaterThan">
      <formula>79.9</formula>
    </cfRule>
  </conditionalFormatting>
  <conditionalFormatting sqref="W53:ED53">
    <cfRule type="cellIs" dxfId="385" priority="2" operator="lessThan">
      <formula>79.9</formula>
    </cfRule>
  </conditionalFormatting>
  <conditionalFormatting sqref="N53:P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8" scale="6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FD68D-A342-470A-9F59-76247BE91603}">
  <sheetPr>
    <tabColor theme="7" tint="0.59999389629810485"/>
    <pageSetUpPr fitToPage="1"/>
  </sheetPr>
  <dimension ref="B1:M49"/>
  <sheetViews>
    <sheetView showGridLines="0" zoomScaleNormal="100" workbookViewId="0">
      <selection activeCell="B31" sqref="B31"/>
    </sheetView>
  </sheetViews>
  <sheetFormatPr defaultRowHeight="15" outlineLevelRow="2" x14ac:dyDescent="0.25"/>
  <cols>
    <col min="2" max="2" width="55.28515625" bestFit="1" customWidth="1"/>
    <col min="3" max="12" width="9.85546875" bestFit="1" customWidth="1"/>
  </cols>
  <sheetData>
    <row r="1" spans="2:13" x14ac:dyDescent="0.25">
      <c r="C1" s="1193">
        <v>0.17</v>
      </c>
      <c r="D1" s="1194">
        <v>0.22</v>
      </c>
      <c r="E1" s="1194">
        <v>0.19</v>
      </c>
      <c r="F1" s="1194">
        <v>0.18</v>
      </c>
      <c r="G1" s="1194">
        <v>0.1</v>
      </c>
      <c r="H1" s="1194">
        <v>0.08</v>
      </c>
      <c r="I1" s="1194">
        <v>0.08</v>
      </c>
      <c r="J1" s="1194">
        <v>0.08</v>
      </c>
      <c r="K1" s="1194">
        <v>0.08</v>
      </c>
      <c r="L1" s="1195">
        <v>0.08</v>
      </c>
    </row>
    <row r="2" spans="2:13" x14ac:dyDescent="0.25">
      <c r="B2" s="66" t="s">
        <v>306</v>
      </c>
      <c r="C2" s="1193">
        <v>0.37</v>
      </c>
      <c r="D2" s="1194">
        <v>0.3</v>
      </c>
      <c r="E2" s="1194">
        <v>0.3</v>
      </c>
      <c r="F2" s="1194">
        <v>0.3</v>
      </c>
      <c r="G2" s="1194">
        <v>0.3</v>
      </c>
      <c r="H2" s="1194">
        <v>0.3</v>
      </c>
      <c r="I2" s="1194">
        <v>0.3</v>
      </c>
      <c r="J2" s="1194">
        <v>0.15</v>
      </c>
      <c r="K2" s="1194">
        <v>0.12</v>
      </c>
      <c r="L2" s="1195">
        <v>0.1</v>
      </c>
    </row>
    <row r="3" spans="2:13" ht="15.75" thickBot="1" x14ac:dyDescent="0.3"/>
    <row r="4" spans="2:13" x14ac:dyDescent="0.25">
      <c r="B4" s="1055" t="s">
        <v>16</v>
      </c>
      <c r="C4" s="1062" t="s">
        <v>215</v>
      </c>
      <c r="D4" s="1060" t="s">
        <v>217</v>
      </c>
      <c r="E4" s="1060" t="s">
        <v>218</v>
      </c>
      <c r="F4" s="1060" t="s">
        <v>220</v>
      </c>
      <c r="G4" s="1060" t="s">
        <v>221</v>
      </c>
      <c r="H4" s="1060" t="s">
        <v>223</v>
      </c>
      <c r="I4" s="1060" t="s">
        <v>224</v>
      </c>
      <c r="J4" s="1060" t="s">
        <v>226</v>
      </c>
      <c r="K4" s="1060" t="s">
        <v>227</v>
      </c>
      <c r="L4" s="1061" t="s">
        <v>229</v>
      </c>
    </row>
    <row r="5" spans="2:13" x14ac:dyDescent="0.25">
      <c r="B5" s="1054" t="s">
        <v>307</v>
      </c>
      <c r="C5" s="1193">
        <v>0.08</v>
      </c>
      <c r="D5" s="1194">
        <v>0.08</v>
      </c>
      <c r="E5" s="1194">
        <v>0.08</v>
      </c>
      <c r="F5" s="1194">
        <v>0.08</v>
      </c>
      <c r="G5" s="1194">
        <v>0.08</v>
      </c>
      <c r="H5" s="1194">
        <v>0.08</v>
      </c>
      <c r="I5" s="1194">
        <v>0.08</v>
      </c>
      <c r="J5" s="1194">
        <v>0.08</v>
      </c>
      <c r="K5" s="1194">
        <v>0.08</v>
      </c>
      <c r="L5" s="1195">
        <v>0.08</v>
      </c>
    </row>
    <row r="6" spans="2:13" x14ac:dyDescent="0.25">
      <c r="B6" s="1054" t="s">
        <v>234</v>
      </c>
      <c r="C6" s="1193">
        <v>0.155</v>
      </c>
      <c r="D6" s="1194">
        <v>0.224</v>
      </c>
      <c r="E6" s="1194">
        <v>0.216</v>
      </c>
      <c r="F6" s="1194">
        <v>0.2</v>
      </c>
      <c r="G6" s="1194">
        <v>0.2</v>
      </c>
      <c r="H6" s="1194">
        <v>0.2</v>
      </c>
      <c r="I6" s="1194">
        <v>0.2</v>
      </c>
      <c r="J6" s="1194">
        <v>0.2</v>
      </c>
      <c r="K6" s="1194">
        <v>0.12</v>
      </c>
      <c r="L6" s="1195">
        <v>0.1</v>
      </c>
    </row>
    <row r="7" spans="2:13" ht="15.75" thickBot="1" x14ac:dyDescent="0.3">
      <c r="B7" s="1064" t="s">
        <v>308</v>
      </c>
      <c r="C7" s="1063">
        <f>AVERAGE(C5:C6)</f>
        <v>0.11749999999999999</v>
      </c>
      <c r="D7" s="1063">
        <f t="shared" ref="D7:L7" si="0">AVERAGE(D5:D6)</f>
        <v>0.152</v>
      </c>
      <c r="E7" s="1063">
        <f t="shared" si="0"/>
        <v>0.14799999999999999</v>
      </c>
      <c r="F7" s="1063">
        <f t="shared" si="0"/>
        <v>0.14000000000000001</v>
      </c>
      <c r="G7" s="1063">
        <f t="shared" si="0"/>
        <v>0.14000000000000001</v>
      </c>
      <c r="H7" s="1063">
        <f t="shared" si="0"/>
        <v>0.14000000000000001</v>
      </c>
      <c r="I7" s="1063">
        <f t="shared" si="0"/>
        <v>0.14000000000000001</v>
      </c>
      <c r="J7" s="1063">
        <f t="shared" si="0"/>
        <v>0.14000000000000001</v>
      </c>
      <c r="K7" s="1063">
        <f t="shared" si="0"/>
        <v>0.1</v>
      </c>
      <c r="L7" s="1063">
        <f t="shared" si="0"/>
        <v>0.09</v>
      </c>
    </row>
    <row r="9" spans="2:13" ht="15.75" thickBot="1" x14ac:dyDescent="0.3"/>
    <row r="10" spans="2:13" ht="15.75" thickBot="1" x14ac:dyDescent="0.3">
      <c r="B10" s="1051" t="s">
        <v>16</v>
      </c>
      <c r="C10" s="1049">
        <f>'Growth Predic 52 Wk on Stretch'!W5</f>
        <v>45047</v>
      </c>
      <c r="D10" s="1049">
        <f>'Growth Predic 52 Wk on Stretch'!AI5</f>
        <v>45413</v>
      </c>
      <c r="E10" s="1049">
        <f>'Growth Predic 52 Wk on Stretch'!AU5</f>
        <v>45778</v>
      </c>
      <c r="F10" s="1049">
        <f>'Growth Predic 52 Wk on Stretch'!BG5</f>
        <v>46143</v>
      </c>
      <c r="G10" s="1049">
        <f>'Growth Predic 52 Wk on Stretch'!BS5</f>
        <v>46508</v>
      </c>
      <c r="H10" s="1049">
        <f>'Growth Predic 52 Wk on Stretch'!CE5</f>
        <v>46874</v>
      </c>
      <c r="I10" s="1049">
        <f>'Growth Predic 52 Wk on Stretch'!CQ5</f>
        <v>47239</v>
      </c>
      <c r="J10" s="1049">
        <f>'Growth Predic 52 Wk on Stretch'!DC5</f>
        <v>47604</v>
      </c>
      <c r="K10" s="1049">
        <f>'Growth Predic 52 Wk on Stretch'!DO5</f>
        <v>47969</v>
      </c>
      <c r="L10" s="1050">
        <f>'Growth Predic 52 Wk on Stretch'!EA5</f>
        <v>48335</v>
      </c>
      <c r="M10" s="80"/>
    </row>
    <row r="11" spans="2:13" hidden="1" outlineLevel="1" x14ac:dyDescent="0.25">
      <c r="B11" s="1055" t="s">
        <v>309</v>
      </c>
      <c r="C11" s="1056">
        <f>SUM(C12:C13)</f>
        <v>88</v>
      </c>
      <c r="D11" s="1056">
        <f t="shared" ref="D11:L11" si="1">SUM(D12:D13)</f>
        <v>94.748907742296936</v>
      </c>
      <c r="E11" s="1056">
        <f t="shared" si="1"/>
        <v>103.62331042265905</v>
      </c>
      <c r="F11" s="1056">
        <f t="shared" si="1"/>
        <v>111.56278979476093</v>
      </c>
      <c r="G11" s="1056">
        <f t="shared" si="1"/>
        <v>119.57218913722343</v>
      </c>
      <c r="H11" s="1056">
        <f t="shared" si="1"/>
        <v>127.65671218564776</v>
      </c>
      <c r="I11" s="1056">
        <f t="shared" si="1"/>
        <v>136.8219499593263</v>
      </c>
      <c r="J11" s="1056">
        <f t="shared" si="1"/>
        <v>147.07390958450907</v>
      </c>
      <c r="K11" s="1056">
        <f t="shared" si="1"/>
        <v>158.41904526281743</v>
      </c>
      <c r="L11" s="1057">
        <f t="shared" si="1"/>
        <v>169.86429154445702</v>
      </c>
      <c r="M11" s="80"/>
    </row>
    <row r="12" spans="2:13" hidden="1" outlineLevel="2" x14ac:dyDescent="0.25">
      <c r="B12" s="1047" t="str">
        <f>'Growth Predic 52 Wk on Stretch'!N7</f>
        <v>Total Elec Team Members (FA &amp; PCB)</v>
      </c>
      <c r="C12">
        <f>'Growth Predic 52 Wk on Stretch'!V7</f>
        <v>78</v>
      </c>
      <c r="D12">
        <f>'Growth Predic 52 Wk on Stretch'!AI7</f>
        <v>86.758800851540627</v>
      </c>
      <c r="E12">
        <f>'Growth Predic 52 Wk on Stretch'!AU7</f>
        <v>94.559515650602464</v>
      </c>
      <c r="F12">
        <f>'Growth Predic 52 Wk on Stretch'!BG7</f>
        <v>101.4198229821671</v>
      </c>
      <c r="G12">
        <f>'Growth Predic 52 Wk on Stretch'!BS7</f>
        <v>109.34415797086852</v>
      </c>
      <c r="H12">
        <f>'Growth Predic 52 Wk on Stretch'!CE7</f>
        <v>116.33728582180031</v>
      </c>
      <c r="I12">
        <f>'Growth Predic 52 Wk on Stretch'!CQ7</f>
        <v>125.40432638647914</v>
      </c>
      <c r="J12">
        <f>'Growth Predic 52 Wk on Stretch'!DC7</f>
        <v>134.55078055710976</v>
      </c>
      <c r="K12">
        <f>'Growth Predic 52 Wk on Stretch'!DO7</f>
        <v>144.78255862522084</v>
      </c>
      <c r="L12" s="1040">
        <f>'Growth Predic 52 Wk on Stretch'!EA7</f>
        <v>155.10601075086925</v>
      </c>
    </row>
    <row r="13" spans="2:13" ht="15.75" hidden="1" outlineLevel="2" thickBot="1" x14ac:dyDescent="0.3">
      <c r="B13" s="1048" t="str">
        <f>'Growth Predic 52 Wk on Stretch'!N8</f>
        <v>Total HW Team Members (Ex LC)</v>
      </c>
      <c r="C13" s="1041">
        <f>'Growth Predic 52 Wk on Stretch'!V8</f>
        <v>10</v>
      </c>
      <c r="D13" s="1041">
        <f>'Growth Predic 52 Wk on Stretch'!AI8</f>
        <v>7.9901068907563024</v>
      </c>
      <c r="E13" s="1041">
        <f>'Growth Predic 52 Wk on Stretch'!AU8</f>
        <v>9.0637947720565837</v>
      </c>
      <c r="F13" s="1041">
        <f>'Growth Predic 52 Wk on Stretch'!BG8</f>
        <v>10.142966812593828</v>
      </c>
      <c r="G13" s="1041">
        <f>'Growth Predic 52 Wk on Stretch'!BS8</f>
        <v>10.228031166354905</v>
      </c>
      <c r="H13" s="1041">
        <f>'Growth Predic 52 Wk on Stretch'!CE8</f>
        <v>11.319426363847453</v>
      </c>
      <c r="I13" s="1041">
        <f>'Growth Predic 52 Wk on Stretch'!CQ8</f>
        <v>11.417623572847166</v>
      </c>
      <c r="J13" s="1041">
        <f>'Growth Predic 52 Wk on Stretch'!DC8</f>
        <v>12.523129027399298</v>
      </c>
      <c r="K13" s="1041">
        <f>'Growth Predic 52 Wk on Stretch'!DO8</f>
        <v>13.636486637596596</v>
      </c>
      <c r="L13" s="1042">
        <f>'Growth Predic 52 Wk on Stretch'!EA8</f>
        <v>14.758280793587772</v>
      </c>
    </row>
    <row r="14" spans="2:13" hidden="1" outlineLevel="1" collapsed="1" x14ac:dyDescent="0.25">
      <c r="B14" s="1055" t="s">
        <v>310</v>
      </c>
      <c r="C14" s="1056">
        <f>SUM(C15:C16)</f>
        <v>18</v>
      </c>
      <c r="D14" s="1056">
        <f t="shared" ref="D14:L14" si="2">SUM(D15:D16)</f>
        <v>8</v>
      </c>
      <c r="E14" s="1056">
        <f t="shared" si="2"/>
        <v>8</v>
      </c>
      <c r="F14" s="1056">
        <f t="shared" si="2"/>
        <v>10</v>
      </c>
      <c r="G14" s="1056">
        <f t="shared" si="2"/>
        <v>11</v>
      </c>
      <c r="H14" s="1056">
        <f t="shared" si="2"/>
        <v>12</v>
      </c>
      <c r="I14" s="1056">
        <f t="shared" si="2"/>
        <v>13</v>
      </c>
      <c r="J14" s="1056">
        <f t="shared" si="2"/>
        <v>15</v>
      </c>
      <c r="K14" s="1056">
        <f t="shared" si="2"/>
        <v>15</v>
      </c>
      <c r="L14" s="1057">
        <f t="shared" si="2"/>
        <v>17</v>
      </c>
    </row>
    <row r="15" spans="2:13" hidden="1" outlineLevel="2" x14ac:dyDescent="0.25">
      <c r="B15" s="1047" t="str">
        <f>'Growth Predic 52 Wk on Stretch'!N9</f>
        <v>Total No. of Elec FA Benches</v>
      </c>
      <c r="C15">
        <f>'Growth Predic 52 Wk on Stretch'!V9</f>
        <v>10</v>
      </c>
      <c r="D15">
        <f>'Growth Predic 52 Wk on Stretch'!AI9</f>
        <v>8</v>
      </c>
      <c r="E15">
        <f>'Growth Predic 52 Wk on Stretch'!AU9</f>
        <v>8</v>
      </c>
      <c r="F15">
        <f>'Growth Predic 52 Wk on Stretch'!BG9</f>
        <v>10</v>
      </c>
      <c r="G15">
        <f>'Growth Predic 52 Wk on Stretch'!BS9</f>
        <v>11</v>
      </c>
      <c r="H15">
        <f>'Growth Predic 52 Wk on Stretch'!CE9</f>
        <v>12</v>
      </c>
      <c r="I15">
        <f>'Growth Predic 52 Wk on Stretch'!CQ9</f>
        <v>13</v>
      </c>
      <c r="J15">
        <f>'Growth Predic 52 Wk on Stretch'!DC9</f>
        <v>15</v>
      </c>
      <c r="K15">
        <f>'Growth Predic 52 Wk on Stretch'!DO9</f>
        <v>15</v>
      </c>
      <c r="L15" s="1040">
        <f>'Growth Predic 52 Wk on Stretch'!EA9</f>
        <v>17</v>
      </c>
    </row>
    <row r="16" spans="2:13" ht="15.75" hidden="1" outlineLevel="2" thickBot="1" x14ac:dyDescent="0.3">
      <c r="B16" s="1048" t="str">
        <f>'Growth Predic 52 Wk on Stretch'!N14</f>
        <v>Total No. of HW Benches</v>
      </c>
      <c r="C16" s="1041">
        <f>'Growth Predic 52 Wk on Stretch'!V14</f>
        <v>8</v>
      </c>
      <c r="D16" s="1041">
        <f>'Growth Predic 52 Wk on Stretch'!AI14</f>
        <v>0</v>
      </c>
      <c r="E16" s="1041">
        <f>'Growth Predic 52 Wk on Stretch'!AU14</f>
        <v>0</v>
      </c>
      <c r="F16" s="1041">
        <f>'Growth Predic 52 Wk on Stretch'!BG14</f>
        <v>0</v>
      </c>
      <c r="G16" s="1041">
        <f>'Growth Predic 52 Wk on Stretch'!BS14</f>
        <v>0</v>
      </c>
      <c r="H16" s="1041">
        <f>'Growth Predic 52 Wk on Stretch'!CE14</f>
        <v>0</v>
      </c>
      <c r="I16" s="1041">
        <f>'Growth Predic 52 Wk on Stretch'!CQ14</f>
        <v>0</v>
      </c>
      <c r="J16" s="1041">
        <f>'Growth Predic 52 Wk on Stretch'!DC14</f>
        <v>0</v>
      </c>
      <c r="K16" s="1041">
        <f>'Growth Predic 52 Wk on Stretch'!DO14</f>
        <v>0</v>
      </c>
      <c r="L16" s="1042">
        <f>'Growth Predic 52 Wk on Stretch'!EA14</f>
        <v>0</v>
      </c>
    </row>
    <row r="17" spans="2:12" ht="15.75" collapsed="1" thickBot="1" x14ac:dyDescent="0.3">
      <c r="B17" s="1046" t="str">
        <f>'Growth Predic 52 Wk on Stretch'!N28</f>
        <v>Overall SqM Req Factory and Stores</v>
      </c>
      <c r="C17" s="1142">
        <f>'Growth Predic 52 Wk on Stretch'!V28</f>
        <v>8794</v>
      </c>
      <c r="D17" s="1142">
        <f>'Growth Predic 52 Wk on Stretch'!AI28</f>
        <v>5201.4444444444443</v>
      </c>
      <c r="E17" s="1142">
        <f>'Growth Predic 52 Wk on Stretch'!AU28</f>
        <v>5281.4444444444443</v>
      </c>
      <c r="F17" s="1142">
        <f>'Growth Predic 52 Wk on Stretch'!BG28</f>
        <v>6153.5555555555557</v>
      </c>
      <c r="G17" s="1142">
        <f>'Growth Predic 52 Wk on Stretch'!BS28</f>
        <v>6550.1111111111113</v>
      </c>
      <c r="H17" s="1142">
        <f>'Growth Predic 52 Wk on Stretch'!CE28</f>
        <v>7026.6666666666661</v>
      </c>
      <c r="I17" s="1142">
        <f>'Growth Predic 52 Wk on Stretch'!CQ28</f>
        <v>7423.2222222222226</v>
      </c>
      <c r="J17" s="1142">
        <f>'Growth Predic 52 Wk on Stretch'!DC28</f>
        <v>8375.3333333333321</v>
      </c>
      <c r="K17" s="1142">
        <f>'Growth Predic 52 Wk on Stretch'!DO28</f>
        <v>8455.3333333333321</v>
      </c>
      <c r="L17" s="1143">
        <f>'Growth Predic 52 Wk on Stretch'!EA28</f>
        <v>9407.4444444444453</v>
      </c>
    </row>
    <row r="18" spans="2:12" s="35" customFormat="1" hidden="1" x14ac:dyDescent="0.25">
      <c r="B18" s="1046" t="str">
        <f>'Growth Predic 52 Wk on Stretch'!N27</f>
        <v>Total SqM Req for HW, LC, FA, PCB &amp; PE</v>
      </c>
      <c r="C18" s="1142">
        <f>'Growth Predic 52 Wk on Stretch'!V27</f>
        <v>4581</v>
      </c>
      <c r="D18" s="1142">
        <f>'Growth Predic 52 Wk on Stretch'!AI27</f>
        <v>3329</v>
      </c>
      <c r="E18" s="1142">
        <f>'Growth Predic 52 Wk on Stretch'!AU27</f>
        <v>3409</v>
      </c>
      <c r="F18" s="1142">
        <f>'Growth Predic 52 Wk on Stretch'!BG27</f>
        <v>3813</v>
      </c>
      <c r="G18" s="1142">
        <f>'Growth Predic 52 Wk on Stretch'!BS27</f>
        <v>3975.5</v>
      </c>
      <c r="H18" s="1142">
        <f>'Growth Predic 52 Wk on Stretch'!CE27</f>
        <v>4218</v>
      </c>
      <c r="I18" s="1142">
        <f>'Growth Predic 52 Wk on Stretch'!CQ27</f>
        <v>4380.5</v>
      </c>
      <c r="J18" s="1142">
        <f>'Growth Predic 52 Wk on Stretch'!DC27</f>
        <v>4864.5</v>
      </c>
      <c r="K18" s="1142">
        <f>'Growth Predic 52 Wk on Stretch'!DO27</f>
        <v>4944.5</v>
      </c>
      <c r="L18" s="1143">
        <f>'Growth Predic 52 Wk on Stretch'!EA27</f>
        <v>5428.5</v>
      </c>
    </row>
    <row r="19" spans="2:12" s="35" customFormat="1" ht="15.75" hidden="1" thickBot="1" x14ac:dyDescent="0.3">
      <c r="B19" s="1189" t="str">
        <f>'Growth Predic 52 Wk on Stretch'!N26</f>
        <v>Sq M Req for EFA/EL/RMP based off FA Lines</v>
      </c>
      <c r="C19" s="1190">
        <f>'Growth Predic 52 Wk on Stretch'!V26</f>
        <v>4213</v>
      </c>
      <c r="D19" s="1190">
        <f>'Growth Predic 52 Wk on Stretch'!AI26</f>
        <v>1872.4444444444443</v>
      </c>
      <c r="E19" s="1190">
        <f>'Growth Predic 52 Wk on Stretch'!AU26</f>
        <v>1872.4444444444443</v>
      </c>
      <c r="F19" s="1190">
        <f>'Growth Predic 52 Wk on Stretch'!BG26</f>
        <v>2340.5555555555557</v>
      </c>
      <c r="G19" s="1190">
        <f>'Growth Predic 52 Wk on Stretch'!BS26</f>
        <v>2574.6111111111109</v>
      </c>
      <c r="H19" s="1190">
        <f>'Growth Predic 52 Wk on Stretch'!CE26</f>
        <v>2808.6666666666665</v>
      </c>
      <c r="I19" s="1190">
        <f>'Growth Predic 52 Wk on Stretch'!CQ26</f>
        <v>3042.7222222222222</v>
      </c>
      <c r="J19" s="1190">
        <f>'Growth Predic 52 Wk on Stretch'!DC26</f>
        <v>3510.833333333333</v>
      </c>
      <c r="K19" s="1190">
        <f>'Growth Predic 52 Wk on Stretch'!DO26</f>
        <v>3510.833333333333</v>
      </c>
      <c r="L19" s="1191">
        <f>'Growth Predic 52 Wk on Stretch'!EA26</f>
        <v>3978.9444444444443</v>
      </c>
    </row>
    <row r="20" spans="2:12" s="35" customFormat="1" hidden="1" outlineLevel="1" x14ac:dyDescent="0.25">
      <c r="B20" s="1052" t="str">
        <f>'Growth Predic 52 Wk on Stretch'!N13</f>
        <v>Total SqM Req for FA &amp; Modules</v>
      </c>
      <c r="C20" s="1144">
        <f>'Growth Predic 52 Wk on Stretch'!V13</f>
        <v>2182</v>
      </c>
      <c r="D20" s="1144">
        <f>'Growth Predic 52 Wk on Stretch'!AI13</f>
        <v>1618</v>
      </c>
      <c r="E20" s="1144">
        <f>'Growth Predic 52 Wk on Stretch'!AU13</f>
        <v>1698</v>
      </c>
      <c r="F20" s="1144">
        <f>'Growth Predic 52 Wk on Stretch'!BG13</f>
        <v>2102</v>
      </c>
      <c r="G20" s="1144">
        <f>'Growth Predic 52 Wk on Stretch'!BS13</f>
        <v>2264.5</v>
      </c>
      <c r="H20" s="1144">
        <f>'Growth Predic 52 Wk on Stretch'!CE13</f>
        <v>2507</v>
      </c>
      <c r="I20" s="1144">
        <f>'Growth Predic 52 Wk on Stretch'!CQ13</f>
        <v>2669.5</v>
      </c>
      <c r="J20" s="1144">
        <f>'Growth Predic 52 Wk on Stretch'!DC13</f>
        <v>3153.5</v>
      </c>
      <c r="K20" s="1144">
        <f>'Growth Predic 52 Wk on Stretch'!DO13</f>
        <v>3233.5</v>
      </c>
      <c r="L20" s="1145">
        <f>'Growth Predic 52 Wk on Stretch'!EA13</f>
        <v>3717.5</v>
      </c>
    </row>
    <row r="21" spans="2:12" hidden="1" outlineLevel="1" x14ac:dyDescent="0.25">
      <c r="B21" s="1047" t="str">
        <f>'Growth Predic 52 Wk on Stretch'!N10</f>
        <v>Sq M Required for FA Benches</v>
      </c>
      <c r="C21" s="11">
        <f>'Growth Predic 52 Wk on Stretch'!V10</f>
        <v>825</v>
      </c>
      <c r="D21" s="11">
        <f>'Growth Predic 52 Wk on Stretch'!AI10</f>
        <v>660</v>
      </c>
      <c r="E21" s="11">
        <f>'Growth Predic 52 Wk on Stretch'!AU10</f>
        <v>660</v>
      </c>
      <c r="F21" s="11">
        <f>'Growth Predic 52 Wk on Stretch'!BG10</f>
        <v>825</v>
      </c>
      <c r="G21" s="11">
        <f>'Growth Predic 52 Wk on Stretch'!BS10</f>
        <v>907.5</v>
      </c>
      <c r="H21" s="11">
        <f>'Growth Predic 52 Wk on Stretch'!CE10</f>
        <v>990</v>
      </c>
      <c r="I21" s="11">
        <f>'Growth Predic 52 Wk on Stretch'!CQ10</f>
        <v>1072.5</v>
      </c>
      <c r="J21" s="11">
        <f>'Growth Predic 52 Wk on Stretch'!DC10</f>
        <v>1237.5</v>
      </c>
      <c r="K21" s="11">
        <f>'Growth Predic 52 Wk on Stretch'!DO10</f>
        <v>1237.5</v>
      </c>
      <c r="L21" s="1146">
        <f>'Growth Predic 52 Wk on Stretch'!EA10</f>
        <v>1402.5</v>
      </c>
    </row>
    <row r="22" spans="2:12" hidden="1" outlineLevel="1" x14ac:dyDescent="0.25">
      <c r="B22" s="1047" t="str">
        <f>'Growth Predic 52 Wk on Stretch'!N11</f>
        <v>Sq M Required for SMT</v>
      </c>
      <c r="C22" s="11">
        <f>'Growth Predic 52 Wk on Stretch'!V11</f>
        <v>717</v>
      </c>
      <c r="D22" s="11">
        <f>'Growth Predic 52 Wk on Stretch'!AI11</f>
        <v>478</v>
      </c>
      <c r="E22" s="11">
        <f>'Growth Predic 52 Wk on Stretch'!AU11</f>
        <v>478</v>
      </c>
      <c r="F22" s="11">
        <f>'Growth Predic 52 Wk on Stretch'!BG11</f>
        <v>717</v>
      </c>
      <c r="G22" s="11">
        <f>'Growth Predic 52 Wk on Stretch'!BS11</f>
        <v>717</v>
      </c>
      <c r="H22" s="11">
        <f>'Growth Predic 52 Wk on Stretch'!CE11</f>
        <v>717</v>
      </c>
      <c r="I22" s="11">
        <f>'Growth Predic 52 Wk on Stretch'!CQ11</f>
        <v>717</v>
      </c>
      <c r="J22" s="11">
        <f>'Growth Predic 52 Wk on Stretch'!DC11</f>
        <v>956</v>
      </c>
      <c r="K22" s="11">
        <f>'Growth Predic 52 Wk on Stretch'!DO11</f>
        <v>956</v>
      </c>
      <c r="L22" s="1146">
        <f>'Growth Predic 52 Wk on Stretch'!EA11</f>
        <v>1195</v>
      </c>
    </row>
    <row r="23" spans="2:12" hidden="1" outlineLevel="1" x14ac:dyDescent="0.25">
      <c r="B23" s="1053" t="str">
        <f>'Growth Predic 52 Wk on Stretch'!N12</f>
        <v>Sq M Required for RPS &amp; PVA</v>
      </c>
      <c r="C23" s="1147">
        <f>'Growth Predic 52 Wk on Stretch'!V12</f>
        <v>640</v>
      </c>
      <c r="D23" s="1147">
        <f>'Growth Predic 52 Wk on Stretch'!AI12</f>
        <v>480</v>
      </c>
      <c r="E23" s="1147">
        <f>'Growth Predic 52 Wk on Stretch'!AU12</f>
        <v>560</v>
      </c>
      <c r="F23" s="1147">
        <f>'Growth Predic 52 Wk on Stretch'!BG12</f>
        <v>560</v>
      </c>
      <c r="G23" s="1147">
        <f>'Growth Predic 52 Wk on Stretch'!BS12</f>
        <v>640</v>
      </c>
      <c r="H23" s="1147">
        <f>'Growth Predic 52 Wk on Stretch'!CE12</f>
        <v>800</v>
      </c>
      <c r="I23" s="1147">
        <f>'Growth Predic 52 Wk on Stretch'!CQ12</f>
        <v>880</v>
      </c>
      <c r="J23" s="1147">
        <f>'Growth Predic 52 Wk on Stretch'!DC12</f>
        <v>960</v>
      </c>
      <c r="K23" s="1147">
        <f>'Growth Predic 52 Wk on Stretch'!DO12</f>
        <v>1040</v>
      </c>
      <c r="L23" s="1148">
        <f>'Growth Predic 52 Wk on Stretch'!EA12</f>
        <v>1120</v>
      </c>
    </row>
    <row r="24" spans="2:12" ht="15.75" hidden="1" outlineLevel="1" thickBot="1" x14ac:dyDescent="0.3">
      <c r="B24" s="1048" t="str">
        <f>'Growth Predic 52 Wk on Stretch'!N15</f>
        <v>Sq M Required for HW Benches</v>
      </c>
      <c r="C24" s="1149">
        <f>'Growth Predic 52 Wk on Stretch'!V15</f>
        <v>660</v>
      </c>
      <c r="D24" s="1149">
        <f>'Growth Predic 52 Wk on Stretch'!AI15</f>
        <v>0</v>
      </c>
      <c r="E24" s="1149">
        <f>'Growth Predic 52 Wk on Stretch'!AU15</f>
        <v>0</v>
      </c>
      <c r="F24" s="1149">
        <f>'Growth Predic 52 Wk on Stretch'!BG15</f>
        <v>0</v>
      </c>
      <c r="G24" s="1149">
        <f>'Growth Predic 52 Wk on Stretch'!BS15</f>
        <v>0</v>
      </c>
      <c r="H24" s="1149">
        <f>'Growth Predic 52 Wk on Stretch'!CE15</f>
        <v>0</v>
      </c>
      <c r="I24" s="1149">
        <f>'Growth Predic 52 Wk on Stretch'!CQ15</f>
        <v>0</v>
      </c>
      <c r="J24" s="1149">
        <f>'Growth Predic 52 Wk on Stretch'!DC15</f>
        <v>0</v>
      </c>
      <c r="K24" s="1149">
        <f>'Growth Predic 52 Wk on Stretch'!DO15</f>
        <v>0</v>
      </c>
      <c r="L24" s="1150">
        <f>'Growth Predic 52 Wk on Stretch'!EA15</f>
        <v>0</v>
      </c>
    </row>
    <row r="25" spans="2:12" s="35" customFormat="1" collapsed="1" x14ac:dyDescent="0.25">
      <c r="B25" s="1055" t="str">
        <f>'Growth Predic 52 Wk on Stretch'!N32</f>
        <v>Group Revenue</v>
      </c>
      <c r="C25" s="1058">
        <f>'Growth Predic 52 Wk on Stretch'!V32</f>
        <v>401</v>
      </c>
      <c r="D25" s="1058">
        <f>'Growth Predic 52 Wk on Stretch'!AI32</f>
        <v>446.88</v>
      </c>
      <c r="E25" s="1058">
        <f>'Growth Predic 52 Wk on Stretch'!AU32</f>
        <v>513.23328000000004</v>
      </c>
      <c r="F25" s="1058">
        <f>'Growth Predic 52 Wk on Stretch'!BG32</f>
        <v>589.66887168000005</v>
      </c>
      <c r="G25" s="1058">
        <f>'Growth Predic 52 Wk on Stretch'!BS32</f>
        <v>674.79974553600005</v>
      </c>
      <c r="H25" s="1058">
        <f>'Growth Predic 52 Wk on Stretch'!CE32</f>
        <v>774.33256212480001</v>
      </c>
      <c r="I25" s="1058">
        <f>'Growth Predic 52 Wk on Stretch'!CQ32</f>
        <v>890.93777142988802</v>
      </c>
      <c r="J25" s="1058">
        <f>'Growth Predic 52 Wk on Stretch'!DC32</f>
        <v>1027.8031183464038</v>
      </c>
      <c r="K25" s="1058">
        <f>'Growth Predic 52 Wk on Stretch'!DO32</f>
        <v>1188.7357580566659</v>
      </c>
      <c r="L25" s="1059">
        <f>'Growth Predic 52 Wk on Stretch'!EA32</f>
        <v>1315.317974798219</v>
      </c>
    </row>
    <row r="26" spans="2:12" outlineLevel="1" x14ac:dyDescent="0.25">
      <c r="B26" s="1047" t="str">
        <f>'Growth Predic 52 Wk on Stretch'!N30</f>
        <v>AM Revenue</v>
      </c>
      <c r="C26" s="111">
        <f>'Growth Predic 52 Wk on Stretch'!V30</f>
        <v>217</v>
      </c>
      <c r="D26" s="111">
        <f>'Growth Predic 52 Wk on Stretch'!AI30</f>
        <v>234.36</v>
      </c>
      <c r="E26" s="111">
        <f>'Growth Predic 52 Wk on Stretch'!AU30</f>
        <v>253.10880000000003</v>
      </c>
      <c r="F26" s="111">
        <f>'Growth Predic 52 Wk on Stretch'!BG30</f>
        <v>273.35750400000006</v>
      </c>
      <c r="G26" s="111">
        <f>'Growth Predic 52 Wk on Stretch'!BS30</f>
        <v>295.22610432000005</v>
      </c>
      <c r="H26" s="111">
        <f>'Growth Predic 52 Wk on Stretch'!CE30</f>
        <v>318.84419266560008</v>
      </c>
      <c r="I26" s="111">
        <f>'Growth Predic 52 Wk on Stretch'!CQ30</f>
        <v>344.35172807884805</v>
      </c>
      <c r="J26" s="111">
        <f>'Growth Predic 52 Wk on Stretch'!DC30</f>
        <v>371.89986632515593</v>
      </c>
      <c r="K26" s="111">
        <f>'Growth Predic 52 Wk on Stretch'!DO30</f>
        <v>401.65185563116842</v>
      </c>
      <c r="L26" s="1043">
        <f>'Growth Predic 52 Wk on Stretch'!EA30</f>
        <v>433.78400408166192</v>
      </c>
    </row>
    <row r="27" spans="2:12" ht="15.75" outlineLevel="1" thickBot="1" x14ac:dyDescent="0.3">
      <c r="B27" s="1048" t="str">
        <f>'Growth Predic 52 Wk on Stretch'!N31</f>
        <v>SEC Revenue</v>
      </c>
      <c r="C27" s="1044">
        <f>'Growth Predic 52 Wk on Stretch'!V31</f>
        <v>184</v>
      </c>
      <c r="D27" s="1044">
        <f>'Growth Predic 52 Wk on Stretch'!AI31</f>
        <v>212.52</v>
      </c>
      <c r="E27" s="1044">
        <f>'Growth Predic 52 Wk on Stretch'!AU31</f>
        <v>260.12448000000001</v>
      </c>
      <c r="F27" s="1044">
        <f>'Growth Predic 52 Wk on Stretch'!BG31</f>
        <v>316.31136767999999</v>
      </c>
      <c r="G27" s="1044">
        <f>'Growth Predic 52 Wk on Stretch'!BS31</f>
        <v>379.573641216</v>
      </c>
      <c r="H27" s="1044">
        <f>'Growth Predic 52 Wk on Stretch'!CE31</f>
        <v>455.48836945919999</v>
      </c>
      <c r="I27" s="1044">
        <f>'Growth Predic 52 Wk on Stretch'!CQ31</f>
        <v>546.58604335103996</v>
      </c>
      <c r="J27" s="1044">
        <f>'Growth Predic 52 Wk on Stretch'!DC31</f>
        <v>655.90325202124791</v>
      </c>
      <c r="K27" s="1044">
        <f>'Growth Predic 52 Wk on Stretch'!DO31</f>
        <v>787.08390242549751</v>
      </c>
      <c r="L27" s="1045">
        <f>'Growth Predic 52 Wk on Stretch'!EA31</f>
        <v>881.53397071655718</v>
      </c>
    </row>
    <row r="28" spans="2:12" ht="15.75" thickBot="1" x14ac:dyDescent="0.3"/>
    <row r="29" spans="2:12" x14ac:dyDescent="0.25">
      <c r="B29" s="1210" t="s">
        <v>311</v>
      </c>
      <c r="C29" s="1214">
        <v>12766</v>
      </c>
      <c r="D29" s="658" t="s">
        <v>312</v>
      </c>
      <c r="E29" s="658"/>
      <c r="F29" s="658"/>
      <c r="G29" s="658"/>
      <c r="H29" s="658"/>
      <c r="I29" s="658"/>
      <c r="J29" s="658"/>
      <c r="K29" s="658"/>
      <c r="L29" s="398"/>
    </row>
    <row r="30" spans="2:12" x14ac:dyDescent="0.25">
      <c r="B30" s="1211" t="s">
        <v>313</v>
      </c>
      <c r="C30" s="1215">
        <v>2600</v>
      </c>
      <c r="D30" s="1196">
        <f>D$10</f>
        <v>45413</v>
      </c>
      <c r="E30" s="1196">
        <f t="shared" ref="E30:L30" si="3">E$10</f>
        <v>45778</v>
      </c>
      <c r="F30" s="1196">
        <f t="shared" si="3"/>
        <v>46143</v>
      </c>
      <c r="G30" s="1196">
        <f t="shared" si="3"/>
        <v>46508</v>
      </c>
      <c r="H30" s="1196">
        <f t="shared" si="3"/>
        <v>46874</v>
      </c>
      <c r="I30" s="1196">
        <f t="shared" si="3"/>
        <v>47239</v>
      </c>
      <c r="J30" s="1196">
        <f t="shared" si="3"/>
        <v>47604</v>
      </c>
      <c r="K30" s="1196">
        <f t="shared" si="3"/>
        <v>47969</v>
      </c>
      <c r="L30" s="1201">
        <f t="shared" si="3"/>
        <v>48335</v>
      </c>
    </row>
    <row r="31" spans="2:12" x14ac:dyDescent="0.25">
      <c r="B31" s="1211" t="s">
        <v>314</v>
      </c>
      <c r="C31" s="1216">
        <f>C17-$C$29</f>
        <v>-3972</v>
      </c>
      <c r="D31" s="1197">
        <f t="shared" ref="D31:L31" si="4">D17-$C$29</f>
        <v>-7564.5555555555557</v>
      </c>
      <c r="E31" s="1197">
        <f t="shared" si="4"/>
        <v>-7484.5555555555557</v>
      </c>
      <c r="F31" s="1197">
        <f t="shared" si="4"/>
        <v>-6612.4444444444443</v>
      </c>
      <c r="G31" s="1197">
        <f t="shared" si="4"/>
        <v>-6215.8888888888887</v>
      </c>
      <c r="H31" s="1197">
        <f t="shared" si="4"/>
        <v>-5739.3333333333339</v>
      </c>
      <c r="I31" s="1197">
        <f t="shared" si="4"/>
        <v>-5342.7777777777774</v>
      </c>
      <c r="J31" s="1197">
        <f t="shared" si="4"/>
        <v>-4390.6666666666679</v>
      </c>
      <c r="K31" s="1197">
        <f t="shared" si="4"/>
        <v>-4310.6666666666679</v>
      </c>
      <c r="L31" s="1202">
        <f t="shared" si="4"/>
        <v>-3358.5555555555547</v>
      </c>
    </row>
    <row r="32" spans="2:12" outlineLevel="1" x14ac:dyDescent="0.25">
      <c r="B32" s="1212" t="str">
        <f>"Loss of Revenue per Yr based " &amp; $C$29&amp;" SqM"</f>
        <v>Loss of Revenue per Yr based 12766 SqM</v>
      </c>
      <c r="C32" s="1217">
        <f>IF(C31&lt;0,0,C25-B25)</f>
        <v>0</v>
      </c>
      <c r="D32" s="1198">
        <f>IF(D31&lt;0,0,D25-C25)</f>
        <v>0</v>
      </c>
      <c r="E32" s="1198">
        <f>IF(E31&lt;0,0,E25-D25)</f>
        <v>0</v>
      </c>
      <c r="F32" s="1198">
        <f>IF(F31&lt;0,0,F25-E25)</f>
        <v>0</v>
      </c>
      <c r="G32" s="1198">
        <f t="shared" ref="G32:L32" si="5">IF(G31&lt;0,0,G25-F25)</f>
        <v>0</v>
      </c>
      <c r="H32" s="1198">
        <f t="shared" si="5"/>
        <v>0</v>
      </c>
      <c r="I32" s="1198">
        <f t="shared" si="5"/>
        <v>0</v>
      </c>
      <c r="J32" s="1198">
        <f t="shared" si="5"/>
        <v>0</v>
      </c>
      <c r="K32" s="1198">
        <f t="shared" si="5"/>
        <v>0</v>
      </c>
      <c r="L32" s="1203">
        <f t="shared" si="5"/>
        <v>0</v>
      </c>
    </row>
    <row r="33" spans="2:12" x14ac:dyDescent="0.25">
      <c r="B33" s="1212" t="str">
        <f>"Accumulated Loss of Revenue based " &amp; $C$29&amp;" SqM"</f>
        <v>Accumulated Loss of Revenue based 12766 SqM</v>
      </c>
      <c r="C33" s="1218">
        <f>C32</f>
        <v>0</v>
      </c>
      <c r="D33" s="1199">
        <f>SUM(C32:D32)</f>
        <v>0</v>
      </c>
      <c r="E33" s="1199">
        <f>SUM(C32:E32)</f>
        <v>0</v>
      </c>
      <c r="F33" s="1199">
        <f>SUM(C32:F32)</f>
        <v>0</v>
      </c>
      <c r="G33" s="1199">
        <f>SUM(C32:G32)</f>
        <v>0</v>
      </c>
      <c r="H33" s="1199">
        <f>SUM(C32:H32)</f>
        <v>0</v>
      </c>
      <c r="I33" s="1199">
        <f>SUM(C32:I32)</f>
        <v>0</v>
      </c>
      <c r="J33" s="1199">
        <f>SUM(C32:J32)</f>
        <v>0</v>
      </c>
      <c r="K33" s="1199">
        <f>SUM(C32:K32)</f>
        <v>0</v>
      </c>
      <c r="L33" s="1204">
        <f>SUM(C32:L32)</f>
        <v>0</v>
      </c>
    </row>
    <row r="34" spans="2:12" x14ac:dyDescent="0.25">
      <c r="B34" s="1211" t="s">
        <v>315</v>
      </c>
      <c r="C34" s="1219">
        <f>IF(C31&lt;0,0,$C$29+C31)</f>
        <v>0</v>
      </c>
      <c r="D34" s="1200">
        <f t="shared" ref="D34:L34" si="6">IF(D31&lt;0,0,$C$29+D31)</f>
        <v>0</v>
      </c>
      <c r="E34" s="1200">
        <f t="shared" si="6"/>
        <v>0</v>
      </c>
      <c r="F34" s="1200">
        <f t="shared" si="6"/>
        <v>0</v>
      </c>
      <c r="G34" s="1200">
        <f t="shared" si="6"/>
        <v>0</v>
      </c>
      <c r="H34" s="1200">
        <f t="shared" si="6"/>
        <v>0</v>
      </c>
      <c r="I34" s="1200">
        <f t="shared" si="6"/>
        <v>0</v>
      </c>
      <c r="J34" s="1200">
        <f t="shared" si="6"/>
        <v>0</v>
      </c>
      <c r="K34" s="1200">
        <f t="shared" si="6"/>
        <v>0</v>
      </c>
      <c r="L34" s="1205">
        <f t="shared" si="6"/>
        <v>0</v>
      </c>
    </row>
    <row r="35" spans="2:12" ht="15.75" thickBot="1" x14ac:dyDescent="0.3">
      <c r="B35" s="1213" t="str">
        <f>"Additional Cost to Build Suggested Factory @ $" &amp;$C$30&amp;" Per SqM"</f>
        <v>Additional Cost to Build Suggested Factory @ $2600 Per SqM</v>
      </c>
      <c r="C35" s="1220">
        <f>IF(C31&lt;0,0,C31*$C$30)/1000000</f>
        <v>0</v>
      </c>
      <c r="D35" s="1206">
        <f t="shared" ref="D35:L35" si="7">IF(D31&lt;0,0,D31*$C$30)/1000000</f>
        <v>0</v>
      </c>
      <c r="E35" s="1206">
        <f t="shared" si="7"/>
        <v>0</v>
      </c>
      <c r="F35" s="1206">
        <f t="shared" si="7"/>
        <v>0</v>
      </c>
      <c r="G35" s="1206">
        <f t="shared" si="7"/>
        <v>0</v>
      </c>
      <c r="H35" s="1206">
        <f t="shared" si="7"/>
        <v>0</v>
      </c>
      <c r="I35" s="1206">
        <f t="shared" si="7"/>
        <v>0</v>
      </c>
      <c r="J35" s="1206">
        <f t="shared" si="7"/>
        <v>0</v>
      </c>
      <c r="K35" s="1206">
        <f t="shared" si="7"/>
        <v>0</v>
      </c>
      <c r="L35" s="1207">
        <f t="shared" si="7"/>
        <v>0</v>
      </c>
    </row>
    <row r="36" spans="2:12" ht="15.75" thickBot="1" x14ac:dyDescent="0.3">
      <c r="B36" s="387"/>
    </row>
    <row r="37" spans="2:12" x14ac:dyDescent="0.25">
      <c r="B37" s="1210" t="s">
        <v>316</v>
      </c>
      <c r="C37" s="1221">
        <v>0.25</v>
      </c>
      <c r="D37" s="1208">
        <f>D$10</f>
        <v>45413</v>
      </c>
      <c r="E37" s="1208">
        <f t="shared" ref="E37:L37" si="8">E$10</f>
        <v>45778</v>
      </c>
      <c r="F37" s="1208">
        <f t="shared" si="8"/>
        <v>46143</v>
      </c>
      <c r="G37" s="1208">
        <f t="shared" si="8"/>
        <v>46508</v>
      </c>
      <c r="H37" s="1208">
        <f t="shared" si="8"/>
        <v>46874</v>
      </c>
      <c r="I37" s="1208">
        <f t="shared" si="8"/>
        <v>47239</v>
      </c>
      <c r="J37" s="1208">
        <f t="shared" si="8"/>
        <v>47604</v>
      </c>
      <c r="K37" s="1208">
        <f t="shared" si="8"/>
        <v>47969</v>
      </c>
      <c r="L37" s="1209">
        <f t="shared" si="8"/>
        <v>48335</v>
      </c>
    </row>
    <row r="38" spans="2:12" x14ac:dyDescent="0.25">
      <c r="B38" s="1211" t="s">
        <v>317</v>
      </c>
      <c r="C38" s="1216">
        <f t="shared" ref="C38:L38" si="9">(C$18+(C$19-(C$19*$C$37)))-$C$29</f>
        <v>-5025.25</v>
      </c>
      <c r="D38" s="1197">
        <f t="shared" si="9"/>
        <v>-8032.666666666667</v>
      </c>
      <c r="E38" s="1197">
        <f t="shared" si="9"/>
        <v>-7952.666666666667</v>
      </c>
      <c r="F38" s="1197">
        <f t="shared" si="9"/>
        <v>-7197.583333333333</v>
      </c>
      <c r="G38" s="1197">
        <f t="shared" si="9"/>
        <v>-6859.541666666667</v>
      </c>
      <c r="H38" s="1197">
        <f t="shared" si="9"/>
        <v>-6441.5</v>
      </c>
      <c r="I38" s="1197">
        <f t="shared" si="9"/>
        <v>-6103.4583333333339</v>
      </c>
      <c r="J38" s="1197">
        <f t="shared" si="9"/>
        <v>-5268.375</v>
      </c>
      <c r="K38" s="1197">
        <f t="shared" si="9"/>
        <v>-5188.375</v>
      </c>
      <c r="L38" s="1202">
        <f t="shared" si="9"/>
        <v>-4353.2916666666679</v>
      </c>
    </row>
    <row r="39" spans="2:12" outlineLevel="1" x14ac:dyDescent="0.25">
      <c r="B39" s="1212" t="str">
        <f>"Loss of Revenue per Yr based " &amp; $C$29&amp;" SqM"</f>
        <v>Loss of Revenue per Yr based 12766 SqM</v>
      </c>
      <c r="C39" s="1217">
        <f>IF(C38&lt;0,0,C$25-B$25)</f>
        <v>0</v>
      </c>
      <c r="D39" s="1198">
        <f t="shared" ref="D39:L39" si="10">IF(D38&lt;0,0,D$25-C$25)</f>
        <v>0</v>
      </c>
      <c r="E39" s="1198">
        <f t="shared" si="10"/>
        <v>0</v>
      </c>
      <c r="F39" s="1198">
        <f t="shared" si="10"/>
        <v>0</v>
      </c>
      <c r="G39" s="1198">
        <f t="shared" si="10"/>
        <v>0</v>
      </c>
      <c r="H39" s="1198">
        <f t="shared" si="10"/>
        <v>0</v>
      </c>
      <c r="I39" s="1198">
        <f t="shared" si="10"/>
        <v>0</v>
      </c>
      <c r="J39" s="1198">
        <f t="shared" si="10"/>
        <v>0</v>
      </c>
      <c r="K39" s="1198">
        <f t="shared" si="10"/>
        <v>0</v>
      </c>
      <c r="L39" s="1203">
        <f t="shared" si="10"/>
        <v>0</v>
      </c>
    </row>
    <row r="40" spans="2:12" x14ac:dyDescent="0.25">
      <c r="B40" s="1212" t="str">
        <f>"Accumulated Loss of Revenue based " &amp; $C$29&amp;" SqM"</f>
        <v>Accumulated Loss of Revenue based 12766 SqM</v>
      </c>
      <c r="C40" s="1218">
        <f>C39</f>
        <v>0</v>
      </c>
      <c r="D40" s="1199">
        <f>SUM(C39:D39)</f>
        <v>0</v>
      </c>
      <c r="E40" s="1199">
        <f>SUM(C39:E39)</f>
        <v>0</v>
      </c>
      <c r="F40" s="1199">
        <f>SUM(C39:F39)</f>
        <v>0</v>
      </c>
      <c r="G40" s="1199">
        <f>SUM(C39:G39)</f>
        <v>0</v>
      </c>
      <c r="H40" s="1199">
        <f>SUM(C39:H39)</f>
        <v>0</v>
      </c>
      <c r="I40" s="1199">
        <f>SUM(C39:I39)</f>
        <v>0</v>
      </c>
      <c r="J40" s="1199">
        <f>SUM(C39:J39)</f>
        <v>0</v>
      </c>
      <c r="K40" s="1199">
        <f>SUM(C39:K39)</f>
        <v>0</v>
      </c>
      <c r="L40" s="1204">
        <f>SUM(C39:L39)</f>
        <v>0</v>
      </c>
    </row>
    <row r="41" spans="2:12" x14ac:dyDescent="0.25">
      <c r="B41" s="1211" t="s">
        <v>315</v>
      </c>
      <c r="C41" s="1219">
        <f>IF(C38&lt;0,0,$C$29+C38)</f>
        <v>0</v>
      </c>
      <c r="D41" s="1200">
        <f t="shared" ref="D41:L41" si="11">IF(D38&lt;0,0,$C$29+D38)</f>
        <v>0</v>
      </c>
      <c r="E41" s="1200">
        <f t="shared" si="11"/>
        <v>0</v>
      </c>
      <c r="F41" s="1200">
        <f t="shared" si="11"/>
        <v>0</v>
      </c>
      <c r="G41" s="1200">
        <f t="shared" si="11"/>
        <v>0</v>
      </c>
      <c r="H41" s="1200">
        <f t="shared" si="11"/>
        <v>0</v>
      </c>
      <c r="I41" s="1200">
        <f t="shared" si="11"/>
        <v>0</v>
      </c>
      <c r="J41" s="1200">
        <f t="shared" si="11"/>
        <v>0</v>
      </c>
      <c r="K41" s="1200">
        <f t="shared" si="11"/>
        <v>0</v>
      </c>
      <c r="L41" s="1205">
        <f t="shared" si="11"/>
        <v>0</v>
      </c>
    </row>
    <row r="42" spans="2:12" ht="15.75" thickBot="1" x14ac:dyDescent="0.3">
      <c r="B42" s="1213" t="str">
        <f>"Additional Cost to Build Suggested Factory @ $" &amp;$C$30&amp;" Per SqM"</f>
        <v>Additional Cost to Build Suggested Factory @ $2600 Per SqM</v>
      </c>
      <c r="C42" s="1220">
        <f>IF(C38&lt;0,0,C38*$C$30)/1000000</f>
        <v>0</v>
      </c>
      <c r="D42" s="1206">
        <f t="shared" ref="D42:L42" si="12">IF(D38&lt;0,0,D38*$C$30)/1000000</f>
        <v>0</v>
      </c>
      <c r="E42" s="1206">
        <f t="shared" si="12"/>
        <v>0</v>
      </c>
      <c r="F42" s="1206">
        <f t="shared" si="12"/>
        <v>0</v>
      </c>
      <c r="G42" s="1206">
        <f t="shared" si="12"/>
        <v>0</v>
      </c>
      <c r="H42" s="1206">
        <f t="shared" si="12"/>
        <v>0</v>
      </c>
      <c r="I42" s="1206">
        <f t="shared" si="12"/>
        <v>0</v>
      </c>
      <c r="J42" s="1206">
        <f t="shared" si="12"/>
        <v>0</v>
      </c>
      <c r="K42" s="1206">
        <f t="shared" si="12"/>
        <v>0</v>
      </c>
      <c r="L42" s="1207">
        <f t="shared" si="12"/>
        <v>0</v>
      </c>
    </row>
    <row r="43" spans="2:12" ht="15.75" thickBot="1" x14ac:dyDescent="0.3"/>
    <row r="44" spans="2:12" x14ac:dyDescent="0.25">
      <c r="B44" s="1210" t="s">
        <v>316</v>
      </c>
      <c r="C44" s="1221">
        <v>0.55000000000000004</v>
      </c>
      <c r="D44" s="1208">
        <f>D$10</f>
        <v>45413</v>
      </c>
      <c r="E44" s="1208">
        <f t="shared" ref="E44:L44" si="13">E$10</f>
        <v>45778</v>
      </c>
      <c r="F44" s="1208">
        <f t="shared" si="13"/>
        <v>46143</v>
      </c>
      <c r="G44" s="1208">
        <f t="shared" si="13"/>
        <v>46508</v>
      </c>
      <c r="H44" s="1208">
        <f t="shared" si="13"/>
        <v>46874</v>
      </c>
      <c r="I44" s="1208">
        <f t="shared" si="13"/>
        <v>47239</v>
      </c>
      <c r="J44" s="1208">
        <f t="shared" si="13"/>
        <v>47604</v>
      </c>
      <c r="K44" s="1208">
        <f t="shared" si="13"/>
        <v>47969</v>
      </c>
      <c r="L44" s="1209">
        <f t="shared" si="13"/>
        <v>48335</v>
      </c>
    </row>
    <row r="45" spans="2:12" x14ac:dyDescent="0.25">
      <c r="B45" s="1211" t="s">
        <v>317</v>
      </c>
      <c r="C45" s="1216">
        <f>(C$18+(C$19-(C$19*$C$44)))-$C$29</f>
        <v>-6289.15</v>
      </c>
      <c r="D45" s="1197">
        <f t="shared" ref="D45:L45" si="14">(D$18+(D$19-(D$19*$C$44)))-$C$29</f>
        <v>-8594.4</v>
      </c>
      <c r="E45" s="1197">
        <f t="shared" si="14"/>
        <v>-8514.4</v>
      </c>
      <c r="F45" s="1197">
        <f t="shared" si="14"/>
        <v>-7899.75</v>
      </c>
      <c r="G45" s="1197">
        <f t="shared" si="14"/>
        <v>-7631.9250000000002</v>
      </c>
      <c r="H45" s="1197">
        <f t="shared" si="14"/>
        <v>-7284.1</v>
      </c>
      <c r="I45" s="1197">
        <f t="shared" si="14"/>
        <v>-7016.2749999999996</v>
      </c>
      <c r="J45" s="1197">
        <f t="shared" si="14"/>
        <v>-6321.625</v>
      </c>
      <c r="K45" s="1197">
        <f t="shared" si="14"/>
        <v>-6241.625</v>
      </c>
      <c r="L45" s="1202">
        <f t="shared" si="14"/>
        <v>-5546.9750000000004</v>
      </c>
    </row>
    <row r="46" spans="2:12" outlineLevel="1" x14ac:dyDescent="0.25">
      <c r="B46" s="1212" t="str">
        <f>"Loss of Revenue per Yr based " &amp; $C$29&amp;" SqM"</f>
        <v>Loss of Revenue per Yr based 12766 SqM</v>
      </c>
      <c r="C46" s="1217">
        <f>IF(C45&lt;0,0,C$25-B$25)</f>
        <v>0</v>
      </c>
      <c r="D46" s="1198">
        <f t="shared" ref="D46" si="15">IF(D45&lt;0,0,D$25-C$25)</f>
        <v>0</v>
      </c>
      <c r="E46" s="1198">
        <f t="shared" ref="E46" si="16">IF(E45&lt;0,0,E$25-D$25)</f>
        <v>0</v>
      </c>
      <c r="F46" s="1198">
        <f t="shared" ref="F46" si="17">IF(F45&lt;0,0,F$25-E$25)</f>
        <v>0</v>
      </c>
      <c r="G46" s="1198">
        <f t="shared" ref="G46" si="18">IF(G45&lt;0,0,G$25-F$25)</f>
        <v>0</v>
      </c>
      <c r="H46" s="1198">
        <f t="shared" ref="H46" si="19">IF(H45&lt;0,0,H$25-G$25)</f>
        <v>0</v>
      </c>
      <c r="I46" s="1198">
        <f t="shared" ref="I46" si="20">IF(I45&lt;0,0,I$25-H$25)</f>
        <v>0</v>
      </c>
      <c r="J46" s="1198">
        <f t="shared" ref="J46" si="21">IF(J45&lt;0,0,J$25-I$25)</f>
        <v>0</v>
      </c>
      <c r="K46" s="1198">
        <f t="shared" ref="K46" si="22">IF(K45&lt;0,0,K$25-J$25)</f>
        <v>0</v>
      </c>
      <c r="L46" s="1203">
        <f t="shared" ref="L46" si="23">IF(L45&lt;0,0,L$25-K$25)</f>
        <v>0</v>
      </c>
    </row>
    <row r="47" spans="2:12" x14ac:dyDescent="0.25">
      <c r="B47" s="1212" t="str">
        <f>"Accumulated Loss of Revenue based " &amp; $C$29&amp;" SqM"</f>
        <v>Accumulated Loss of Revenue based 12766 SqM</v>
      </c>
      <c r="C47" s="1218">
        <f>C46</f>
        <v>0</v>
      </c>
      <c r="D47" s="1199">
        <f>SUM(C46:D46)</f>
        <v>0</v>
      </c>
      <c r="E47" s="1199">
        <f>SUM(C46:E46)</f>
        <v>0</v>
      </c>
      <c r="F47" s="1199">
        <f>SUM(C46:F46)</f>
        <v>0</v>
      </c>
      <c r="G47" s="1199">
        <f>SUM(C46:G46)</f>
        <v>0</v>
      </c>
      <c r="H47" s="1199">
        <f>SUM(C46:H46)</f>
        <v>0</v>
      </c>
      <c r="I47" s="1199">
        <f>SUM(C46:I46)</f>
        <v>0</v>
      </c>
      <c r="J47" s="1199">
        <f>SUM(C46:J46)</f>
        <v>0</v>
      </c>
      <c r="K47" s="1199">
        <f>SUM(C46:K46)</f>
        <v>0</v>
      </c>
      <c r="L47" s="1204">
        <f>SUM(C46:L46)</f>
        <v>0</v>
      </c>
    </row>
    <row r="48" spans="2:12" x14ac:dyDescent="0.25">
      <c r="B48" s="1211" t="s">
        <v>315</v>
      </c>
      <c r="C48" s="1219">
        <f>IF(C45&lt;0,0,$C$29+C45)</f>
        <v>0</v>
      </c>
      <c r="D48" s="1200">
        <f t="shared" ref="D48:L48" si="24">IF(D45&lt;0,0,$C$29+D45)</f>
        <v>0</v>
      </c>
      <c r="E48" s="1200">
        <f t="shared" si="24"/>
        <v>0</v>
      </c>
      <c r="F48" s="1200">
        <f t="shared" si="24"/>
        <v>0</v>
      </c>
      <c r="G48" s="1200">
        <f t="shared" si="24"/>
        <v>0</v>
      </c>
      <c r="H48" s="1200">
        <f t="shared" si="24"/>
        <v>0</v>
      </c>
      <c r="I48" s="1200">
        <f t="shared" si="24"/>
        <v>0</v>
      </c>
      <c r="J48" s="1200">
        <f t="shared" si="24"/>
        <v>0</v>
      </c>
      <c r="K48" s="1200">
        <f t="shared" si="24"/>
        <v>0</v>
      </c>
      <c r="L48" s="1205">
        <f t="shared" si="24"/>
        <v>0</v>
      </c>
    </row>
    <row r="49" spans="2:12" ht="15.75" thickBot="1" x14ac:dyDescent="0.3">
      <c r="B49" s="1213" t="str">
        <f>"Additional Cost to Build Suggested Factory @ $" &amp;$C$30&amp;" Per SqM"</f>
        <v>Additional Cost to Build Suggested Factory @ $2600 Per SqM</v>
      </c>
      <c r="C49" s="1220">
        <f>IF(C45&lt;0,0,C45*$C$30)/1000000</f>
        <v>0</v>
      </c>
      <c r="D49" s="1206">
        <f t="shared" ref="D49:L49" si="25">IF(D45&lt;0,0,D45*$C$30)/1000000</f>
        <v>0</v>
      </c>
      <c r="E49" s="1206">
        <f t="shared" si="25"/>
        <v>0</v>
      </c>
      <c r="F49" s="1206">
        <f t="shared" si="25"/>
        <v>0</v>
      </c>
      <c r="G49" s="1206">
        <f t="shared" si="25"/>
        <v>0</v>
      </c>
      <c r="H49" s="1206">
        <f t="shared" si="25"/>
        <v>0</v>
      </c>
      <c r="I49" s="1206">
        <f t="shared" si="25"/>
        <v>0</v>
      </c>
      <c r="J49" s="1206">
        <f t="shared" si="25"/>
        <v>0</v>
      </c>
      <c r="K49" s="1206">
        <f t="shared" si="25"/>
        <v>0</v>
      </c>
      <c r="L49" s="1207">
        <f t="shared" si="25"/>
        <v>0</v>
      </c>
    </row>
  </sheetData>
  <phoneticPr fontId="11" type="noConversion"/>
  <conditionalFormatting sqref="C31:L31">
    <cfRule type="cellIs" dxfId="384" priority="7" operator="lessThan">
      <formula>0</formula>
    </cfRule>
    <cfRule type="cellIs" dxfId="383" priority="8" operator="greaterThan">
      <formula>0</formula>
    </cfRule>
  </conditionalFormatting>
  <conditionalFormatting sqref="C45:L45">
    <cfRule type="cellIs" dxfId="382" priority="3" operator="lessThan">
      <formula>0</formula>
    </cfRule>
    <cfRule type="cellIs" dxfId="381" priority="4" operator="greaterThan">
      <formula>0</formula>
    </cfRule>
  </conditionalFormatting>
  <conditionalFormatting sqref="C38:L38">
    <cfRule type="cellIs" dxfId="380" priority="1" operator="lessThan">
      <formula>0</formula>
    </cfRule>
    <cfRule type="cellIs" dxfId="379" priority="2" operator="greaterThan">
      <formula>0</formula>
    </cfRule>
  </conditionalFormatting>
  <pageMargins left="0.7" right="0.7" top="0.75" bottom="0.75" header="0.3" footer="0.3"/>
  <pageSetup paperSize="9" scale="8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49D8-3515-4467-94E7-A85EB8327100}">
  <sheetPr>
    <tabColor theme="7" tint="0.59999389629810485"/>
    <pageSetUpPr fitToPage="1"/>
  </sheetPr>
  <dimension ref="B2:CU59"/>
  <sheetViews>
    <sheetView showGridLines="0" zoomScale="70" zoomScaleNormal="70" workbookViewId="0">
      <selection activeCell="CR27" sqref="CR27"/>
    </sheetView>
  </sheetViews>
  <sheetFormatPr defaultRowHeight="15" x14ac:dyDescent="0.25"/>
  <cols>
    <col min="27" max="27" width="23.42578125" bestFit="1" customWidth="1"/>
    <col min="28" max="28" width="10.42578125" bestFit="1" customWidth="1"/>
    <col min="29" max="29" width="14.7109375" bestFit="1" customWidth="1"/>
    <col min="30" max="31" width="13.28515625" bestFit="1" customWidth="1"/>
    <col min="33" max="33" width="19.42578125" bestFit="1" customWidth="1"/>
    <col min="34" max="34" width="48.140625" bestFit="1" customWidth="1"/>
    <col min="35" max="35" width="16" bestFit="1" customWidth="1"/>
    <col min="36" max="36" width="28.5703125" bestFit="1" customWidth="1"/>
    <col min="37" max="37" width="50.28515625" bestFit="1" customWidth="1"/>
    <col min="38" max="38" width="36.28515625" customWidth="1"/>
    <col min="39" max="39" width="33.28515625" bestFit="1" customWidth="1"/>
    <col min="40" max="40" width="7" customWidth="1"/>
    <col min="41" max="41" width="10.85546875" bestFit="1" customWidth="1"/>
    <col min="42" max="83" width="5.42578125" customWidth="1"/>
    <col min="84" max="86" width="3.140625" customWidth="1"/>
    <col min="93" max="93" width="19.85546875" customWidth="1"/>
    <col min="94" max="94" width="12.140625" customWidth="1"/>
    <col min="95" max="95" width="17.7109375" customWidth="1"/>
    <col min="96" max="97" width="16.42578125" bestFit="1" customWidth="1"/>
    <col min="98" max="98" width="15.42578125" customWidth="1"/>
    <col min="99" max="99" width="30.42578125" customWidth="1"/>
  </cols>
  <sheetData>
    <row r="2" spans="2:99" x14ac:dyDescent="0.25">
      <c r="AP2" s="1749" t="s">
        <v>318</v>
      </c>
      <c r="AQ2" s="1749"/>
      <c r="AR2" s="1749"/>
      <c r="AS2" s="1749"/>
      <c r="AT2" s="1749"/>
      <c r="AU2" s="1742"/>
      <c r="AV2" s="1749" t="s">
        <v>319</v>
      </c>
      <c r="AW2" s="1749"/>
      <c r="AX2" s="1749"/>
      <c r="AY2" s="1749"/>
      <c r="AZ2" s="1749"/>
      <c r="BA2" s="1749"/>
      <c r="BB2" s="1749"/>
      <c r="BC2" s="1749"/>
      <c r="BD2" s="1749"/>
      <c r="BE2" s="1744" t="s">
        <v>320</v>
      </c>
      <c r="BF2" s="1749"/>
      <c r="BG2" s="1749"/>
      <c r="BH2" s="1749"/>
      <c r="BI2" s="1749"/>
      <c r="BJ2" s="1749"/>
      <c r="BK2" s="1749"/>
      <c r="BL2" s="1749"/>
      <c r="BM2" s="1749"/>
      <c r="BN2" s="1749" t="s">
        <v>321</v>
      </c>
      <c r="BO2" s="1749"/>
      <c r="BP2" s="1749"/>
      <c r="BQ2" s="1749"/>
      <c r="BR2" s="1749"/>
      <c r="BS2" s="1749"/>
      <c r="BT2" s="1749"/>
      <c r="BU2" s="1749"/>
      <c r="BV2" s="1749"/>
      <c r="BW2" s="1749" t="s">
        <v>322</v>
      </c>
      <c r="BX2" s="1749"/>
      <c r="BY2" s="1749"/>
      <c r="BZ2" s="1749"/>
      <c r="CA2" s="1749"/>
      <c r="CB2" s="1749"/>
      <c r="CC2" s="1749"/>
      <c r="CD2" s="1749"/>
      <c r="CE2" s="1749"/>
    </row>
    <row r="3" spans="2:99" x14ac:dyDescent="0.25">
      <c r="AP3" s="1742" t="s">
        <v>323</v>
      </c>
      <c r="AQ3" s="1743"/>
      <c r="AR3" s="1744"/>
      <c r="AS3" s="1742" t="s">
        <v>324</v>
      </c>
      <c r="AT3" s="1743"/>
      <c r="AU3" s="1744"/>
      <c r="AV3" s="1617" t="s">
        <v>325</v>
      </c>
      <c r="AW3" s="1618"/>
      <c r="AX3" s="1619"/>
      <c r="AY3" s="1617" t="s">
        <v>323</v>
      </c>
      <c r="AZ3" s="1618"/>
      <c r="BA3" s="1619"/>
      <c r="BB3" s="1617" t="s">
        <v>324</v>
      </c>
      <c r="BC3" s="1618"/>
      <c r="BD3" s="1619"/>
      <c r="BE3" s="1742" t="s">
        <v>325</v>
      </c>
      <c r="BF3" s="1743"/>
      <c r="BG3" s="1744"/>
      <c r="BH3" s="1742" t="s">
        <v>323</v>
      </c>
      <c r="BI3" s="1743"/>
      <c r="BJ3" s="1744"/>
      <c r="BK3" s="1742" t="s">
        <v>324</v>
      </c>
      <c r="BL3" s="1743"/>
      <c r="BM3" s="1744"/>
      <c r="BN3" s="1742" t="s">
        <v>325</v>
      </c>
      <c r="BO3" s="1743"/>
      <c r="BP3" s="1744"/>
      <c r="BQ3" s="1742" t="s">
        <v>323</v>
      </c>
      <c r="BR3" s="1743"/>
      <c r="BS3" s="1744"/>
      <c r="BT3" s="1742" t="s">
        <v>324</v>
      </c>
      <c r="BU3" s="1743"/>
      <c r="BV3" s="1744"/>
      <c r="BW3" s="1742" t="s">
        <v>325</v>
      </c>
      <c r="BX3" s="1743"/>
      <c r="BY3" s="1744"/>
      <c r="BZ3" s="1742" t="s">
        <v>323</v>
      </c>
      <c r="CA3" s="1743"/>
      <c r="CB3" s="1744"/>
      <c r="CC3" s="1742" t="s">
        <v>324</v>
      </c>
      <c r="CD3" s="1743"/>
      <c r="CE3" s="1744"/>
    </row>
    <row r="4" spans="2:99" x14ac:dyDescent="0.25">
      <c r="AO4" s="61" t="s">
        <v>326</v>
      </c>
      <c r="AP4" s="696"/>
      <c r="AQ4" s="696">
        <v>2021</v>
      </c>
      <c r="AR4" s="696"/>
      <c r="AS4" s="696"/>
      <c r="AT4" s="700" t="s">
        <v>327</v>
      </c>
      <c r="AU4" s="697"/>
      <c r="AV4" s="700" t="s">
        <v>328</v>
      </c>
      <c r="AW4" s="697"/>
      <c r="AX4" s="697" t="s">
        <v>329</v>
      </c>
      <c r="AY4" s="698">
        <v>2022</v>
      </c>
      <c r="AZ4" s="697"/>
      <c r="BA4" s="697"/>
      <c r="BB4" s="697"/>
      <c r="BC4" s="697"/>
      <c r="BD4" s="697"/>
      <c r="BE4" s="700" t="s">
        <v>328</v>
      </c>
      <c r="BF4" s="697"/>
      <c r="BG4" s="696">
        <v>2023</v>
      </c>
      <c r="BH4" s="697"/>
      <c r="BI4" s="697"/>
      <c r="BJ4" s="697"/>
      <c r="BK4" s="697"/>
      <c r="BL4" s="697"/>
      <c r="BM4" s="31"/>
      <c r="BN4" s="701" t="s">
        <v>328</v>
      </c>
      <c r="BO4" s="31"/>
      <c r="BP4" s="699">
        <v>2024</v>
      </c>
      <c r="BQ4" s="31"/>
      <c r="BR4" s="31"/>
      <c r="BS4" s="31"/>
      <c r="BT4" s="650"/>
      <c r="BU4" s="649"/>
      <c r="BV4" s="31" t="s">
        <v>327</v>
      </c>
      <c r="BW4" s="31"/>
      <c r="BX4" s="31"/>
      <c r="BY4" s="699">
        <v>2025</v>
      </c>
      <c r="BZ4" s="31"/>
      <c r="CA4" s="31"/>
      <c r="CB4" s="31"/>
      <c r="CC4" s="650"/>
      <c r="CD4" s="1614">
        <v>2026</v>
      </c>
      <c r="CE4" s="1616"/>
    </row>
    <row r="5" spans="2:99" x14ac:dyDescent="0.25">
      <c r="AO5" s="656" t="s">
        <v>330</v>
      </c>
      <c r="AP5" s="677"/>
      <c r="AQ5" s="677"/>
      <c r="AR5" s="677"/>
      <c r="AS5" s="677"/>
      <c r="AT5" s="684"/>
      <c r="AU5" s="678"/>
      <c r="AV5" s="676"/>
      <c r="AW5" s="677"/>
      <c r="AX5" s="677"/>
      <c r="AY5" s="677"/>
      <c r="AZ5" s="677"/>
      <c r="BA5" s="677"/>
      <c r="BB5" s="677"/>
      <c r="BC5" s="684"/>
      <c r="BD5" s="678"/>
      <c r="BE5" s="676"/>
      <c r="BF5" s="677"/>
      <c r="BG5" s="677"/>
      <c r="BH5" s="677"/>
      <c r="BI5" s="677"/>
      <c r="BJ5" s="677"/>
      <c r="BK5" s="677"/>
      <c r="BL5" s="684"/>
      <c r="BM5" s="678"/>
      <c r="BN5" s="676"/>
      <c r="BO5" s="677"/>
      <c r="BP5" s="677"/>
      <c r="BQ5" s="677"/>
      <c r="BR5" s="677"/>
      <c r="BS5" s="677"/>
      <c r="BT5" s="677"/>
      <c r="BU5" s="684"/>
      <c r="BV5" s="678"/>
      <c r="BW5" s="676"/>
      <c r="BX5" s="677"/>
      <c r="BY5" s="677"/>
      <c r="BZ5" s="677"/>
      <c r="CA5" s="677"/>
      <c r="CB5" s="677"/>
      <c r="CC5" s="677"/>
      <c r="CD5" s="684"/>
      <c r="CE5" s="678"/>
    </row>
    <row r="6" spans="2:99" ht="15.75" thickBot="1" x14ac:dyDescent="0.3">
      <c r="AO6" s="1714" t="s">
        <v>331</v>
      </c>
      <c r="AP6" s="726"/>
      <c r="AQ6" s="726"/>
      <c r="AR6" s="726"/>
      <c r="AS6" s="726"/>
      <c r="AT6" s="727"/>
      <c r="AU6" s="728"/>
      <c r="AV6" s="729"/>
      <c r="AW6" s="726"/>
      <c r="AX6" s="726"/>
      <c r="AY6" s="726"/>
      <c r="AZ6" s="726"/>
      <c r="BA6" s="726"/>
      <c r="BB6" s="726"/>
      <c r="BC6" s="727"/>
      <c r="BD6" s="728"/>
      <c r="BE6" s="729"/>
      <c r="BF6" s="726"/>
      <c r="BG6" s="726"/>
      <c r="BH6" s="726"/>
      <c r="BI6" s="726"/>
      <c r="BJ6" s="726"/>
      <c r="BK6" s="726"/>
      <c r="BL6" s="727"/>
      <c r="BM6" s="728"/>
      <c r="BN6" s="729"/>
      <c r="BO6" s="726"/>
      <c r="BP6" s="726"/>
      <c r="BQ6" s="726"/>
      <c r="BR6" s="726"/>
      <c r="BS6" s="726"/>
      <c r="BT6" s="726"/>
      <c r="BU6" s="727"/>
      <c r="BV6" s="728"/>
      <c r="BW6" s="729"/>
      <c r="BX6" s="726"/>
      <c r="BY6" s="726"/>
      <c r="BZ6" s="726"/>
      <c r="CA6" s="726"/>
      <c r="CB6" s="726"/>
      <c r="CC6" s="726"/>
      <c r="CD6" s="727"/>
      <c r="CE6" s="728"/>
      <c r="CO6" s="1705" t="s">
        <v>332</v>
      </c>
      <c r="CP6" s="1710" t="s">
        <v>333</v>
      </c>
      <c r="CQ6" s="1710" t="s">
        <v>334</v>
      </c>
      <c r="CR6" s="1707" t="s">
        <v>335</v>
      </c>
      <c r="CS6" s="1708"/>
      <c r="CT6" s="1709"/>
      <c r="CU6" s="1710" t="s">
        <v>336</v>
      </c>
    </row>
    <row r="7" spans="2:99" ht="15.75" thickBot="1" x14ac:dyDescent="0.3">
      <c r="AA7" s="1746" t="s">
        <v>337</v>
      </c>
      <c r="AB7" s="1746"/>
      <c r="AC7" s="173" t="s">
        <v>338</v>
      </c>
      <c r="AD7" s="173" t="s">
        <v>339</v>
      </c>
      <c r="AE7" s="173" t="s">
        <v>340</v>
      </c>
      <c r="AG7" s="659" t="s">
        <v>341</v>
      </c>
      <c r="AH7" s="660" t="s">
        <v>332</v>
      </c>
      <c r="AI7" s="660" t="s">
        <v>342</v>
      </c>
      <c r="AJ7" s="660" t="s">
        <v>343</v>
      </c>
      <c r="AK7" s="662" t="s">
        <v>344</v>
      </c>
      <c r="AL7" s="661" t="s">
        <v>345</v>
      </c>
      <c r="AM7" s="695" t="s">
        <v>346</v>
      </c>
      <c r="AO7" s="1715"/>
      <c r="AP7" s="154"/>
      <c r="AQ7" s="154"/>
      <c r="AR7" s="154"/>
      <c r="AS7" s="154"/>
      <c r="AT7" s="693"/>
      <c r="AU7" s="694"/>
      <c r="AV7" s="692"/>
      <c r="AW7" s="154"/>
      <c r="AX7" s="154"/>
      <c r="AY7" s="154"/>
      <c r="AZ7" s="154"/>
      <c r="BA7" s="154"/>
      <c r="BB7" s="154"/>
      <c r="BC7" s="693"/>
      <c r="BD7" s="694"/>
      <c r="BE7" s="692"/>
      <c r="BF7" s="154"/>
      <c r="BG7" s="154"/>
      <c r="BH7" s="154"/>
      <c r="BI7" s="154"/>
      <c r="BJ7" s="154"/>
      <c r="BK7" s="154"/>
      <c r="BL7" s="693"/>
      <c r="BM7" s="694"/>
      <c r="BN7" s="692"/>
      <c r="BO7" s="154"/>
      <c r="BP7" s="154"/>
      <c r="BQ7" s="154"/>
      <c r="BR7" s="154"/>
      <c r="BS7" s="154"/>
      <c r="BT7" s="154"/>
      <c r="BU7" s="693"/>
      <c r="BV7" s="694"/>
      <c r="BW7" s="692"/>
      <c r="BX7" s="154"/>
      <c r="BY7" s="154"/>
      <c r="BZ7" s="154"/>
      <c r="CA7" s="154"/>
      <c r="CB7" s="154"/>
      <c r="CC7" s="154"/>
      <c r="CD7" s="693"/>
      <c r="CE7" s="694"/>
      <c r="CO7" s="1706"/>
      <c r="CP7" s="1711"/>
      <c r="CQ7" s="1711"/>
      <c r="CR7" s="919" t="s">
        <v>347</v>
      </c>
      <c r="CS7" s="920" t="s">
        <v>348</v>
      </c>
      <c r="CT7" s="919" t="s">
        <v>349</v>
      </c>
      <c r="CU7" s="1711"/>
    </row>
    <row r="8" spans="2:99" x14ac:dyDescent="0.25">
      <c r="AA8" s="174" t="s">
        <v>350</v>
      </c>
      <c r="AB8" s="175">
        <v>574000</v>
      </c>
      <c r="AC8" s="174" t="s">
        <v>351</v>
      </c>
      <c r="AD8" s="1698">
        <f>SUM(AB8:AB9)</f>
        <v>1244000</v>
      </c>
      <c r="AE8" s="1698">
        <f>AD8</f>
        <v>1244000</v>
      </c>
      <c r="AG8" s="1703" t="s">
        <v>352</v>
      </c>
      <c r="AH8" s="657" t="s">
        <v>240</v>
      </c>
      <c r="AI8" s="658"/>
      <c r="AJ8" s="658"/>
      <c r="AK8" s="397"/>
      <c r="AL8" s="1726" t="s">
        <v>353</v>
      </c>
      <c r="AM8" s="702"/>
      <c r="AO8" s="1715"/>
      <c r="AP8" s="154"/>
      <c r="AQ8" s="154"/>
      <c r="AR8" s="154"/>
      <c r="AS8" s="154"/>
      <c r="AT8" s="693"/>
      <c r="AU8" s="694"/>
      <c r="AV8" s="692"/>
      <c r="AW8" s="154"/>
      <c r="AX8" s="154"/>
      <c r="AY8" s="154"/>
      <c r="AZ8" s="154"/>
      <c r="BA8" s="154"/>
      <c r="BB8" s="154"/>
      <c r="BC8" s="693"/>
      <c r="BD8" s="694"/>
      <c r="BE8" s="692"/>
      <c r="BF8" s="154"/>
      <c r="BG8" s="154"/>
      <c r="BH8" s="154"/>
      <c r="BI8" s="154"/>
      <c r="BJ8" s="154"/>
      <c r="BK8" s="154"/>
      <c r="BL8" s="693"/>
      <c r="BM8" s="694"/>
      <c r="BN8" s="692"/>
      <c r="BO8" s="154"/>
      <c r="BP8" s="154"/>
      <c r="BQ8" s="154"/>
      <c r="BR8" s="154"/>
      <c r="BS8" s="154"/>
      <c r="BT8" s="154"/>
      <c r="BU8" s="693"/>
      <c r="BV8" s="694"/>
      <c r="BW8" s="692"/>
      <c r="BX8" s="154"/>
      <c r="BY8" s="154"/>
      <c r="BZ8" s="154"/>
      <c r="CA8" s="154"/>
      <c r="CB8" s="154"/>
      <c r="CC8" s="154"/>
      <c r="CD8" s="693"/>
      <c r="CE8" s="694"/>
      <c r="CO8" s="61" t="s">
        <v>354</v>
      </c>
      <c r="CP8" s="646">
        <v>6</v>
      </c>
      <c r="CQ8" s="646">
        <v>10</v>
      </c>
      <c r="CR8" s="916">
        <v>45566</v>
      </c>
      <c r="CS8" s="915">
        <v>45809</v>
      </c>
      <c r="CT8" s="916">
        <v>46327</v>
      </c>
      <c r="CU8" s="916">
        <v>46023</v>
      </c>
    </row>
    <row r="9" spans="2:99" x14ac:dyDescent="0.25">
      <c r="AA9" s="174" t="s">
        <v>355</v>
      </c>
      <c r="AB9" s="175">
        <v>670000</v>
      </c>
      <c r="AC9" s="174" t="s">
        <v>351</v>
      </c>
      <c r="AD9" s="1699"/>
      <c r="AE9" s="1699"/>
      <c r="AG9" s="1701"/>
      <c r="AH9" s="90" t="s">
        <v>356</v>
      </c>
      <c r="AI9" s="654">
        <v>44682</v>
      </c>
      <c r="AJ9" s="90" t="s">
        <v>357</v>
      </c>
      <c r="AK9" s="119"/>
      <c r="AL9" s="1727"/>
      <c r="AM9" s="703"/>
      <c r="AO9" s="1715"/>
      <c r="AP9" s="154"/>
      <c r="AQ9" s="154"/>
      <c r="AR9" s="154"/>
      <c r="AS9" s="154"/>
      <c r="AT9" s="693"/>
      <c r="AU9" s="694"/>
      <c r="AV9" s="692"/>
      <c r="AW9" s="154"/>
      <c r="AX9" s="154"/>
      <c r="AY9" s="154"/>
      <c r="AZ9" s="154"/>
      <c r="BA9" s="154"/>
      <c r="BB9" s="154"/>
      <c r="BC9" s="693"/>
      <c r="BD9" s="694"/>
      <c r="BE9" s="692"/>
      <c r="BF9" s="154"/>
      <c r="BG9" s="154"/>
      <c r="BH9" s="154"/>
      <c r="BI9" s="154"/>
      <c r="BJ9" s="154"/>
      <c r="BK9" s="154"/>
      <c r="BL9" s="693"/>
      <c r="BM9" s="694"/>
      <c r="BN9" s="692"/>
      <c r="BO9" s="154"/>
      <c r="BP9" s="154"/>
      <c r="BQ9" s="154"/>
      <c r="BR9" s="154"/>
      <c r="BS9" s="154"/>
      <c r="BT9" s="154"/>
      <c r="BU9" s="693"/>
      <c r="BV9" s="694"/>
      <c r="BW9" s="692"/>
      <c r="BX9" s="154"/>
      <c r="BY9" s="154"/>
      <c r="BZ9" s="154"/>
      <c r="CA9" s="154"/>
      <c r="CB9" s="154"/>
      <c r="CC9" s="154"/>
      <c r="CD9" s="693"/>
      <c r="CE9" s="694"/>
      <c r="CO9" s="926" t="s">
        <v>358</v>
      </c>
      <c r="CP9" s="921">
        <v>8</v>
      </c>
      <c r="CQ9" s="921">
        <v>12</v>
      </c>
      <c r="CR9" s="922">
        <v>45261</v>
      </c>
      <c r="CS9" s="923">
        <v>45292</v>
      </c>
      <c r="CT9" s="922">
        <v>45839</v>
      </c>
      <c r="CU9" s="922">
        <v>46174</v>
      </c>
    </row>
    <row r="10" spans="2:99" ht="15.75" x14ac:dyDescent="0.25">
      <c r="AA10" s="90" t="s">
        <v>359</v>
      </c>
      <c r="AB10" s="172">
        <v>700000</v>
      </c>
      <c r="AC10" s="90" t="s">
        <v>360</v>
      </c>
      <c r="AD10" s="1733">
        <f>SUM(AB10:AB11)</f>
        <v>760000</v>
      </c>
      <c r="AE10" s="1733">
        <f>AE8+AD10</f>
        <v>2004000</v>
      </c>
      <c r="AG10" s="1701"/>
      <c r="AH10" s="90" t="s">
        <v>361</v>
      </c>
      <c r="AI10" s="654">
        <v>44682</v>
      </c>
      <c r="AJ10" s="670" t="s">
        <v>362</v>
      </c>
      <c r="AK10" s="665" t="s">
        <v>363</v>
      </c>
      <c r="AL10" s="1727"/>
      <c r="AM10" s="703"/>
      <c r="AO10" s="1715"/>
      <c r="AP10" s="154"/>
      <c r="AQ10" s="154"/>
      <c r="AR10" s="154"/>
      <c r="AS10" s="154"/>
      <c r="AT10" s="693"/>
      <c r="AU10" s="694"/>
      <c r="AV10" s="692"/>
      <c r="AW10" s="154"/>
      <c r="AX10" s="154"/>
      <c r="AY10" s="154"/>
      <c r="AZ10" s="154"/>
      <c r="BA10" s="154"/>
      <c r="BB10" s="154"/>
      <c r="BC10" s="693"/>
      <c r="BD10" s="694"/>
      <c r="BE10" s="692"/>
      <c r="BF10" s="154"/>
      <c r="BG10" s="154"/>
      <c r="BH10" s="154"/>
      <c r="BI10" s="154"/>
      <c r="BJ10" s="154"/>
      <c r="BK10" s="154"/>
      <c r="BL10" s="693"/>
      <c r="BM10" s="694"/>
      <c r="BN10" s="692"/>
      <c r="BO10" s="154"/>
      <c r="BP10" s="154"/>
      <c r="BQ10" s="154"/>
      <c r="BR10" s="154"/>
      <c r="BS10" s="154"/>
      <c r="BT10" s="154"/>
      <c r="BU10" s="693"/>
      <c r="BV10" s="694"/>
      <c r="BW10" s="692"/>
      <c r="BX10" s="154"/>
      <c r="BY10" s="154"/>
      <c r="BZ10" s="154"/>
      <c r="CA10" s="154"/>
      <c r="CB10" s="154"/>
      <c r="CC10" s="154"/>
      <c r="CD10" s="693"/>
      <c r="CE10" s="694"/>
      <c r="CO10" s="737" t="s">
        <v>364</v>
      </c>
      <c r="CP10" s="646">
        <v>22</v>
      </c>
      <c r="CQ10" s="646">
        <v>22</v>
      </c>
      <c r="CR10" s="924">
        <v>45292</v>
      </c>
      <c r="CS10" s="925">
        <v>45323</v>
      </c>
      <c r="CT10" s="924">
        <v>45839</v>
      </c>
      <c r="CU10" s="916"/>
    </row>
    <row r="11" spans="2:99" x14ac:dyDescent="0.25">
      <c r="AA11" s="90" t="s">
        <v>365</v>
      </c>
      <c r="AB11" s="172">
        <v>60000</v>
      </c>
      <c r="AC11" s="90" t="s">
        <v>360</v>
      </c>
      <c r="AD11" s="1734"/>
      <c r="AE11" s="1734"/>
      <c r="AG11" s="1701"/>
      <c r="AH11" s="90" t="s">
        <v>366</v>
      </c>
      <c r="AI11" s="654">
        <v>44593</v>
      </c>
      <c r="AJ11" s="670" t="s">
        <v>362</v>
      </c>
      <c r="AK11" s="664" t="s">
        <v>367</v>
      </c>
      <c r="AL11" s="1727"/>
      <c r="AM11" s="703"/>
      <c r="AO11" s="1715"/>
      <c r="AP11" s="154"/>
      <c r="AQ11" s="154"/>
      <c r="AR11" s="154"/>
      <c r="AS11" s="154"/>
      <c r="AT11" s="693"/>
      <c r="AU11" s="694"/>
      <c r="AV11" s="692"/>
      <c r="AW11" s="154"/>
      <c r="AX11" s="154"/>
      <c r="AY11" s="154"/>
      <c r="AZ11" s="154"/>
      <c r="BA11" s="154"/>
      <c r="BB11" s="154"/>
      <c r="BC11" s="693"/>
      <c r="BD11" s="694"/>
      <c r="BE11" s="692"/>
      <c r="BF11" s="154"/>
      <c r="BG11" s="154"/>
      <c r="BH11" s="154"/>
      <c r="BI11" s="154"/>
      <c r="BJ11" s="154"/>
      <c r="BK11" s="154"/>
      <c r="BL11" s="693"/>
      <c r="BM11" s="694"/>
      <c r="BN11" s="692"/>
      <c r="BO11" s="154"/>
      <c r="BP11" s="154"/>
      <c r="BQ11" s="154"/>
      <c r="BR11" s="154"/>
      <c r="BS11" s="154"/>
      <c r="BT11" s="154"/>
      <c r="BU11" s="693"/>
      <c r="BV11" s="694"/>
      <c r="BW11" s="692"/>
      <c r="BX11" s="154"/>
      <c r="BY11" s="154"/>
      <c r="BZ11" s="154"/>
      <c r="CA11" s="154"/>
      <c r="CB11" s="154"/>
      <c r="CC11" s="154"/>
      <c r="CD11" s="693"/>
      <c r="CE11" s="694"/>
      <c r="CO11" s="926" t="s">
        <v>113</v>
      </c>
      <c r="CP11" s="921">
        <v>3</v>
      </c>
      <c r="CQ11" s="921">
        <v>4</v>
      </c>
      <c r="CR11" s="922">
        <v>45566</v>
      </c>
      <c r="CS11" s="923">
        <v>45748</v>
      </c>
      <c r="CT11" s="922">
        <v>46419</v>
      </c>
      <c r="CU11" s="922">
        <v>46054</v>
      </c>
    </row>
    <row r="12" spans="2:99" ht="15.75" x14ac:dyDescent="0.25">
      <c r="AA12" s="174" t="s">
        <v>368</v>
      </c>
      <c r="AB12" s="175">
        <v>300000</v>
      </c>
      <c r="AC12" s="174" t="s">
        <v>369</v>
      </c>
      <c r="AD12" s="1698">
        <f>SUM(AB12:AB13)</f>
        <v>970000</v>
      </c>
      <c r="AE12" s="1698">
        <f>AE10+AD12</f>
        <v>2974000</v>
      </c>
      <c r="AG12" s="1701"/>
      <c r="AH12" s="90" t="s">
        <v>370</v>
      </c>
      <c r="AI12" s="654">
        <v>44593</v>
      </c>
      <c r="AJ12" s="670" t="s">
        <v>362</v>
      </c>
      <c r="AK12" s="664" t="s">
        <v>367</v>
      </c>
      <c r="AL12" s="1727"/>
      <c r="AM12" s="703"/>
      <c r="AO12" s="1715"/>
      <c r="AP12" s="154"/>
      <c r="AQ12" s="154"/>
      <c r="AR12" s="154"/>
      <c r="AS12" s="154"/>
      <c r="AT12" s="693"/>
      <c r="AU12" s="694"/>
      <c r="AV12" s="692"/>
      <c r="AW12" s="154"/>
      <c r="AX12" s="154"/>
      <c r="AY12" s="154"/>
      <c r="AZ12" s="154"/>
      <c r="BA12" s="154"/>
      <c r="BB12" s="154"/>
      <c r="BC12" s="693"/>
      <c r="BD12" s="694"/>
      <c r="BE12" s="692"/>
      <c r="BF12" s="154"/>
      <c r="BG12" s="154"/>
      <c r="BH12" s="154"/>
      <c r="BI12" s="154"/>
      <c r="BJ12" s="154"/>
      <c r="BK12" s="154"/>
      <c r="BL12" s="693"/>
      <c r="BM12" s="694"/>
      <c r="BN12" s="692"/>
      <c r="BO12" s="154"/>
      <c r="BP12" s="154"/>
      <c r="BQ12" s="154"/>
      <c r="BR12" s="154"/>
      <c r="BS12" s="154"/>
      <c r="BT12" s="154"/>
      <c r="BU12" s="693"/>
      <c r="BV12" s="694"/>
      <c r="BW12" s="692"/>
      <c r="BX12" s="154"/>
      <c r="BY12" s="154"/>
      <c r="BZ12" s="154"/>
      <c r="CA12" s="154"/>
      <c r="CB12" s="154"/>
      <c r="CC12" s="154"/>
      <c r="CD12" s="693"/>
      <c r="CE12" s="694"/>
      <c r="CO12" s="737" t="s">
        <v>371</v>
      </c>
      <c r="CP12" s="646">
        <v>4</v>
      </c>
      <c r="CQ12" s="646">
        <v>10</v>
      </c>
      <c r="CR12" s="924">
        <v>45474</v>
      </c>
      <c r="CS12" s="925">
        <v>45627</v>
      </c>
      <c r="CT12" s="924">
        <v>46235</v>
      </c>
      <c r="CU12" s="916">
        <v>45078</v>
      </c>
    </row>
    <row r="13" spans="2:99" x14ac:dyDescent="0.25">
      <c r="AA13" s="174" t="s">
        <v>372</v>
      </c>
      <c r="AB13" s="175">
        <v>670000</v>
      </c>
      <c r="AC13" s="174" t="s">
        <v>373</v>
      </c>
      <c r="AD13" s="1699"/>
      <c r="AE13" s="1699"/>
      <c r="AG13" s="1701"/>
      <c r="AH13" s="176" t="s">
        <v>374</v>
      </c>
      <c r="AI13" s="174"/>
      <c r="AJ13" s="174"/>
      <c r="AK13" s="667"/>
      <c r="AL13" s="1728" t="s">
        <v>375</v>
      </c>
      <c r="AM13" s="706"/>
      <c r="AO13" s="1715"/>
      <c r="AP13" s="154"/>
      <c r="AQ13" s="154"/>
      <c r="AR13" s="154"/>
      <c r="AS13" s="154"/>
      <c r="AT13" s="693"/>
      <c r="AU13" s="694"/>
      <c r="AV13" s="692"/>
      <c r="AW13" s="154"/>
      <c r="AX13" s="154"/>
      <c r="AY13" s="154"/>
      <c r="AZ13" s="154"/>
      <c r="BA13" s="154"/>
      <c r="BB13" s="154"/>
      <c r="BC13" s="693"/>
      <c r="BD13" s="694"/>
      <c r="BE13" s="692"/>
      <c r="BF13" s="154"/>
      <c r="BG13" s="154"/>
      <c r="BH13" s="154"/>
      <c r="BI13" s="154"/>
      <c r="BJ13" s="154"/>
      <c r="BK13" s="154"/>
      <c r="BL13" s="693"/>
      <c r="BM13" s="694"/>
      <c r="BN13" s="692"/>
      <c r="BO13" s="154"/>
      <c r="BP13" s="154"/>
      <c r="BQ13" s="154"/>
      <c r="BR13" s="154"/>
      <c r="BS13" s="154"/>
      <c r="BT13" s="154"/>
      <c r="BU13" s="693"/>
      <c r="BV13" s="694"/>
      <c r="BW13" s="692"/>
      <c r="BX13" s="154"/>
      <c r="BY13" s="154"/>
      <c r="BZ13" s="154"/>
      <c r="CA13" s="154"/>
      <c r="CB13" s="154"/>
      <c r="CC13" s="154"/>
      <c r="CD13" s="693"/>
      <c r="CE13" s="694"/>
      <c r="CO13" s="926" t="s">
        <v>376</v>
      </c>
      <c r="CP13" s="921">
        <v>6</v>
      </c>
      <c r="CQ13" s="921">
        <v>13</v>
      </c>
      <c r="CR13" s="922">
        <v>45778</v>
      </c>
      <c r="CS13" s="923">
        <v>46023</v>
      </c>
      <c r="CT13" s="922">
        <v>46966</v>
      </c>
      <c r="CU13" s="922"/>
    </row>
    <row r="14" spans="2:99" x14ac:dyDescent="0.25">
      <c r="AA14" s="90" t="s">
        <v>377</v>
      </c>
      <c r="AB14" s="90"/>
      <c r="AC14" s="90" t="s">
        <v>378</v>
      </c>
      <c r="AD14" s="197"/>
      <c r="AE14" s="197"/>
      <c r="AG14" s="1701"/>
      <c r="AH14" s="174" t="s">
        <v>379</v>
      </c>
      <c r="AI14" s="174"/>
      <c r="AJ14" s="174" t="s">
        <v>375</v>
      </c>
      <c r="AK14" s="667" t="s">
        <v>375</v>
      </c>
      <c r="AL14" s="1728"/>
      <c r="AM14" s="706"/>
      <c r="AO14" s="1715"/>
      <c r="AP14" s="154"/>
      <c r="AQ14" s="154"/>
      <c r="AR14" s="154"/>
      <c r="AS14" s="154"/>
      <c r="AT14" s="693"/>
      <c r="AU14" s="694"/>
      <c r="AV14" s="692"/>
      <c r="AW14" s="154"/>
      <c r="AX14" s="154"/>
      <c r="AY14" s="154"/>
      <c r="AZ14" s="154"/>
      <c r="BA14" s="154"/>
      <c r="BB14" s="154"/>
      <c r="BC14" s="693"/>
      <c r="BD14" s="694"/>
      <c r="BE14" s="692"/>
      <c r="BF14" s="154"/>
      <c r="BG14" s="154"/>
      <c r="BH14" s="154"/>
      <c r="BI14" s="154"/>
      <c r="BJ14" s="154"/>
      <c r="BK14" s="154"/>
      <c r="BL14" s="693"/>
      <c r="BM14" s="694"/>
      <c r="BN14" s="692"/>
      <c r="BO14" s="154"/>
      <c r="BP14" s="154"/>
      <c r="BQ14" s="154"/>
      <c r="BR14" s="154"/>
      <c r="BS14" s="154"/>
      <c r="BT14" s="154"/>
      <c r="BU14" s="693"/>
      <c r="BV14" s="694"/>
      <c r="BW14" s="692"/>
      <c r="BX14" s="154"/>
      <c r="BY14" s="154"/>
      <c r="BZ14" s="154"/>
      <c r="CA14" s="154"/>
      <c r="CB14" s="154"/>
      <c r="CC14" s="154"/>
      <c r="CD14" s="693"/>
      <c r="CE14" s="694"/>
      <c r="CO14" s="656" t="s">
        <v>380</v>
      </c>
      <c r="CP14" s="62">
        <v>2</v>
      </c>
      <c r="CQ14" s="62">
        <v>2</v>
      </c>
      <c r="CR14" s="918">
        <v>45597</v>
      </c>
      <c r="CS14" s="917">
        <v>45778</v>
      </c>
      <c r="CT14" s="918">
        <v>46235</v>
      </c>
      <c r="CU14" s="918"/>
    </row>
    <row r="15" spans="2:99" x14ac:dyDescent="0.25">
      <c r="AA15" s="174" t="s">
        <v>359</v>
      </c>
      <c r="AB15" s="175">
        <v>700000</v>
      </c>
      <c r="AC15" s="174" t="s">
        <v>381</v>
      </c>
      <c r="AD15" s="195">
        <f>AB15</f>
        <v>700000</v>
      </c>
      <c r="AE15" s="195">
        <f>AE12+AD15</f>
        <v>3674000</v>
      </c>
      <c r="AG15" s="1701"/>
      <c r="AH15" s="173" t="s">
        <v>358</v>
      </c>
      <c r="AI15" s="90"/>
      <c r="AJ15" s="90"/>
      <c r="AK15" s="119"/>
      <c r="AL15" s="1729" t="s">
        <v>382</v>
      </c>
      <c r="AM15" s="703"/>
      <c r="AO15" s="1715"/>
      <c r="AP15" s="154"/>
      <c r="AQ15" s="154"/>
      <c r="AR15" s="154"/>
      <c r="AS15" s="154"/>
      <c r="AT15" s="693"/>
      <c r="AU15" s="694"/>
      <c r="AV15" s="692"/>
      <c r="AW15" s="154"/>
      <c r="AX15" s="154"/>
      <c r="AY15" s="154"/>
      <c r="AZ15" s="154"/>
      <c r="BA15" s="154"/>
      <c r="BB15" s="154"/>
      <c r="BC15" s="693"/>
      <c r="BD15" s="694"/>
      <c r="BE15" s="692"/>
      <c r="BF15" s="154"/>
      <c r="BG15" s="154"/>
      <c r="BH15" s="154"/>
      <c r="BI15" s="154"/>
      <c r="BJ15" s="154"/>
      <c r="BK15" s="154"/>
      <c r="BL15" s="693"/>
      <c r="BM15" s="694"/>
      <c r="BN15" s="692"/>
      <c r="BO15" s="154"/>
      <c r="BP15" s="154"/>
      <c r="BQ15" s="154"/>
      <c r="BR15" s="154"/>
      <c r="BS15" s="154"/>
      <c r="BT15" s="154"/>
      <c r="BU15" s="693"/>
      <c r="BV15" s="694"/>
      <c r="BW15" s="692"/>
      <c r="BX15" s="154"/>
      <c r="BY15" s="154"/>
      <c r="BZ15" s="154"/>
      <c r="CA15" s="154"/>
      <c r="CB15" s="154"/>
      <c r="CC15" s="154"/>
      <c r="CD15" s="693"/>
      <c r="CE15" s="694"/>
    </row>
    <row r="16" spans="2:99" x14ac:dyDescent="0.25">
      <c r="B16" s="1745">
        <v>2020</v>
      </c>
      <c r="C16" s="1745"/>
      <c r="D16" s="1745"/>
      <c r="E16" s="1745">
        <v>2021</v>
      </c>
      <c r="F16" s="1745"/>
      <c r="G16" s="1745"/>
      <c r="H16" s="1745">
        <v>2022</v>
      </c>
      <c r="I16" s="1745"/>
      <c r="J16" s="1745"/>
      <c r="K16" s="1745">
        <v>2023</v>
      </c>
      <c r="L16" s="1745"/>
      <c r="M16" s="1745"/>
      <c r="N16" s="1745">
        <v>2024</v>
      </c>
      <c r="O16" s="1745"/>
      <c r="P16" s="1745"/>
      <c r="Q16" s="1745">
        <v>2025</v>
      </c>
      <c r="R16" s="1745"/>
      <c r="S16" s="1745"/>
      <c r="T16" s="1745">
        <v>2026</v>
      </c>
      <c r="U16" s="1745"/>
      <c r="V16" s="1745"/>
      <c r="W16" s="1745">
        <v>2027</v>
      </c>
      <c r="X16" s="1745"/>
      <c r="Y16" s="1745"/>
      <c r="AA16" s="90" t="s">
        <v>383</v>
      </c>
      <c r="AB16" s="172">
        <v>390000</v>
      </c>
      <c r="AC16" s="90" t="s">
        <v>384</v>
      </c>
      <c r="AD16" s="196">
        <f>AB16</f>
        <v>390000</v>
      </c>
      <c r="AE16" s="196">
        <f>AE15+AD16</f>
        <v>4064000</v>
      </c>
      <c r="AG16" s="1701"/>
      <c r="AH16" s="90" t="s">
        <v>385</v>
      </c>
      <c r="AI16" s="1712" t="s">
        <v>386</v>
      </c>
      <c r="AJ16" s="90" t="s">
        <v>357</v>
      </c>
      <c r="AK16" s="119"/>
      <c r="AL16" s="1729"/>
      <c r="AM16" s="703"/>
      <c r="AO16" s="1715"/>
      <c r="AP16" s="154"/>
      <c r="AQ16" s="154"/>
      <c r="AR16" s="154"/>
      <c r="AS16" s="154"/>
      <c r="AT16" s="693"/>
      <c r="AU16" s="694"/>
      <c r="AV16" s="692"/>
      <c r="AW16" s="154"/>
      <c r="AX16" s="154"/>
      <c r="AY16" s="154"/>
      <c r="AZ16" s="154"/>
      <c r="BA16" s="154"/>
      <c r="BB16" s="154"/>
      <c r="BC16" s="693"/>
      <c r="BD16" s="694"/>
      <c r="BE16" s="692"/>
      <c r="BF16" s="154"/>
      <c r="BG16" s="154"/>
      <c r="BH16" s="154"/>
      <c r="BI16" s="154"/>
      <c r="BJ16" s="154"/>
      <c r="BK16" s="154"/>
      <c r="BL16" s="693"/>
      <c r="BM16" s="694"/>
      <c r="BN16" s="692"/>
      <c r="BO16" s="154"/>
      <c r="BP16" s="154"/>
      <c r="BQ16" s="154"/>
      <c r="BR16" s="154"/>
      <c r="BS16" s="154"/>
      <c r="BT16" s="154"/>
      <c r="BU16" s="693"/>
      <c r="BV16" s="694"/>
      <c r="BW16" s="692"/>
      <c r="BX16" s="154"/>
      <c r="BY16" s="154"/>
      <c r="BZ16" s="154"/>
      <c r="CA16" s="154"/>
      <c r="CB16" s="154"/>
      <c r="CC16" s="154"/>
      <c r="CD16" s="693"/>
      <c r="CE16" s="694"/>
    </row>
    <row r="17" spans="6:97" ht="15.75" thickBot="1" x14ac:dyDescent="0.3">
      <c r="AA17" s="174" t="s">
        <v>383</v>
      </c>
      <c r="AB17" s="175">
        <v>390000</v>
      </c>
      <c r="AC17" s="174" t="s">
        <v>387</v>
      </c>
      <c r="AD17" s="1698">
        <f>SUM(AB17:AB18)</f>
        <v>1090000</v>
      </c>
      <c r="AE17" s="1698">
        <f>AE16+AD17</f>
        <v>5154000</v>
      </c>
      <c r="AG17" s="1704"/>
      <c r="AH17" s="395" t="s">
        <v>388</v>
      </c>
      <c r="AI17" s="1713"/>
      <c r="AJ17" s="395" t="s">
        <v>357</v>
      </c>
      <c r="AK17" s="407"/>
      <c r="AL17" s="1730"/>
      <c r="AM17" s="704"/>
      <c r="AO17" s="1715"/>
      <c r="AP17" s="154"/>
      <c r="AQ17" s="154"/>
      <c r="AR17" s="154"/>
      <c r="AS17" s="154"/>
      <c r="AT17" s="693"/>
      <c r="AU17" s="694"/>
      <c r="AV17" s="692"/>
      <c r="AW17" s="154"/>
      <c r="AX17" s="154"/>
      <c r="AY17" s="154"/>
      <c r="AZ17" s="154"/>
      <c r="BA17" s="154"/>
      <c r="BB17" s="154"/>
      <c r="BC17" s="693"/>
      <c r="BD17" s="694"/>
      <c r="BE17" s="692"/>
      <c r="BF17" s="154"/>
      <c r="BG17" s="154"/>
      <c r="BH17" s="154"/>
      <c r="BI17" s="154"/>
      <c r="BJ17" s="154"/>
      <c r="BK17" s="154"/>
      <c r="BL17" s="693"/>
      <c r="BM17" s="694"/>
      <c r="BN17" s="692"/>
      <c r="BO17" s="154"/>
      <c r="BP17" s="154"/>
      <c r="BQ17" s="154"/>
      <c r="BR17" s="154"/>
      <c r="BS17" s="154"/>
      <c r="BT17" s="154"/>
      <c r="BU17" s="693"/>
      <c r="BV17" s="694"/>
      <c r="BW17" s="692"/>
      <c r="BX17" s="154"/>
      <c r="BY17" s="154"/>
      <c r="BZ17" s="154"/>
      <c r="CA17" s="154"/>
      <c r="CB17" s="154"/>
      <c r="CC17" s="154"/>
      <c r="CD17" s="693"/>
      <c r="CE17" s="694"/>
      <c r="CO17" s="1705" t="s">
        <v>332</v>
      </c>
      <c r="CP17" s="1710" t="s">
        <v>389</v>
      </c>
      <c r="CQ17" s="1707" t="s">
        <v>335</v>
      </c>
      <c r="CR17" s="1708"/>
      <c r="CS17" s="1709"/>
    </row>
    <row r="18" spans="6:97" x14ac:dyDescent="0.25">
      <c r="AA18" s="174" t="s">
        <v>359</v>
      </c>
      <c r="AB18" s="175">
        <v>700000</v>
      </c>
      <c r="AC18" s="174" t="s">
        <v>387</v>
      </c>
      <c r="AD18" s="1699"/>
      <c r="AE18" s="1699"/>
      <c r="AG18" s="1700" t="s">
        <v>390</v>
      </c>
      <c r="AH18" s="655" t="s">
        <v>240</v>
      </c>
      <c r="AI18" s="656"/>
      <c r="AJ18" s="656"/>
      <c r="AK18" s="663"/>
      <c r="AL18" s="1725" t="s">
        <v>391</v>
      </c>
      <c r="AM18" s="702"/>
      <c r="AO18" s="1715"/>
      <c r="AP18" s="154"/>
      <c r="AQ18" s="154"/>
      <c r="AR18" s="154"/>
      <c r="AS18" s="154"/>
      <c r="AT18" s="693"/>
      <c r="AU18" s="694"/>
      <c r="AV18" s="692"/>
      <c r="AW18" s="154"/>
      <c r="AX18" s="154"/>
      <c r="AY18" s="154"/>
      <c r="AZ18" s="154"/>
      <c r="BA18" s="154"/>
      <c r="BB18" s="154"/>
      <c r="BC18" s="693"/>
      <c r="BD18" s="694"/>
      <c r="BE18" s="692"/>
      <c r="BF18" s="154"/>
      <c r="BG18" s="154"/>
      <c r="BH18" s="154"/>
      <c r="BI18" s="154"/>
      <c r="BJ18" s="154"/>
      <c r="BK18" s="154"/>
      <c r="BL18" s="693"/>
      <c r="BM18" s="694"/>
      <c r="BN18" s="692"/>
      <c r="BO18" s="154"/>
      <c r="BP18" s="154"/>
      <c r="BQ18" s="154"/>
      <c r="BR18" s="154"/>
      <c r="BS18" s="154"/>
      <c r="BT18" s="154"/>
      <c r="BU18" s="693"/>
      <c r="BV18" s="694"/>
      <c r="BW18" s="692"/>
      <c r="BX18" s="154"/>
      <c r="BY18" s="154"/>
      <c r="BZ18" s="154"/>
      <c r="CA18" s="154"/>
      <c r="CB18" s="154"/>
      <c r="CC18" s="154"/>
      <c r="CD18" s="693"/>
      <c r="CE18" s="694"/>
      <c r="CO18" s="1706"/>
      <c r="CP18" s="1711"/>
      <c r="CQ18" s="919" t="s">
        <v>347</v>
      </c>
      <c r="CR18" s="920" t="s">
        <v>348</v>
      </c>
      <c r="CS18" s="919" t="s">
        <v>349</v>
      </c>
    </row>
    <row r="19" spans="6:97" ht="15.75" x14ac:dyDescent="0.25">
      <c r="F19" s="1557" t="s">
        <v>392</v>
      </c>
      <c r="G19" s="1557"/>
      <c r="H19" s="1557"/>
      <c r="I19" s="1557"/>
      <c r="J19" s="1557"/>
      <c r="K19" s="1557"/>
      <c r="AA19" s="90" t="s">
        <v>383</v>
      </c>
      <c r="AB19" s="172">
        <v>390000</v>
      </c>
      <c r="AC19" s="90" t="s">
        <v>393</v>
      </c>
      <c r="AD19" s="196">
        <f>AB19</f>
        <v>390000</v>
      </c>
      <c r="AE19" s="196">
        <f>AE17+AD19</f>
        <v>5544000</v>
      </c>
      <c r="AG19" s="1701"/>
      <c r="AH19" s="90" t="s">
        <v>394</v>
      </c>
      <c r="AI19" s="666">
        <v>44986</v>
      </c>
      <c r="AJ19" s="90" t="s">
        <v>375</v>
      </c>
      <c r="AK19" s="119" t="s">
        <v>375</v>
      </c>
      <c r="AL19" s="1727"/>
      <c r="AM19" s="703" t="s">
        <v>395</v>
      </c>
      <c r="AO19" s="1715"/>
      <c r="AP19" s="154"/>
      <c r="AQ19" s="154"/>
      <c r="AR19" s="154"/>
      <c r="AS19" s="154"/>
      <c r="AT19" s="693"/>
      <c r="AU19" s="694"/>
      <c r="AV19" s="692"/>
      <c r="AW19" s="154"/>
      <c r="AX19" s="154"/>
      <c r="AY19" s="154"/>
      <c r="AZ19" s="154"/>
      <c r="BA19" s="154"/>
      <c r="BB19" s="154"/>
      <c r="BC19" s="693"/>
      <c r="BD19" s="694"/>
      <c r="BE19" s="692"/>
      <c r="BF19" s="154"/>
      <c r="BG19" s="154"/>
      <c r="BH19" s="154"/>
      <c r="BI19" s="154"/>
      <c r="BJ19" s="154"/>
      <c r="BK19" s="154"/>
      <c r="BL19" s="693"/>
      <c r="BM19" s="694"/>
      <c r="BN19" s="692"/>
      <c r="BO19" s="154"/>
      <c r="BP19" s="154"/>
      <c r="BQ19" s="154"/>
      <c r="BR19" s="154"/>
      <c r="BS19" s="154"/>
      <c r="BT19" s="154"/>
      <c r="BU19" s="693"/>
      <c r="BV19" s="694"/>
      <c r="BW19" s="692"/>
      <c r="BX19" s="154"/>
      <c r="BY19" s="154"/>
      <c r="BZ19" s="154"/>
      <c r="CA19" s="154"/>
      <c r="CB19" s="154"/>
      <c r="CC19" s="154"/>
      <c r="CD19" s="693"/>
      <c r="CE19" s="694"/>
      <c r="CO19" s="737" t="s">
        <v>396</v>
      </c>
      <c r="CP19" s="646">
        <v>42</v>
      </c>
      <c r="CQ19" s="927">
        <v>45992</v>
      </c>
      <c r="CR19" s="928">
        <v>46327</v>
      </c>
      <c r="CS19" s="927">
        <v>47757</v>
      </c>
    </row>
    <row r="20" spans="6:97" ht="15.75" x14ac:dyDescent="0.25">
      <c r="AA20" s="176" t="s">
        <v>397</v>
      </c>
      <c r="AB20" s="177">
        <f>SUM(AB8:AB19)</f>
        <v>5544000</v>
      </c>
      <c r="AD20" s="171"/>
      <c r="AG20" s="1701"/>
      <c r="AH20" s="90" t="s">
        <v>398</v>
      </c>
      <c r="AI20" s="666">
        <v>44866</v>
      </c>
      <c r="AJ20" s="670" t="s">
        <v>362</v>
      </c>
      <c r="AK20" s="1731" t="s">
        <v>399</v>
      </c>
      <c r="AL20" s="1727"/>
      <c r="AM20" s="703" t="s">
        <v>400</v>
      </c>
      <c r="AO20" s="1715"/>
      <c r="AP20" s="154"/>
      <c r="AQ20" s="154"/>
      <c r="AR20" s="154"/>
      <c r="AS20" s="154"/>
      <c r="AT20" s="693"/>
      <c r="AU20" s="694"/>
      <c r="AV20" s="692"/>
      <c r="AW20" s="154"/>
      <c r="AX20" s="154"/>
      <c r="AY20" s="154"/>
      <c r="AZ20" s="154"/>
      <c r="BA20" s="154"/>
      <c r="BB20" s="154"/>
      <c r="BC20" s="693"/>
      <c r="BD20" s="694"/>
      <c r="BE20" s="692"/>
      <c r="BF20" s="154"/>
      <c r="BG20" s="154"/>
      <c r="BH20" s="154"/>
      <c r="BI20" s="154"/>
      <c r="BJ20" s="154"/>
      <c r="BK20" s="154"/>
      <c r="BL20" s="693"/>
      <c r="BM20" s="694"/>
      <c r="BN20" s="692"/>
      <c r="BO20" s="154"/>
      <c r="BP20" s="154"/>
      <c r="BQ20" s="154"/>
      <c r="BR20" s="154"/>
      <c r="BS20" s="154"/>
      <c r="BT20" s="154"/>
      <c r="BU20" s="693"/>
      <c r="BV20" s="694"/>
      <c r="BW20" s="692"/>
      <c r="BX20" s="154"/>
      <c r="BY20" s="154"/>
      <c r="BZ20" s="154"/>
      <c r="CA20" s="154"/>
      <c r="CB20" s="154"/>
      <c r="CC20" s="154"/>
      <c r="CD20" s="693"/>
      <c r="CE20" s="694"/>
      <c r="CO20" s="926" t="s">
        <v>113</v>
      </c>
      <c r="CP20" s="921">
        <v>10</v>
      </c>
      <c r="CQ20" s="929">
        <v>47423</v>
      </c>
      <c r="CR20" s="930">
        <v>47484</v>
      </c>
      <c r="CS20" s="929" t="s">
        <v>401</v>
      </c>
    </row>
    <row r="21" spans="6:97" ht="15.75" x14ac:dyDescent="0.25">
      <c r="AG21" s="1701"/>
      <c r="AH21" s="90" t="s">
        <v>402</v>
      </c>
      <c r="AI21" s="666">
        <v>44866</v>
      </c>
      <c r="AJ21" s="670" t="s">
        <v>362</v>
      </c>
      <c r="AK21" s="1732"/>
      <c r="AL21" s="1727"/>
      <c r="AM21" s="703"/>
      <c r="AO21" s="1715"/>
      <c r="AP21" s="154"/>
      <c r="AQ21" s="154"/>
      <c r="AR21" s="154"/>
      <c r="AS21" s="154"/>
      <c r="AT21" s="693"/>
      <c r="AU21" s="694"/>
      <c r="AV21" s="692"/>
      <c r="AW21" s="154"/>
      <c r="AX21" s="154"/>
      <c r="AY21" s="154"/>
      <c r="AZ21" s="154"/>
      <c r="BA21" s="154"/>
      <c r="BB21" s="154"/>
      <c r="BC21" s="693"/>
      <c r="BD21" s="694"/>
      <c r="BE21" s="692"/>
      <c r="BF21" s="154"/>
      <c r="BG21" s="154"/>
      <c r="BH21" s="154"/>
      <c r="BI21" s="154"/>
      <c r="BJ21" s="154"/>
      <c r="BK21" s="154"/>
      <c r="BL21" s="693"/>
      <c r="BM21" s="694"/>
      <c r="BN21" s="692"/>
      <c r="BO21" s="154"/>
      <c r="BP21" s="154"/>
      <c r="BQ21" s="154"/>
      <c r="BR21" s="154"/>
      <c r="BS21" s="154"/>
      <c r="BT21" s="154"/>
      <c r="BU21" s="693"/>
      <c r="BV21" s="694"/>
      <c r="BW21" s="692"/>
      <c r="BX21" s="154"/>
      <c r="BY21" s="154"/>
      <c r="BZ21" s="154"/>
      <c r="CA21" s="154"/>
      <c r="CB21" s="154"/>
      <c r="CC21" s="154"/>
      <c r="CD21" s="693"/>
      <c r="CE21" s="694"/>
      <c r="CO21" s="737" t="s">
        <v>371</v>
      </c>
      <c r="CP21" s="646">
        <v>12</v>
      </c>
      <c r="CQ21" s="927">
        <v>45809</v>
      </c>
      <c r="CR21" s="928">
        <v>46082</v>
      </c>
      <c r="CS21" s="927">
        <v>47088</v>
      </c>
    </row>
    <row r="22" spans="6:97" ht="15.75" x14ac:dyDescent="0.25">
      <c r="AG22" s="1701"/>
      <c r="AH22" s="176" t="s">
        <v>374</v>
      </c>
      <c r="AI22" s="174"/>
      <c r="AJ22" s="174"/>
      <c r="AK22" s="667"/>
      <c r="AL22" s="1719" t="s">
        <v>375</v>
      </c>
      <c r="AM22" s="706"/>
      <c r="AO22" s="1715"/>
      <c r="AP22" s="154"/>
      <c r="AQ22" s="154"/>
      <c r="AR22" s="154"/>
      <c r="AS22" s="154"/>
      <c r="AT22" s="693"/>
      <c r="AU22" s="694"/>
      <c r="AV22" s="692"/>
      <c r="AW22" s="154"/>
      <c r="AX22" s="154"/>
      <c r="AY22" s="154"/>
      <c r="AZ22" s="154"/>
      <c r="BA22" s="154"/>
      <c r="BB22" s="154"/>
      <c r="BC22" s="693"/>
      <c r="BD22" s="694"/>
      <c r="BE22" s="692"/>
      <c r="BF22" s="154"/>
      <c r="BG22" s="154"/>
      <c r="BH22" s="154"/>
      <c r="BI22" s="154"/>
      <c r="BJ22" s="154"/>
      <c r="BK22" s="154"/>
      <c r="BL22" s="693"/>
      <c r="BM22" s="694"/>
      <c r="BN22" s="692"/>
      <c r="BO22" s="154"/>
      <c r="BP22" s="154"/>
      <c r="BQ22" s="154"/>
      <c r="BR22" s="154"/>
      <c r="BS22" s="154"/>
      <c r="BT22" s="154"/>
      <c r="BU22" s="693"/>
      <c r="BV22" s="694"/>
      <c r="BW22" s="692"/>
      <c r="BX22" s="154"/>
      <c r="BY22" s="154"/>
      <c r="BZ22" s="154"/>
      <c r="CA22" s="154"/>
      <c r="CB22" s="154"/>
      <c r="CC22" s="154"/>
      <c r="CD22" s="693"/>
      <c r="CE22" s="694"/>
      <c r="CO22" s="931" t="s">
        <v>380</v>
      </c>
      <c r="CP22" s="932">
        <v>4</v>
      </c>
      <c r="CQ22" s="933">
        <v>47543</v>
      </c>
      <c r="CR22" s="934" t="s">
        <v>403</v>
      </c>
      <c r="CS22" s="933" t="s">
        <v>403</v>
      </c>
    </row>
    <row r="23" spans="6:97" x14ac:dyDescent="0.25">
      <c r="AG23" s="1701"/>
      <c r="AH23" s="174" t="s">
        <v>379</v>
      </c>
      <c r="AI23" s="174"/>
      <c r="AJ23" s="174" t="s">
        <v>375</v>
      </c>
      <c r="AK23" s="667" t="s">
        <v>375</v>
      </c>
      <c r="AL23" s="1720"/>
      <c r="AM23" s="706"/>
      <c r="AO23" s="1715"/>
      <c r="AP23" s="154"/>
      <c r="AQ23" s="154"/>
      <c r="AR23" s="154"/>
      <c r="AS23" s="154"/>
      <c r="AT23" s="693"/>
      <c r="AU23" s="694"/>
      <c r="AV23" s="692"/>
      <c r="AW23" s="154"/>
      <c r="AX23" s="154"/>
      <c r="AY23" s="154"/>
      <c r="AZ23" s="154"/>
      <c r="BA23" s="154"/>
      <c r="BB23" s="154"/>
      <c r="BC23" s="693"/>
      <c r="BD23" s="694"/>
      <c r="BE23" s="692"/>
      <c r="BF23" s="154"/>
      <c r="BG23" s="154"/>
      <c r="BH23" s="154"/>
      <c r="BI23" s="154"/>
      <c r="BJ23" s="154"/>
      <c r="BK23" s="154"/>
      <c r="BL23" s="693"/>
      <c r="BM23" s="694"/>
      <c r="BN23" s="692"/>
      <c r="BO23" s="154"/>
      <c r="BP23" s="154"/>
      <c r="BQ23" s="154"/>
      <c r="BR23" s="154"/>
      <c r="BS23" s="154"/>
      <c r="BT23" s="154"/>
      <c r="BU23" s="693"/>
      <c r="BV23" s="694"/>
      <c r="BW23" s="692"/>
      <c r="BX23" s="154"/>
      <c r="BY23" s="154"/>
      <c r="BZ23" s="154"/>
      <c r="CA23" s="154"/>
      <c r="CB23" s="154"/>
      <c r="CC23" s="154"/>
      <c r="CD23" s="693"/>
      <c r="CE23" s="694"/>
    </row>
    <row r="24" spans="6:97" ht="15" customHeight="1" x14ac:dyDescent="0.25">
      <c r="AG24" s="1701"/>
      <c r="AH24" s="173" t="s">
        <v>358</v>
      </c>
      <c r="AI24" s="90"/>
      <c r="AJ24" s="90"/>
      <c r="AK24" s="119"/>
      <c r="AL24" s="1721" t="s">
        <v>404</v>
      </c>
      <c r="AM24" s="703"/>
      <c r="AO24" s="1716"/>
      <c r="AP24" s="730"/>
      <c r="AQ24" s="730"/>
      <c r="AR24" s="730"/>
      <c r="AS24" s="730"/>
      <c r="AT24" s="731"/>
      <c r="AU24" s="732"/>
      <c r="AV24" s="733"/>
      <c r="AW24" s="730"/>
      <c r="AX24" s="730"/>
      <c r="AY24" s="730"/>
      <c r="AZ24" s="730"/>
      <c r="BA24" s="730"/>
      <c r="BB24" s="730"/>
      <c r="BC24" s="731"/>
      <c r="BD24" s="732"/>
      <c r="BE24" s="733"/>
      <c r="BF24" s="730"/>
      <c r="BG24" s="730"/>
      <c r="BH24" s="730"/>
      <c r="BI24" s="730"/>
      <c r="BJ24" s="730"/>
      <c r="BK24" s="730"/>
      <c r="BL24" s="731"/>
      <c r="BM24" s="732"/>
      <c r="BN24" s="733"/>
      <c r="BO24" s="730"/>
      <c r="BP24" s="730"/>
      <c r="BQ24" s="730"/>
      <c r="BR24" s="730"/>
      <c r="BS24" s="730"/>
      <c r="BT24" s="730"/>
      <c r="BU24" s="731"/>
      <c r="BV24" s="732"/>
      <c r="BW24" s="733"/>
      <c r="BX24" s="730"/>
      <c r="BY24" s="730"/>
      <c r="BZ24" s="730"/>
      <c r="CA24" s="730"/>
      <c r="CB24" s="730"/>
      <c r="CC24" s="730"/>
      <c r="CD24" s="731"/>
      <c r="CE24" s="732"/>
    </row>
    <row r="25" spans="6:97" ht="15.75" thickBot="1" x14ac:dyDescent="0.3">
      <c r="AG25" s="1702"/>
      <c r="AH25" s="61" t="s">
        <v>405</v>
      </c>
      <c r="AI25" s="669">
        <v>45139</v>
      </c>
      <c r="AJ25" s="673" t="s">
        <v>362</v>
      </c>
      <c r="AK25" s="674" t="s">
        <v>406</v>
      </c>
      <c r="AL25" s="1722"/>
      <c r="AM25" s="708"/>
      <c r="AO25" s="1717" t="s">
        <v>407</v>
      </c>
      <c r="AP25" s="722"/>
      <c r="AQ25" s="722"/>
      <c r="AR25" s="722"/>
      <c r="AS25" s="722"/>
      <c r="AT25" s="723"/>
      <c r="AU25" s="724"/>
      <c r="AV25" s="725"/>
      <c r="AW25" s="722"/>
      <c r="AX25" s="722"/>
      <c r="AY25" s="722"/>
      <c r="AZ25" s="722"/>
      <c r="BA25" s="722"/>
      <c r="BB25" s="722"/>
      <c r="BC25" s="723"/>
      <c r="BD25" s="724"/>
      <c r="BE25" s="725"/>
      <c r="BF25" s="722"/>
      <c r="BG25" s="722"/>
      <c r="BH25" s="722"/>
      <c r="BI25" s="722"/>
      <c r="BJ25" s="722"/>
      <c r="BK25" s="722"/>
      <c r="BL25" s="723"/>
      <c r="BM25" s="724"/>
      <c r="BN25" s="725"/>
      <c r="BO25" s="722"/>
      <c r="BP25" s="722"/>
      <c r="BQ25" s="722"/>
      <c r="BR25" s="722"/>
      <c r="BS25" s="722"/>
      <c r="BT25" s="722"/>
      <c r="BU25" s="723"/>
      <c r="BV25" s="724"/>
      <c r="BW25" s="725"/>
      <c r="BX25" s="722"/>
      <c r="BY25" s="722"/>
      <c r="BZ25" s="722"/>
      <c r="CA25" s="722"/>
      <c r="CB25" s="722"/>
      <c r="CC25" s="722"/>
      <c r="CD25" s="723"/>
      <c r="CE25" s="724"/>
    </row>
    <row r="26" spans="6:97" x14ac:dyDescent="0.25">
      <c r="AG26" s="1703" t="s">
        <v>408</v>
      </c>
      <c r="AH26" s="657" t="s">
        <v>240</v>
      </c>
      <c r="AI26" s="658"/>
      <c r="AJ26" s="658"/>
      <c r="AK26" s="397"/>
      <c r="AL26" s="1723" t="s">
        <v>391</v>
      </c>
      <c r="AM26" s="705"/>
      <c r="AO26" s="1718"/>
      <c r="AP26" s="689"/>
      <c r="AQ26" s="689"/>
      <c r="AR26" s="689"/>
      <c r="AS26" s="689"/>
      <c r="AT26" s="690"/>
      <c r="AU26" s="691"/>
      <c r="AV26" s="688"/>
      <c r="AW26" s="689"/>
      <c r="AX26" s="689"/>
      <c r="AY26" s="689"/>
      <c r="AZ26" s="689"/>
      <c r="BA26" s="689"/>
      <c r="BB26" s="689"/>
      <c r="BC26" s="690"/>
      <c r="BD26" s="691"/>
      <c r="BE26" s="688"/>
      <c r="BF26" s="689"/>
      <c r="BG26" s="689"/>
      <c r="BH26" s="689"/>
      <c r="BI26" s="689"/>
      <c r="BJ26" s="689"/>
      <c r="BK26" s="689"/>
      <c r="BL26" s="690"/>
      <c r="BM26" s="691"/>
      <c r="BN26" s="688"/>
      <c r="BO26" s="689"/>
      <c r="BP26" s="689"/>
      <c r="BQ26" s="689"/>
      <c r="BR26" s="689"/>
      <c r="BS26" s="689"/>
      <c r="BT26" s="689"/>
      <c r="BU26" s="690"/>
      <c r="BV26" s="691"/>
      <c r="BW26" s="688"/>
      <c r="BX26" s="689"/>
      <c r="BY26" s="689"/>
      <c r="BZ26" s="689"/>
      <c r="CA26" s="689"/>
      <c r="CB26" s="689"/>
      <c r="CC26" s="689"/>
      <c r="CD26" s="690"/>
      <c r="CE26" s="691"/>
    </row>
    <row r="27" spans="6:97" x14ac:dyDescent="0.25">
      <c r="AG27" s="1701"/>
      <c r="AH27" s="90" t="s">
        <v>409</v>
      </c>
      <c r="AI27" s="90"/>
      <c r="AJ27" s="90" t="s">
        <v>357</v>
      </c>
      <c r="AK27" s="119" t="s">
        <v>375</v>
      </c>
      <c r="AL27" s="1724"/>
      <c r="AM27" s="707"/>
      <c r="AO27" s="1718"/>
      <c r="AP27" s="689"/>
      <c r="AQ27" s="689"/>
      <c r="AR27" s="689"/>
      <c r="AS27" s="689"/>
      <c r="AT27" s="690"/>
      <c r="AU27" s="691"/>
      <c r="AV27" s="688"/>
      <c r="AW27" s="689"/>
      <c r="AX27" s="689"/>
      <c r="AY27" s="689"/>
      <c r="AZ27" s="689"/>
      <c r="BA27" s="689"/>
      <c r="BB27" s="689"/>
      <c r="BC27" s="690"/>
      <c r="BD27" s="691"/>
      <c r="BE27" s="688"/>
      <c r="BF27" s="689"/>
      <c r="BG27" s="689"/>
      <c r="BH27" s="689"/>
      <c r="BI27" s="689"/>
      <c r="BJ27" s="689"/>
      <c r="BK27" s="689"/>
      <c r="BL27" s="690"/>
      <c r="BM27" s="691"/>
      <c r="BN27" s="688"/>
      <c r="BO27" s="689"/>
      <c r="BP27" s="689"/>
      <c r="BQ27" s="689"/>
      <c r="BR27" s="689"/>
      <c r="BS27" s="689"/>
      <c r="BT27" s="689"/>
      <c r="BU27" s="690"/>
      <c r="BV27" s="691"/>
      <c r="BW27" s="688"/>
      <c r="BX27" s="689"/>
      <c r="BY27" s="689"/>
      <c r="BZ27" s="689"/>
      <c r="CA27" s="689"/>
      <c r="CB27" s="689"/>
      <c r="CC27" s="689"/>
      <c r="CD27" s="690"/>
      <c r="CE27" s="691"/>
    </row>
    <row r="28" spans="6:97" x14ac:dyDescent="0.25">
      <c r="AG28" s="1701"/>
      <c r="AH28" s="90" t="s">
        <v>410</v>
      </c>
      <c r="AI28" s="666" t="s">
        <v>411</v>
      </c>
      <c r="AJ28" s="670" t="s">
        <v>362</v>
      </c>
      <c r="AK28" s="1731" t="s">
        <v>399</v>
      </c>
      <c r="AL28" s="1724"/>
      <c r="AM28" s="703" t="s">
        <v>412</v>
      </c>
      <c r="AO28" s="1718"/>
      <c r="AP28" s="689"/>
      <c r="AQ28" s="689"/>
      <c r="AR28" s="689"/>
      <c r="AS28" s="689"/>
      <c r="AT28" s="690"/>
      <c r="AU28" s="691"/>
      <c r="AV28" s="688"/>
      <c r="AW28" s="689"/>
      <c r="AX28" s="689"/>
      <c r="AY28" s="689"/>
      <c r="AZ28" s="689"/>
      <c r="BA28" s="689"/>
      <c r="BB28" s="689"/>
      <c r="BC28" s="690"/>
      <c r="BD28" s="691"/>
      <c r="BE28" s="688"/>
      <c r="BF28" s="689"/>
      <c r="BG28" s="689"/>
      <c r="BH28" s="689"/>
      <c r="BI28" s="689"/>
      <c r="BJ28" s="689"/>
      <c r="BK28" s="689"/>
      <c r="BL28" s="690"/>
      <c r="BM28" s="691"/>
      <c r="BN28" s="688"/>
      <c r="BO28" s="689"/>
      <c r="BP28" s="689"/>
      <c r="BQ28" s="689"/>
      <c r="BR28" s="689"/>
      <c r="BS28" s="689"/>
      <c r="BT28" s="689"/>
      <c r="BU28" s="690"/>
      <c r="BV28" s="691"/>
      <c r="BW28" s="688"/>
      <c r="BX28" s="689"/>
      <c r="BY28" s="689"/>
      <c r="BZ28" s="689"/>
      <c r="CA28" s="689"/>
      <c r="CB28" s="689"/>
      <c r="CC28" s="689"/>
      <c r="CD28" s="690"/>
      <c r="CE28" s="691"/>
    </row>
    <row r="29" spans="6:97" x14ac:dyDescent="0.25">
      <c r="AG29" s="1701"/>
      <c r="AH29" s="90" t="s">
        <v>413</v>
      </c>
      <c r="AI29" s="666" t="s">
        <v>411</v>
      </c>
      <c r="AJ29" s="670" t="s">
        <v>362</v>
      </c>
      <c r="AK29" s="1732"/>
      <c r="AL29" s="1725"/>
      <c r="AM29" s="703"/>
      <c r="AO29" s="1718"/>
      <c r="AP29" s="689"/>
      <c r="AQ29" s="689"/>
      <c r="AR29" s="689"/>
      <c r="AS29" s="689"/>
      <c r="AT29" s="690"/>
      <c r="AU29" s="691"/>
      <c r="AV29" s="688"/>
      <c r="AW29" s="689"/>
      <c r="AX29" s="689"/>
      <c r="AY29" s="689"/>
      <c r="AZ29" s="689"/>
      <c r="BA29" s="689"/>
      <c r="BB29" s="689"/>
      <c r="BC29" s="690"/>
      <c r="BD29" s="691"/>
      <c r="BE29" s="688"/>
      <c r="BF29" s="689"/>
      <c r="BG29" s="689"/>
      <c r="BH29" s="689"/>
      <c r="BI29" s="689"/>
      <c r="BJ29" s="689"/>
      <c r="BK29" s="689"/>
      <c r="BL29" s="690"/>
      <c r="BM29" s="691"/>
      <c r="BN29" s="688"/>
      <c r="BO29" s="689"/>
      <c r="BP29" s="689"/>
      <c r="BQ29" s="689"/>
      <c r="BR29" s="689"/>
      <c r="BS29" s="689"/>
      <c r="BT29" s="689"/>
      <c r="BU29" s="690"/>
      <c r="BV29" s="691"/>
      <c r="BW29" s="688"/>
      <c r="BX29" s="689"/>
      <c r="BY29" s="689"/>
      <c r="BZ29" s="689"/>
      <c r="CA29" s="689"/>
      <c r="CB29" s="689"/>
      <c r="CC29" s="689"/>
      <c r="CD29" s="690"/>
      <c r="CE29" s="691"/>
    </row>
    <row r="30" spans="6:97" x14ac:dyDescent="0.25">
      <c r="AG30" s="1701"/>
      <c r="AH30" s="176" t="s">
        <v>374</v>
      </c>
      <c r="AI30" s="174"/>
      <c r="AJ30" s="174"/>
      <c r="AK30" s="174"/>
      <c r="AL30" s="1740" t="s">
        <v>375</v>
      </c>
      <c r="AM30" s="706"/>
      <c r="AO30" s="1718"/>
      <c r="AP30" s="689"/>
      <c r="AQ30" s="689"/>
      <c r="AR30" s="689"/>
      <c r="AS30" s="689"/>
      <c r="AT30" s="690"/>
      <c r="AU30" s="691"/>
      <c r="AV30" s="688"/>
      <c r="AW30" s="689"/>
      <c r="AX30" s="689"/>
      <c r="AY30" s="689"/>
      <c r="AZ30" s="689"/>
      <c r="BA30" s="689"/>
      <c r="BB30" s="689"/>
      <c r="BC30" s="690"/>
      <c r="BD30" s="691"/>
      <c r="BE30" s="688"/>
      <c r="BF30" s="689"/>
      <c r="BG30" s="689"/>
      <c r="BH30" s="689"/>
      <c r="BI30" s="689"/>
      <c r="BJ30" s="689"/>
      <c r="BK30" s="689"/>
      <c r="BL30" s="690"/>
      <c r="BM30" s="691"/>
      <c r="BN30" s="688"/>
      <c r="BO30" s="689"/>
      <c r="BP30" s="689"/>
      <c r="BQ30" s="689"/>
      <c r="BR30" s="689"/>
      <c r="BS30" s="689"/>
      <c r="BT30" s="689"/>
      <c r="BU30" s="690"/>
      <c r="BV30" s="691"/>
      <c r="BW30" s="688"/>
      <c r="BX30" s="689"/>
      <c r="BY30" s="689"/>
      <c r="BZ30" s="689"/>
      <c r="CA30" s="689"/>
      <c r="CB30" s="689"/>
      <c r="CC30" s="689"/>
      <c r="CD30" s="690"/>
      <c r="CE30" s="691"/>
    </row>
    <row r="31" spans="6:97" x14ac:dyDescent="0.25">
      <c r="AG31" s="1701"/>
      <c r="AH31" s="174" t="s">
        <v>379</v>
      </c>
      <c r="AI31" s="174"/>
      <c r="AJ31" s="174" t="s">
        <v>375</v>
      </c>
      <c r="AK31" s="174" t="s">
        <v>375</v>
      </c>
      <c r="AL31" s="1741"/>
      <c r="AM31" s="706"/>
      <c r="AO31" s="1718"/>
      <c r="AP31" s="689"/>
      <c r="AQ31" s="689"/>
      <c r="AR31" s="689"/>
      <c r="AS31" s="689"/>
      <c r="AT31" s="690"/>
      <c r="AU31" s="691"/>
      <c r="AV31" s="688"/>
      <c r="AW31" s="689"/>
      <c r="AX31" s="689"/>
      <c r="AY31" s="689"/>
      <c r="AZ31" s="689"/>
      <c r="BA31" s="689"/>
      <c r="BB31" s="689"/>
      <c r="BC31" s="690"/>
      <c r="BD31" s="691"/>
      <c r="BE31" s="688"/>
      <c r="BF31" s="689"/>
      <c r="BG31" s="689"/>
      <c r="BH31" s="689"/>
      <c r="BI31" s="689"/>
      <c r="BJ31" s="689"/>
      <c r="BK31" s="689"/>
      <c r="BL31" s="690"/>
      <c r="BM31" s="691"/>
      <c r="BN31" s="688"/>
      <c r="BO31" s="689"/>
      <c r="BP31" s="689"/>
      <c r="BQ31" s="689"/>
      <c r="BR31" s="689"/>
      <c r="BS31" s="689"/>
      <c r="BT31" s="689"/>
      <c r="BU31" s="690"/>
      <c r="BV31" s="691"/>
      <c r="BW31" s="688"/>
      <c r="BX31" s="689"/>
      <c r="BY31" s="689"/>
      <c r="BZ31" s="689"/>
      <c r="CA31" s="689"/>
      <c r="CB31" s="689"/>
      <c r="CC31" s="689"/>
      <c r="CD31" s="690"/>
      <c r="CE31" s="691"/>
    </row>
    <row r="32" spans="6:97" x14ac:dyDescent="0.25">
      <c r="AG32" s="1701"/>
      <c r="AH32" s="173" t="s">
        <v>358</v>
      </c>
      <c r="AI32" s="90"/>
      <c r="AJ32" s="90"/>
      <c r="AK32" s="119"/>
      <c r="AL32" s="1721" t="s">
        <v>414</v>
      </c>
      <c r="AM32" s="703"/>
      <c r="AO32" s="1718"/>
      <c r="AP32" s="689"/>
      <c r="AQ32" s="689"/>
      <c r="AR32" s="689"/>
      <c r="AS32" s="689"/>
      <c r="AT32" s="690"/>
      <c r="AU32" s="691"/>
      <c r="AV32" s="688"/>
      <c r="AW32" s="689"/>
      <c r="AX32" s="689"/>
      <c r="AY32" s="689"/>
      <c r="AZ32" s="689"/>
      <c r="BA32" s="689"/>
      <c r="BB32" s="689"/>
      <c r="BC32" s="690"/>
      <c r="BD32" s="691"/>
      <c r="BE32" s="688"/>
      <c r="BF32" s="689"/>
      <c r="BG32" s="689"/>
      <c r="BH32" s="689"/>
      <c r="BI32" s="689"/>
      <c r="BJ32" s="689"/>
      <c r="BK32" s="689"/>
      <c r="BL32" s="690"/>
      <c r="BM32" s="691"/>
      <c r="BN32" s="688"/>
      <c r="BO32" s="689"/>
      <c r="BP32" s="689"/>
      <c r="BQ32" s="689"/>
      <c r="BR32" s="689"/>
      <c r="BS32" s="689"/>
      <c r="BT32" s="689"/>
      <c r="BU32" s="690"/>
      <c r="BV32" s="691"/>
      <c r="BW32" s="688"/>
      <c r="BX32" s="689"/>
      <c r="BY32" s="689"/>
      <c r="BZ32" s="689"/>
      <c r="CA32" s="689"/>
      <c r="CB32" s="689"/>
      <c r="CC32" s="689"/>
      <c r="CD32" s="690"/>
      <c r="CE32" s="691"/>
    </row>
    <row r="33" spans="33:83" ht="15.75" thickBot="1" x14ac:dyDescent="0.3">
      <c r="AG33" s="1704"/>
      <c r="AH33" s="395" t="s">
        <v>405</v>
      </c>
      <c r="AI33" s="672">
        <v>45413</v>
      </c>
      <c r="AJ33" s="671" t="s">
        <v>362</v>
      </c>
      <c r="AK33" s="675" t="s">
        <v>415</v>
      </c>
      <c r="AL33" s="1722"/>
      <c r="AM33" s="709"/>
      <c r="AO33" s="1718"/>
      <c r="AP33" s="689"/>
      <c r="AQ33" s="689"/>
      <c r="AR33" s="689"/>
      <c r="AS33" s="689"/>
      <c r="AT33" s="690"/>
      <c r="AU33" s="691"/>
      <c r="AV33" s="688"/>
      <c r="AW33" s="689"/>
      <c r="AX33" s="689"/>
      <c r="AY33" s="689"/>
      <c r="AZ33" s="689"/>
      <c r="BA33" s="689"/>
      <c r="BB33" s="689"/>
      <c r="BC33" s="690"/>
      <c r="BD33" s="691"/>
      <c r="BE33" s="688"/>
      <c r="BF33" s="689"/>
      <c r="BG33" s="689"/>
      <c r="BH33" s="689"/>
      <c r="BI33" s="689"/>
      <c r="BJ33" s="689"/>
      <c r="BK33" s="689"/>
      <c r="BL33" s="690"/>
      <c r="BM33" s="691"/>
      <c r="BN33" s="688"/>
      <c r="BO33" s="689"/>
      <c r="BP33" s="689"/>
      <c r="BQ33" s="689"/>
      <c r="BR33" s="689"/>
      <c r="BS33" s="689"/>
      <c r="BT33" s="689"/>
      <c r="BU33" s="690"/>
      <c r="BV33" s="691"/>
      <c r="BW33" s="688"/>
      <c r="BX33" s="689"/>
      <c r="BY33" s="689"/>
      <c r="BZ33" s="689"/>
      <c r="CA33" s="689"/>
      <c r="CB33" s="689"/>
      <c r="CC33" s="689"/>
      <c r="CD33" s="690"/>
      <c r="CE33" s="691"/>
    </row>
    <row r="34" spans="33:83" x14ac:dyDescent="0.25">
      <c r="AG34" s="1700" t="s">
        <v>416</v>
      </c>
      <c r="AH34" s="655" t="s">
        <v>240</v>
      </c>
      <c r="AI34" s="656"/>
      <c r="AJ34" s="656"/>
      <c r="AK34" s="663"/>
      <c r="AL34" s="1724" t="s">
        <v>391</v>
      </c>
      <c r="AM34" s="702"/>
      <c r="AO34" s="1718"/>
      <c r="AP34" s="689"/>
      <c r="AQ34" s="689"/>
      <c r="AR34" s="689"/>
      <c r="AS34" s="689"/>
      <c r="AT34" s="690"/>
      <c r="AU34" s="691"/>
      <c r="AV34" s="688"/>
      <c r="AW34" s="689"/>
      <c r="AX34" s="689"/>
      <c r="AY34" s="689"/>
      <c r="AZ34" s="689"/>
      <c r="BA34" s="689"/>
      <c r="BB34" s="689"/>
      <c r="BC34" s="690"/>
      <c r="BD34" s="691"/>
      <c r="BE34" s="688"/>
      <c r="BF34" s="689"/>
      <c r="BG34" s="689"/>
      <c r="BH34" s="689"/>
      <c r="BI34" s="689"/>
      <c r="BJ34" s="689"/>
      <c r="BK34" s="689"/>
      <c r="BL34" s="690"/>
      <c r="BM34" s="691"/>
      <c r="BN34" s="688"/>
      <c r="BO34" s="689"/>
      <c r="BP34" s="689"/>
      <c r="BQ34" s="689"/>
      <c r="BR34" s="689"/>
      <c r="BS34" s="689"/>
      <c r="BT34" s="689"/>
      <c r="BU34" s="690"/>
      <c r="BV34" s="691"/>
      <c r="BW34" s="688"/>
      <c r="BX34" s="689"/>
      <c r="BY34" s="689"/>
      <c r="BZ34" s="689"/>
      <c r="CA34" s="689"/>
      <c r="CB34" s="689"/>
      <c r="CC34" s="689"/>
      <c r="CD34" s="690"/>
      <c r="CE34" s="691"/>
    </row>
    <row r="35" spans="33:83" x14ac:dyDescent="0.25">
      <c r="AG35" s="1701"/>
      <c r="AH35" s="90" t="s">
        <v>417</v>
      </c>
      <c r="AI35" s="666">
        <v>45870</v>
      </c>
      <c r="AJ35" s="670" t="s">
        <v>362</v>
      </c>
      <c r="AK35" s="1731" t="s">
        <v>399</v>
      </c>
      <c r="AL35" s="1724"/>
      <c r="AM35" s="703" t="s">
        <v>418</v>
      </c>
      <c r="AO35" s="1718"/>
      <c r="AP35" s="689"/>
      <c r="AQ35" s="689"/>
      <c r="AR35" s="689"/>
      <c r="AS35" s="689"/>
      <c r="AT35" s="690"/>
      <c r="AU35" s="691"/>
      <c r="AV35" s="688"/>
      <c r="AW35" s="689"/>
      <c r="AX35" s="689"/>
      <c r="AY35" s="689"/>
      <c r="AZ35" s="689"/>
      <c r="BA35" s="689"/>
      <c r="BB35" s="689"/>
      <c r="BC35" s="690"/>
      <c r="BD35" s="691"/>
      <c r="BE35" s="688"/>
      <c r="BF35" s="689"/>
      <c r="BG35" s="689"/>
      <c r="BH35" s="689"/>
      <c r="BI35" s="689"/>
      <c r="BJ35" s="689"/>
      <c r="BK35" s="689"/>
      <c r="BL35" s="690"/>
      <c r="BM35" s="691"/>
      <c r="BN35" s="688"/>
      <c r="BO35" s="689"/>
      <c r="BP35" s="689"/>
      <c r="BQ35" s="689"/>
      <c r="BR35" s="689"/>
      <c r="BS35" s="689"/>
      <c r="BT35" s="689"/>
      <c r="BU35" s="690"/>
      <c r="BV35" s="691"/>
      <c r="BW35" s="688"/>
      <c r="BX35" s="689"/>
      <c r="BY35" s="689"/>
      <c r="BZ35" s="689"/>
      <c r="CA35" s="689"/>
      <c r="CB35" s="689"/>
      <c r="CC35" s="689"/>
      <c r="CD35" s="690"/>
      <c r="CE35" s="691"/>
    </row>
    <row r="36" spans="33:83" x14ac:dyDescent="0.25">
      <c r="AG36" s="1701"/>
      <c r="AH36" s="90" t="s">
        <v>419</v>
      </c>
      <c r="AI36" s="666">
        <v>45870</v>
      </c>
      <c r="AJ36" s="670" t="s">
        <v>362</v>
      </c>
      <c r="AK36" s="1732"/>
      <c r="AL36" s="1725"/>
      <c r="AM36" s="703"/>
      <c r="AO36" s="1718"/>
      <c r="AP36" s="689"/>
      <c r="AQ36" s="689"/>
      <c r="AR36" s="689"/>
      <c r="AS36" s="689"/>
      <c r="AT36" s="690"/>
      <c r="AU36" s="691"/>
      <c r="AV36" s="688"/>
      <c r="AW36" s="689"/>
      <c r="AX36" s="689"/>
      <c r="AY36" s="689"/>
      <c r="AZ36" s="689"/>
      <c r="BA36" s="689"/>
      <c r="BB36" s="689"/>
      <c r="BC36" s="690"/>
      <c r="BD36" s="691"/>
      <c r="BE36" s="688"/>
      <c r="BF36" s="689"/>
      <c r="BG36" s="689"/>
      <c r="BH36" s="689"/>
      <c r="BI36" s="689"/>
      <c r="BJ36" s="689"/>
      <c r="BK36" s="689"/>
      <c r="BL36" s="690"/>
      <c r="BM36" s="691"/>
      <c r="BN36" s="688"/>
      <c r="BO36" s="689"/>
      <c r="BP36" s="689"/>
      <c r="BQ36" s="689"/>
      <c r="BR36" s="689"/>
      <c r="BS36" s="689"/>
      <c r="BT36" s="689"/>
      <c r="BU36" s="690"/>
      <c r="BV36" s="691"/>
      <c r="BW36" s="688"/>
      <c r="BX36" s="689"/>
      <c r="BY36" s="689"/>
      <c r="BZ36" s="689"/>
      <c r="CA36" s="689"/>
      <c r="CB36" s="689"/>
      <c r="CC36" s="689"/>
      <c r="CD36" s="690"/>
      <c r="CE36" s="691"/>
    </row>
    <row r="37" spans="33:83" ht="15" customHeight="1" x14ac:dyDescent="0.25">
      <c r="AG37" s="1701"/>
      <c r="AH37" s="176" t="s">
        <v>374</v>
      </c>
      <c r="AI37" s="174"/>
      <c r="AJ37" s="174"/>
      <c r="AK37" s="667"/>
      <c r="AL37" s="1738" t="s">
        <v>420</v>
      </c>
      <c r="AM37" s="706"/>
      <c r="AO37" s="1718"/>
      <c r="AP37" s="689"/>
      <c r="AQ37" s="689"/>
      <c r="AR37" s="689"/>
      <c r="AS37" s="689"/>
      <c r="AT37" s="690"/>
      <c r="AU37" s="691"/>
      <c r="AV37" s="688"/>
      <c r="AW37" s="689"/>
      <c r="AX37" s="689"/>
      <c r="AY37" s="689"/>
      <c r="AZ37" s="689"/>
      <c r="BA37" s="689"/>
      <c r="BB37" s="689"/>
      <c r="BC37" s="690"/>
      <c r="BD37" s="691"/>
      <c r="BE37" s="688"/>
      <c r="BF37" s="689"/>
      <c r="BG37" s="689"/>
      <c r="BH37" s="689"/>
      <c r="BI37" s="689"/>
      <c r="BJ37" s="689"/>
      <c r="BK37" s="689"/>
      <c r="BL37" s="690"/>
      <c r="BM37" s="691"/>
      <c r="BN37" s="688"/>
      <c r="BO37" s="689"/>
      <c r="BP37" s="689"/>
      <c r="BQ37" s="689"/>
      <c r="BR37" s="689"/>
      <c r="BS37" s="689"/>
      <c r="BT37" s="689"/>
      <c r="BU37" s="690"/>
      <c r="BV37" s="691"/>
      <c r="BW37" s="688"/>
      <c r="BX37" s="689"/>
      <c r="BY37" s="689"/>
      <c r="BZ37" s="689"/>
      <c r="CA37" s="689"/>
      <c r="CB37" s="689"/>
      <c r="CC37" s="689"/>
      <c r="CD37" s="690"/>
      <c r="CE37" s="691"/>
    </row>
    <row r="38" spans="33:83" x14ac:dyDescent="0.25">
      <c r="AG38" s="1701"/>
      <c r="AH38" s="174" t="s">
        <v>405</v>
      </c>
      <c r="AI38" s="668">
        <v>45597</v>
      </c>
      <c r="AJ38" s="670" t="s">
        <v>362</v>
      </c>
      <c r="AK38" s="1735" t="s">
        <v>421</v>
      </c>
      <c r="AL38" s="1724"/>
      <c r="AM38" s="707"/>
      <c r="AO38" s="61"/>
      <c r="AP38" s="31"/>
      <c r="AQ38" s="31"/>
      <c r="AR38" s="31"/>
      <c r="AS38" s="31"/>
      <c r="AT38" s="735"/>
      <c r="AU38" s="736"/>
      <c r="AV38" s="734"/>
      <c r="AW38" s="31"/>
      <c r="AX38" s="31"/>
      <c r="AY38" s="31"/>
      <c r="AZ38" s="31"/>
      <c r="BA38" s="31"/>
      <c r="BB38" s="31"/>
      <c r="BC38" s="735"/>
      <c r="BD38" s="736"/>
      <c r="BE38" s="734"/>
      <c r="BF38" s="31"/>
      <c r="BG38" s="31"/>
      <c r="BH38" s="31"/>
      <c r="BI38" s="31"/>
      <c r="BJ38" s="31"/>
      <c r="BK38" s="31"/>
      <c r="BL38" s="735"/>
      <c r="BM38" s="736"/>
      <c r="BN38" s="734"/>
      <c r="BO38" s="31"/>
      <c r="BP38" s="31"/>
      <c r="BQ38" s="31"/>
      <c r="BR38" s="31"/>
      <c r="BS38" s="31"/>
      <c r="BT38" s="31"/>
      <c r="BU38" s="735"/>
      <c r="BV38" s="736"/>
      <c r="BW38" s="734"/>
      <c r="BX38" s="31"/>
      <c r="BY38" s="31"/>
      <c r="BZ38" s="31"/>
      <c r="CA38" s="31"/>
      <c r="CB38" s="31"/>
      <c r="CC38" s="31"/>
      <c r="CD38" s="735"/>
      <c r="CE38" s="736"/>
    </row>
    <row r="39" spans="33:83" ht="15" customHeight="1" x14ac:dyDescent="0.25">
      <c r="AG39" s="1701"/>
      <c r="AH39" s="173" t="s">
        <v>358</v>
      </c>
      <c r="AI39" s="90"/>
      <c r="AJ39" s="90"/>
      <c r="AK39" s="1736"/>
      <c r="AL39" s="1724"/>
      <c r="AM39" s="703"/>
      <c r="AO39" s="737" t="s">
        <v>422</v>
      </c>
      <c r="AQ39" s="35">
        <v>2021</v>
      </c>
      <c r="AR39" t="s">
        <v>423</v>
      </c>
      <c r="AT39" s="710" t="s">
        <v>424</v>
      </c>
      <c r="AU39" s="680" t="s">
        <v>425</v>
      </c>
      <c r="AV39" s="679" t="s">
        <v>328</v>
      </c>
      <c r="AW39" s="208"/>
      <c r="AX39" s="35">
        <v>2022</v>
      </c>
      <c r="BA39" t="s">
        <v>426</v>
      </c>
      <c r="BC39" s="685"/>
      <c r="BD39" s="680"/>
      <c r="BE39" s="711" t="s">
        <v>328</v>
      </c>
      <c r="BG39" s="35">
        <v>2023</v>
      </c>
      <c r="BH39" t="s">
        <v>427</v>
      </c>
      <c r="BJ39" t="s">
        <v>426</v>
      </c>
      <c r="BL39" s="685"/>
      <c r="BM39" s="680"/>
      <c r="BN39" s="679"/>
      <c r="BO39" s="43" t="s">
        <v>428</v>
      </c>
      <c r="BP39" s="35">
        <v>2024</v>
      </c>
      <c r="BS39" t="s">
        <v>426</v>
      </c>
      <c r="BU39" s="685"/>
      <c r="BV39" s="680"/>
      <c r="BW39" s="679"/>
      <c r="BX39" t="s">
        <v>428</v>
      </c>
      <c r="BY39" s="35">
        <v>2025</v>
      </c>
      <c r="BZ39" t="s">
        <v>427</v>
      </c>
      <c r="CD39" s="685"/>
      <c r="CE39" s="680"/>
    </row>
    <row r="40" spans="33:83" ht="15.75" thickBot="1" x14ac:dyDescent="0.3">
      <c r="AG40" s="1704"/>
      <c r="AH40" s="395" t="s">
        <v>429</v>
      </c>
      <c r="AI40" s="672">
        <v>45597</v>
      </c>
      <c r="AJ40" s="671" t="s">
        <v>362</v>
      </c>
      <c r="AK40" s="1737"/>
      <c r="AL40" s="1739"/>
      <c r="AM40" s="708"/>
      <c r="AO40" s="656" t="s">
        <v>430</v>
      </c>
      <c r="AP40" s="682"/>
      <c r="AQ40" s="682"/>
      <c r="AR40" s="682"/>
      <c r="AS40" s="682"/>
      <c r="AT40" s="686"/>
      <c r="AU40" s="683"/>
      <c r="AV40" s="681"/>
      <c r="AW40" s="682"/>
      <c r="AX40" s="682"/>
      <c r="AY40" s="682"/>
      <c r="AZ40" s="682"/>
      <c r="BA40" s="682"/>
      <c r="BB40" s="682"/>
      <c r="BC40" s="686"/>
      <c r="BD40" s="683"/>
      <c r="BE40" s="681"/>
      <c r="BF40" s="682"/>
      <c r="BG40" s="682"/>
      <c r="BH40" s="682"/>
      <c r="BI40" s="682"/>
      <c r="BJ40" s="682"/>
      <c r="BK40" s="682"/>
      <c r="BL40" s="686"/>
      <c r="BM40" s="683"/>
      <c r="BN40" s="681"/>
      <c r="BO40" s="682"/>
      <c r="BP40" s="682"/>
      <c r="BQ40" s="682"/>
      <c r="BR40" s="682"/>
      <c r="BS40" s="682"/>
      <c r="BT40" s="682"/>
      <c r="BU40" s="686"/>
      <c r="BV40" s="683"/>
      <c r="BW40" s="681"/>
      <c r="BX40" s="682"/>
      <c r="BY40" s="682"/>
      <c r="BZ40" s="682"/>
      <c r="CA40" s="682"/>
      <c r="CB40" s="682"/>
      <c r="CC40" s="682"/>
      <c r="CD40" s="686"/>
      <c r="CE40" s="683"/>
    </row>
    <row r="41" spans="33:83" x14ac:dyDescent="0.25">
      <c r="AT41" s="687"/>
    </row>
    <row r="42" spans="33:83" ht="15.75" thickBot="1" x14ac:dyDescent="0.3"/>
    <row r="43" spans="33:83" ht="15.75" thickBot="1" x14ac:dyDescent="0.3">
      <c r="AP43" s="1752" t="s">
        <v>431</v>
      </c>
      <c r="AQ43" s="1753"/>
      <c r="AR43" s="1753"/>
      <c r="AS43" s="1754"/>
      <c r="AT43" s="1753" t="s">
        <v>423</v>
      </c>
      <c r="AU43" s="1753"/>
      <c r="AV43" s="1753"/>
      <c r="AW43" s="1753"/>
      <c r="AX43" s="1755" t="s">
        <v>426</v>
      </c>
      <c r="AY43" s="1753"/>
      <c r="AZ43" s="1753"/>
      <c r="BA43" s="1754"/>
      <c r="BB43" s="1753" t="s">
        <v>432</v>
      </c>
      <c r="BC43" s="1753"/>
      <c r="BD43" s="1753"/>
      <c r="BE43" s="1753"/>
      <c r="BF43" s="1753"/>
      <c r="BG43" s="1755" t="s">
        <v>424</v>
      </c>
      <c r="BH43" s="1753"/>
      <c r="BI43" s="1753"/>
      <c r="BJ43" s="1754"/>
      <c r="BK43" s="1753" t="s">
        <v>327</v>
      </c>
      <c r="BL43" s="1753"/>
      <c r="BM43" s="1753"/>
      <c r="BN43" s="1753"/>
      <c r="BO43" s="1755" t="s">
        <v>425</v>
      </c>
      <c r="BP43" s="1753"/>
      <c r="BQ43" s="1753"/>
      <c r="BR43" s="1756"/>
      <c r="BT43" s="1757" t="s">
        <v>433</v>
      </c>
      <c r="BU43" s="1758"/>
      <c r="BV43" s="1758"/>
      <c r="BW43" s="1758"/>
      <c r="BX43" s="1758"/>
      <c r="BY43" s="1758"/>
      <c r="BZ43" s="1758"/>
      <c r="CA43" s="1758"/>
      <c r="CB43" s="1758"/>
      <c r="CC43" s="1758"/>
      <c r="CD43" s="1759" t="s">
        <v>22</v>
      </c>
      <c r="CE43" s="1760"/>
    </row>
    <row r="44" spans="33:83" ht="15.75" thickBot="1" x14ac:dyDescent="0.3">
      <c r="AO44" s="505" t="s">
        <v>434</v>
      </c>
      <c r="AP44" s="443">
        <v>36</v>
      </c>
      <c r="AQ44" s="285">
        <v>37</v>
      </c>
      <c r="AR44" s="285">
        <v>38</v>
      </c>
      <c r="AS44" s="719">
        <v>39</v>
      </c>
      <c r="AT44" s="285">
        <v>40</v>
      </c>
      <c r="AU44" s="285">
        <v>41</v>
      </c>
      <c r="AV44" s="285">
        <v>42</v>
      </c>
      <c r="AW44" s="285">
        <v>43</v>
      </c>
      <c r="AX44" s="289">
        <v>44</v>
      </c>
      <c r="AY44" s="285">
        <v>45</v>
      </c>
      <c r="AZ44" s="285">
        <v>46</v>
      </c>
      <c r="BA44" s="719">
        <v>47</v>
      </c>
      <c r="BB44" s="285">
        <v>48</v>
      </c>
      <c r="BC44" s="285">
        <v>49</v>
      </c>
      <c r="BD44" s="285">
        <v>50</v>
      </c>
      <c r="BE44" s="285">
        <v>51</v>
      </c>
      <c r="BF44" s="720">
        <v>52</v>
      </c>
      <c r="BG44" s="721">
        <v>1</v>
      </c>
      <c r="BH44" s="285">
        <v>2</v>
      </c>
      <c r="BI44" s="285">
        <v>3</v>
      </c>
      <c r="BJ44" s="719">
        <v>4</v>
      </c>
      <c r="BK44" s="285">
        <v>5</v>
      </c>
      <c r="BL44" s="285">
        <v>6</v>
      </c>
      <c r="BM44" s="285">
        <v>7</v>
      </c>
      <c r="BN44" s="285">
        <v>8</v>
      </c>
      <c r="BO44" s="289">
        <v>9</v>
      </c>
      <c r="BP44" s="285">
        <v>10</v>
      </c>
      <c r="BQ44" s="285">
        <v>11</v>
      </c>
      <c r="BR44" s="286">
        <v>12</v>
      </c>
      <c r="BT44" s="1750" t="s">
        <v>435</v>
      </c>
      <c r="BU44" s="1751"/>
      <c r="BV44" s="1751"/>
      <c r="BW44" s="1751"/>
      <c r="BX44" s="1751"/>
      <c r="BY44" s="1751"/>
      <c r="BZ44" s="1751"/>
      <c r="CA44" s="1751"/>
      <c r="CB44" s="1751"/>
      <c r="CC44" s="1751"/>
      <c r="CD44" s="1753" t="s">
        <v>386</v>
      </c>
      <c r="CE44" s="1756"/>
    </row>
    <row r="45" spans="33:83" x14ac:dyDescent="0.25">
      <c r="AP45" s="223"/>
      <c r="AT45" s="9"/>
      <c r="AW45" s="49"/>
      <c r="BB45" s="9"/>
      <c r="BF45" s="715"/>
      <c r="BG45" s="712"/>
      <c r="BK45" s="9"/>
      <c r="BN45" s="49"/>
      <c r="BR45" s="4"/>
      <c r="BT45" s="1747" t="s">
        <v>436</v>
      </c>
      <c r="BU45" s="1748"/>
      <c r="BV45" s="1748"/>
      <c r="BW45" s="1748"/>
      <c r="BX45" s="1748"/>
      <c r="BY45" s="1748"/>
      <c r="BZ45" s="1748"/>
      <c r="CA45" s="1748"/>
      <c r="CB45" s="1748"/>
      <c r="CC45" s="1748"/>
      <c r="CD45" s="1761">
        <v>44593</v>
      </c>
      <c r="CE45" s="1762"/>
    </row>
    <row r="46" spans="33:83" x14ac:dyDescent="0.25">
      <c r="AP46" s="223"/>
      <c r="AT46" s="9"/>
      <c r="AW46" s="49"/>
      <c r="BB46" s="9"/>
      <c r="BF46" s="715"/>
      <c r="BG46" s="712"/>
      <c r="BK46" s="9"/>
      <c r="BN46" s="49"/>
      <c r="BR46" s="4"/>
      <c r="BT46" s="1766" t="s">
        <v>437</v>
      </c>
      <c r="BU46" s="1767"/>
      <c r="BV46" s="1767"/>
      <c r="BW46" s="1767"/>
      <c r="BX46" s="1767"/>
      <c r="BY46" s="1767"/>
      <c r="BZ46" s="1767"/>
      <c r="CA46" s="1767"/>
      <c r="CB46" s="1767"/>
      <c r="CC46" s="1768"/>
      <c r="CD46" s="1749"/>
      <c r="CE46" s="1763"/>
    </row>
    <row r="47" spans="33:83" x14ac:dyDescent="0.25">
      <c r="AP47" s="223"/>
      <c r="AT47" s="9"/>
      <c r="AW47" s="49"/>
      <c r="BB47" s="9"/>
      <c r="BF47" s="715"/>
      <c r="BG47" s="712"/>
      <c r="BK47" s="9"/>
      <c r="BN47" s="49"/>
      <c r="BR47" s="4"/>
      <c r="BT47" s="1769"/>
      <c r="BU47" s="1770"/>
      <c r="BV47" s="1770"/>
      <c r="BW47" s="1770"/>
      <c r="BX47" s="1770"/>
      <c r="BY47" s="1770"/>
      <c r="BZ47" s="1770"/>
      <c r="CA47" s="1770"/>
      <c r="CB47" s="1770"/>
      <c r="CC47" s="1771"/>
      <c r="CD47" s="1749"/>
      <c r="CE47" s="1763"/>
    </row>
    <row r="48" spans="33:83" x14ac:dyDescent="0.25">
      <c r="AP48" s="223"/>
      <c r="AT48" s="9"/>
      <c r="AW48" s="49"/>
      <c r="BB48" s="9"/>
      <c r="BF48" s="715"/>
      <c r="BG48" s="712"/>
      <c r="BK48" s="9"/>
      <c r="BN48" s="49"/>
      <c r="BR48" s="4"/>
      <c r="BT48" s="1766" t="s">
        <v>438</v>
      </c>
      <c r="BU48" s="1767"/>
      <c r="BV48" s="1767"/>
      <c r="BW48" s="1767"/>
      <c r="BX48" s="1767"/>
      <c r="BY48" s="1767"/>
      <c r="BZ48" s="1767"/>
      <c r="CA48" s="1767"/>
      <c r="CB48" s="1767"/>
      <c r="CC48" s="1768"/>
      <c r="CD48" s="1586" t="s">
        <v>386</v>
      </c>
      <c r="CE48" s="1772"/>
    </row>
    <row r="49" spans="42:83" x14ac:dyDescent="0.25">
      <c r="AP49" s="223"/>
      <c r="AT49" s="9"/>
      <c r="AW49" s="49"/>
      <c r="BB49" s="9"/>
      <c r="BF49" s="715"/>
      <c r="BG49" s="712"/>
      <c r="BK49" s="9"/>
      <c r="BN49" s="49"/>
      <c r="BR49" s="4"/>
      <c r="BT49" s="1769"/>
      <c r="BU49" s="1770"/>
      <c r="BV49" s="1770"/>
      <c r="BW49" s="1770"/>
      <c r="BX49" s="1770"/>
      <c r="BY49" s="1770"/>
      <c r="BZ49" s="1770"/>
      <c r="CA49" s="1770"/>
      <c r="CB49" s="1770"/>
      <c r="CC49" s="1771"/>
      <c r="CD49" s="1587"/>
      <c r="CE49" s="1773"/>
    </row>
    <row r="50" spans="42:83" x14ac:dyDescent="0.25">
      <c r="AP50" s="223"/>
      <c r="AT50" s="9"/>
      <c r="AW50" s="49"/>
      <c r="BB50" s="9"/>
      <c r="BF50" s="715"/>
      <c r="BG50" s="712"/>
      <c r="BK50" s="9"/>
      <c r="BN50" s="49"/>
      <c r="BR50" s="4"/>
      <c r="BT50" s="1747"/>
      <c r="BU50" s="1748"/>
      <c r="BV50" s="1748"/>
      <c r="BW50" s="1748"/>
      <c r="BX50" s="1748"/>
      <c r="BY50" s="1748"/>
      <c r="BZ50" s="1748"/>
      <c r="CA50" s="1748"/>
      <c r="CB50" s="1748"/>
      <c r="CC50" s="1748"/>
      <c r="CD50" s="1749"/>
      <c r="CE50" s="1763"/>
    </row>
    <row r="51" spans="42:83" x14ac:dyDescent="0.25">
      <c r="AP51" s="223"/>
      <c r="AT51" s="9"/>
      <c r="AW51" s="49"/>
      <c r="BB51" s="9"/>
      <c r="BF51" s="715"/>
      <c r="BG51" s="712"/>
      <c r="BK51" s="9"/>
      <c r="BN51" s="49"/>
      <c r="BR51" s="4"/>
      <c r="BT51" s="1747"/>
      <c r="BU51" s="1748"/>
      <c r="BV51" s="1748"/>
      <c r="BW51" s="1748"/>
      <c r="BX51" s="1748"/>
      <c r="BY51" s="1748"/>
      <c r="BZ51" s="1748"/>
      <c r="CA51" s="1748"/>
      <c r="CB51" s="1748"/>
      <c r="CC51" s="1748"/>
      <c r="CD51" s="1749"/>
      <c r="CE51" s="1763"/>
    </row>
    <row r="52" spans="42:83" x14ac:dyDescent="0.25">
      <c r="AP52" s="223"/>
      <c r="AT52" s="9"/>
      <c r="AW52" s="49"/>
      <c r="BB52" s="9"/>
      <c r="BF52" s="715"/>
      <c r="BG52" s="712"/>
      <c r="BK52" s="9"/>
      <c r="BN52" s="49"/>
      <c r="BR52" s="4"/>
      <c r="BT52" s="1747"/>
      <c r="BU52" s="1748"/>
      <c r="BV52" s="1748"/>
      <c r="BW52" s="1748"/>
      <c r="BX52" s="1748"/>
      <c r="BY52" s="1748"/>
      <c r="BZ52" s="1748"/>
      <c r="CA52" s="1748"/>
      <c r="CB52" s="1748"/>
      <c r="CC52" s="1748"/>
      <c r="CD52" s="1749"/>
      <c r="CE52" s="1763"/>
    </row>
    <row r="53" spans="42:83" x14ac:dyDescent="0.25">
      <c r="AP53" s="223"/>
      <c r="AT53" s="9"/>
      <c r="AW53" s="49"/>
      <c r="BB53" s="9"/>
      <c r="BF53" s="715"/>
      <c r="BG53" s="712"/>
      <c r="BK53" s="9"/>
      <c r="BN53" s="49"/>
      <c r="BR53" s="4"/>
      <c r="BT53" s="1747"/>
      <c r="BU53" s="1748"/>
      <c r="BV53" s="1748"/>
      <c r="BW53" s="1748"/>
      <c r="BX53" s="1748"/>
      <c r="BY53" s="1748"/>
      <c r="BZ53" s="1748"/>
      <c r="CA53" s="1748"/>
      <c r="CB53" s="1748"/>
      <c r="CC53" s="1748"/>
      <c r="CD53" s="1749"/>
      <c r="CE53" s="1763"/>
    </row>
    <row r="54" spans="42:83" x14ac:dyDescent="0.25">
      <c r="AP54" s="223"/>
      <c r="AT54" s="9"/>
      <c r="AW54" s="49"/>
      <c r="BB54" s="9"/>
      <c r="BF54" s="715"/>
      <c r="BG54" s="712"/>
      <c r="BK54" s="9"/>
      <c r="BN54" s="49"/>
      <c r="BR54" s="4"/>
      <c r="BT54" s="1747"/>
      <c r="BU54" s="1748"/>
      <c r="BV54" s="1748"/>
      <c r="BW54" s="1748"/>
      <c r="BX54" s="1748"/>
      <c r="BY54" s="1748"/>
      <c r="BZ54" s="1748"/>
      <c r="CA54" s="1748"/>
      <c r="CB54" s="1748"/>
      <c r="CC54" s="1748"/>
      <c r="CD54" s="1749"/>
      <c r="CE54" s="1763"/>
    </row>
    <row r="55" spans="42:83" x14ac:dyDescent="0.25">
      <c r="AP55" s="223"/>
      <c r="AT55" s="9"/>
      <c r="AW55" s="49"/>
      <c r="BB55" s="9"/>
      <c r="BF55" s="715"/>
      <c r="BG55" s="712"/>
      <c r="BK55" s="9"/>
      <c r="BN55" s="49"/>
      <c r="BR55" s="4"/>
      <c r="BT55" s="1747"/>
      <c r="BU55" s="1748"/>
      <c r="BV55" s="1748"/>
      <c r="BW55" s="1748"/>
      <c r="BX55" s="1748"/>
      <c r="BY55" s="1748"/>
      <c r="BZ55" s="1748"/>
      <c r="CA55" s="1748"/>
      <c r="CB55" s="1748"/>
      <c r="CC55" s="1748"/>
      <c r="CD55" s="1749"/>
      <c r="CE55" s="1763"/>
    </row>
    <row r="56" spans="42:83" x14ac:dyDescent="0.25">
      <c r="AP56" s="223"/>
      <c r="AT56" s="9"/>
      <c r="AW56" s="49"/>
      <c r="BB56" s="9"/>
      <c r="BF56" s="715"/>
      <c r="BG56" s="712"/>
      <c r="BK56" s="9"/>
      <c r="BN56" s="49"/>
      <c r="BR56" s="4"/>
      <c r="BT56" s="1747"/>
      <c r="BU56" s="1748"/>
      <c r="BV56" s="1748"/>
      <c r="BW56" s="1748"/>
      <c r="BX56" s="1748"/>
      <c r="BY56" s="1748"/>
      <c r="BZ56" s="1748"/>
      <c r="CA56" s="1748"/>
      <c r="CB56" s="1748"/>
      <c r="CC56" s="1748"/>
      <c r="CD56" s="1749"/>
      <c r="CE56" s="1763"/>
    </row>
    <row r="57" spans="42:83" x14ac:dyDescent="0.25">
      <c r="AP57" s="223"/>
      <c r="AT57" s="9"/>
      <c r="AW57" s="49"/>
      <c r="BB57" s="9"/>
      <c r="BF57" s="715"/>
      <c r="BG57" s="712"/>
      <c r="BK57" s="9"/>
      <c r="BN57" s="49"/>
      <c r="BR57" s="4"/>
      <c r="BT57" s="1747"/>
      <c r="BU57" s="1748"/>
      <c r="BV57" s="1748"/>
      <c r="BW57" s="1748"/>
      <c r="BX57" s="1748"/>
      <c r="BY57" s="1748"/>
      <c r="BZ57" s="1748"/>
      <c r="CA57" s="1748"/>
      <c r="CB57" s="1748"/>
      <c r="CC57" s="1748"/>
      <c r="CD57" s="1749"/>
      <c r="CE57" s="1763"/>
    </row>
    <row r="58" spans="42:83" x14ac:dyDescent="0.25">
      <c r="AP58" s="223"/>
      <c r="AT58" s="9"/>
      <c r="AW58" s="49"/>
      <c r="BB58" s="9"/>
      <c r="BF58" s="715"/>
      <c r="BG58" s="712"/>
      <c r="BK58" s="9"/>
      <c r="BN58" s="49"/>
      <c r="BR58" s="4"/>
      <c r="BT58" s="1747"/>
      <c r="BU58" s="1748"/>
      <c r="BV58" s="1748"/>
      <c r="BW58" s="1748"/>
      <c r="BX58" s="1748"/>
      <c r="BY58" s="1748"/>
      <c r="BZ58" s="1748"/>
      <c r="CA58" s="1748"/>
      <c r="CB58" s="1748"/>
      <c r="CC58" s="1748"/>
      <c r="CD58" s="1749"/>
      <c r="CE58" s="1763"/>
    </row>
    <row r="59" spans="42:83" ht="15.75" thickBot="1" x14ac:dyDescent="0.3">
      <c r="AP59" s="713"/>
      <c r="AQ59" s="400"/>
      <c r="AR59" s="400"/>
      <c r="AS59" s="400"/>
      <c r="AT59" s="716"/>
      <c r="AU59" s="400"/>
      <c r="AV59" s="400"/>
      <c r="AW59" s="717"/>
      <c r="AX59" s="400"/>
      <c r="AY59" s="400"/>
      <c r="AZ59" s="400"/>
      <c r="BA59" s="400"/>
      <c r="BB59" s="716"/>
      <c r="BC59" s="400"/>
      <c r="BD59" s="400"/>
      <c r="BE59" s="400"/>
      <c r="BF59" s="718"/>
      <c r="BG59" s="714"/>
      <c r="BH59" s="400"/>
      <c r="BI59" s="400"/>
      <c r="BJ59" s="400"/>
      <c r="BK59" s="716"/>
      <c r="BL59" s="400"/>
      <c r="BM59" s="400"/>
      <c r="BN59" s="717"/>
      <c r="BO59" s="400"/>
      <c r="BP59" s="400"/>
      <c r="BQ59" s="400"/>
      <c r="BR59" s="402"/>
      <c r="BT59" s="1774"/>
      <c r="BU59" s="1775"/>
      <c r="BV59" s="1775"/>
      <c r="BW59" s="1775"/>
      <c r="BX59" s="1775"/>
      <c r="BY59" s="1775"/>
      <c r="BZ59" s="1775"/>
      <c r="CA59" s="1775"/>
      <c r="CB59" s="1775"/>
      <c r="CC59" s="1775"/>
      <c r="CD59" s="1764"/>
      <c r="CE59" s="1765"/>
    </row>
  </sheetData>
  <mergeCells count="106">
    <mergeCell ref="CD46:CE46"/>
    <mergeCell ref="CD47:CE47"/>
    <mergeCell ref="CD58:CE58"/>
    <mergeCell ref="CD59:CE59"/>
    <mergeCell ref="BT46:CC47"/>
    <mergeCell ref="BT48:CC49"/>
    <mergeCell ref="CD48:CE49"/>
    <mergeCell ref="BT59:CC59"/>
    <mergeCell ref="CD50:CE50"/>
    <mergeCell ref="CD51:CE51"/>
    <mergeCell ref="CD52:CE52"/>
    <mergeCell ref="CD53:CE53"/>
    <mergeCell ref="CD54:CE54"/>
    <mergeCell ref="CD55:CE55"/>
    <mergeCell ref="CD56:CE56"/>
    <mergeCell ref="CD57:CE57"/>
    <mergeCell ref="BT56:CC56"/>
    <mergeCell ref="BT57:CC57"/>
    <mergeCell ref="BT58:CC58"/>
    <mergeCell ref="BT50:CC50"/>
    <mergeCell ref="BT51:CC51"/>
    <mergeCell ref="BT52:CC52"/>
    <mergeCell ref="BT53:CC53"/>
    <mergeCell ref="BT54:CC54"/>
    <mergeCell ref="BT55:CC55"/>
    <mergeCell ref="CC3:CE3"/>
    <mergeCell ref="AP2:AU2"/>
    <mergeCell ref="AV2:BD2"/>
    <mergeCell ref="BE2:BM2"/>
    <mergeCell ref="BN2:BV2"/>
    <mergeCell ref="BW2:CE2"/>
    <mergeCell ref="BT44:CC44"/>
    <mergeCell ref="BT45:CC45"/>
    <mergeCell ref="CD4:CE4"/>
    <mergeCell ref="AP43:AS43"/>
    <mergeCell ref="AT43:AW43"/>
    <mergeCell ref="AX43:BA43"/>
    <mergeCell ref="BB43:BF43"/>
    <mergeCell ref="BG43:BJ43"/>
    <mergeCell ref="BK43:BN43"/>
    <mergeCell ref="BO43:BR43"/>
    <mergeCell ref="BT43:CC43"/>
    <mergeCell ref="CD43:CE43"/>
    <mergeCell ref="CD44:CE44"/>
    <mergeCell ref="CD45:CE45"/>
    <mergeCell ref="BB3:BD3"/>
    <mergeCell ref="BE3:BG3"/>
    <mergeCell ref="BH3:BJ3"/>
    <mergeCell ref="BK3:BM3"/>
    <mergeCell ref="BN3:BP3"/>
    <mergeCell ref="BQ3:BS3"/>
    <mergeCell ref="BT3:BV3"/>
    <mergeCell ref="BW3:BY3"/>
    <mergeCell ref="BZ3:CB3"/>
    <mergeCell ref="F19:K19"/>
    <mergeCell ref="B16:D16"/>
    <mergeCell ref="E16:G16"/>
    <mergeCell ref="H16:J16"/>
    <mergeCell ref="K16:M16"/>
    <mergeCell ref="AP3:AR3"/>
    <mergeCell ref="AS3:AU3"/>
    <mergeCell ref="AV3:AX3"/>
    <mergeCell ref="AY3:BA3"/>
    <mergeCell ref="N16:P16"/>
    <mergeCell ref="Q16:S16"/>
    <mergeCell ref="AA7:AB7"/>
    <mergeCell ref="AD10:AD11"/>
    <mergeCell ref="AD12:AD13"/>
    <mergeCell ref="AG8:AG17"/>
    <mergeCell ref="AD17:AD18"/>
    <mergeCell ref="T16:V16"/>
    <mergeCell ref="W16:Y16"/>
    <mergeCell ref="AE10:AE11"/>
    <mergeCell ref="AE12:AE13"/>
    <mergeCell ref="AK38:AK40"/>
    <mergeCell ref="AL37:AL40"/>
    <mergeCell ref="AL34:AL36"/>
    <mergeCell ref="AK28:AK29"/>
    <mergeCell ref="AK35:AK36"/>
    <mergeCell ref="AL30:AL31"/>
    <mergeCell ref="AL32:AL33"/>
    <mergeCell ref="AE17:AE18"/>
    <mergeCell ref="AD8:AD9"/>
    <mergeCell ref="AG18:AG25"/>
    <mergeCell ref="AG26:AG33"/>
    <mergeCell ref="AG34:AG40"/>
    <mergeCell ref="CO6:CO7"/>
    <mergeCell ref="CR6:CT6"/>
    <mergeCell ref="CU6:CU7"/>
    <mergeCell ref="CP6:CP7"/>
    <mergeCell ref="CQ6:CQ7"/>
    <mergeCell ref="AI16:AI17"/>
    <mergeCell ref="AO6:AO24"/>
    <mergeCell ref="AO25:AO37"/>
    <mergeCell ref="AL22:AL23"/>
    <mergeCell ref="AL24:AL25"/>
    <mergeCell ref="AL26:AL29"/>
    <mergeCell ref="AL8:AL12"/>
    <mergeCell ref="AL13:AL14"/>
    <mergeCell ref="AL15:AL17"/>
    <mergeCell ref="AL18:AL21"/>
    <mergeCell ref="AK20:AK21"/>
    <mergeCell ref="CO17:CO18"/>
    <mergeCell ref="CP17:CP18"/>
    <mergeCell ref="CQ17:CS17"/>
    <mergeCell ref="AE8:AE9"/>
  </mergeCells>
  <phoneticPr fontId="11" type="noConversion"/>
  <pageMargins left="0.7" right="0.7" top="0.75" bottom="0.75" header="0.3" footer="0.3"/>
  <pageSetup paperSize="8" scale="2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1A9A8-B4CC-4C89-B06B-268CC7B33892}">
  <sheetPr>
    <tabColor theme="7" tint="0.59999389629810485"/>
  </sheetPr>
  <dimension ref="A1:M19"/>
  <sheetViews>
    <sheetView zoomScale="80" zoomScaleNormal="80" workbookViewId="0">
      <selection activeCell="O37" sqref="O37"/>
    </sheetView>
  </sheetViews>
  <sheetFormatPr defaultRowHeight="15" x14ac:dyDescent="0.25"/>
  <cols>
    <col min="1" max="1" width="15.42578125" bestFit="1" customWidth="1"/>
    <col min="2" max="2" width="29.42578125" bestFit="1" customWidth="1"/>
    <col min="3" max="3" width="15.7109375" bestFit="1" customWidth="1"/>
    <col min="4" max="4" width="21.140625" bestFit="1" customWidth="1"/>
    <col min="5" max="5" width="21.140625" customWidth="1"/>
    <col min="6" max="6" width="31.42578125" bestFit="1" customWidth="1"/>
    <col min="7" max="7" width="12.7109375" bestFit="1" customWidth="1"/>
    <col min="8" max="8" width="16.42578125" bestFit="1" customWidth="1"/>
    <col min="9" max="9" width="14.85546875" bestFit="1" customWidth="1"/>
    <col min="10" max="10" width="27" bestFit="1" customWidth="1"/>
    <col min="11" max="11" width="35.7109375" bestFit="1" customWidth="1"/>
    <col min="12" max="12" width="21" bestFit="1" customWidth="1"/>
    <col min="13" max="13" width="23.42578125" bestFit="1" customWidth="1"/>
  </cols>
  <sheetData>
    <row r="1" spans="1:13" x14ac:dyDescent="0.25">
      <c r="A1" t="s">
        <v>439</v>
      </c>
      <c r="B1" t="s">
        <v>440</v>
      </c>
      <c r="C1" t="s">
        <v>441</v>
      </c>
      <c r="D1" t="s">
        <v>442</v>
      </c>
      <c r="E1" t="s">
        <v>443</v>
      </c>
      <c r="F1" t="s">
        <v>444</v>
      </c>
      <c r="G1" t="s">
        <v>445</v>
      </c>
      <c r="H1" t="s">
        <v>446</v>
      </c>
      <c r="I1" t="s">
        <v>447</v>
      </c>
      <c r="J1" t="s">
        <v>448</v>
      </c>
      <c r="K1" t="s">
        <v>449</v>
      </c>
      <c r="L1" t="s">
        <v>450</v>
      </c>
      <c r="M1" t="s">
        <v>451</v>
      </c>
    </row>
    <row r="2" spans="1:13" x14ac:dyDescent="0.25">
      <c r="A2" t="s">
        <v>358</v>
      </c>
      <c r="B2" t="s">
        <v>216</v>
      </c>
      <c r="C2">
        <v>20</v>
      </c>
      <c r="D2" s="10">
        <v>46569</v>
      </c>
      <c r="E2">
        <f ca="1">D2-(TODAY())</f>
        <v>1492</v>
      </c>
      <c r="F2">
        <v>6</v>
      </c>
      <c r="G2" s="10">
        <f t="shared" ref="G2:G7" si="0">D2-(30.42*F2)</f>
        <v>46386.48</v>
      </c>
      <c r="H2" s="11">
        <f ca="1">G2-(TODAY())</f>
        <v>1309.4800000000032</v>
      </c>
      <c r="I2" t="s">
        <v>452</v>
      </c>
    </row>
    <row r="3" spans="1:13" x14ac:dyDescent="0.25">
      <c r="A3" t="s">
        <v>358</v>
      </c>
      <c r="B3" t="s">
        <v>219</v>
      </c>
      <c r="C3">
        <v>63</v>
      </c>
      <c r="D3" s="10">
        <v>44896</v>
      </c>
      <c r="E3">
        <f t="shared" ref="E3:E19" ca="1" si="1">D3-(TODAY())</f>
        <v>-181</v>
      </c>
      <c r="F3">
        <v>6</v>
      </c>
      <c r="G3" s="10">
        <f t="shared" si="0"/>
        <v>44713.48</v>
      </c>
      <c r="H3" s="11">
        <f t="shared" ref="H3:H19" ca="1" si="2">G3-(TODAY())</f>
        <v>-363.5199999999968</v>
      </c>
      <c r="I3" t="s">
        <v>357</v>
      </c>
    </row>
    <row r="4" spans="1:13" x14ac:dyDescent="0.25">
      <c r="A4" t="s">
        <v>358</v>
      </c>
      <c r="B4" t="s">
        <v>222</v>
      </c>
      <c r="C4">
        <v>56</v>
      </c>
      <c r="D4" s="10">
        <v>45078</v>
      </c>
      <c r="E4">
        <f t="shared" ca="1" si="1"/>
        <v>1</v>
      </c>
      <c r="F4">
        <v>6</v>
      </c>
      <c r="G4" s="10">
        <f t="shared" si="0"/>
        <v>44895.48</v>
      </c>
      <c r="H4" s="11">
        <f t="shared" ca="1" si="2"/>
        <v>-181.5199999999968</v>
      </c>
      <c r="I4" t="s">
        <v>357</v>
      </c>
    </row>
    <row r="5" spans="1:13" x14ac:dyDescent="0.25">
      <c r="A5" t="s">
        <v>358</v>
      </c>
      <c r="B5" t="s">
        <v>225</v>
      </c>
      <c r="C5">
        <v>67</v>
      </c>
      <c r="D5" s="10">
        <v>44805</v>
      </c>
      <c r="E5">
        <f t="shared" ca="1" si="1"/>
        <v>-272</v>
      </c>
      <c r="F5">
        <v>3</v>
      </c>
      <c r="G5" s="10">
        <f t="shared" si="0"/>
        <v>44713.74</v>
      </c>
      <c r="H5" s="11">
        <f t="shared" ca="1" si="2"/>
        <v>-363.26000000000204</v>
      </c>
      <c r="I5" t="s">
        <v>362</v>
      </c>
    </row>
    <row r="6" spans="1:13" x14ac:dyDescent="0.25">
      <c r="A6" t="s">
        <v>354</v>
      </c>
      <c r="B6" t="s">
        <v>236</v>
      </c>
      <c r="C6">
        <v>74</v>
      </c>
      <c r="D6" s="10">
        <v>44805</v>
      </c>
      <c r="E6">
        <f t="shared" ca="1" si="1"/>
        <v>-272</v>
      </c>
      <c r="F6">
        <v>6</v>
      </c>
      <c r="G6" s="10">
        <f t="shared" si="0"/>
        <v>44622.48</v>
      </c>
      <c r="H6" s="11">
        <f t="shared" ca="1" si="2"/>
        <v>-454.5199999999968</v>
      </c>
      <c r="I6" t="s">
        <v>357</v>
      </c>
    </row>
    <row r="7" spans="1:13" x14ac:dyDescent="0.25">
      <c r="A7" t="s">
        <v>354</v>
      </c>
      <c r="B7" t="s">
        <v>237</v>
      </c>
      <c r="C7">
        <v>90.5</v>
      </c>
      <c r="D7" s="10">
        <v>44378</v>
      </c>
      <c r="E7">
        <f t="shared" ca="1" si="1"/>
        <v>-699</v>
      </c>
      <c r="F7">
        <v>6</v>
      </c>
      <c r="G7" s="10">
        <f t="shared" si="0"/>
        <v>44195.48</v>
      </c>
      <c r="H7" s="11">
        <f t="shared" ca="1" si="2"/>
        <v>-881.5199999999968</v>
      </c>
      <c r="I7" t="s">
        <v>452</v>
      </c>
    </row>
    <row r="8" spans="1:13" x14ac:dyDescent="0.25">
      <c r="A8" t="s">
        <v>354</v>
      </c>
      <c r="B8" t="s">
        <v>239</v>
      </c>
      <c r="C8">
        <v>91</v>
      </c>
      <c r="D8" s="10">
        <v>44378</v>
      </c>
      <c r="E8">
        <f t="shared" ca="1" si="1"/>
        <v>-699</v>
      </c>
      <c r="F8">
        <v>6</v>
      </c>
      <c r="G8" s="10">
        <f t="shared" ref="G8:G19" si="3">D8-(30.42*F8)</f>
        <v>44195.48</v>
      </c>
      <c r="H8" s="11">
        <f t="shared" ca="1" si="2"/>
        <v>-881.5199999999968</v>
      </c>
      <c r="I8" t="s">
        <v>452</v>
      </c>
    </row>
    <row r="9" spans="1:13" x14ac:dyDescent="0.25">
      <c r="A9" t="s">
        <v>162</v>
      </c>
      <c r="B9" t="s">
        <v>113</v>
      </c>
      <c r="C9">
        <v>89</v>
      </c>
      <c r="D9" s="10">
        <v>44378</v>
      </c>
      <c r="E9">
        <f t="shared" ca="1" si="1"/>
        <v>-699</v>
      </c>
      <c r="F9">
        <v>12</v>
      </c>
      <c r="G9" s="10">
        <f t="shared" si="3"/>
        <v>44012.959999999999</v>
      </c>
      <c r="H9" s="11">
        <f t="shared" ca="1" si="2"/>
        <v>-1064.0400000000009</v>
      </c>
      <c r="I9" t="s">
        <v>362</v>
      </c>
    </row>
    <row r="10" spans="1:13" x14ac:dyDescent="0.25">
      <c r="A10" t="s">
        <v>162</v>
      </c>
      <c r="B10" t="s">
        <v>453</v>
      </c>
      <c r="C10">
        <v>119</v>
      </c>
      <c r="D10" s="10">
        <v>44378</v>
      </c>
      <c r="E10">
        <f t="shared" ca="1" si="1"/>
        <v>-699</v>
      </c>
      <c r="F10">
        <v>6</v>
      </c>
      <c r="G10" s="10">
        <f t="shared" si="3"/>
        <v>44195.48</v>
      </c>
      <c r="H10" s="11">
        <f t="shared" ca="1" si="2"/>
        <v>-881.5199999999968</v>
      </c>
      <c r="I10" t="s">
        <v>357</v>
      </c>
    </row>
    <row r="11" spans="1:13" x14ac:dyDescent="0.25">
      <c r="A11" t="s">
        <v>162</v>
      </c>
      <c r="B11" t="s">
        <v>454</v>
      </c>
      <c r="C11">
        <v>97</v>
      </c>
      <c r="D11" s="10">
        <v>44378</v>
      </c>
      <c r="E11">
        <f t="shared" ca="1" si="1"/>
        <v>-699</v>
      </c>
      <c r="F11">
        <v>6</v>
      </c>
      <c r="G11" s="10">
        <f t="shared" si="3"/>
        <v>44195.48</v>
      </c>
      <c r="H11" s="11">
        <f t="shared" ca="1" si="2"/>
        <v>-881.5199999999968</v>
      </c>
      <c r="I11" t="s">
        <v>357</v>
      </c>
    </row>
    <row r="12" spans="1:13" x14ac:dyDescent="0.25">
      <c r="A12" t="s">
        <v>162</v>
      </c>
      <c r="B12" t="s">
        <v>455</v>
      </c>
      <c r="C12">
        <v>65</v>
      </c>
      <c r="D12" s="10">
        <v>45108</v>
      </c>
      <c r="E12">
        <f t="shared" ca="1" si="1"/>
        <v>31</v>
      </c>
      <c r="F12">
        <v>12</v>
      </c>
      <c r="G12" s="10">
        <f t="shared" si="3"/>
        <v>44742.96</v>
      </c>
      <c r="H12" s="11">
        <f t="shared" ca="1" si="2"/>
        <v>-334.04000000000087</v>
      </c>
      <c r="I12" t="s">
        <v>357</v>
      </c>
    </row>
    <row r="13" spans="1:13" x14ac:dyDescent="0.25">
      <c r="A13" t="s">
        <v>456</v>
      </c>
      <c r="B13" t="s">
        <v>249</v>
      </c>
      <c r="C13">
        <v>86</v>
      </c>
      <c r="D13" s="10">
        <v>44470</v>
      </c>
      <c r="E13">
        <f t="shared" ca="1" si="1"/>
        <v>-607</v>
      </c>
      <c r="F13">
        <v>12</v>
      </c>
      <c r="G13" s="10">
        <f t="shared" si="3"/>
        <v>44104.959999999999</v>
      </c>
      <c r="H13" s="11">
        <f t="shared" ca="1" si="2"/>
        <v>-972.04000000000087</v>
      </c>
      <c r="I13" t="s">
        <v>357</v>
      </c>
      <c r="J13" t="s">
        <v>457</v>
      </c>
    </row>
    <row r="14" spans="1:13" x14ac:dyDescent="0.25">
      <c r="A14" t="s">
        <v>456</v>
      </c>
      <c r="B14" t="s">
        <v>255</v>
      </c>
      <c r="C14">
        <v>66</v>
      </c>
      <c r="D14" s="10">
        <v>46692</v>
      </c>
      <c r="E14">
        <f t="shared" ca="1" si="1"/>
        <v>1615</v>
      </c>
      <c r="F14">
        <v>12</v>
      </c>
      <c r="G14" s="10">
        <f t="shared" si="3"/>
        <v>46326.96</v>
      </c>
      <c r="H14" s="11">
        <f t="shared" ca="1" si="2"/>
        <v>1249.9599999999991</v>
      </c>
      <c r="I14" t="s">
        <v>357</v>
      </c>
    </row>
    <row r="15" spans="1:13" x14ac:dyDescent="0.25">
      <c r="A15" t="s">
        <v>456</v>
      </c>
      <c r="B15" t="s">
        <v>261</v>
      </c>
      <c r="C15">
        <v>96</v>
      </c>
      <c r="D15" s="10">
        <v>44378</v>
      </c>
      <c r="E15">
        <f t="shared" ca="1" si="1"/>
        <v>-699</v>
      </c>
      <c r="F15">
        <v>2</v>
      </c>
      <c r="G15" s="10">
        <f t="shared" si="3"/>
        <v>44317.16</v>
      </c>
      <c r="H15" s="11">
        <f t="shared" ca="1" si="2"/>
        <v>-759.83999999999651</v>
      </c>
      <c r="I15" t="s">
        <v>357</v>
      </c>
      <c r="J15" t="s">
        <v>458</v>
      </c>
    </row>
    <row r="16" spans="1:13" x14ac:dyDescent="0.25">
      <c r="A16" t="s">
        <v>456</v>
      </c>
      <c r="B16" t="s">
        <v>262</v>
      </c>
      <c r="C16">
        <v>65</v>
      </c>
      <c r="D16" s="10">
        <v>46753</v>
      </c>
      <c r="E16">
        <f t="shared" ca="1" si="1"/>
        <v>1676</v>
      </c>
      <c r="F16">
        <v>6</v>
      </c>
      <c r="G16" s="10">
        <f t="shared" si="3"/>
        <v>46570.48</v>
      </c>
      <c r="H16" s="11">
        <f t="shared" ca="1" si="2"/>
        <v>1493.4800000000032</v>
      </c>
      <c r="I16" t="s">
        <v>357</v>
      </c>
    </row>
    <row r="17" spans="1:9" x14ac:dyDescent="0.25">
      <c r="A17" t="s">
        <v>456</v>
      </c>
      <c r="B17" t="s">
        <v>263</v>
      </c>
      <c r="C17">
        <v>62</v>
      </c>
      <c r="D17" s="10">
        <v>46874</v>
      </c>
      <c r="E17">
        <f t="shared" ca="1" si="1"/>
        <v>1797</v>
      </c>
      <c r="F17">
        <v>6</v>
      </c>
      <c r="G17" s="10">
        <f t="shared" si="3"/>
        <v>46691.48</v>
      </c>
      <c r="H17" s="11">
        <f t="shared" ca="1" si="2"/>
        <v>1614.4800000000032</v>
      </c>
      <c r="I17" t="s">
        <v>357</v>
      </c>
    </row>
    <row r="18" spans="1:9" x14ac:dyDescent="0.25">
      <c r="A18" t="s">
        <v>456</v>
      </c>
      <c r="B18" t="s">
        <v>264</v>
      </c>
      <c r="C18">
        <v>51</v>
      </c>
      <c r="D18" s="10">
        <v>47270</v>
      </c>
      <c r="E18">
        <f t="shared" ca="1" si="1"/>
        <v>2193</v>
      </c>
      <c r="F18">
        <v>3</v>
      </c>
      <c r="G18" s="10">
        <f t="shared" si="3"/>
        <v>47178.74</v>
      </c>
      <c r="H18" s="11">
        <f t="shared" ca="1" si="2"/>
        <v>2101.739999999998</v>
      </c>
      <c r="I18" t="s">
        <v>357</v>
      </c>
    </row>
    <row r="19" spans="1:9" x14ac:dyDescent="0.25">
      <c r="A19" t="s">
        <v>456</v>
      </c>
      <c r="B19" t="s">
        <v>265</v>
      </c>
      <c r="C19">
        <v>76</v>
      </c>
      <c r="D19" s="10">
        <v>46388</v>
      </c>
      <c r="E19">
        <f t="shared" ca="1" si="1"/>
        <v>1311</v>
      </c>
      <c r="F19">
        <v>9</v>
      </c>
      <c r="G19" s="10">
        <f t="shared" si="3"/>
        <v>46114.22</v>
      </c>
      <c r="H19" s="11">
        <f t="shared" ca="1" si="2"/>
        <v>1037.2200000000012</v>
      </c>
      <c r="I19" t="s">
        <v>357</v>
      </c>
    </row>
  </sheetData>
  <conditionalFormatting sqref="E2:E19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720BA-ADED-4233-8B81-46BAB3A4A558}">
  <sheetPr>
    <tabColor rgb="FF00B0F0"/>
  </sheetPr>
  <dimension ref="A2:V13"/>
  <sheetViews>
    <sheetView workbookViewId="0">
      <selection activeCell="N11" sqref="N11:V12"/>
    </sheetView>
  </sheetViews>
  <sheetFormatPr defaultRowHeight="15" x14ac:dyDescent="0.25"/>
  <cols>
    <col min="1" max="1" width="13.140625" bestFit="1" customWidth="1"/>
    <col min="2" max="2" width="9.140625" style="9"/>
    <col min="4" max="4" width="9.140625" style="49"/>
    <col min="8" max="8" width="9.140625" style="9"/>
    <col min="10" max="10" width="9.140625" style="49"/>
    <col min="14" max="14" width="7.7109375" style="9" bestFit="1" customWidth="1"/>
    <col min="15" max="15" width="20.42578125" style="49" bestFit="1" customWidth="1"/>
    <col min="16" max="16" width="7.7109375" bestFit="1" customWidth="1"/>
    <col min="17" max="17" width="20.42578125" bestFit="1" customWidth="1"/>
    <col min="18" max="18" width="9" style="9" bestFit="1" customWidth="1"/>
    <col min="19" max="19" width="20.42578125" style="49" bestFit="1" customWidth="1"/>
    <col min="20" max="20" width="12" style="9" bestFit="1" customWidth="1"/>
    <col min="21" max="21" width="20.42578125" style="49" bestFit="1" customWidth="1"/>
    <col min="22" max="22" width="14.140625" bestFit="1" customWidth="1"/>
  </cols>
  <sheetData>
    <row r="2" spans="1:22" x14ac:dyDescent="0.25">
      <c r="B2" s="1556" t="s">
        <v>459</v>
      </c>
      <c r="C2" s="1557"/>
      <c r="D2" s="1569"/>
      <c r="E2" s="1557" t="s">
        <v>460</v>
      </c>
      <c r="F2" s="1557"/>
      <c r="G2" s="1557"/>
      <c r="H2" s="1556" t="s">
        <v>461</v>
      </c>
      <c r="I2" s="1557"/>
      <c r="J2" s="1569"/>
      <c r="K2" s="1557" t="s">
        <v>462</v>
      </c>
      <c r="L2" s="1557"/>
      <c r="M2" s="1557"/>
      <c r="N2" s="1556" t="s">
        <v>463</v>
      </c>
      <c r="O2" s="1569"/>
      <c r="P2" s="1557" t="s">
        <v>464</v>
      </c>
      <c r="Q2" s="1557"/>
      <c r="R2" s="1556" t="s">
        <v>465</v>
      </c>
      <c r="S2" s="1569"/>
      <c r="T2" s="1556" t="s">
        <v>466</v>
      </c>
      <c r="U2" s="1569"/>
    </row>
    <row r="3" spans="1:22" x14ac:dyDescent="0.25">
      <c r="A3" t="s">
        <v>22</v>
      </c>
      <c r="B3" s="9" t="s">
        <v>467</v>
      </c>
      <c r="C3" t="s">
        <v>468</v>
      </c>
      <c r="D3" s="81" t="s">
        <v>469</v>
      </c>
      <c r="E3" t="s">
        <v>467</v>
      </c>
      <c r="F3" t="s">
        <v>468</v>
      </c>
      <c r="G3" s="43" t="s">
        <v>469</v>
      </c>
      <c r="H3" s="9" t="s">
        <v>467</v>
      </c>
      <c r="I3" t="s">
        <v>468</v>
      </c>
      <c r="J3" s="81" t="s">
        <v>469</v>
      </c>
      <c r="K3" t="s">
        <v>467</v>
      </c>
      <c r="L3" t="s">
        <v>468</v>
      </c>
      <c r="M3" t="s">
        <v>469</v>
      </c>
      <c r="N3" s="9" t="s">
        <v>467</v>
      </c>
      <c r="O3" s="49" t="s">
        <v>470</v>
      </c>
      <c r="P3" t="s">
        <v>467</v>
      </c>
      <c r="Q3" t="s">
        <v>470</v>
      </c>
      <c r="R3" s="9" t="s">
        <v>467</v>
      </c>
      <c r="S3" s="49" t="s">
        <v>470</v>
      </c>
      <c r="T3" s="9" t="s">
        <v>467</v>
      </c>
      <c r="U3" s="49" t="s">
        <v>470</v>
      </c>
      <c r="V3" t="s">
        <v>471</v>
      </c>
    </row>
    <row r="4" spans="1:22" s="31" customFormat="1" x14ac:dyDescent="0.25">
      <c r="A4" s="31" t="s">
        <v>472</v>
      </c>
      <c r="B4" s="1475">
        <v>863</v>
      </c>
      <c r="C4" s="759">
        <v>230</v>
      </c>
      <c r="D4" s="1476">
        <v>554</v>
      </c>
      <c r="E4" s="759">
        <v>738</v>
      </c>
      <c r="F4" s="759">
        <v>546</v>
      </c>
      <c r="G4" s="759">
        <v>631</v>
      </c>
      <c r="H4" s="1475">
        <v>463</v>
      </c>
      <c r="I4" s="759">
        <v>144</v>
      </c>
      <c r="J4" s="1476">
        <v>381</v>
      </c>
      <c r="K4" s="759">
        <f t="shared" ref="K4:M5" si="0">SUM(B4,E4,H4)</f>
        <v>2064</v>
      </c>
      <c r="L4" s="759">
        <f t="shared" si="0"/>
        <v>920</v>
      </c>
      <c r="M4" s="759">
        <f t="shared" si="0"/>
        <v>1566</v>
      </c>
      <c r="N4" s="1471">
        <f>D4/B4</f>
        <v>0.64194669756662803</v>
      </c>
      <c r="O4" s="1472">
        <f>60/(D4/SUM(B4:C4))</f>
        <v>118.37545126353791</v>
      </c>
      <c r="P4" s="1471">
        <f>G4/E4</f>
        <v>0.8550135501355014</v>
      </c>
      <c r="Q4" s="1472">
        <f>60/(G4/SUM(E4:F4))</f>
        <v>122.0919175911252</v>
      </c>
      <c r="R4" s="1471">
        <f>J4/H4</f>
        <v>0.82289416846652264</v>
      </c>
      <c r="S4" s="1472">
        <f>60/(J4/SUM(H4:I4))</f>
        <v>95.590551181102356</v>
      </c>
      <c r="T4" s="1471">
        <f>M4/K4</f>
        <v>0.75872093023255816</v>
      </c>
      <c r="U4" s="1472">
        <f>60/(M4/SUM(K4:L4))</f>
        <v>114.32950191570882</v>
      </c>
      <c r="V4" s="1473">
        <v>0.85</v>
      </c>
    </row>
    <row r="5" spans="1:22" x14ac:dyDescent="0.25">
      <c r="A5" t="s">
        <v>473</v>
      </c>
      <c r="B5" s="16">
        <v>922</v>
      </c>
      <c r="C5" s="11">
        <v>259</v>
      </c>
      <c r="D5" s="1355">
        <v>715</v>
      </c>
      <c r="E5" s="11">
        <v>736.45</v>
      </c>
      <c r="F5" s="11">
        <v>530.45000000000005</v>
      </c>
      <c r="G5" s="11">
        <v>624</v>
      </c>
      <c r="H5" s="16">
        <v>486.45</v>
      </c>
      <c r="I5" s="11">
        <v>143.44999999999999</v>
      </c>
      <c r="J5" s="1355">
        <v>405</v>
      </c>
      <c r="K5" s="16">
        <f t="shared" si="0"/>
        <v>2144.9</v>
      </c>
      <c r="L5" s="11">
        <f t="shared" si="0"/>
        <v>932.90000000000009</v>
      </c>
      <c r="M5" s="11">
        <f t="shared" si="0"/>
        <v>1744</v>
      </c>
      <c r="N5" s="1474">
        <f>D5/B5</f>
        <v>0.77548806941431669</v>
      </c>
      <c r="O5" s="178">
        <f>60/(D5/SUM(B5:C5))</f>
        <v>99.104895104895107</v>
      </c>
      <c r="P5" s="1474">
        <f>G5/E5</f>
        <v>0.84730803177405112</v>
      </c>
      <c r="Q5" s="178">
        <f>60/(G5/SUM(E5:F5))</f>
        <v>121.81730769230771</v>
      </c>
      <c r="R5" s="1474">
        <f>J5/H5</f>
        <v>0.83256244218316378</v>
      </c>
      <c r="S5" s="178">
        <f>60/(J5/SUM(H5:I5))</f>
        <v>93.318518518518516</v>
      </c>
      <c r="T5" s="1474">
        <f>M5/K5</f>
        <v>0.81309151941815461</v>
      </c>
      <c r="U5" s="178">
        <f>60/(M5/SUM(K5:L5))</f>
        <v>105.8876146788991</v>
      </c>
      <c r="V5" s="106">
        <f t="shared" ref="V5:V12" si="1">V4</f>
        <v>0.85</v>
      </c>
    </row>
    <row r="6" spans="1:22" x14ac:dyDescent="0.25">
      <c r="A6" t="s">
        <v>474</v>
      </c>
      <c r="B6" s="16">
        <v>864.15</v>
      </c>
      <c r="C6" s="11">
        <v>195.3</v>
      </c>
      <c r="D6" s="1355">
        <f>613</f>
        <v>613</v>
      </c>
      <c r="E6" s="11">
        <v>776.45</v>
      </c>
      <c r="F6" s="11">
        <v>498</v>
      </c>
      <c r="G6" s="11">
        <v>607</v>
      </c>
      <c r="H6" s="16">
        <v>379.45</v>
      </c>
      <c r="I6" s="11">
        <v>150.44999999999999</v>
      </c>
      <c r="J6" s="1355">
        <f>229+189</f>
        <v>418</v>
      </c>
      <c r="K6" s="16">
        <f t="shared" ref="K6:M11" si="2">SUM(B6,E6,H6)</f>
        <v>2020.05</v>
      </c>
      <c r="L6" s="11">
        <f t="shared" si="2"/>
        <v>843.75</v>
      </c>
      <c r="M6" s="11">
        <f t="shared" si="2"/>
        <v>1638</v>
      </c>
      <c r="N6" s="1474">
        <f>D6/B6</f>
        <v>0.70936758664583699</v>
      </c>
      <c r="O6" s="178">
        <f>60/(D6/SUM(B6:C6))</f>
        <v>103.69820554649267</v>
      </c>
      <c r="P6" s="1474">
        <f>G6/E6</f>
        <v>0.78176315281086994</v>
      </c>
      <c r="Q6" s="178">
        <f>60/(G6/SUM(E6:F6))</f>
        <v>125.97528830313016</v>
      </c>
      <c r="R6" s="1474">
        <f>J6/H6</f>
        <v>1.1015944129661353</v>
      </c>
      <c r="S6" s="178">
        <f>60/(J6/SUM(H6:I6))</f>
        <v>76.062200956937801</v>
      </c>
      <c r="T6" s="1474">
        <f>M6/K6</f>
        <v>0.81087101804410788</v>
      </c>
      <c r="U6" s="178">
        <f>60/(M6/SUM(K6:L6))</f>
        <v>104.90109890109892</v>
      </c>
      <c r="V6" s="106">
        <f t="shared" si="1"/>
        <v>0.85</v>
      </c>
    </row>
    <row r="7" spans="1:22" x14ac:dyDescent="0.25">
      <c r="A7" t="s">
        <v>475</v>
      </c>
      <c r="B7" s="9">
        <v>691</v>
      </c>
      <c r="C7" s="11">
        <v>221</v>
      </c>
      <c r="D7" s="49">
        <v>530</v>
      </c>
      <c r="E7" s="11">
        <v>691</v>
      </c>
      <c r="F7" s="11">
        <v>472</v>
      </c>
      <c r="G7" s="11">
        <v>588</v>
      </c>
      <c r="H7" s="9">
        <v>384</v>
      </c>
      <c r="I7" s="11">
        <v>172</v>
      </c>
      <c r="J7" s="49">
        <v>368</v>
      </c>
      <c r="K7" s="16">
        <f t="shared" si="2"/>
        <v>1766</v>
      </c>
      <c r="L7" s="11">
        <f t="shared" si="2"/>
        <v>865</v>
      </c>
      <c r="M7" s="11">
        <f t="shared" si="2"/>
        <v>1486</v>
      </c>
      <c r="N7" s="1474">
        <f>D7/B7</f>
        <v>0.76700434153400865</v>
      </c>
      <c r="O7" s="178">
        <f>60/(D7/SUM(B7:C7))</f>
        <v>103.24528301886792</v>
      </c>
      <c r="P7" s="1474">
        <f>G7/E7</f>
        <v>0.85094066570188132</v>
      </c>
      <c r="Q7" s="178">
        <f>60/(G7/SUM(E7:F7))</f>
        <v>118.67346938775511</v>
      </c>
      <c r="R7" s="1474">
        <f>J7/H7</f>
        <v>0.95833333333333337</v>
      </c>
      <c r="S7" s="178">
        <f>60/(J7/SUM(H7:I7))</f>
        <v>90.652173913043484</v>
      </c>
      <c r="T7" s="1474">
        <f>M7/K7</f>
        <v>0.84144960362400911</v>
      </c>
      <c r="U7" s="178">
        <f>60/(M7/SUM(K7:L7))</f>
        <v>106.23149394347242</v>
      </c>
      <c r="V7" s="106">
        <f t="shared" si="1"/>
        <v>0.85</v>
      </c>
    </row>
    <row r="8" spans="1:22" x14ac:dyDescent="0.25">
      <c r="A8" t="s">
        <v>476</v>
      </c>
      <c r="B8" s="9">
        <v>926</v>
      </c>
      <c r="C8" s="11">
        <v>212</v>
      </c>
      <c r="D8" s="49">
        <v>30332</v>
      </c>
      <c r="E8" s="11">
        <v>758</v>
      </c>
      <c r="F8" s="11">
        <v>535</v>
      </c>
      <c r="G8" s="11">
        <v>40712</v>
      </c>
      <c r="H8" s="9">
        <v>444</v>
      </c>
      <c r="I8" s="11">
        <v>230</v>
      </c>
      <c r="J8" s="49">
        <v>28268</v>
      </c>
      <c r="K8" s="16">
        <f t="shared" si="2"/>
        <v>2128</v>
      </c>
      <c r="L8" s="11">
        <f t="shared" si="2"/>
        <v>977</v>
      </c>
      <c r="M8" s="11">
        <f t="shared" si="2"/>
        <v>99312</v>
      </c>
      <c r="N8" s="1474">
        <f t="shared" ref="N8:N13" si="3">(D8/60)/B8</f>
        <v>0.54593232541396686</v>
      </c>
      <c r="O8" s="178">
        <f t="shared" ref="O8:O13" si="4">60/((D8/60)/SUM(B8:C8))</f>
        <v>135.06527759461954</v>
      </c>
      <c r="P8" s="1503">
        <f t="shared" ref="P8:P13" si="5">(G8/60)/E8</f>
        <v>0.89516270888302552</v>
      </c>
      <c r="Q8" s="206">
        <f t="shared" ref="Q8:Q13" si="6">60/((G8/60)/SUM(E8:F8))</f>
        <v>114.33483985065828</v>
      </c>
      <c r="R8" s="1474">
        <f t="shared" ref="R8:R13" si="7">(J8/60)/H8</f>
        <v>1.0611111111111111</v>
      </c>
      <c r="S8" s="178">
        <f t="shared" ref="S8:S13" si="8">60/((J8/60)/SUM(H8:I8))</f>
        <v>85.83557379368898</v>
      </c>
      <c r="T8" s="1474">
        <f t="shared" ref="T8:T13" si="9">(M8/60)/K8</f>
        <v>0.77781954887218052</v>
      </c>
      <c r="U8" s="178">
        <f t="shared" ref="U8:U13" si="10">60/((M8/60)/SUM(K8:L8))</f>
        <v>112.55437409376512</v>
      </c>
      <c r="V8" s="106">
        <f t="shared" si="1"/>
        <v>0.85</v>
      </c>
    </row>
    <row r="9" spans="1:22" x14ac:dyDescent="0.25">
      <c r="A9" t="s">
        <v>477</v>
      </c>
      <c r="B9" s="9">
        <v>553</v>
      </c>
      <c r="C9" s="11">
        <v>125</v>
      </c>
      <c r="D9" s="49">
        <v>18447</v>
      </c>
      <c r="E9" s="11">
        <v>485</v>
      </c>
      <c r="F9" s="11">
        <v>364</v>
      </c>
      <c r="G9" s="11">
        <v>26415</v>
      </c>
      <c r="H9" s="9">
        <v>242</v>
      </c>
      <c r="I9" s="11">
        <v>161</v>
      </c>
      <c r="J9" s="49">
        <v>13691</v>
      </c>
      <c r="K9" s="16">
        <f t="shared" si="2"/>
        <v>1280</v>
      </c>
      <c r="L9" s="11">
        <f t="shared" si="2"/>
        <v>650</v>
      </c>
      <c r="M9" s="11">
        <f>SUM(D9,G9,J9)</f>
        <v>58553</v>
      </c>
      <c r="N9" s="1474">
        <f t="shared" si="3"/>
        <v>0.55596745027124772</v>
      </c>
      <c r="O9" s="178">
        <f t="shared" si="4"/>
        <v>132.3141974304765</v>
      </c>
      <c r="P9" s="1503">
        <f t="shared" si="5"/>
        <v>0.90773195876288659</v>
      </c>
      <c r="Q9" s="206">
        <f t="shared" si="6"/>
        <v>115.70698466780237</v>
      </c>
      <c r="R9" s="1474">
        <f t="shared" si="7"/>
        <v>0.94290633608815433</v>
      </c>
      <c r="S9" s="178">
        <f t="shared" si="8"/>
        <v>105.96742385508729</v>
      </c>
      <c r="T9" s="1474">
        <f t="shared" si="9"/>
        <v>0.76240885416666671</v>
      </c>
      <c r="U9" s="178">
        <f t="shared" si="10"/>
        <v>118.6617252745376</v>
      </c>
      <c r="V9" s="106">
        <f t="shared" si="1"/>
        <v>0.85</v>
      </c>
    </row>
    <row r="10" spans="1:22" x14ac:dyDescent="0.25">
      <c r="A10" t="s">
        <v>478</v>
      </c>
      <c r="B10" s="9">
        <v>838</v>
      </c>
      <c r="C10" s="11">
        <v>228</v>
      </c>
      <c r="D10" s="49">
        <v>33030</v>
      </c>
      <c r="E10" s="11">
        <v>664</v>
      </c>
      <c r="F10" s="11">
        <v>613</v>
      </c>
      <c r="G10" s="11">
        <v>33768</v>
      </c>
      <c r="H10" s="9">
        <v>391</v>
      </c>
      <c r="I10" s="11">
        <v>211</v>
      </c>
      <c r="J10" s="49">
        <v>21411</v>
      </c>
      <c r="K10" s="16">
        <f t="shared" si="2"/>
        <v>1893</v>
      </c>
      <c r="L10" s="11">
        <f t="shared" si="2"/>
        <v>1052</v>
      </c>
      <c r="M10" s="11">
        <f>SUM(D10,G10,J10)</f>
        <v>88209</v>
      </c>
      <c r="N10" s="1474">
        <f t="shared" si="3"/>
        <v>0.65692124105011929</v>
      </c>
      <c r="O10" s="178">
        <f t="shared" si="4"/>
        <v>116.18528610354224</v>
      </c>
      <c r="P10" s="1503">
        <f t="shared" si="5"/>
        <v>0.84759036144578304</v>
      </c>
      <c r="Q10" s="206">
        <f t="shared" si="6"/>
        <v>136.14072494669509</v>
      </c>
      <c r="R10" s="1474">
        <f t="shared" si="7"/>
        <v>0.91265984654731469</v>
      </c>
      <c r="S10" s="178">
        <f t="shared" si="8"/>
        <v>101.2189995796553</v>
      </c>
      <c r="T10" s="1474">
        <f t="shared" si="9"/>
        <v>0.77662440570522984</v>
      </c>
      <c r="U10" s="178">
        <f t="shared" si="10"/>
        <v>120.19181716151412</v>
      </c>
      <c r="V10" s="106">
        <f t="shared" si="1"/>
        <v>0.85</v>
      </c>
    </row>
    <row r="11" spans="1:22" x14ac:dyDescent="0.25">
      <c r="A11" t="s">
        <v>479</v>
      </c>
      <c r="B11" s="9">
        <v>978</v>
      </c>
      <c r="C11" s="11">
        <v>208</v>
      </c>
      <c r="D11" s="49">
        <v>49683</v>
      </c>
      <c r="E11" s="11">
        <v>743</v>
      </c>
      <c r="F11" s="11">
        <v>688</v>
      </c>
      <c r="G11" s="11">
        <v>38040</v>
      </c>
      <c r="H11" s="9">
        <v>496</v>
      </c>
      <c r="I11" s="11">
        <v>216</v>
      </c>
      <c r="J11" s="49">
        <v>21354</v>
      </c>
      <c r="K11" s="16">
        <f t="shared" si="2"/>
        <v>2217</v>
      </c>
      <c r="L11" s="11">
        <f t="shared" si="2"/>
        <v>1112</v>
      </c>
      <c r="M11" s="11">
        <f>SUM(D11,G11,J11)</f>
        <v>109077</v>
      </c>
      <c r="N11" s="1474">
        <f t="shared" si="3"/>
        <v>0.84667689161554183</v>
      </c>
      <c r="O11" s="178">
        <f t="shared" si="4"/>
        <v>85.936839562828339</v>
      </c>
      <c r="P11" s="1503">
        <f t="shared" si="5"/>
        <v>0.85329744279946163</v>
      </c>
      <c r="Q11" s="206">
        <f t="shared" si="6"/>
        <v>135.42586750788644</v>
      </c>
      <c r="R11" s="1474">
        <f t="shared" si="7"/>
        <v>0.71754032258064515</v>
      </c>
      <c r="S11" s="178">
        <f t="shared" si="8"/>
        <v>120.03371733633044</v>
      </c>
      <c r="T11" s="1474">
        <f t="shared" si="9"/>
        <v>0.82000451059990986</v>
      </c>
      <c r="U11" s="178">
        <f t="shared" si="10"/>
        <v>109.87100855359058</v>
      </c>
      <c r="V11" s="106">
        <f t="shared" si="1"/>
        <v>0.85</v>
      </c>
    </row>
    <row r="12" spans="1:22" x14ac:dyDescent="0.25">
      <c r="A12" t="s">
        <v>1223</v>
      </c>
      <c r="B12" s="9">
        <v>743</v>
      </c>
      <c r="C12" s="11">
        <v>268</v>
      </c>
      <c r="D12" s="49">
        <v>45375</v>
      </c>
      <c r="E12" s="11">
        <v>669</v>
      </c>
      <c r="F12" s="11">
        <v>619</v>
      </c>
      <c r="G12" s="11">
        <v>34665</v>
      </c>
      <c r="H12" s="9">
        <v>509</v>
      </c>
      <c r="I12" s="11">
        <v>151</v>
      </c>
      <c r="J12" s="49">
        <v>26822</v>
      </c>
      <c r="K12" s="16">
        <f>SUM(B12,E12,H12)</f>
        <v>1921</v>
      </c>
      <c r="L12" s="11">
        <f>SUM(C12,F12,I12)</f>
        <v>1038</v>
      </c>
      <c r="M12" s="11">
        <f>SUM(D12,G12,J12)</f>
        <v>106862</v>
      </c>
      <c r="N12" s="1474">
        <f t="shared" si="3"/>
        <v>1.0178331090174966</v>
      </c>
      <c r="O12" s="178">
        <f t="shared" si="4"/>
        <v>80.211570247933878</v>
      </c>
      <c r="P12" s="1503">
        <f t="shared" si="5"/>
        <v>0.86360239162929742</v>
      </c>
      <c r="Q12" s="206">
        <f t="shared" si="6"/>
        <v>133.76027693639116</v>
      </c>
      <c r="R12" s="1474">
        <f t="shared" si="7"/>
        <v>0.8782580222658809</v>
      </c>
      <c r="S12" s="178">
        <f t="shared" si="8"/>
        <v>88.583998210424284</v>
      </c>
      <c r="T12" s="1474">
        <f t="shared" si="9"/>
        <v>0.92713864306784655</v>
      </c>
      <c r="U12" s="178">
        <f t="shared" si="10"/>
        <v>99.683704216653254</v>
      </c>
      <c r="V12" s="106">
        <f t="shared" si="1"/>
        <v>0.85</v>
      </c>
    </row>
    <row r="13" spans="1:22" x14ac:dyDescent="0.25">
      <c r="A13" t="s">
        <v>1229</v>
      </c>
      <c r="B13" s="9">
        <v>805</v>
      </c>
      <c r="C13" s="11">
        <v>316</v>
      </c>
      <c r="D13" s="49">
        <v>48886</v>
      </c>
      <c r="E13" s="11">
        <v>768</v>
      </c>
      <c r="F13" s="11">
        <v>640</v>
      </c>
      <c r="G13" s="11">
        <v>34509</v>
      </c>
      <c r="H13" s="9">
        <v>365</v>
      </c>
      <c r="I13" s="11">
        <v>173</v>
      </c>
      <c r="J13" s="49">
        <v>24553</v>
      </c>
      <c r="K13" s="16">
        <f>SUM(B13,E13,H13)</f>
        <v>1938</v>
      </c>
      <c r="L13" s="11">
        <f>SUM(C13,F13,I13)</f>
        <v>1129</v>
      </c>
      <c r="M13" s="11">
        <f>SUM(D13,G13,J13)</f>
        <v>107948</v>
      </c>
      <c r="N13" s="1474">
        <f t="shared" si="3"/>
        <v>1.0121325051759835</v>
      </c>
      <c r="O13" s="178">
        <f t="shared" si="4"/>
        <v>82.551241664280155</v>
      </c>
      <c r="P13" s="1474">
        <f t="shared" si="5"/>
        <v>0.74889322916666667</v>
      </c>
      <c r="Q13" s="178">
        <f t="shared" si="6"/>
        <v>146.88342171607408</v>
      </c>
      <c r="R13" s="1474">
        <f t="shared" si="7"/>
        <v>1.1211415525114155</v>
      </c>
      <c r="S13" s="178">
        <f t="shared" si="8"/>
        <v>78.882417627173865</v>
      </c>
      <c r="T13" s="1474">
        <f t="shared" si="9"/>
        <v>0.92834537323701416</v>
      </c>
      <c r="U13" s="178">
        <f t="shared" si="10"/>
        <v>102.28258050172305</v>
      </c>
      <c r="V13" s="106">
        <f>V12</f>
        <v>0.85</v>
      </c>
    </row>
  </sheetData>
  <mergeCells count="8">
    <mergeCell ref="P2:Q2"/>
    <mergeCell ref="R2:S2"/>
    <mergeCell ref="T2:U2"/>
    <mergeCell ref="B2:D2"/>
    <mergeCell ref="E2:G2"/>
    <mergeCell ref="H2:J2"/>
    <mergeCell ref="K2:M2"/>
    <mergeCell ref="N2:O2"/>
  </mergeCells>
  <conditionalFormatting sqref="R4:R13">
    <cfRule type="cellIs" dxfId="378" priority="17" operator="equal">
      <formula>$V$4</formula>
    </cfRule>
    <cfRule type="cellIs" dxfId="377" priority="18" operator="greaterThan">
      <formula>$V$4</formula>
    </cfRule>
    <cfRule type="cellIs" dxfId="376" priority="19" operator="between">
      <formula>$V$4-0.05</formula>
      <formula>$V$4</formula>
    </cfRule>
    <cfRule type="cellIs" dxfId="375" priority="20" operator="lessThan">
      <formula>$V$4-0.05</formula>
    </cfRule>
  </conditionalFormatting>
  <conditionalFormatting sqref="P4:P13">
    <cfRule type="cellIs" dxfId="374" priority="9" operator="equal">
      <formula>$V$4</formula>
    </cfRule>
    <cfRule type="cellIs" dxfId="373" priority="10" operator="greaterThan">
      <formula>$V$4</formula>
    </cfRule>
    <cfRule type="cellIs" dxfId="372" priority="11" operator="between">
      <formula>$V$4-0.05</formula>
      <formula>$V$4</formula>
    </cfRule>
    <cfRule type="cellIs" dxfId="371" priority="12" operator="lessThan">
      <formula>$V$4-0.05</formula>
    </cfRule>
  </conditionalFormatting>
  <conditionalFormatting sqref="N4:N13">
    <cfRule type="cellIs" dxfId="370" priority="5" operator="equal">
      <formula>$V$4</formula>
    </cfRule>
    <cfRule type="cellIs" dxfId="369" priority="6" operator="greaterThan">
      <formula>$V$4</formula>
    </cfRule>
    <cfRule type="cellIs" dxfId="368" priority="7" operator="between">
      <formula>$V$4-0.05</formula>
      <formula>$V$4</formula>
    </cfRule>
    <cfRule type="cellIs" dxfId="367" priority="8" operator="lessThan">
      <formula>$V$4-0.05</formula>
    </cfRule>
  </conditionalFormatting>
  <conditionalFormatting sqref="T4:T13">
    <cfRule type="cellIs" dxfId="366" priority="1" operator="equal">
      <formula>$V$4</formula>
    </cfRule>
    <cfRule type="cellIs" dxfId="365" priority="2" operator="greaterThan">
      <formula>$V$4</formula>
    </cfRule>
    <cfRule type="cellIs" dxfId="364" priority="3" operator="between">
      <formula>$V$4-0.05</formula>
      <formula>$V$4</formula>
    </cfRule>
    <cfRule type="cellIs" dxfId="363" priority="4" operator="lessThan">
      <formula>$V$4-0.05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B36AF-1E73-4C3A-8C8E-B4F595E9C95B}">
  <sheetPr>
    <tabColor rgb="FF00B0F0"/>
  </sheetPr>
  <dimension ref="A1:BD230"/>
  <sheetViews>
    <sheetView workbookViewId="0"/>
  </sheetViews>
  <sheetFormatPr defaultRowHeight="15" outlineLevelRow="1" x14ac:dyDescent="0.25"/>
  <cols>
    <col min="1" max="1" width="33.85546875" bestFit="1" customWidth="1"/>
    <col min="6" max="7" width="12" bestFit="1" customWidth="1"/>
    <col min="8" max="8" width="10" bestFit="1" customWidth="1"/>
    <col min="9" max="16" width="11.5703125" bestFit="1" customWidth="1"/>
    <col min="17" max="18" width="12.5703125" bestFit="1" customWidth="1"/>
    <col min="19" max="19" width="11.5703125" bestFit="1" customWidth="1"/>
    <col min="20" max="24" width="12.5703125" bestFit="1" customWidth="1"/>
    <col min="25" max="28" width="11.5703125" bestFit="1" customWidth="1"/>
    <col min="29" max="32" width="12.5703125" bestFit="1" customWidth="1"/>
    <col min="33" max="44" width="11.5703125" bestFit="1" customWidth="1"/>
    <col min="45" max="48" width="12.5703125" bestFit="1" customWidth="1"/>
    <col min="49" max="56" width="11.5703125" bestFit="1" customWidth="1"/>
  </cols>
  <sheetData>
    <row r="1" spans="1:56" ht="15.75" thickBot="1" x14ac:dyDescent="0.3">
      <c r="B1" s="43" t="s">
        <v>240</v>
      </c>
      <c r="C1" s="43" t="s">
        <v>480</v>
      </c>
      <c r="D1" s="43" t="s">
        <v>358</v>
      </c>
      <c r="E1" s="43" t="s">
        <v>456</v>
      </c>
      <c r="F1" s="43" t="s">
        <v>397</v>
      </c>
      <c r="I1" s="1557" t="s">
        <v>481</v>
      </c>
      <c r="J1" s="1557"/>
      <c r="K1" s="1557"/>
      <c r="L1" s="1557"/>
      <c r="M1" s="1557" t="s">
        <v>482</v>
      </c>
      <c r="N1" s="1557"/>
      <c r="O1" s="1557"/>
      <c r="P1" s="1557"/>
      <c r="Q1" s="1557" t="s">
        <v>483</v>
      </c>
      <c r="R1" s="1557"/>
      <c r="S1" s="1557"/>
      <c r="T1" s="1557"/>
      <c r="U1" s="1557" t="s">
        <v>484</v>
      </c>
      <c r="V1" s="1557"/>
      <c r="W1" s="1557"/>
      <c r="X1" s="1557"/>
      <c r="Y1" s="1557" t="s">
        <v>485</v>
      </c>
      <c r="Z1" s="1557"/>
      <c r="AA1" s="1557"/>
      <c r="AB1" s="1557"/>
      <c r="AC1" s="1557" t="s">
        <v>486</v>
      </c>
      <c r="AD1" s="1557"/>
      <c r="AE1" s="1557"/>
      <c r="AF1" s="1557"/>
      <c r="AG1" s="1557" t="s">
        <v>487</v>
      </c>
      <c r="AH1" s="1557"/>
      <c r="AI1" s="1557"/>
      <c r="AJ1" s="1557"/>
      <c r="AK1" s="1557" t="s">
        <v>488</v>
      </c>
      <c r="AL1" s="1557"/>
      <c r="AM1" s="1557"/>
      <c r="AN1" s="1557"/>
      <c r="AO1" s="1557" t="s">
        <v>489</v>
      </c>
      <c r="AP1" s="1557"/>
      <c r="AQ1" s="1557"/>
      <c r="AR1" s="1557"/>
      <c r="AS1" s="1557" t="s">
        <v>490</v>
      </c>
      <c r="AT1" s="1557"/>
      <c r="AU1" s="1557"/>
      <c r="AV1" s="1557"/>
      <c r="AW1" s="1557" t="s">
        <v>491</v>
      </c>
      <c r="AX1" s="1557"/>
      <c r="AY1" s="1557"/>
      <c r="AZ1" s="1557"/>
      <c r="BA1" s="1557" t="s">
        <v>492</v>
      </c>
      <c r="BB1" s="1557"/>
      <c r="BC1" s="1557"/>
      <c r="BD1" s="1557"/>
    </row>
    <row r="2" spans="1:56" ht="15.75" thickBot="1" x14ac:dyDescent="0.3">
      <c r="A2" t="s">
        <v>493</v>
      </c>
      <c r="B2" s="198">
        <v>0.25</v>
      </c>
      <c r="C2" s="199">
        <v>0.25</v>
      </c>
      <c r="D2" s="200">
        <v>0.125</v>
      </c>
      <c r="E2" s="43">
        <v>0.125</v>
      </c>
      <c r="F2" s="43">
        <f>SUM(B2:E2)</f>
        <v>0.75</v>
      </c>
      <c r="H2" t="s">
        <v>22</v>
      </c>
      <c r="I2" s="43" t="s">
        <v>240</v>
      </c>
      <c r="J2" s="43" t="s">
        <v>480</v>
      </c>
      <c r="K2" s="43" t="s">
        <v>494</v>
      </c>
      <c r="L2" s="43" t="s">
        <v>397</v>
      </c>
      <c r="M2" s="43" t="s">
        <v>240</v>
      </c>
      <c r="N2" s="43" t="s">
        <v>480</v>
      </c>
      <c r="O2" s="43" t="s">
        <v>494</v>
      </c>
      <c r="P2" s="43" t="s">
        <v>397</v>
      </c>
      <c r="Q2" s="43" t="s">
        <v>240</v>
      </c>
      <c r="R2" s="43" t="s">
        <v>480</v>
      </c>
      <c r="S2" s="43" t="s">
        <v>494</v>
      </c>
      <c r="T2" s="43" t="s">
        <v>397</v>
      </c>
      <c r="U2" s="43" t="s">
        <v>240</v>
      </c>
      <c r="V2" s="43" t="s">
        <v>480</v>
      </c>
      <c r="W2" s="43" t="s">
        <v>494</v>
      </c>
      <c r="X2" s="43" t="s">
        <v>397</v>
      </c>
      <c r="Y2" s="43" t="s">
        <v>240</v>
      </c>
      <c r="Z2" s="43" t="s">
        <v>480</v>
      </c>
      <c r="AA2" s="43" t="s">
        <v>494</v>
      </c>
      <c r="AB2" s="43" t="s">
        <v>397</v>
      </c>
      <c r="AC2" s="43" t="s">
        <v>240</v>
      </c>
      <c r="AD2" s="43" t="s">
        <v>480</v>
      </c>
      <c r="AE2" s="43" t="s">
        <v>494</v>
      </c>
      <c r="AF2" s="43" t="s">
        <v>397</v>
      </c>
      <c r="AG2" s="43" t="s">
        <v>240</v>
      </c>
      <c r="AH2" s="43" t="s">
        <v>480</v>
      </c>
      <c r="AI2" s="43" t="s">
        <v>494</v>
      </c>
      <c r="AJ2" s="43" t="s">
        <v>397</v>
      </c>
      <c r="AK2" s="43" t="s">
        <v>240</v>
      </c>
      <c r="AL2" s="43" t="s">
        <v>480</v>
      </c>
      <c r="AM2" s="43" t="s">
        <v>494</v>
      </c>
      <c r="AN2" s="43" t="s">
        <v>397</v>
      </c>
      <c r="AO2" s="43" t="s">
        <v>240</v>
      </c>
      <c r="AP2" s="43" t="s">
        <v>480</v>
      </c>
      <c r="AQ2" s="43" t="s">
        <v>494</v>
      </c>
      <c r="AR2" s="43" t="s">
        <v>397</v>
      </c>
      <c r="AS2" s="43" t="s">
        <v>240</v>
      </c>
      <c r="AT2" s="43" t="s">
        <v>480</v>
      </c>
      <c r="AU2" s="43" t="s">
        <v>494</v>
      </c>
      <c r="AV2" s="43" t="s">
        <v>397</v>
      </c>
      <c r="AW2" s="43" t="s">
        <v>240</v>
      </c>
      <c r="AX2" s="43" t="s">
        <v>480</v>
      </c>
      <c r="AY2" s="43" t="s">
        <v>494</v>
      </c>
      <c r="AZ2" s="43" t="s">
        <v>397</v>
      </c>
      <c r="BA2" s="43" t="s">
        <v>240</v>
      </c>
      <c r="BB2" s="43" t="s">
        <v>480</v>
      </c>
      <c r="BC2" s="43" t="s">
        <v>494</v>
      </c>
      <c r="BD2" s="43" t="s">
        <v>397</v>
      </c>
    </row>
    <row r="3" spans="1:56" x14ac:dyDescent="0.25">
      <c r="B3" s="43"/>
      <c r="C3" s="43"/>
      <c r="D3" s="43"/>
      <c r="E3" s="43"/>
      <c r="F3" s="43"/>
      <c r="H3" s="10">
        <v>43654</v>
      </c>
      <c r="I3" s="37">
        <v>4.4000000000000004</v>
      </c>
      <c r="J3" s="37">
        <v>7</v>
      </c>
      <c r="K3" s="37">
        <v>8</v>
      </c>
      <c r="L3" s="37">
        <v>6.166666666666667</v>
      </c>
      <c r="M3" s="37">
        <v>6.2</v>
      </c>
      <c r="N3" s="37">
        <v>8</v>
      </c>
      <c r="O3" s="37">
        <v>8</v>
      </c>
      <c r="P3" s="37">
        <v>7.25</v>
      </c>
      <c r="Q3" s="37">
        <v>16.923076923076923</v>
      </c>
      <c r="R3" s="37">
        <v>20</v>
      </c>
      <c r="S3" s="37">
        <v>0</v>
      </c>
      <c r="T3" s="37">
        <v>24.666666666666668</v>
      </c>
      <c r="U3" s="37">
        <v>22</v>
      </c>
      <c r="V3" s="37">
        <v>28</v>
      </c>
      <c r="W3" s="37">
        <v>24</v>
      </c>
      <c r="X3" s="37">
        <v>24.666666666666668</v>
      </c>
      <c r="Y3" s="37">
        <v>5</v>
      </c>
      <c r="Z3" s="37">
        <v>4</v>
      </c>
      <c r="AA3" s="37">
        <v>3</v>
      </c>
      <c r="AB3" s="37">
        <v>4</v>
      </c>
      <c r="AC3" s="37">
        <v>40.299999999999997</v>
      </c>
      <c r="AD3" s="37">
        <v>41.4</v>
      </c>
      <c r="AE3" s="37">
        <v>31.299999999999997</v>
      </c>
      <c r="AF3" s="37">
        <v>37.666666666666664</v>
      </c>
      <c r="AG3" s="37">
        <v>1.3496932515337423</v>
      </c>
      <c r="AH3" s="37">
        <v>2.6923076923076921</v>
      </c>
      <c r="AI3" s="37">
        <v>5.5813953488372094</v>
      </c>
      <c r="AJ3" s="37">
        <v>2.3870967741935485</v>
      </c>
      <c r="AK3" s="37">
        <v>7.333333333333333</v>
      </c>
      <c r="AL3" s="37">
        <v>7</v>
      </c>
      <c r="AM3" s="37">
        <v>6</v>
      </c>
      <c r="AN3" s="37">
        <v>6.7272727272727275</v>
      </c>
      <c r="AO3" s="37">
        <v>1.1398963730569949</v>
      </c>
      <c r="AP3" s="37">
        <v>1.9444444444444444</v>
      </c>
      <c r="AQ3" s="37">
        <v>2.8915662650602405</v>
      </c>
      <c r="AR3" s="37">
        <v>1.7619047619047619</v>
      </c>
      <c r="AS3" s="37">
        <v>16.923076923076923</v>
      </c>
      <c r="AT3" s="37">
        <v>20</v>
      </c>
      <c r="AU3" s="37">
        <v>18.46153846153846</v>
      </c>
      <c r="AV3" s="37">
        <v>18.5</v>
      </c>
      <c r="AW3" s="37">
        <v>3.6166365280289337</v>
      </c>
      <c r="AX3" s="37">
        <v>6.6921606118546846</v>
      </c>
      <c r="AY3" s="37">
        <v>8.0455916862219272</v>
      </c>
      <c r="AZ3" s="37">
        <v>5.584905660377359</v>
      </c>
      <c r="BA3" s="37">
        <v>0.81684179259644307</v>
      </c>
      <c r="BB3" s="37">
        <v>1.3838094296728278</v>
      </c>
      <c r="BC3" s="37">
        <v>1.8701784461934077</v>
      </c>
      <c r="BD3" s="37">
        <v>1.2333333333333334</v>
      </c>
    </row>
    <row r="4" spans="1:56" ht="15.75" thickBot="1" x14ac:dyDescent="0.3">
      <c r="A4" t="s">
        <v>495</v>
      </c>
      <c r="B4" s="43">
        <v>1</v>
      </c>
      <c r="C4" s="43">
        <v>1</v>
      </c>
      <c r="D4" s="43">
        <v>0.75</v>
      </c>
      <c r="E4" s="43">
        <v>0.25</v>
      </c>
      <c r="F4" s="43">
        <f t="shared" ref="F4:F9" si="0">SUM(B4:E4)</f>
        <v>3</v>
      </c>
      <c r="H4" s="10">
        <v>43682</v>
      </c>
      <c r="I4" s="37">
        <v>4.5999999999999996</v>
      </c>
      <c r="J4" s="37">
        <v>6</v>
      </c>
      <c r="K4" s="37">
        <v>7.666666666666667</v>
      </c>
      <c r="L4" s="37">
        <v>5.833333333333333</v>
      </c>
      <c r="M4" s="37">
        <v>6.4</v>
      </c>
      <c r="N4" s="37">
        <v>7</v>
      </c>
      <c r="O4" s="37">
        <v>7.666666666666667</v>
      </c>
      <c r="P4" s="37">
        <v>6.916666666666667</v>
      </c>
      <c r="Q4" s="37">
        <v>17.692307692307693</v>
      </c>
      <c r="R4" s="37">
        <v>17.142857142857142</v>
      </c>
      <c r="S4" s="37">
        <v>0</v>
      </c>
      <c r="T4" s="37">
        <v>23.333333333333332</v>
      </c>
      <c r="U4" s="37">
        <v>23</v>
      </c>
      <c r="V4" s="37">
        <v>24</v>
      </c>
      <c r="W4" s="37">
        <v>23</v>
      </c>
      <c r="X4" s="37">
        <v>23.333333333333332</v>
      </c>
      <c r="Y4" s="37">
        <v>5</v>
      </c>
      <c r="Z4" s="37">
        <v>4</v>
      </c>
      <c r="AA4" s="37">
        <v>3</v>
      </c>
      <c r="AB4" s="37">
        <v>4</v>
      </c>
      <c r="AC4" s="37">
        <v>41.3</v>
      </c>
      <c r="AD4" s="37">
        <v>37.4</v>
      </c>
      <c r="AE4" s="37">
        <v>30.3</v>
      </c>
      <c r="AF4" s="37">
        <v>36.333333333333329</v>
      </c>
      <c r="AG4" s="37">
        <v>1.4110429447852759</v>
      </c>
      <c r="AH4" s="37">
        <v>2.3076923076923075</v>
      </c>
      <c r="AI4" s="37">
        <v>5.3488372093023262</v>
      </c>
      <c r="AJ4" s="37">
        <v>2.2580645161290325</v>
      </c>
      <c r="AK4" s="37">
        <v>7.666666666666667</v>
      </c>
      <c r="AL4" s="37">
        <v>6</v>
      </c>
      <c r="AM4" s="37">
        <v>5.75</v>
      </c>
      <c r="AN4" s="37">
        <v>6.3636363636363633</v>
      </c>
      <c r="AO4" s="37">
        <v>1.1917098445595855</v>
      </c>
      <c r="AP4" s="37">
        <v>1.6666666666666665</v>
      </c>
      <c r="AQ4" s="37">
        <v>2.7710843373493974</v>
      </c>
      <c r="AR4" s="37">
        <v>1.6666666666666667</v>
      </c>
      <c r="AS4" s="37">
        <v>17.692307692307693</v>
      </c>
      <c r="AT4" s="37">
        <v>17.142857142857142</v>
      </c>
      <c r="AU4" s="37">
        <v>17.692307692307693</v>
      </c>
      <c r="AV4" s="37">
        <v>17.5</v>
      </c>
      <c r="AW4" s="37">
        <v>3.7810290974847942</v>
      </c>
      <c r="AX4" s="37">
        <v>5.736137667304015</v>
      </c>
      <c r="AY4" s="37">
        <v>7.7103586992960125</v>
      </c>
      <c r="AZ4" s="37">
        <v>5.2830188679245289</v>
      </c>
      <c r="BA4" s="37">
        <v>0.8539709649871905</v>
      </c>
      <c r="BB4" s="37">
        <v>1.1861223682909952</v>
      </c>
      <c r="BC4" s="37">
        <v>1.7922543442686822</v>
      </c>
      <c r="BD4" s="37">
        <v>1.1666666666666667</v>
      </c>
    </row>
    <row r="5" spans="1:56" ht="15.75" thickBot="1" x14ac:dyDescent="0.3">
      <c r="A5" t="s">
        <v>496</v>
      </c>
      <c r="B5" s="198">
        <v>2</v>
      </c>
      <c r="C5" s="199">
        <v>2</v>
      </c>
      <c r="D5" s="198">
        <v>1.5</v>
      </c>
      <c r="E5" s="200">
        <v>0.5</v>
      </c>
      <c r="F5" s="43">
        <f t="shared" si="0"/>
        <v>6</v>
      </c>
      <c r="H5" s="10">
        <v>43710</v>
      </c>
      <c r="I5" s="37">
        <v>4.4000000000000004</v>
      </c>
      <c r="J5" s="37">
        <v>6</v>
      </c>
      <c r="K5" s="37">
        <v>7.666666666666667</v>
      </c>
      <c r="L5" s="37">
        <v>5.75</v>
      </c>
      <c r="M5" s="37">
        <v>6.2</v>
      </c>
      <c r="N5" s="37">
        <v>7</v>
      </c>
      <c r="O5" s="37">
        <v>7.666666666666667</v>
      </c>
      <c r="P5" s="37">
        <v>6.833333333333333</v>
      </c>
      <c r="Q5" s="37">
        <v>16.923076923076923</v>
      </c>
      <c r="R5" s="37">
        <v>17.142857142857142</v>
      </c>
      <c r="S5" s="37">
        <v>0</v>
      </c>
      <c r="T5" s="37">
        <v>23</v>
      </c>
      <c r="U5" s="37">
        <v>22</v>
      </c>
      <c r="V5" s="37">
        <v>24</v>
      </c>
      <c r="W5" s="37">
        <v>23</v>
      </c>
      <c r="X5" s="37">
        <v>23</v>
      </c>
      <c r="Y5" s="37">
        <v>5</v>
      </c>
      <c r="Z5" s="37">
        <v>4</v>
      </c>
      <c r="AA5" s="37">
        <v>3</v>
      </c>
      <c r="AB5" s="37">
        <v>4</v>
      </c>
      <c r="AC5" s="37">
        <v>40.299999999999997</v>
      </c>
      <c r="AD5" s="37">
        <v>37.4</v>
      </c>
      <c r="AE5" s="37">
        <v>30.3</v>
      </c>
      <c r="AF5" s="37">
        <v>35.999999999999993</v>
      </c>
      <c r="AG5" s="37">
        <v>1.3496932515337423</v>
      </c>
      <c r="AH5" s="37">
        <v>2.3076923076923075</v>
      </c>
      <c r="AI5" s="37">
        <v>5.3488372093023262</v>
      </c>
      <c r="AJ5" s="37">
        <v>2.225806451612903</v>
      </c>
      <c r="AK5" s="37">
        <v>7.333333333333333</v>
      </c>
      <c r="AL5" s="37">
        <v>6</v>
      </c>
      <c r="AM5" s="37">
        <v>5.75</v>
      </c>
      <c r="AN5" s="37">
        <v>6.2727272727272725</v>
      </c>
      <c r="AO5" s="37">
        <v>1.1398963730569949</v>
      </c>
      <c r="AP5" s="37">
        <v>1.6666666666666665</v>
      </c>
      <c r="AQ5" s="37">
        <v>2.7710843373493974</v>
      </c>
      <c r="AR5" s="37">
        <v>1.6428571428571428</v>
      </c>
      <c r="AS5" s="37">
        <v>16.923076923076923</v>
      </c>
      <c r="AT5" s="37">
        <v>17.142857142857142</v>
      </c>
      <c r="AU5" s="37">
        <v>17.692307692307693</v>
      </c>
      <c r="AV5" s="37">
        <v>17.25</v>
      </c>
      <c r="AW5" s="37">
        <v>3.6166365280289337</v>
      </c>
      <c r="AX5" s="37">
        <v>5.736137667304015</v>
      </c>
      <c r="AY5" s="37">
        <v>7.7103586992960125</v>
      </c>
      <c r="AZ5" s="37">
        <v>5.2075471698113214</v>
      </c>
      <c r="BA5" s="37">
        <v>0.81684179259644307</v>
      </c>
      <c r="BB5" s="37">
        <v>1.1861223682909952</v>
      </c>
      <c r="BC5" s="37">
        <v>1.7922543442686822</v>
      </c>
      <c r="BD5" s="37">
        <v>1.1499999999999999</v>
      </c>
    </row>
    <row r="6" spans="1:56" x14ac:dyDescent="0.25">
      <c r="A6" t="s">
        <v>497</v>
      </c>
      <c r="B6" s="43">
        <v>4</v>
      </c>
      <c r="C6" s="43">
        <v>4</v>
      </c>
      <c r="D6" s="43">
        <v>2</v>
      </c>
      <c r="E6" s="43">
        <v>1</v>
      </c>
      <c r="F6" s="43">
        <f t="shared" si="0"/>
        <v>11</v>
      </c>
    </row>
    <row r="7" spans="1:56" ht="15.75" thickBot="1" x14ac:dyDescent="0.3">
      <c r="A7" t="s">
        <v>498</v>
      </c>
      <c r="B7" s="43">
        <v>0</v>
      </c>
      <c r="C7" s="43">
        <v>0</v>
      </c>
      <c r="D7" s="43">
        <v>0</v>
      </c>
      <c r="E7" s="43">
        <v>0</v>
      </c>
      <c r="F7" s="43">
        <f t="shared" si="0"/>
        <v>0</v>
      </c>
    </row>
    <row r="8" spans="1:56" ht="15.75" thickBot="1" x14ac:dyDescent="0.3">
      <c r="A8" t="s">
        <v>499</v>
      </c>
      <c r="B8" s="43">
        <v>0</v>
      </c>
      <c r="C8" s="198">
        <v>1</v>
      </c>
      <c r="D8" s="200">
        <v>0.5</v>
      </c>
      <c r="E8" s="43">
        <v>0.5</v>
      </c>
      <c r="F8" s="43">
        <f t="shared" si="0"/>
        <v>2</v>
      </c>
    </row>
    <row r="9" spans="1:56" ht="15.75" thickBot="1" x14ac:dyDescent="0.3">
      <c r="A9" t="s">
        <v>500</v>
      </c>
      <c r="B9" s="43">
        <v>3</v>
      </c>
      <c r="C9" s="198">
        <v>5</v>
      </c>
      <c r="D9" s="200">
        <v>4</v>
      </c>
      <c r="E9" s="43">
        <v>1</v>
      </c>
      <c r="F9" s="43">
        <f t="shared" si="0"/>
        <v>13</v>
      </c>
    </row>
    <row r="10" spans="1:56" x14ac:dyDescent="0.25">
      <c r="A10" t="s">
        <v>501</v>
      </c>
      <c r="B10" s="43">
        <v>31</v>
      </c>
      <c r="C10" s="43">
        <v>27</v>
      </c>
      <c r="D10" s="6">
        <v>12</v>
      </c>
      <c r="E10" s="43">
        <v>7</v>
      </c>
      <c r="F10" s="43">
        <f>SUM(B10:E10)</f>
        <v>77</v>
      </c>
      <c r="G10" s="1779">
        <f>F10/F11</f>
        <v>0.6875</v>
      </c>
    </row>
    <row r="11" spans="1:56" ht="15.75" thickBot="1" x14ac:dyDescent="0.3">
      <c r="A11" t="s">
        <v>502</v>
      </c>
      <c r="B11" s="43">
        <f>SUM(B4:B10)</f>
        <v>41</v>
      </c>
      <c r="C11" s="43">
        <f>SUM(C4:C10)</f>
        <v>40</v>
      </c>
      <c r="D11" s="43">
        <f>SUM(D4:D10)</f>
        <v>20.75</v>
      </c>
      <c r="E11" s="43">
        <f>SUM(E4:E10)</f>
        <v>10.25</v>
      </c>
      <c r="F11" s="43">
        <f>SUM(B11:E11)</f>
        <v>112</v>
      </c>
      <c r="G11" s="1779"/>
      <c r="J11" s="43"/>
      <c r="K11" s="43"/>
    </row>
    <row r="12" spans="1:56" ht="15.75" thickBot="1" x14ac:dyDescent="0.3">
      <c r="A12" t="s">
        <v>503</v>
      </c>
      <c r="B12" s="198">
        <v>2</v>
      </c>
      <c r="C12" s="199">
        <v>2</v>
      </c>
      <c r="D12" s="200">
        <v>2</v>
      </c>
      <c r="E12" s="43">
        <v>0.1</v>
      </c>
      <c r="F12" s="7">
        <f>SUM(B12:E12)</f>
        <v>6.1</v>
      </c>
      <c r="J12" s="43"/>
      <c r="K12" s="43"/>
    </row>
    <row r="13" spans="1:56" x14ac:dyDescent="0.25">
      <c r="A13" t="s">
        <v>504</v>
      </c>
      <c r="B13" s="34">
        <f>SUM(B14:B28)</f>
        <v>7.0829999999999993</v>
      </c>
      <c r="C13" s="34">
        <f>SUM(C14:C28)</f>
        <v>4.1840000000000002</v>
      </c>
      <c r="D13" s="34">
        <v>2</v>
      </c>
      <c r="E13" s="34">
        <v>1</v>
      </c>
      <c r="F13" s="34">
        <f>SUM(B13:E13)</f>
        <v>14.266999999999999</v>
      </c>
    </row>
    <row r="14" spans="1:56" hidden="1" outlineLevel="1" x14ac:dyDescent="0.25">
      <c r="A14" t="s">
        <v>505</v>
      </c>
      <c r="B14" s="43">
        <v>0.3</v>
      </c>
      <c r="C14" s="43">
        <v>0.4</v>
      </c>
      <c r="D14" s="43">
        <v>0.3</v>
      </c>
      <c r="E14" s="43"/>
      <c r="F14" s="43">
        <f t="shared" ref="F14:F28" si="1">SUM(B14:D14)</f>
        <v>1</v>
      </c>
    </row>
    <row r="15" spans="1:56" hidden="1" outlineLevel="1" x14ac:dyDescent="0.25">
      <c r="A15" t="s">
        <v>506</v>
      </c>
      <c r="B15" s="43">
        <v>8.3000000000000004E-2</v>
      </c>
      <c r="C15" s="43">
        <v>8.4000000000000005E-2</v>
      </c>
      <c r="D15" s="43">
        <v>8.3000000000000004E-2</v>
      </c>
      <c r="E15" s="43"/>
      <c r="F15" s="43">
        <f t="shared" si="1"/>
        <v>0.25</v>
      </c>
    </row>
    <row r="16" spans="1:56" hidden="1" outlineLevel="1" x14ac:dyDescent="0.25">
      <c r="A16" t="s">
        <v>507</v>
      </c>
      <c r="B16" s="43">
        <v>0.3</v>
      </c>
      <c r="C16" s="43">
        <v>0.4</v>
      </c>
      <c r="D16" s="43">
        <v>0.3</v>
      </c>
      <c r="E16" s="43"/>
      <c r="F16" s="43">
        <f t="shared" si="1"/>
        <v>1</v>
      </c>
    </row>
    <row r="17" spans="1:6" hidden="1" outlineLevel="1" x14ac:dyDescent="0.25">
      <c r="A17" t="s">
        <v>508</v>
      </c>
      <c r="B17" s="43">
        <v>1</v>
      </c>
      <c r="C17" s="43" t="s">
        <v>28</v>
      </c>
      <c r="D17" s="43" t="s">
        <v>28</v>
      </c>
      <c r="E17" s="43"/>
      <c r="F17" s="43">
        <f t="shared" si="1"/>
        <v>1</v>
      </c>
    </row>
    <row r="18" spans="1:6" hidden="1" outlineLevel="1" x14ac:dyDescent="0.25">
      <c r="A18" t="s">
        <v>509</v>
      </c>
      <c r="B18" s="43">
        <v>1</v>
      </c>
      <c r="C18" s="43" t="s">
        <v>28</v>
      </c>
      <c r="D18" s="43" t="s">
        <v>28</v>
      </c>
      <c r="E18" s="43"/>
      <c r="F18" s="43">
        <f t="shared" si="1"/>
        <v>1</v>
      </c>
    </row>
    <row r="19" spans="1:6" hidden="1" outlineLevel="1" x14ac:dyDescent="0.25">
      <c r="A19" t="s">
        <v>510</v>
      </c>
      <c r="B19" s="43">
        <v>0.9</v>
      </c>
      <c r="C19" s="43" t="s">
        <v>28</v>
      </c>
      <c r="D19" s="43">
        <v>0.1</v>
      </c>
      <c r="E19" s="43"/>
      <c r="F19" s="43">
        <f t="shared" si="1"/>
        <v>1</v>
      </c>
    </row>
    <row r="20" spans="1:6" hidden="1" outlineLevel="1" x14ac:dyDescent="0.25">
      <c r="A20" t="s">
        <v>511</v>
      </c>
      <c r="B20" s="43">
        <v>0.3</v>
      </c>
      <c r="C20" s="43">
        <v>0.4</v>
      </c>
      <c r="D20" s="43">
        <v>0.3</v>
      </c>
      <c r="E20" s="43"/>
      <c r="F20" s="43">
        <f t="shared" si="1"/>
        <v>1</v>
      </c>
    </row>
    <row r="21" spans="1:6" hidden="1" outlineLevel="1" x14ac:dyDescent="0.25">
      <c r="A21" t="s">
        <v>512</v>
      </c>
      <c r="B21" s="43" t="s">
        <v>28</v>
      </c>
      <c r="C21" s="43">
        <v>0.5</v>
      </c>
      <c r="D21" s="43">
        <v>0.5</v>
      </c>
      <c r="E21" s="43"/>
      <c r="F21" s="43">
        <f t="shared" si="1"/>
        <v>1</v>
      </c>
    </row>
    <row r="22" spans="1:6" hidden="1" outlineLevel="1" x14ac:dyDescent="0.25">
      <c r="A22" t="s">
        <v>513</v>
      </c>
      <c r="B22" s="43" t="s">
        <v>28</v>
      </c>
      <c r="C22" s="43">
        <v>0.8</v>
      </c>
      <c r="D22" s="43">
        <v>0.2</v>
      </c>
      <c r="E22" s="43"/>
      <c r="F22" s="43">
        <f t="shared" si="1"/>
        <v>1</v>
      </c>
    </row>
    <row r="23" spans="1:6" hidden="1" outlineLevel="1" x14ac:dyDescent="0.25">
      <c r="A23" t="s">
        <v>514</v>
      </c>
      <c r="B23" s="43">
        <v>0.3</v>
      </c>
      <c r="C23" s="43">
        <v>0.4</v>
      </c>
      <c r="D23" s="43">
        <v>0.3</v>
      </c>
      <c r="E23" s="43"/>
      <c r="F23" s="43">
        <f t="shared" si="1"/>
        <v>1</v>
      </c>
    </row>
    <row r="24" spans="1:6" hidden="1" outlineLevel="1" x14ac:dyDescent="0.25">
      <c r="A24" t="s">
        <v>515</v>
      </c>
      <c r="B24" s="43">
        <v>0.3</v>
      </c>
      <c r="C24" s="43">
        <v>0.4</v>
      </c>
      <c r="D24" s="43">
        <v>0.3</v>
      </c>
      <c r="E24" s="43"/>
      <c r="F24" s="43">
        <f t="shared" si="1"/>
        <v>1</v>
      </c>
    </row>
    <row r="25" spans="1:6" hidden="1" outlineLevel="1" x14ac:dyDescent="0.25">
      <c r="A25" t="s">
        <v>516</v>
      </c>
      <c r="B25" s="43">
        <v>1</v>
      </c>
      <c r="C25" s="43" t="s">
        <v>28</v>
      </c>
      <c r="D25" s="43" t="s">
        <v>28</v>
      </c>
      <c r="E25" s="43"/>
      <c r="F25" s="43">
        <f t="shared" si="1"/>
        <v>1</v>
      </c>
    </row>
    <row r="26" spans="1:6" hidden="1" outlineLevel="1" x14ac:dyDescent="0.25">
      <c r="A26" t="s">
        <v>517</v>
      </c>
      <c r="B26" s="43">
        <v>1</v>
      </c>
      <c r="C26" s="43" t="s">
        <v>28</v>
      </c>
      <c r="D26" s="43" t="s">
        <v>28</v>
      </c>
      <c r="E26" s="43"/>
      <c r="F26" s="43">
        <f t="shared" si="1"/>
        <v>1</v>
      </c>
    </row>
    <row r="27" spans="1:6" hidden="1" outlineLevel="1" x14ac:dyDescent="0.25">
      <c r="A27" t="s">
        <v>518</v>
      </c>
      <c r="B27" s="43">
        <v>0.3</v>
      </c>
      <c r="C27" s="43">
        <v>0.4</v>
      </c>
      <c r="D27" s="43">
        <v>0.3</v>
      </c>
      <c r="E27" s="43"/>
      <c r="F27" s="43">
        <f t="shared" si="1"/>
        <v>1</v>
      </c>
    </row>
    <row r="28" spans="1:6" hidden="1" outlineLevel="1" x14ac:dyDescent="0.25">
      <c r="A28" t="s">
        <v>519</v>
      </c>
      <c r="B28" s="43">
        <v>0.3</v>
      </c>
      <c r="C28" s="43">
        <v>0.4</v>
      </c>
      <c r="D28" s="43">
        <v>0.3</v>
      </c>
      <c r="E28" s="43"/>
      <c r="F28" s="43">
        <f t="shared" si="1"/>
        <v>1</v>
      </c>
    </row>
    <row r="29" spans="1:6" collapsed="1" x14ac:dyDescent="0.25">
      <c r="A29" s="35" t="s">
        <v>520</v>
      </c>
      <c r="B29" s="36">
        <f>SUM(B2:B13)-B11</f>
        <v>50.332999999999998</v>
      </c>
      <c r="C29" s="36">
        <f>SUM(C2:C13)-C11</f>
        <v>46.433999999999997</v>
      </c>
      <c r="D29" s="36">
        <f>SUM(D2:D13)-D11</f>
        <v>24.875</v>
      </c>
      <c r="E29" s="36">
        <f>SUM(E2:E13)-E11</f>
        <v>11.475000000000001</v>
      </c>
      <c r="F29" s="36">
        <f>SUM(F2:F13)-F11</f>
        <v>133.11699999999999</v>
      </c>
    </row>
    <row r="30" spans="1:6" x14ac:dyDescent="0.25">
      <c r="B30" s="43"/>
      <c r="C30" s="43"/>
      <c r="D30" s="43"/>
      <c r="E30" s="43"/>
      <c r="F30" s="43"/>
    </row>
    <row r="31" spans="1:6" x14ac:dyDescent="0.25">
      <c r="A31" t="s">
        <v>521</v>
      </c>
      <c r="B31" s="69">
        <v>0.99</v>
      </c>
      <c r="C31" s="69">
        <v>0.96</v>
      </c>
      <c r="D31" s="69">
        <v>1.1200000000000001</v>
      </c>
      <c r="E31" s="69">
        <v>0.96</v>
      </c>
      <c r="F31" s="43"/>
    </row>
    <row r="32" spans="1:6" x14ac:dyDescent="0.25">
      <c r="B32" s="43">
        <v>301</v>
      </c>
      <c r="C32" s="43"/>
      <c r="D32" s="43"/>
      <c r="E32" s="43"/>
      <c r="F32" s="43"/>
    </row>
    <row r="33" spans="1:8" x14ac:dyDescent="0.25">
      <c r="A33" t="s">
        <v>522</v>
      </c>
      <c r="B33" s="66">
        <v>554</v>
      </c>
      <c r="C33" s="66">
        <v>631</v>
      </c>
      <c r="D33" s="66">
        <v>209</v>
      </c>
      <c r="E33" s="66">
        <v>172</v>
      </c>
      <c r="F33" s="43">
        <f>SUM(B33:E33)</f>
        <v>1566</v>
      </c>
      <c r="H33" t="s">
        <v>523</v>
      </c>
    </row>
    <row r="34" spans="1:8" x14ac:dyDescent="0.25">
      <c r="B34" s="66"/>
      <c r="C34" s="66"/>
      <c r="D34" s="43"/>
      <c r="E34" s="43"/>
      <c r="F34" s="43"/>
      <c r="H34" t="s">
        <v>524</v>
      </c>
    </row>
    <row r="35" spans="1:8" x14ac:dyDescent="0.25">
      <c r="A35" t="s">
        <v>525</v>
      </c>
      <c r="B35" s="43">
        <f>$B$37*$B$38*B10</f>
        <v>1162.5</v>
      </c>
      <c r="C35" s="43">
        <f>$B$37*$B$38*C10</f>
        <v>1012.5</v>
      </c>
      <c r="D35" s="43">
        <f>$B$37*$B$38*D10</f>
        <v>450</v>
      </c>
      <c r="E35" s="43">
        <f>$B$37*$B$38*E10</f>
        <v>262.5</v>
      </c>
      <c r="F35" s="43">
        <f>$B$37*$B$38*F10</f>
        <v>2887.5</v>
      </c>
      <c r="G35" s="43">
        <f>F33/F35</f>
        <v>0.54233766233766234</v>
      </c>
    </row>
    <row r="36" spans="1:8" x14ac:dyDescent="0.25">
      <c r="A36" t="s">
        <v>526</v>
      </c>
      <c r="B36" s="7">
        <f>$B$37*$B$38*B29</f>
        <v>1887.4875</v>
      </c>
      <c r="C36" s="7">
        <f>$B$37*$B$38*C29</f>
        <v>1741.2749999999999</v>
      </c>
      <c r="D36" s="7">
        <f>$B$37*$B$38*D29</f>
        <v>932.8125</v>
      </c>
      <c r="E36" s="7">
        <f>$B$37*$B$38*E29</f>
        <v>430.31250000000006</v>
      </c>
      <c r="F36" s="7">
        <f>$B$37*$B$38*F29</f>
        <v>4991.8874999999998</v>
      </c>
      <c r="G36" s="7">
        <f>60*F39</f>
        <v>11475.603448275862</v>
      </c>
    </row>
    <row r="37" spans="1:8" x14ac:dyDescent="0.25">
      <c r="A37" t="s">
        <v>527</v>
      </c>
      <c r="B37" s="1666">
        <v>5</v>
      </c>
      <c r="C37" s="1666"/>
      <c r="D37" s="1666"/>
      <c r="E37" s="1666"/>
      <c r="F37" s="1666"/>
    </row>
    <row r="38" spans="1:8" x14ac:dyDescent="0.25">
      <c r="A38" t="s">
        <v>528</v>
      </c>
      <c r="B38" s="1557">
        <v>7.5</v>
      </c>
      <c r="C38" s="1557"/>
      <c r="D38" s="1557"/>
      <c r="E38" s="1557"/>
      <c r="F38" s="1557"/>
    </row>
    <row r="39" spans="1:8" x14ac:dyDescent="0.25">
      <c r="B39" s="7">
        <f>60*(B36/B33)</f>
        <v>204.42102888086643</v>
      </c>
      <c r="C39" s="7">
        <f>60*(C36/C33)</f>
        <v>165.5729001584786</v>
      </c>
      <c r="D39" s="7">
        <f>60*(D36/D33)</f>
        <v>267.79306220095691</v>
      </c>
      <c r="E39" s="7">
        <f>60*(E36/E33)</f>
        <v>150.10901162790699</v>
      </c>
      <c r="F39" s="7">
        <f>60*(F36/F33)</f>
        <v>191.26005747126436</v>
      </c>
    </row>
    <row r="40" spans="1:8" x14ac:dyDescent="0.25">
      <c r="B40" s="43"/>
      <c r="C40" s="43"/>
      <c r="D40" s="43"/>
      <c r="E40" s="43"/>
      <c r="F40" s="43"/>
    </row>
    <row r="41" spans="1:8" x14ac:dyDescent="0.25">
      <c r="B41" s="43"/>
      <c r="C41" s="43"/>
      <c r="D41" s="43"/>
      <c r="E41" s="43"/>
    </row>
    <row r="42" spans="1:8" x14ac:dyDescent="0.25">
      <c r="A42" s="43" t="s">
        <v>529</v>
      </c>
      <c r="B42" s="43" t="s">
        <v>240</v>
      </c>
      <c r="C42" s="43" t="s">
        <v>480</v>
      </c>
      <c r="D42" s="43" t="s">
        <v>358</v>
      </c>
      <c r="E42" s="43" t="s">
        <v>456</v>
      </c>
      <c r="F42" s="43" t="s">
        <v>397</v>
      </c>
    </row>
    <row r="43" spans="1:8" x14ac:dyDescent="0.25">
      <c r="A43" t="s">
        <v>481</v>
      </c>
      <c r="B43" s="34">
        <f>B10/B6</f>
        <v>7.75</v>
      </c>
      <c r="C43" s="34">
        <f>C10/C6</f>
        <v>6.75</v>
      </c>
      <c r="D43" s="34">
        <f>D10/D6</f>
        <v>6</v>
      </c>
      <c r="E43" s="34">
        <f>E10/E6</f>
        <v>7</v>
      </c>
      <c r="F43" s="34">
        <f>F10/F6</f>
        <v>7</v>
      </c>
    </row>
    <row r="44" spans="1:8" x14ac:dyDescent="0.25">
      <c r="A44" t="s">
        <v>482</v>
      </c>
      <c r="B44" s="34">
        <f>(B10+B7)/B6</f>
        <v>7.75</v>
      </c>
      <c r="C44" s="34">
        <f>(C10+C7)/C6</f>
        <v>6.75</v>
      </c>
      <c r="D44" s="34">
        <f>(D10+D7)/D6</f>
        <v>6</v>
      </c>
      <c r="E44" s="34">
        <f>(E10+E7)/E6</f>
        <v>7</v>
      </c>
      <c r="F44" s="34">
        <f>(F10+F7)/F6</f>
        <v>7</v>
      </c>
    </row>
    <row r="45" spans="1:8" x14ac:dyDescent="0.25">
      <c r="A45" t="s">
        <v>483</v>
      </c>
      <c r="B45" s="34">
        <f>B10/B5</f>
        <v>15.5</v>
      </c>
      <c r="C45" s="34">
        <f>C10/C5</f>
        <v>13.5</v>
      </c>
      <c r="D45" s="34">
        <v>0</v>
      </c>
      <c r="E45" s="34">
        <v>1</v>
      </c>
      <c r="F45" s="34">
        <f>F10/F5</f>
        <v>12.833333333333334</v>
      </c>
    </row>
    <row r="46" spans="1:8" x14ac:dyDescent="0.25">
      <c r="A46" t="s">
        <v>484</v>
      </c>
      <c r="B46" s="34">
        <f>B10/B4</f>
        <v>31</v>
      </c>
      <c r="C46" s="34">
        <f>C10/C4</f>
        <v>27</v>
      </c>
      <c r="D46" s="34">
        <f>D10/D4</f>
        <v>16</v>
      </c>
      <c r="E46" s="34">
        <f>E10/E4</f>
        <v>28</v>
      </c>
      <c r="F46" s="34">
        <f>F10/F4</f>
        <v>25.666666666666668</v>
      </c>
    </row>
    <row r="47" spans="1:8" x14ac:dyDescent="0.25">
      <c r="A47" t="s">
        <v>485</v>
      </c>
      <c r="B47" s="34">
        <f>B6/B4</f>
        <v>4</v>
      </c>
      <c r="C47" s="34">
        <f>C6/C4</f>
        <v>4</v>
      </c>
      <c r="D47" s="34">
        <f>D6/D4</f>
        <v>2.6666666666666665</v>
      </c>
      <c r="E47" s="34">
        <f>E6/E4</f>
        <v>4</v>
      </c>
      <c r="F47" s="34">
        <f>F6/F4</f>
        <v>3.6666666666666665</v>
      </c>
    </row>
    <row r="48" spans="1:8" x14ac:dyDescent="0.25">
      <c r="A48" t="s">
        <v>486</v>
      </c>
      <c r="B48" s="34">
        <f>(B11-B4)/B4</f>
        <v>40</v>
      </c>
      <c r="C48" s="34">
        <f>(C11-C4)/C4</f>
        <v>39</v>
      </c>
      <c r="D48" s="34">
        <f>(D11-D4)/D4</f>
        <v>26.666666666666668</v>
      </c>
      <c r="E48" s="34">
        <f>(E11-E4)/E4</f>
        <v>40</v>
      </c>
      <c r="F48" s="34">
        <f>(F11-F4)/F4</f>
        <v>36.333333333333336</v>
      </c>
    </row>
    <row r="49" spans="1:23" x14ac:dyDescent="0.25">
      <c r="A49" t="s">
        <v>487</v>
      </c>
      <c r="B49" s="34">
        <f>B10/(B4+B5+B6+B7)</f>
        <v>4.4285714285714288</v>
      </c>
      <c r="C49" s="34">
        <f>C10/(C4+C5+C6+C7)</f>
        <v>3.8571428571428572</v>
      </c>
      <c r="D49" s="34">
        <f>D10/(D4+D5+D6+D7)</f>
        <v>2.8235294117647061</v>
      </c>
      <c r="E49" s="34">
        <f>E10/(E4+E5+E6+E7)</f>
        <v>4</v>
      </c>
      <c r="F49" s="34">
        <f>F10/(F4+F5+F6+F7)</f>
        <v>3.85</v>
      </c>
    </row>
    <row r="50" spans="1:23" x14ac:dyDescent="0.25">
      <c r="A50" t="s">
        <v>488</v>
      </c>
      <c r="B50" s="34">
        <f>B10/(B8+B9)</f>
        <v>10.333333333333334</v>
      </c>
      <c r="C50" s="34">
        <f>C10/(C8+C9)</f>
        <v>4.5</v>
      </c>
      <c r="D50" s="34">
        <f>D10/(D8+D9)</f>
        <v>2.6666666666666665</v>
      </c>
      <c r="E50" s="34">
        <f>E10/(E8+E9)</f>
        <v>4.666666666666667</v>
      </c>
      <c r="F50" s="34">
        <f>F10/(F8+F9)</f>
        <v>5.1333333333333337</v>
      </c>
    </row>
    <row r="51" spans="1:23" x14ac:dyDescent="0.25">
      <c r="A51" t="s">
        <v>489</v>
      </c>
      <c r="B51" s="34">
        <f>B10/(B4+B5+B6+B7+B8+B9)</f>
        <v>3.1</v>
      </c>
      <c r="C51" s="34">
        <f>C10/(C4+C5+C6+C7+C8+C9)</f>
        <v>2.0769230769230771</v>
      </c>
      <c r="D51" s="34">
        <f>D10/(D4+D5+D6+D7+D8+D9)</f>
        <v>1.3714285714285714</v>
      </c>
      <c r="E51" s="34">
        <f>E10/(E4+E5+E6+E7+E8+E9)</f>
        <v>2.1538461538461537</v>
      </c>
      <c r="F51" s="34">
        <f>F10/(F4+F5+F6+F7+F8+F9)</f>
        <v>2.2000000000000002</v>
      </c>
    </row>
    <row r="52" spans="1:23" x14ac:dyDescent="0.25">
      <c r="A52" t="s">
        <v>490</v>
      </c>
      <c r="B52" s="34">
        <f>B10/B12</f>
        <v>15.5</v>
      </c>
      <c r="C52" s="34">
        <f>C10/C12</f>
        <v>13.5</v>
      </c>
      <c r="D52" s="34">
        <f>D10/D12</f>
        <v>6</v>
      </c>
      <c r="E52" s="34">
        <f>E10/E12</f>
        <v>70</v>
      </c>
      <c r="F52" s="34">
        <f>F10/F12</f>
        <v>12.622950819672132</v>
      </c>
    </row>
    <row r="53" spans="1:23" x14ac:dyDescent="0.25">
      <c r="A53" t="s">
        <v>491</v>
      </c>
      <c r="B53" s="34">
        <f>B10/B13</f>
        <v>4.3766765494846824</v>
      </c>
      <c r="C53" s="34">
        <f>C10/C13</f>
        <v>6.4531548757170167</v>
      </c>
      <c r="D53" s="34">
        <f>D10/D13</f>
        <v>6</v>
      </c>
      <c r="E53" s="34">
        <f>E10/E13</f>
        <v>7</v>
      </c>
      <c r="F53" s="34">
        <f>F10/F13</f>
        <v>5.3970701619121053</v>
      </c>
    </row>
    <row r="54" spans="1:23" x14ac:dyDescent="0.25">
      <c r="A54" t="s">
        <v>530</v>
      </c>
      <c r="B54" s="34">
        <f>B10/(B2+B4+B5+B6+B7+B8+B9+B12+B13)</f>
        <v>1.6034759219986552</v>
      </c>
      <c r="C54" s="34">
        <f>C10/(C2+C4+C5+C6+C7+C8+C9+C12+C13)</f>
        <v>1.3893176906452609</v>
      </c>
      <c r="D54" s="34">
        <f>D10/(D2+D4+D5+D6+D7+D8+D9+D12+D13)</f>
        <v>0.93203883495145634</v>
      </c>
      <c r="E54" s="34">
        <f>E10/(E2+E4+E5+E6+E7+E8+E9+E12+E13)</f>
        <v>1.564245810055866</v>
      </c>
      <c r="F54" s="34">
        <f>F10/(F2+F4+F5+F6+F7+F8+F9+F12+F13)</f>
        <v>1.3721332216618849</v>
      </c>
    </row>
    <row r="55" spans="1:23" x14ac:dyDescent="0.25">
      <c r="B55" s="38">
        <f>(B2+B4+B5+B6+B7+B8+B9+B12+B13)/B10</f>
        <v>0.62364516129032255</v>
      </c>
      <c r="C55" s="38">
        <f>(C2+C4+C5+C6+C7+C8+C9+C12+C13)/C10</f>
        <v>0.71977777777777785</v>
      </c>
      <c r="D55" s="38">
        <f>(D2+D4+D5+D6+D7+D8+D9+D12+D13)/D10</f>
        <v>1.0729166666666667</v>
      </c>
      <c r="E55" s="38">
        <f>(E2+E4+E5+E6+E7+E8+E9+E12+E13)/E10</f>
        <v>0.63928571428571423</v>
      </c>
      <c r="F55" s="38">
        <f>(F2+F4+F5+F6+F7+F8+F9+F12+F13)/F10</f>
        <v>0.72879220779220788</v>
      </c>
    </row>
    <row r="56" spans="1:23" x14ac:dyDescent="0.25">
      <c r="A56" t="s">
        <v>531</v>
      </c>
      <c r="B56" s="38">
        <f>B33/B35</f>
        <v>0.47655913978494624</v>
      </c>
      <c r="C56" s="38">
        <f>C33/C35</f>
        <v>0.62320987654320992</v>
      </c>
      <c r="D56" s="38">
        <f>D33/D35</f>
        <v>0.46444444444444444</v>
      </c>
      <c r="E56" s="38">
        <f>E33/E35</f>
        <v>0.65523809523809529</v>
      </c>
      <c r="F56" s="38">
        <f>F33/F35</f>
        <v>0.54233766233766234</v>
      </c>
    </row>
    <row r="57" spans="1:23" x14ac:dyDescent="0.25">
      <c r="A57" t="s">
        <v>532</v>
      </c>
      <c r="B57" s="38">
        <f>B33/B36</f>
        <v>0.29351187756210306</v>
      </c>
      <c r="C57" s="38">
        <f>C33/C36</f>
        <v>0.36237814245308758</v>
      </c>
      <c r="D57" s="38">
        <f>D33/D36</f>
        <v>0.22405360134003349</v>
      </c>
      <c r="E57" s="38">
        <f>E33/E36</f>
        <v>0.3997095134350036</v>
      </c>
      <c r="F57" s="38">
        <f>F33/F36</f>
        <v>0.31370899284088433</v>
      </c>
    </row>
    <row r="58" spans="1:23" x14ac:dyDescent="0.25">
      <c r="A58" t="s">
        <v>533</v>
      </c>
      <c r="B58" s="38">
        <f>B34/B35</f>
        <v>0</v>
      </c>
      <c r="C58" s="38">
        <f>C34/C35</f>
        <v>0</v>
      </c>
      <c r="D58" s="38">
        <f>D34/D35</f>
        <v>0</v>
      </c>
      <c r="E58" s="38">
        <f>E34/E35</f>
        <v>0</v>
      </c>
      <c r="F58" s="38">
        <f>F34/F35</f>
        <v>0</v>
      </c>
    </row>
    <row r="59" spans="1:23" x14ac:dyDescent="0.25">
      <c r="A59" t="s">
        <v>534</v>
      </c>
      <c r="B59" s="38">
        <f>B34/B36</f>
        <v>0</v>
      </c>
      <c r="C59" s="38">
        <f>C34/C36</f>
        <v>0</v>
      </c>
      <c r="D59" s="38">
        <f>D34/D36</f>
        <v>0</v>
      </c>
      <c r="E59" s="38">
        <f>E34/E36</f>
        <v>0</v>
      </c>
      <c r="F59" s="38">
        <f>F34/F36</f>
        <v>0</v>
      </c>
    </row>
    <row r="60" spans="1:23" x14ac:dyDescent="0.25">
      <c r="B60" s="38"/>
      <c r="C60" s="38"/>
      <c r="D60" s="38"/>
      <c r="E60" s="38"/>
      <c r="F60" s="38"/>
    </row>
    <row r="61" spans="1:23" x14ac:dyDescent="0.25">
      <c r="B61" s="38"/>
      <c r="C61" s="38"/>
      <c r="D61" s="38"/>
      <c r="E61" s="38"/>
      <c r="F61" s="38"/>
    </row>
    <row r="62" spans="1:23" x14ac:dyDescent="0.25">
      <c r="A62" t="s">
        <v>535</v>
      </c>
      <c r="B62" s="69">
        <f>AVERAGE(B65:B91)</f>
        <v>0.69300502378280138</v>
      </c>
      <c r="C62" s="69">
        <f>AVERAGE(C65:C91)</f>
        <v>0.73389607136467039</v>
      </c>
      <c r="D62" s="69">
        <f>AVERAGE(D65:D91)</f>
        <v>0.76017534442655199</v>
      </c>
      <c r="E62" s="69">
        <f>AVERAGE(E65:E91)</f>
        <v>0.72642857142857142</v>
      </c>
      <c r="F62" s="69">
        <f>AVERAGE(F65:F91)</f>
        <v>0.72686869992818059</v>
      </c>
      <c r="G62" s="69"/>
      <c r="H62" s="69">
        <f>AVERAGE(H65:H91)</f>
        <v>0.30724395490802114</v>
      </c>
      <c r="I62" s="69">
        <f>AVERAGE(I65:I91)</f>
        <v>0.38299620969278375</v>
      </c>
      <c r="J62" s="69">
        <f>AVERAGE(J65:J91)</f>
        <v>0.49096260195406233</v>
      </c>
      <c r="K62" s="69"/>
      <c r="L62" s="69">
        <f>AVERAGE(L65:L91)</f>
        <v>0.38322158097755027</v>
      </c>
      <c r="P62" s="69"/>
      <c r="Q62" s="69"/>
      <c r="R62" s="69"/>
      <c r="S62" s="69"/>
      <c r="T62" s="69"/>
      <c r="U62" s="69"/>
      <c r="V62" s="69"/>
      <c r="W62" s="69"/>
    </row>
    <row r="63" spans="1:23" x14ac:dyDescent="0.25">
      <c r="B63" s="1557" t="s">
        <v>531</v>
      </c>
      <c r="C63" s="1557"/>
      <c r="D63" s="1557"/>
      <c r="E63" s="1557"/>
      <c r="F63" s="1557"/>
      <c r="G63" s="43"/>
      <c r="H63" t="s">
        <v>532</v>
      </c>
      <c r="P63" s="1557" t="s">
        <v>533</v>
      </c>
      <c r="Q63" s="1557"/>
      <c r="R63" s="1557"/>
      <c r="S63" s="1557"/>
      <c r="T63" s="1557" t="s">
        <v>534</v>
      </c>
      <c r="U63" s="1557"/>
      <c r="V63" s="1557"/>
      <c r="W63" s="1557"/>
    </row>
    <row r="64" spans="1:23" x14ac:dyDescent="0.25">
      <c r="A64" t="s">
        <v>22</v>
      </c>
      <c r="B64" s="43" t="s">
        <v>240</v>
      </c>
      <c r="C64" s="43" t="s">
        <v>480</v>
      </c>
      <c r="D64" s="43" t="s">
        <v>358</v>
      </c>
      <c r="E64" s="43" t="s">
        <v>456</v>
      </c>
      <c r="F64" s="43" t="s">
        <v>397</v>
      </c>
      <c r="G64" s="43" t="s">
        <v>536</v>
      </c>
      <c r="H64" s="43" t="s">
        <v>240</v>
      </c>
      <c r="I64" s="43" t="s">
        <v>480</v>
      </c>
      <c r="J64" s="43" t="s">
        <v>358</v>
      </c>
      <c r="K64" s="43" t="s">
        <v>456</v>
      </c>
      <c r="L64" s="43" t="s">
        <v>397</v>
      </c>
      <c r="M64" s="43" t="s">
        <v>537</v>
      </c>
      <c r="P64" s="43" t="s">
        <v>240</v>
      </c>
      <c r="Q64" s="43" t="s">
        <v>480</v>
      </c>
      <c r="R64" s="43" t="s">
        <v>494</v>
      </c>
      <c r="S64" s="43" t="s">
        <v>397</v>
      </c>
      <c r="T64" s="43" t="s">
        <v>240</v>
      </c>
      <c r="U64" s="43" t="s">
        <v>480</v>
      </c>
      <c r="V64" s="43" t="s">
        <v>494</v>
      </c>
      <c r="W64" s="43" t="s">
        <v>397</v>
      </c>
    </row>
    <row r="65" spans="1:23" x14ac:dyDescent="0.25">
      <c r="A65" t="s">
        <v>538</v>
      </c>
      <c r="B65" s="69">
        <v>0.66</v>
      </c>
      <c r="C65" s="69">
        <v>0.46</v>
      </c>
      <c r="D65" s="69">
        <v>0.56000000000000005</v>
      </c>
      <c r="E65" s="69"/>
      <c r="F65" s="69">
        <v>0.55000000000000004</v>
      </c>
      <c r="G65" s="38">
        <v>0.89</v>
      </c>
      <c r="H65" s="38">
        <v>0.3</v>
      </c>
      <c r="I65" s="38">
        <v>0.27</v>
      </c>
      <c r="J65" s="38">
        <v>0.36</v>
      </c>
      <c r="K65" s="38"/>
      <c r="L65" s="38">
        <v>0.31</v>
      </c>
      <c r="P65" s="38">
        <v>0.68</v>
      </c>
      <c r="Q65" s="38">
        <v>0.48</v>
      </c>
      <c r="R65" s="38">
        <v>0.56999999999999995</v>
      </c>
      <c r="S65" s="38">
        <v>0.56999999999999995</v>
      </c>
      <c r="T65" s="38">
        <v>0.31</v>
      </c>
      <c r="U65" s="38">
        <v>0.28000000000000003</v>
      </c>
      <c r="V65" s="38">
        <v>0.37</v>
      </c>
      <c r="W65" s="38">
        <v>0.31</v>
      </c>
    </row>
    <row r="66" spans="1:23" x14ac:dyDescent="0.25">
      <c r="A66" t="s">
        <v>539</v>
      </c>
      <c r="B66" s="69">
        <v>0.64</v>
      </c>
      <c r="C66" s="69">
        <v>0.43</v>
      </c>
      <c r="D66" s="69">
        <v>0.7</v>
      </c>
      <c r="E66" s="69"/>
      <c r="F66" s="69">
        <v>0.57999999999999996</v>
      </c>
      <c r="G66" s="38">
        <v>0.89</v>
      </c>
      <c r="H66" s="38">
        <v>0.28999999999999998</v>
      </c>
      <c r="I66" s="38">
        <v>0.25</v>
      </c>
      <c r="J66" s="38">
        <v>0.45</v>
      </c>
      <c r="K66" s="38"/>
      <c r="L66" s="38">
        <v>0.32</v>
      </c>
      <c r="P66" s="38">
        <v>0.65</v>
      </c>
      <c r="Q66" s="38">
        <v>0.47</v>
      </c>
      <c r="R66" s="38">
        <v>0.69</v>
      </c>
      <c r="S66" s="38">
        <v>0.6</v>
      </c>
      <c r="T66" s="38">
        <v>0.28999999999999998</v>
      </c>
      <c r="U66" s="38">
        <v>0.27</v>
      </c>
      <c r="V66" s="38">
        <v>0.45</v>
      </c>
      <c r="W66" s="38">
        <v>0.33</v>
      </c>
    </row>
    <row r="67" spans="1:23" x14ac:dyDescent="0.25">
      <c r="A67" t="s">
        <v>540</v>
      </c>
      <c r="B67" s="69">
        <v>0.64</v>
      </c>
      <c r="C67" s="69">
        <v>0.64</v>
      </c>
      <c r="D67" s="69">
        <v>0.64</v>
      </c>
      <c r="E67" s="69"/>
      <c r="F67" s="69">
        <v>0.64</v>
      </c>
      <c r="G67" s="38">
        <v>0.89</v>
      </c>
      <c r="H67" s="38">
        <v>0.28999999999999998</v>
      </c>
      <c r="I67" s="38">
        <v>0.37</v>
      </c>
      <c r="J67" s="38">
        <v>0.42</v>
      </c>
      <c r="K67" s="38"/>
      <c r="L67" s="38">
        <v>0.35</v>
      </c>
      <c r="P67" s="38">
        <v>0.67</v>
      </c>
      <c r="Q67" s="38">
        <v>0.66</v>
      </c>
      <c r="R67" s="38">
        <v>0.63</v>
      </c>
      <c r="S67" s="38">
        <v>0.66</v>
      </c>
      <c r="T67" s="38">
        <v>0.3</v>
      </c>
      <c r="U67" s="38">
        <v>0.38</v>
      </c>
      <c r="V67" s="38">
        <v>0.41</v>
      </c>
      <c r="W67" s="38">
        <v>0.36</v>
      </c>
    </row>
    <row r="68" spans="1:23" x14ac:dyDescent="0.25">
      <c r="A68" t="s">
        <v>541</v>
      </c>
      <c r="B68" s="69">
        <v>0.56000000000000005</v>
      </c>
      <c r="C68" s="69">
        <v>0.62</v>
      </c>
      <c r="D68" s="69">
        <v>0.78</v>
      </c>
      <c r="E68" s="69"/>
      <c r="F68" s="69">
        <v>0.65</v>
      </c>
      <c r="G68" s="38">
        <v>0.89</v>
      </c>
      <c r="H68" s="38">
        <v>0.26</v>
      </c>
      <c r="I68" s="38">
        <v>0.34</v>
      </c>
      <c r="J68" s="38">
        <v>0.5</v>
      </c>
      <c r="K68" s="38"/>
      <c r="L68" s="38">
        <v>0.35</v>
      </c>
      <c r="P68" s="38">
        <v>0.61</v>
      </c>
      <c r="Q68" s="38">
        <v>0.65</v>
      </c>
      <c r="R68" s="38">
        <v>0.78</v>
      </c>
      <c r="S68" s="38">
        <v>0.68</v>
      </c>
      <c r="T68" s="38">
        <v>0.28000000000000003</v>
      </c>
      <c r="U68" s="38">
        <v>0.35</v>
      </c>
      <c r="V68" s="38">
        <v>0.5</v>
      </c>
      <c r="W68" s="38">
        <v>0.37</v>
      </c>
    </row>
    <row r="69" spans="1:23" x14ac:dyDescent="0.25">
      <c r="A69" t="s">
        <v>542</v>
      </c>
      <c r="B69" s="69">
        <v>0.66424242424242419</v>
      </c>
      <c r="C69" s="69">
        <v>0.52666666666666662</v>
      </c>
      <c r="D69" s="69">
        <v>0.72115942028985502</v>
      </c>
      <c r="E69" s="69"/>
      <c r="F69" s="69">
        <v>0.6353623188405797</v>
      </c>
      <c r="G69" s="38">
        <v>0.89</v>
      </c>
      <c r="H69" s="69">
        <v>0.29863963650978553</v>
      </c>
      <c r="I69" s="69">
        <v>0.28575304064746576</v>
      </c>
      <c r="J69" s="69">
        <v>0.46288802686536606</v>
      </c>
      <c r="K69" s="69"/>
      <c r="L69" s="69">
        <v>0.33984496124031005</v>
      </c>
      <c r="P69" s="69">
        <v>0.69818181818181824</v>
      </c>
      <c r="Q69" s="69">
        <v>0.54333333333333333</v>
      </c>
      <c r="R69" s="69">
        <v>0.75826086956521743</v>
      </c>
      <c r="S69" s="69">
        <v>0.66434782608695653</v>
      </c>
      <c r="T69" s="69">
        <v>0.31389859603948261</v>
      </c>
      <c r="U69" s="69">
        <v>0.29479585838947414</v>
      </c>
      <c r="V69" s="69">
        <v>0.48670220188094759</v>
      </c>
      <c r="W69" s="69">
        <v>0.35534883720930233</v>
      </c>
    </row>
    <row r="70" spans="1:23" x14ac:dyDescent="0.25">
      <c r="A70" t="s">
        <v>543</v>
      </c>
      <c r="B70" s="69">
        <v>0.64606060606060611</v>
      </c>
      <c r="C70" s="69">
        <v>0.64444444444444449</v>
      </c>
      <c r="D70" s="69">
        <v>0.73971014492753628</v>
      </c>
      <c r="E70" s="69"/>
      <c r="F70" s="69">
        <v>0.67671497584541063</v>
      </c>
      <c r="G70" s="38">
        <v>0.89</v>
      </c>
      <c r="H70" s="69">
        <v>0.29046519390459069</v>
      </c>
      <c r="I70" s="69">
        <v>0.34965561935765849</v>
      </c>
      <c r="J70" s="69">
        <v>0.4747951143731568</v>
      </c>
      <c r="K70" s="69"/>
      <c r="L70" s="69">
        <v>0.36196382428940571</v>
      </c>
      <c r="P70" s="69">
        <v>0.64969696969696966</v>
      </c>
      <c r="Q70" s="69">
        <v>0.70222222222222219</v>
      </c>
      <c r="R70" s="69">
        <v>0.75710144927536227</v>
      </c>
      <c r="S70" s="69">
        <v>0.70376811594202904</v>
      </c>
      <c r="T70" s="69">
        <v>0.29210008242562963</v>
      </c>
      <c r="U70" s="69">
        <v>0.38100405419662098</v>
      </c>
      <c r="V70" s="69">
        <v>0.48595800891171065</v>
      </c>
      <c r="W70" s="69">
        <v>0.37643410852713177</v>
      </c>
    </row>
    <row r="71" spans="1:23" x14ac:dyDescent="0.25">
      <c r="A71" t="s">
        <v>544</v>
      </c>
      <c r="B71" s="69">
        <v>0.63393939393939391</v>
      </c>
      <c r="C71" s="69">
        <v>0.73333333333333328</v>
      </c>
      <c r="D71" s="69">
        <v>0.80463768115942025</v>
      </c>
      <c r="E71" s="69"/>
      <c r="F71" s="69">
        <v>0.72541062801932366</v>
      </c>
      <c r="G71" s="38">
        <v>0.89</v>
      </c>
      <c r="H71" s="69">
        <v>0.28501556550112744</v>
      </c>
      <c r="I71" s="69">
        <v>0.39788398064836999</v>
      </c>
      <c r="J71" s="69">
        <v>0.51646992065042452</v>
      </c>
      <c r="K71" s="69"/>
      <c r="L71" s="69">
        <v>0.38801033591731265</v>
      </c>
      <c r="P71" s="69">
        <v>0.64848484848484844</v>
      </c>
      <c r="Q71" s="69">
        <v>0.81666666666666665</v>
      </c>
      <c r="R71" s="69">
        <v>0.84637681159420286</v>
      </c>
      <c r="S71" s="69">
        <v>0.77294685990338163</v>
      </c>
      <c r="T71" s="69">
        <v>0.2915551195852833</v>
      </c>
      <c r="U71" s="69">
        <v>0.44309806935841206</v>
      </c>
      <c r="V71" s="69">
        <v>0.54326086754295377</v>
      </c>
      <c r="W71" s="69">
        <v>0.41343669250645992</v>
      </c>
    </row>
    <row r="72" spans="1:23" x14ac:dyDescent="0.25">
      <c r="A72" t="s">
        <v>545</v>
      </c>
      <c r="B72" s="69">
        <v>0.65066666666666662</v>
      </c>
      <c r="C72" s="69">
        <v>0.78088888888888885</v>
      </c>
      <c r="D72" s="69">
        <v>0.85907246376811597</v>
      </c>
      <c r="E72" s="69"/>
      <c r="F72" s="69">
        <v>0.76542995169082129</v>
      </c>
      <c r="G72" s="38">
        <v>0.89</v>
      </c>
      <c r="H72" s="69">
        <v>0.29253605269790667</v>
      </c>
      <c r="I72" s="69">
        <v>0.42368615393890063</v>
      </c>
      <c r="J72" s="69">
        <v>0.55140978055609802</v>
      </c>
      <c r="K72" s="69"/>
      <c r="L72" s="69">
        <v>0.40941602067183464</v>
      </c>
      <c r="P72" s="69">
        <v>0.66848484848484846</v>
      </c>
      <c r="Q72" s="69">
        <v>0.83411111111111114</v>
      </c>
      <c r="R72" s="69">
        <v>0.85750724637681153</v>
      </c>
      <c r="S72" s="69">
        <v>0.7891014492753623</v>
      </c>
      <c r="T72" s="69">
        <v>0.30054700645099769</v>
      </c>
      <c r="U72" s="69">
        <v>0.45256288526171423</v>
      </c>
      <c r="V72" s="69">
        <v>0.55040512004762809</v>
      </c>
      <c r="W72" s="69">
        <v>0.42207751937984495</v>
      </c>
    </row>
    <row r="73" spans="1:23" x14ac:dyDescent="0.25">
      <c r="A73" t="s">
        <v>546</v>
      </c>
      <c r="B73" s="69">
        <v>0.70060606060606057</v>
      </c>
      <c r="C73" s="69">
        <v>0.56766666666666665</v>
      </c>
      <c r="D73" s="69">
        <v>0.75397101449275361</v>
      </c>
      <c r="E73" s="69"/>
      <c r="F73" s="69">
        <v>0.67215458937198069</v>
      </c>
      <c r="G73" s="38">
        <v>0.89</v>
      </c>
      <c r="H73" s="69">
        <v>0.31498852172017527</v>
      </c>
      <c r="I73" s="69">
        <v>0.30799837229280641</v>
      </c>
      <c r="J73" s="69">
        <v>0.48394868789477091</v>
      </c>
      <c r="K73" s="69"/>
      <c r="L73" s="69">
        <v>0.35952454780361759</v>
      </c>
      <c r="P73" s="69">
        <v>0.72363636363636363</v>
      </c>
      <c r="Q73" s="69">
        <v>0.60699999999999998</v>
      </c>
      <c r="R73" s="69">
        <v>0.77797101449275363</v>
      </c>
      <c r="S73" s="69">
        <v>0.7011787439613526</v>
      </c>
      <c r="T73" s="69">
        <v>0.32534281568675538</v>
      </c>
      <c r="U73" s="69">
        <v>0.32933942216394624</v>
      </c>
      <c r="V73" s="69">
        <v>0.49935348235797528</v>
      </c>
      <c r="W73" s="69">
        <v>0.37504909560723515</v>
      </c>
    </row>
    <row r="74" spans="1:23" x14ac:dyDescent="0.25">
      <c r="A74" t="s">
        <v>547</v>
      </c>
      <c r="B74" s="69">
        <v>0.69460317460317456</v>
      </c>
      <c r="C74" s="69">
        <v>0.75809523809523804</v>
      </c>
      <c r="D74" s="69">
        <v>0.72</v>
      </c>
      <c r="E74" s="69"/>
      <c r="F74" s="69">
        <v>0.72410256410256413</v>
      </c>
      <c r="G74" s="38">
        <v>0.89</v>
      </c>
      <c r="H74" s="69">
        <v>0.30431366003936056</v>
      </c>
      <c r="I74" s="69">
        <v>0.38608914973080466</v>
      </c>
      <c r="J74" s="69">
        <v>0.46214383389612912</v>
      </c>
      <c r="K74" s="69"/>
      <c r="L74" s="69">
        <v>0.37653333333333328</v>
      </c>
      <c r="P74" s="69">
        <v>0.68063492063492059</v>
      </c>
      <c r="Q74" s="69">
        <v>0.79746031746031742</v>
      </c>
      <c r="R74" s="69">
        <v>0.7292753623188406</v>
      </c>
      <c r="S74" s="69">
        <v>0.73558974358974361</v>
      </c>
      <c r="T74" s="69">
        <v>0.29819400691242642</v>
      </c>
      <c r="U74" s="69">
        <v>0.40613733003508429</v>
      </c>
      <c r="V74" s="69">
        <v>0.46809737765002452</v>
      </c>
      <c r="W74" s="69">
        <v>0.38250666666666661</v>
      </c>
    </row>
    <row r="75" spans="1:23" x14ac:dyDescent="0.25">
      <c r="A75" t="s">
        <v>548</v>
      </c>
      <c r="B75" s="69">
        <v>0.5955555555555555</v>
      </c>
      <c r="C75" s="69">
        <v>0.84571428571428575</v>
      </c>
      <c r="D75" s="69">
        <v>0.75710144927536227</v>
      </c>
      <c r="E75" s="69"/>
      <c r="F75" s="69">
        <v>0.73353846153846158</v>
      </c>
      <c r="G75" s="38">
        <v>0.89</v>
      </c>
      <c r="H75" s="69">
        <v>0.26091975604837314</v>
      </c>
      <c r="I75" s="69">
        <v>0.43071251879516903</v>
      </c>
      <c r="J75" s="69">
        <v>0.48595800891171065</v>
      </c>
      <c r="K75" s="69"/>
      <c r="L75" s="69">
        <v>0.38143999999999995</v>
      </c>
      <c r="P75" s="69">
        <v>0.58285714285714285</v>
      </c>
      <c r="Q75" s="69">
        <v>0.87619047619047619</v>
      </c>
      <c r="R75" s="69">
        <v>0.79188405797101447</v>
      </c>
      <c r="S75" s="69">
        <v>0.75158974358974362</v>
      </c>
      <c r="T75" s="69">
        <v>0.25535643502388755</v>
      </c>
      <c r="U75" s="69">
        <v>0.44623369064364354</v>
      </c>
      <c r="V75" s="69">
        <v>0.5082837979888184</v>
      </c>
      <c r="W75" s="69">
        <v>0.3908266666666666</v>
      </c>
    </row>
    <row r="76" spans="1:23" x14ac:dyDescent="0.25">
      <c r="A76" t="s">
        <v>549</v>
      </c>
      <c r="B76" s="69">
        <v>0.65015873015873016</v>
      </c>
      <c r="C76" s="69">
        <v>0.76</v>
      </c>
      <c r="D76" s="69">
        <v>0.70144927536231882</v>
      </c>
      <c r="E76" s="69"/>
      <c r="F76" s="69">
        <v>0.70112820512820517</v>
      </c>
      <c r="G76" s="38">
        <v>0.89</v>
      </c>
      <c r="H76" s="69">
        <v>0.28484203645366107</v>
      </c>
      <c r="I76" s="69">
        <v>0.39</v>
      </c>
      <c r="J76" s="69">
        <v>0.45023674638833838</v>
      </c>
      <c r="K76" s="69"/>
      <c r="L76" s="69">
        <v>0.36458666666666661</v>
      </c>
      <c r="P76" s="69">
        <v>0.64380952380952383</v>
      </c>
      <c r="Q76" s="69">
        <v>0.80507936507936506</v>
      </c>
      <c r="R76" s="69">
        <v>0.73159420289855071</v>
      </c>
      <c r="S76" s="69">
        <v>0.72697435897435903</v>
      </c>
      <c r="T76" s="69">
        <v>0.28206037594141825</v>
      </c>
      <c r="U76" s="69">
        <v>0.41001762299720296</v>
      </c>
      <c r="V76" s="69">
        <v>0.46958576358849835</v>
      </c>
      <c r="W76" s="69">
        <v>0.37802666666666657</v>
      </c>
    </row>
    <row r="77" spans="1:23" x14ac:dyDescent="0.25">
      <c r="A77" t="s">
        <v>550</v>
      </c>
      <c r="B77" s="69">
        <v>0.77206349206349212</v>
      </c>
      <c r="C77" s="69">
        <v>0.85333333333333339</v>
      </c>
      <c r="D77" s="69">
        <v>0.76057971014492753</v>
      </c>
      <c r="E77" s="69"/>
      <c r="F77" s="69">
        <v>0.79425641025641025</v>
      </c>
      <c r="G77" s="38">
        <v>0.89</v>
      </c>
      <c r="H77" s="70">
        <v>0.33824991828872253</v>
      </c>
      <c r="I77" s="70">
        <v>0.43459281175728764</v>
      </c>
      <c r="J77" s="70">
        <v>0.48819058781942143</v>
      </c>
      <c r="K77" s="70"/>
      <c r="L77" s="70">
        <v>0.41301333333333323</v>
      </c>
      <c r="P77" s="70">
        <v>0.76571428571428568</v>
      </c>
      <c r="Q77" s="70">
        <v>0.89269841269841266</v>
      </c>
      <c r="R77" s="70">
        <v>0.77681159420289858</v>
      </c>
      <c r="S77" s="70">
        <v>0.81066666666666665</v>
      </c>
      <c r="T77" s="70">
        <v>0.33546825777647971</v>
      </c>
      <c r="U77" s="70">
        <v>0.45464099206156727</v>
      </c>
      <c r="V77" s="70">
        <v>0.49860928938873833</v>
      </c>
      <c r="W77" s="70">
        <v>0.42154666666666657</v>
      </c>
    </row>
    <row r="78" spans="1:23" x14ac:dyDescent="0.25">
      <c r="A78" t="s">
        <v>551</v>
      </c>
      <c r="B78" s="69">
        <v>0.6374603174603175</v>
      </c>
      <c r="C78" s="69">
        <v>0.80888888888888888</v>
      </c>
      <c r="D78" s="69">
        <v>0.67942028985507241</v>
      </c>
      <c r="E78" s="69"/>
      <c r="F78" s="69">
        <v>0.70769230769230773</v>
      </c>
      <c r="G78" s="38">
        <v>0.89</v>
      </c>
      <c r="H78" s="69">
        <v>0.27927871542917548</v>
      </c>
      <c r="I78" s="69">
        <v>0.41195776947826224</v>
      </c>
      <c r="J78" s="69">
        <v>0.43609707997283681</v>
      </c>
      <c r="K78" s="69"/>
      <c r="L78" s="69">
        <v>0.36799999999999994</v>
      </c>
      <c r="Q78" s="43"/>
      <c r="R78" s="43"/>
      <c r="S78" s="43"/>
      <c r="T78" s="43"/>
    </row>
    <row r="79" spans="1:23" x14ac:dyDescent="0.25">
      <c r="A79" t="s">
        <v>551</v>
      </c>
      <c r="B79" s="69">
        <v>0.73777777777777775</v>
      </c>
      <c r="C79" s="69">
        <v>0.81</v>
      </c>
      <c r="D79" s="69">
        <v>0.71768115942028987</v>
      </c>
      <c r="E79" s="69"/>
      <c r="F79" s="69">
        <v>0.74133333333333329</v>
      </c>
      <c r="G79" s="38">
        <v>0.89</v>
      </c>
      <c r="H79" s="69">
        <v>0.3232289515226115</v>
      </c>
      <c r="I79" s="69">
        <v>0.4</v>
      </c>
      <c r="J79" s="69">
        <v>0.46065544795765528</v>
      </c>
      <c r="K79" s="69"/>
      <c r="L79" s="69">
        <v>0.38549333333333324</v>
      </c>
      <c r="M79" s="43"/>
      <c r="N79" s="43"/>
      <c r="O79" s="43"/>
    </row>
    <row r="80" spans="1:23" x14ac:dyDescent="0.25">
      <c r="A80" t="s">
        <v>552</v>
      </c>
      <c r="B80" s="69">
        <v>0.68825396825396823</v>
      </c>
      <c r="C80" s="69">
        <v>0.78133333333333332</v>
      </c>
      <c r="D80" s="69">
        <v>0.76521739130434785</v>
      </c>
      <c r="E80" s="69"/>
      <c r="F80" s="69">
        <v>0.745</v>
      </c>
      <c r="G80" s="38">
        <v>0.89</v>
      </c>
      <c r="H80" s="69">
        <v>0.30153199952711773</v>
      </c>
      <c r="I80" s="69">
        <v>0.38839455849944488</v>
      </c>
      <c r="J80" s="69">
        <v>0.4911673596963691</v>
      </c>
      <c r="K80" s="69"/>
      <c r="L80" s="69">
        <v>0.38451612903225801</v>
      </c>
      <c r="M80" s="43"/>
      <c r="N80" s="43"/>
      <c r="O80" s="43"/>
    </row>
    <row r="81" spans="1:15" x14ac:dyDescent="0.25">
      <c r="A81" t="s">
        <v>553</v>
      </c>
      <c r="B81" s="69">
        <v>0.70476190476190481</v>
      </c>
      <c r="C81" s="69">
        <v>0.81499999999999995</v>
      </c>
      <c r="D81" s="69">
        <v>0.75942028985507248</v>
      </c>
      <c r="E81" s="69"/>
      <c r="F81" s="69">
        <v>0.75885416666666672</v>
      </c>
      <c r="G81" s="38">
        <v>0.89</v>
      </c>
      <c r="H81" s="69">
        <v>0.30876431685894901</v>
      </c>
      <c r="I81" s="69">
        <v>0.40512998956106777</v>
      </c>
      <c r="J81" s="69">
        <v>0.48744639485018443</v>
      </c>
      <c r="K81" s="69"/>
      <c r="L81" s="69">
        <v>0.39166666666666661</v>
      </c>
      <c r="M81" s="43"/>
      <c r="N81" s="43"/>
      <c r="O81" s="43"/>
    </row>
    <row r="82" spans="1:15" x14ac:dyDescent="0.25">
      <c r="A82" t="s">
        <v>554</v>
      </c>
      <c r="B82" s="69">
        <v>0.73904761904761906</v>
      </c>
      <c r="C82" s="69">
        <v>0.66133333333333333</v>
      </c>
      <c r="D82" s="69">
        <v>0.74434782608695649</v>
      </c>
      <c r="E82" s="69"/>
      <c r="F82" s="69">
        <v>0.71666666666666667</v>
      </c>
      <c r="G82" s="38">
        <v>0.89</v>
      </c>
      <c r="H82" s="69">
        <v>0.32378528362506004</v>
      </c>
      <c r="I82" s="69">
        <v>0.32874351709168032</v>
      </c>
      <c r="J82" s="69">
        <v>0.47777188625010453</v>
      </c>
      <c r="K82" s="69"/>
      <c r="L82" s="69">
        <v>0.3698924731182795</v>
      </c>
      <c r="M82" s="43"/>
      <c r="N82" s="43"/>
      <c r="O82" s="43"/>
    </row>
    <row r="83" spans="1:15" x14ac:dyDescent="0.25">
      <c r="A83" t="s">
        <v>555</v>
      </c>
      <c r="B83" s="69">
        <v>0.77841269841269844</v>
      </c>
      <c r="C83" s="69">
        <v>0.72533333333333339</v>
      </c>
      <c r="D83" s="69">
        <v>0.76753623188405795</v>
      </c>
      <c r="E83" s="69"/>
      <c r="F83" s="69">
        <v>0.75791666666666668</v>
      </c>
      <c r="G83" s="38">
        <v>0.89</v>
      </c>
      <c r="H83" s="69">
        <v>0.3410315788009653</v>
      </c>
      <c r="I83" s="69">
        <v>0.36055740584248808</v>
      </c>
      <c r="J83" s="69">
        <v>0.49265574563484299</v>
      </c>
      <c r="K83" s="69"/>
      <c r="L83" s="69">
        <v>0.39118279569892467</v>
      </c>
      <c r="M83" s="43"/>
      <c r="N83" s="43"/>
      <c r="O83" s="43"/>
    </row>
    <row r="84" spans="1:15" x14ac:dyDescent="0.25">
      <c r="A84" t="s">
        <v>556</v>
      </c>
      <c r="B84" s="69">
        <v>0.68063492063492059</v>
      </c>
      <c r="C84" s="69">
        <v>0.83466666666666667</v>
      </c>
      <c r="D84" s="69">
        <v>0.7489855072463768</v>
      </c>
      <c r="E84" s="69"/>
      <c r="F84" s="69">
        <v>0.7533333333333333</v>
      </c>
      <c r="G84" s="38">
        <v>0.89</v>
      </c>
      <c r="H84" s="69">
        <v>0.29819400691242642</v>
      </c>
      <c r="I84" s="69">
        <v>0.41490613245845137</v>
      </c>
      <c r="J84" s="69">
        <v>0.4807486581270522</v>
      </c>
      <c r="K84" s="69"/>
      <c r="L84" s="69">
        <v>0.38881720430107519</v>
      </c>
      <c r="M84" s="43"/>
      <c r="N84" s="43"/>
      <c r="O84" s="43"/>
    </row>
    <row r="85" spans="1:15" x14ac:dyDescent="0.25">
      <c r="A85" t="s">
        <v>557</v>
      </c>
      <c r="B85" s="69">
        <v>0.76571428571428568</v>
      </c>
      <c r="C85" s="69">
        <v>0.81396825396825401</v>
      </c>
      <c r="D85" s="69">
        <v>0.78840579710144931</v>
      </c>
      <c r="E85" s="69"/>
      <c r="F85" s="69">
        <v>0.78933333333333333</v>
      </c>
      <c r="G85" s="38">
        <v>0.89</v>
      </c>
      <c r="H85" s="69">
        <v>0.33546825777647971</v>
      </c>
      <c r="I85" s="69">
        <v>0.41454463145300802</v>
      </c>
      <c r="J85" s="69">
        <v>0.50605121908110762</v>
      </c>
      <c r="K85" s="69"/>
      <c r="L85" s="69">
        <v>0.41045333333333328</v>
      </c>
      <c r="M85" s="43"/>
      <c r="N85" s="43"/>
      <c r="O85" s="43"/>
    </row>
    <row r="86" spans="1:15" x14ac:dyDescent="0.25">
      <c r="A86" t="s">
        <v>558</v>
      </c>
      <c r="B86" s="69">
        <v>0.77206349206349212</v>
      </c>
      <c r="C86" s="69">
        <v>0.86603174603174604</v>
      </c>
      <c r="D86" s="69">
        <v>0.79536231884057973</v>
      </c>
      <c r="E86" s="69"/>
      <c r="F86" s="69">
        <v>0.81066666666666665</v>
      </c>
      <c r="G86" s="38">
        <v>0.89</v>
      </c>
      <c r="H86" s="69">
        <v>0.33824991828872253</v>
      </c>
      <c r="I86" s="69">
        <v>0.44105996669415204</v>
      </c>
      <c r="J86" s="69">
        <v>0.51051637689652907</v>
      </c>
      <c r="K86" s="69"/>
      <c r="L86" s="69">
        <v>0.42154666666666657</v>
      </c>
      <c r="M86" s="43"/>
      <c r="N86" s="43"/>
      <c r="O86" s="43"/>
    </row>
    <row r="87" spans="1:15" x14ac:dyDescent="0.25">
      <c r="A87" t="s">
        <v>559</v>
      </c>
      <c r="B87" s="69">
        <v>0.80380952380952386</v>
      </c>
      <c r="C87" s="69">
        <v>0.85460317460317459</v>
      </c>
      <c r="D87" s="69">
        <v>0.79072463768115941</v>
      </c>
      <c r="E87" s="69"/>
      <c r="F87" s="69">
        <v>0.81558974358974357</v>
      </c>
      <c r="G87" s="38">
        <v>0.89</v>
      </c>
      <c r="H87" s="69">
        <v>0.35215822084993642</v>
      </c>
      <c r="I87" s="69">
        <v>0.43523952725097409</v>
      </c>
      <c r="J87" s="69">
        <v>0.5075396050195814</v>
      </c>
      <c r="K87" s="69"/>
      <c r="L87" s="69">
        <v>0.42410666666666658</v>
      </c>
      <c r="M87" s="43"/>
      <c r="N87" s="43"/>
      <c r="O87" s="43"/>
    </row>
    <row r="88" spans="1:15" x14ac:dyDescent="0.25">
      <c r="A88" t="s">
        <v>560</v>
      </c>
      <c r="B88" s="69">
        <v>0.65575757575757576</v>
      </c>
      <c r="C88" s="69">
        <v>0.8558730158730159</v>
      </c>
      <c r="D88" s="69">
        <v>0.85217391304347823</v>
      </c>
      <c r="E88" s="69"/>
      <c r="F88" s="69">
        <v>0.78787878787878785</v>
      </c>
      <c r="G88" s="69">
        <f t="shared" ref="G88:G128" si="2">G87</f>
        <v>0.89</v>
      </c>
      <c r="H88" s="69">
        <v>0.29482489662736128</v>
      </c>
      <c r="I88" s="69">
        <v>0.43588624274466053</v>
      </c>
      <c r="J88" s="69">
        <v>0.54698183238913833</v>
      </c>
      <c r="K88" s="69"/>
      <c r="L88" s="69">
        <v>0.41269841269841262</v>
      </c>
      <c r="M88" s="43"/>
      <c r="N88" s="43"/>
      <c r="O88" s="43"/>
    </row>
    <row r="89" spans="1:15" x14ac:dyDescent="0.25">
      <c r="A89" t="s">
        <v>561</v>
      </c>
      <c r="B89" s="69">
        <v>0.74909090909090914</v>
      </c>
      <c r="C89" s="69">
        <v>0.79304347826086952</v>
      </c>
      <c r="D89" s="69">
        <v>0.88444444444444448</v>
      </c>
      <c r="E89" s="69"/>
      <c r="F89" s="69">
        <v>0.8108212560386473</v>
      </c>
      <c r="G89" s="69">
        <f t="shared" si="2"/>
        <v>0.89</v>
      </c>
      <c r="H89" s="69">
        <v>0.33678703533402821</v>
      </c>
      <c r="I89" s="69">
        <v>0.42189017902576675</v>
      </c>
      <c r="J89" s="69">
        <v>0.57629480809781086</v>
      </c>
      <c r="K89" s="69"/>
      <c r="L89" s="69">
        <v>0.43369509043927651</v>
      </c>
      <c r="M89" s="43"/>
      <c r="N89" s="43"/>
      <c r="O89" s="43"/>
    </row>
    <row r="90" spans="1:15" x14ac:dyDescent="0.25">
      <c r="A90" t="s">
        <v>562</v>
      </c>
      <c r="B90" s="69">
        <v>0.73212121212121217</v>
      </c>
      <c r="C90" s="69">
        <v>0.7860869565217391</v>
      </c>
      <c r="D90" s="69">
        <v>0.85333333333333339</v>
      </c>
      <c r="E90" s="69">
        <v>0.81</v>
      </c>
      <c r="F90" s="69">
        <v>0.79227053140096615</v>
      </c>
      <c r="G90" s="69">
        <f t="shared" si="2"/>
        <v>0.89</v>
      </c>
      <c r="H90" s="69">
        <v>0.32915755556917969</v>
      </c>
      <c r="I90" s="69">
        <v>0.41818938798168104</v>
      </c>
      <c r="J90" s="69">
        <v>0.55602313143105364</v>
      </c>
      <c r="K90" s="69"/>
      <c r="L90" s="69">
        <v>0.42377260981912146</v>
      </c>
      <c r="M90" s="43"/>
      <c r="N90" s="43"/>
      <c r="O90" s="43"/>
    </row>
    <row r="91" spans="1:15" ht="15.75" thickBot="1" x14ac:dyDescent="0.3">
      <c r="A91" t="s">
        <v>563</v>
      </c>
      <c r="B91" s="69">
        <v>0.7583333333333333</v>
      </c>
      <c r="C91" s="69">
        <v>0.78888888888888886</v>
      </c>
      <c r="D91" s="69">
        <v>0.88</v>
      </c>
      <c r="E91" s="69">
        <v>0.6428571428571429</v>
      </c>
      <c r="F91" s="69">
        <v>0.79</v>
      </c>
      <c r="G91" s="69">
        <f t="shared" si="2"/>
        <v>0.89</v>
      </c>
      <c r="H91" s="69">
        <v>0.32315570423085394</v>
      </c>
      <c r="I91" s="69">
        <v>0.42802670645506474</v>
      </c>
      <c r="J91" s="69">
        <v>0.62</v>
      </c>
      <c r="K91" s="69">
        <v>0.34816247582205034</v>
      </c>
      <c r="L91" s="69">
        <v>0.41680828136403281</v>
      </c>
      <c r="M91" s="56"/>
      <c r="N91" s="56"/>
      <c r="O91" s="56"/>
    </row>
    <row r="92" spans="1:15" ht="15.75" thickTop="1" x14ac:dyDescent="0.25">
      <c r="A92" t="s">
        <v>564</v>
      </c>
      <c r="B92" s="69">
        <v>0.73439153439153437</v>
      </c>
      <c r="C92" s="69">
        <v>0.89</v>
      </c>
      <c r="D92" s="69">
        <v>0.89481481481481484</v>
      </c>
      <c r="E92" s="69">
        <v>0.64126984126984132</v>
      </c>
      <c r="F92" s="69">
        <v>0.83569023569023571</v>
      </c>
      <c r="G92" s="69">
        <f t="shared" si="2"/>
        <v>0.89</v>
      </c>
      <c r="H92" s="69">
        <v>0.32174539924941531</v>
      </c>
      <c r="I92" s="69">
        <v>0.50474677851279603</v>
      </c>
      <c r="J92" s="69">
        <v>0.6121880146965667</v>
      </c>
      <c r="K92" s="69">
        <v>0.34730281538792179</v>
      </c>
      <c r="L92" s="69">
        <v>0.44295602653096011</v>
      </c>
    </row>
    <row r="93" spans="1:15" x14ac:dyDescent="0.25">
      <c r="A93" t="s">
        <v>565</v>
      </c>
      <c r="B93" s="69">
        <v>0.74031746031746026</v>
      </c>
      <c r="C93" s="69">
        <v>0.88</v>
      </c>
      <c r="D93" s="69">
        <v>0.89</v>
      </c>
      <c r="E93" s="69">
        <v>0.88</v>
      </c>
      <c r="F93" s="69">
        <v>0.87124999999999997</v>
      </c>
      <c r="G93" s="69">
        <f t="shared" si="2"/>
        <v>0.89</v>
      </c>
      <c r="H93" s="69">
        <v>0.32434161572750858</v>
      </c>
      <c r="I93" s="69">
        <v>0.48050961180902491</v>
      </c>
      <c r="J93" s="69">
        <v>0.64948688711516545</v>
      </c>
      <c r="K93" s="69">
        <v>0.47659574468085114</v>
      </c>
      <c r="L93" s="69">
        <v>0.45512051388786862</v>
      </c>
    </row>
    <row r="94" spans="1:15" x14ac:dyDescent="0.25">
      <c r="A94" t="s">
        <v>566</v>
      </c>
      <c r="B94" s="69">
        <v>0.73142857142857143</v>
      </c>
      <c r="C94" s="69">
        <v>0.88</v>
      </c>
      <c r="D94" s="69">
        <v>0.88888888888888884</v>
      </c>
      <c r="E94" s="69">
        <v>0.68952380952380954</v>
      </c>
      <c r="F94" s="69">
        <v>0.8125</v>
      </c>
      <c r="G94" s="69">
        <f t="shared" si="2"/>
        <v>0.89</v>
      </c>
      <c r="H94" s="69">
        <v>0.32044729101036867</v>
      </c>
      <c r="I94" s="69">
        <v>0.44817383712470288</v>
      </c>
      <c r="J94" s="69">
        <v>0.60813378943367546</v>
      </c>
      <c r="K94" s="69">
        <v>0.37343649258542883</v>
      </c>
      <c r="L94" s="69">
        <v>0.42443089530432515</v>
      </c>
    </row>
    <row r="95" spans="1:15" x14ac:dyDescent="0.25">
      <c r="A95" t="s">
        <v>567</v>
      </c>
      <c r="B95" s="69">
        <v>0.74412698412698408</v>
      </c>
      <c r="C95" s="69">
        <v>0.82285714285714284</v>
      </c>
      <c r="D95" s="69">
        <v>0.88533333333333331</v>
      </c>
      <c r="E95" s="69">
        <v>0.70095238095238099</v>
      </c>
      <c r="F95" s="69">
        <v>0.79833333333333334</v>
      </c>
      <c r="G95" s="69">
        <f t="shared" si="2"/>
        <v>0.89</v>
      </c>
      <c r="H95" s="69">
        <v>0.32601061203485426</v>
      </c>
      <c r="I95" s="69">
        <v>0.41907163990881308</v>
      </c>
      <c r="J95" s="69">
        <v>0.60570125427594079</v>
      </c>
      <c r="K95" s="69">
        <v>0.37962604771115416</v>
      </c>
      <c r="L95" s="69">
        <v>0.41703056174517278</v>
      </c>
    </row>
    <row r="96" spans="1:15" x14ac:dyDescent="0.25">
      <c r="A96" t="s">
        <v>568</v>
      </c>
      <c r="B96" s="69">
        <v>0.77333333333333332</v>
      </c>
      <c r="C96" s="69">
        <v>0.8342857142857143</v>
      </c>
      <c r="D96" s="69">
        <v>0.86755555555555552</v>
      </c>
      <c r="E96" s="69">
        <v>0.80380952380952386</v>
      </c>
      <c r="F96" s="69">
        <v>0.81874999999999998</v>
      </c>
      <c r="G96" s="69">
        <f t="shared" si="2"/>
        <v>0.89</v>
      </c>
      <c r="H96" s="69">
        <v>0.33880625039117107</v>
      </c>
      <c r="I96" s="69">
        <v>0.42489207935199103</v>
      </c>
      <c r="J96" s="69">
        <v>0.59353857848726732</v>
      </c>
      <c r="K96" s="69">
        <v>0.4353320438426822</v>
      </c>
      <c r="L96" s="69">
        <v>0.42769574834512764</v>
      </c>
    </row>
    <row r="97" spans="1:12" x14ac:dyDescent="0.25">
      <c r="A97" t="s">
        <v>569</v>
      </c>
      <c r="B97" s="69">
        <v>0.76727272727272722</v>
      </c>
      <c r="C97" s="69">
        <v>0.59272727272727277</v>
      </c>
      <c r="D97" s="69">
        <v>0.88888888888888884</v>
      </c>
      <c r="E97" s="69">
        <v>0.88380952380952382</v>
      </c>
      <c r="F97" s="69">
        <v>0.74909090909090914</v>
      </c>
      <c r="G97" s="69">
        <f t="shared" si="2"/>
        <v>0.89</v>
      </c>
      <c r="H97" s="69">
        <v>0.34496147793922305</v>
      </c>
      <c r="I97" s="69">
        <v>0.3087559785954444</v>
      </c>
      <c r="J97" s="69">
        <v>0.60813378943367546</v>
      </c>
      <c r="K97" s="69">
        <v>0.47865892972275959</v>
      </c>
      <c r="L97" s="69">
        <v>0.39705421749640613</v>
      </c>
    </row>
    <row r="98" spans="1:12" x14ac:dyDescent="0.25">
      <c r="A98" t="s">
        <v>570</v>
      </c>
      <c r="B98" s="69">
        <v>0.78222222222222226</v>
      </c>
      <c r="C98" s="69">
        <v>0.54424242424242419</v>
      </c>
      <c r="D98" s="69">
        <v>0.79466666666666663</v>
      </c>
      <c r="E98" s="69">
        <v>0.75428571428571434</v>
      </c>
      <c r="F98" s="69">
        <v>0.70153846153846156</v>
      </c>
      <c r="G98" s="70">
        <f t="shared" si="2"/>
        <v>0.89</v>
      </c>
      <c r="H98" s="70">
        <v>0.34270057510831098</v>
      </c>
      <c r="I98" s="70">
        <v>0.2834998658269009</v>
      </c>
      <c r="J98" s="70">
        <v>0.54367160775370593</v>
      </c>
      <c r="K98" s="70">
        <v>0.40851063829787237</v>
      </c>
      <c r="L98" s="70">
        <v>0.3691799509379276</v>
      </c>
    </row>
    <row r="99" spans="1:12" x14ac:dyDescent="0.25">
      <c r="A99" t="s">
        <v>571</v>
      </c>
      <c r="B99" s="69">
        <v>0.70277777777777772</v>
      </c>
      <c r="C99" s="69">
        <v>0.54736842105263162</v>
      </c>
      <c r="D99" s="69">
        <v>0.77916666666666667</v>
      </c>
      <c r="E99" s="69">
        <v>0.81666666666666665</v>
      </c>
      <c r="F99" s="69">
        <v>0.68666666666666665</v>
      </c>
      <c r="G99" s="70">
        <f t="shared" si="2"/>
        <v>0.89</v>
      </c>
      <c r="H99" s="69">
        <v>0.37537370455270447</v>
      </c>
      <c r="I99" s="69">
        <v>0.2793146049309771</v>
      </c>
      <c r="J99" s="69">
        <v>0.54380225372591795</v>
      </c>
      <c r="K99" s="69">
        <v>0.41090146750524115</v>
      </c>
      <c r="L99" s="69">
        <v>0.38637891681166697</v>
      </c>
    </row>
    <row r="100" spans="1:12" x14ac:dyDescent="0.25">
      <c r="A100" t="s">
        <v>572</v>
      </c>
      <c r="B100" s="69">
        <v>0.56333333333333335</v>
      </c>
      <c r="C100" s="69">
        <v>0.75789473684210529</v>
      </c>
      <c r="D100" s="69">
        <v>1.0066666666666666</v>
      </c>
      <c r="E100" s="69">
        <v>0.89333333333333331</v>
      </c>
      <c r="F100" s="69">
        <v>0.75979487179487182</v>
      </c>
      <c r="G100" s="70">
        <f t="shared" si="2"/>
        <v>0.89</v>
      </c>
      <c r="H100" s="69">
        <v>0.30089243985489511</v>
      </c>
      <c r="I100" s="69">
        <v>0.386743299135199</v>
      </c>
      <c r="J100" s="69">
        <v>0.7025808796801164</v>
      </c>
      <c r="K100" s="69">
        <v>0.44947589098532498</v>
      </c>
      <c r="L100" s="69">
        <v>0.4275272614997504</v>
      </c>
    </row>
    <row r="101" spans="1:12" x14ac:dyDescent="0.25">
      <c r="A101" t="s">
        <v>573</v>
      </c>
      <c r="B101" s="69">
        <v>0.72463768115942029</v>
      </c>
      <c r="C101" s="69">
        <v>0.83368421052631581</v>
      </c>
      <c r="D101" s="69">
        <v>1.0083333333333333</v>
      </c>
      <c r="E101" s="69">
        <v>0.76888888888888884</v>
      </c>
      <c r="F101" s="69">
        <v>0.83208333333333329</v>
      </c>
      <c r="G101" s="70">
        <f t="shared" si="2"/>
        <v>0.89</v>
      </c>
      <c r="H101" s="69">
        <v>0.3793655490557592</v>
      </c>
      <c r="I101" s="69">
        <v>0.42541762904871888</v>
      </c>
      <c r="J101" s="69">
        <v>0.7037440930570702</v>
      </c>
      <c r="K101" s="69">
        <v>0.38686233403214543</v>
      </c>
      <c r="L101" s="69">
        <v>0.46502557116701743</v>
      </c>
    </row>
    <row r="102" spans="1:12" x14ac:dyDescent="0.25">
      <c r="A102" t="s">
        <v>574</v>
      </c>
      <c r="B102" s="69">
        <v>0.81043478260869561</v>
      </c>
      <c r="C102" s="69">
        <v>0.90245614035087718</v>
      </c>
      <c r="D102" s="69">
        <v>0.95666666666666667</v>
      </c>
      <c r="E102" s="69">
        <v>0.94222222222222218</v>
      </c>
      <c r="F102" s="69">
        <v>0.88666666666666671</v>
      </c>
      <c r="G102" s="70">
        <f t="shared" si="2"/>
        <v>0.89</v>
      </c>
      <c r="H102" s="69">
        <v>0.4242824300639611</v>
      </c>
      <c r="I102" s="69">
        <v>0.4605110024887647</v>
      </c>
      <c r="J102" s="69">
        <v>0.66768447837150136</v>
      </c>
      <c r="K102" s="69">
        <v>0.47407407407407415</v>
      </c>
      <c r="L102" s="69">
        <v>0.49553050347692196</v>
      </c>
    </row>
    <row r="103" spans="1:12" x14ac:dyDescent="0.25">
      <c r="A103" t="s">
        <v>575</v>
      </c>
      <c r="B103" s="69">
        <v>0.83014492753623192</v>
      </c>
      <c r="C103" s="69">
        <v>0.9319298245614035</v>
      </c>
      <c r="D103" s="69">
        <v>0.89411764705882357</v>
      </c>
      <c r="E103" s="69">
        <v>0.91555555555555557</v>
      </c>
      <c r="F103" s="69">
        <v>0.88451282051282054</v>
      </c>
      <c r="G103" s="70">
        <f t="shared" si="2"/>
        <v>0.89</v>
      </c>
      <c r="H103" s="69">
        <v>0.43460117299827777</v>
      </c>
      <c r="I103" s="69">
        <v>0.4755510196773558</v>
      </c>
      <c r="J103" s="69">
        <v>0.63531870428422166</v>
      </c>
      <c r="K103" s="69">
        <v>0.46065688329839277</v>
      </c>
      <c r="L103" s="69">
        <v>0.49770452256666409</v>
      </c>
    </row>
    <row r="104" spans="1:12" x14ac:dyDescent="0.25">
      <c r="A104" t="s">
        <v>576</v>
      </c>
      <c r="B104" s="69">
        <v>0.82698412698412693</v>
      </c>
      <c r="C104" s="69">
        <v>0.875</v>
      </c>
      <c r="D104" s="69">
        <v>0.96481481481481479</v>
      </c>
      <c r="E104" s="69">
        <v>0.97777777777777775</v>
      </c>
      <c r="F104" s="69">
        <v>0.89384615384615385</v>
      </c>
      <c r="G104" s="70">
        <f t="shared" si="2"/>
        <v>0.89</v>
      </c>
      <c r="H104" s="69">
        <v>0.41415273571332051</v>
      </c>
      <c r="I104" s="69">
        <v>0.43495551026495005</v>
      </c>
      <c r="J104" s="69">
        <v>0.67640376501136001</v>
      </c>
      <c r="K104" s="69">
        <v>0.52498135719612238</v>
      </c>
      <c r="L104" s="69">
        <v>0.48816555618104979</v>
      </c>
    </row>
    <row r="105" spans="1:12" x14ac:dyDescent="0.25">
      <c r="A105" t="s">
        <v>577</v>
      </c>
      <c r="B105" s="69">
        <v>0.87</v>
      </c>
      <c r="C105" s="69">
        <v>0.72888888888888892</v>
      </c>
      <c r="D105" s="69">
        <v>0.94222222222222218</v>
      </c>
      <c r="E105" s="69">
        <v>0.92</v>
      </c>
      <c r="F105" s="69">
        <v>0.85</v>
      </c>
      <c r="G105" s="70">
        <f t="shared" si="2"/>
        <v>0.89</v>
      </c>
      <c r="H105" s="69">
        <v>0.45798418553897025</v>
      </c>
      <c r="I105" s="69">
        <v>0.37121469337601654</v>
      </c>
      <c r="J105" s="69">
        <v>0.66056475170399231</v>
      </c>
      <c r="K105" s="69">
        <v>0.49395973154362421</v>
      </c>
      <c r="L105" s="69">
        <v>0.4750021705582676</v>
      </c>
    </row>
    <row r="106" spans="1:12" x14ac:dyDescent="0.25">
      <c r="A106" t="s">
        <v>578</v>
      </c>
      <c r="B106" s="69">
        <v>0.8</v>
      </c>
      <c r="C106" s="69">
        <v>0.78545454545454541</v>
      </c>
      <c r="D106" s="69">
        <v>0.9303703703703704</v>
      </c>
      <c r="E106" s="69">
        <v>0.9244444444444444</v>
      </c>
      <c r="F106" s="69">
        <v>0.842020202020202</v>
      </c>
      <c r="G106" s="70">
        <f t="shared" si="2"/>
        <v>0.89</v>
      </c>
      <c r="H106" s="69">
        <v>0.39088266191092769</v>
      </c>
      <c r="I106" s="69">
        <v>0.40914902685040488</v>
      </c>
      <c r="J106" s="69">
        <v>0.65225576111652073</v>
      </c>
      <c r="K106" s="69">
        <v>0.49634601043997023</v>
      </c>
      <c r="L106" s="69">
        <v>0.46304551299676994</v>
      </c>
    </row>
    <row r="107" spans="1:12" x14ac:dyDescent="0.25">
      <c r="A107" t="s">
        <v>579</v>
      </c>
      <c r="B107" s="69">
        <v>0.83789473684210525</v>
      </c>
      <c r="C107" s="69">
        <v>0.80640000000000001</v>
      </c>
      <c r="D107" s="69">
        <v>0.88</v>
      </c>
      <c r="E107" s="69">
        <v>0.9555555555555556</v>
      </c>
      <c r="F107" s="69">
        <v>0.85</v>
      </c>
      <c r="G107" s="70">
        <f t="shared" si="2"/>
        <v>0.89</v>
      </c>
      <c r="H107" s="69">
        <v>0.3986677685122581</v>
      </c>
      <c r="I107" s="69">
        <v>0.44568245125348188</v>
      </c>
      <c r="J107" s="69">
        <v>0.65433300876338862</v>
      </c>
      <c r="K107" s="69">
        <v>0.51304996271439229</v>
      </c>
      <c r="L107" s="69">
        <v>0.48037022163578302</v>
      </c>
    </row>
    <row r="108" spans="1:12" x14ac:dyDescent="0.25">
      <c r="A108" t="s">
        <v>580</v>
      </c>
      <c r="B108" s="69">
        <v>0.8</v>
      </c>
      <c r="C108" s="69">
        <v>0.74880000000000002</v>
      </c>
      <c r="D108" s="69">
        <v>0.89684210526315788</v>
      </c>
      <c r="E108" s="69">
        <v>0.85333333333333339</v>
      </c>
      <c r="F108" s="69">
        <v>0.81275362318840583</v>
      </c>
      <c r="G108" s="70">
        <f t="shared" si="2"/>
        <v>0.89</v>
      </c>
      <c r="H108" s="69">
        <v>0.38063756792627657</v>
      </c>
      <c r="I108" s="69">
        <v>0.41384799044966175</v>
      </c>
      <c r="J108" s="69">
        <v>0.63880037488284913</v>
      </c>
      <c r="K108" s="69">
        <v>0.45816554809843407</v>
      </c>
      <c r="L108" s="69">
        <v>0.45587195265694985</v>
      </c>
    </row>
    <row r="109" spans="1:12" x14ac:dyDescent="0.25">
      <c r="A109" t="s">
        <v>581</v>
      </c>
      <c r="B109" s="69">
        <v>0.8</v>
      </c>
      <c r="C109" s="69">
        <v>0.83</v>
      </c>
      <c r="D109" s="69">
        <v>0.90666666666666662</v>
      </c>
      <c r="E109" s="69">
        <v>0.94222222222222218</v>
      </c>
      <c r="F109" s="69">
        <v>0.85</v>
      </c>
      <c r="G109" s="70">
        <f t="shared" si="2"/>
        <v>0.89</v>
      </c>
      <c r="H109" s="69">
        <v>0.35244586682301982</v>
      </c>
      <c r="I109" s="69">
        <v>0.44037670778617849</v>
      </c>
      <c r="J109" s="69">
        <v>0.6110643077787139</v>
      </c>
      <c r="K109" s="69">
        <v>0.50589112602535424</v>
      </c>
      <c r="L109" s="69">
        <v>0.45768151769710619</v>
      </c>
    </row>
    <row r="110" spans="1:12" x14ac:dyDescent="0.25">
      <c r="A110" t="s">
        <v>582</v>
      </c>
      <c r="B110" s="69">
        <v>0.77200000000000002</v>
      </c>
      <c r="C110" s="69">
        <v>0.81142857142857139</v>
      </c>
      <c r="D110" s="69">
        <v>0.88666666666666671</v>
      </c>
      <c r="E110" s="69">
        <v>0.80761904761904757</v>
      </c>
      <c r="F110" s="69">
        <v>0.82062222222222225</v>
      </c>
      <c r="G110" s="70">
        <f t="shared" si="2"/>
        <v>0.89</v>
      </c>
      <c r="H110" s="69">
        <v>0.37720176874404521</v>
      </c>
      <c r="I110" s="69">
        <v>0.46146971604988418</v>
      </c>
      <c r="J110" s="69">
        <v>0.59758494804830109</v>
      </c>
      <c r="K110" s="69">
        <v>0.46433949349760445</v>
      </c>
      <c r="L110" s="69">
        <v>0.46620258502061607</v>
      </c>
    </row>
    <row r="111" spans="1:12" x14ac:dyDescent="0.25">
      <c r="A111" t="s">
        <v>583</v>
      </c>
      <c r="B111" s="69">
        <v>0.79859649122807019</v>
      </c>
      <c r="C111" s="69">
        <v>0.71487179487179486</v>
      </c>
      <c r="D111" s="69">
        <v>0.88400000000000001</v>
      </c>
      <c r="E111" s="69">
        <v>0.9555555555555556</v>
      </c>
      <c r="F111" s="69">
        <v>0.80525821596244129</v>
      </c>
      <c r="G111" s="70">
        <f t="shared" si="2"/>
        <v>0.89</v>
      </c>
      <c r="H111" s="69">
        <v>0.37996978271938836</v>
      </c>
      <c r="I111" s="69">
        <v>0.39350185600767806</v>
      </c>
      <c r="J111" s="69">
        <v>0.59578770008424597</v>
      </c>
      <c r="K111" s="69">
        <v>0.51304996271439229</v>
      </c>
      <c r="L111" s="69">
        <v>0.44660735162777859</v>
      </c>
    </row>
    <row r="112" spans="1:12" x14ac:dyDescent="0.25">
      <c r="A112" t="s">
        <v>584</v>
      </c>
      <c r="B112" s="69">
        <v>0.79157894736842105</v>
      </c>
      <c r="C112" s="69">
        <v>0.86333333333333329</v>
      </c>
      <c r="D112" s="69">
        <v>0.75789473684210529</v>
      </c>
      <c r="E112" s="69">
        <v>0.94857142857142862</v>
      </c>
      <c r="F112" s="69">
        <v>0.8231884057971014</v>
      </c>
      <c r="G112" s="70">
        <f t="shared" si="2"/>
        <v>0.89</v>
      </c>
      <c r="H112" s="69">
        <v>0.35866739799203495</v>
      </c>
      <c r="I112" s="69">
        <v>0.46841795903603561</v>
      </c>
      <c r="J112" s="69">
        <v>0.52032520325203258</v>
      </c>
      <c r="K112" s="69">
        <v>0.54537987679671462</v>
      </c>
      <c r="L112" s="69">
        <v>0.4507328376330178</v>
      </c>
    </row>
    <row r="113" spans="1:12" x14ac:dyDescent="0.25">
      <c r="A113" t="s">
        <v>585</v>
      </c>
      <c r="B113" s="69">
        <v>0.81066666666666665</v>
      </c>
      <c r="C113" s="69">
        <v>0.75714285714285712</v>
      </c>
      <c r="D113" s="69">
        <v>0.73333333333333328</v>
      </c>
      <c r="E113" s="69">
        <v>0.83666666666666667</v>
      </c>
      <c r="F113" s="69">
        <v>0.77555555555555555</v>
      </c>
      <c r="G113" s="70">
        <f t="shared" si="2"/>
        <v>0.89</v>
      </c>
      <c r="H113" s="69">
        <v>0.37764268356120784</v>
      </c>
      <c r="I113" s="69">
        <v>0.43952398722892561</v>
      </c>
      <c r="J113" s="69">
        <v>0.47551502870651813</v>
      </c>
      <c r="K113" s="69">
        <v>0.50803289057558509</v>
      </c>
      <c r="L113" s="69">
        <v>0.43281117992202578</v>
      </c>
    </row>
    <row r="114" spans="1:12" x14ac:dyDescent="0.25">
      <c r="A114" t="s">
        <v>586</v>
      </c>
      <c r="B114" s="69">
        <v>0.82060606060606056</v>
      </c>
      <c r="C114" s="69">
        <v>0.70913580246913577</v>
      </c>
      <c r="D114" s="69">
        <v>0.91809523809523808</v>
      </c>
      <c r="E114" s="69">
        <v>0.7911111111111111</v>
      </c>
      <c r="F114" s="69">
        <v>0.79407407407407404</v>
      </c>
      <c r="G114" s="70">
        <f t="shared" si="2"/>
        <v>0.89</v>
      </c>
      <c r="H114" s="38">
        <v>0.40178339601925839</v>
      </c>
      <c r="I114" s="38">
        <v>0.40535772254449476</v>
      </c>
      <c r="J114" s="38">
        <v>0.56685042263873586</v>
      </c>
      <c r="K114" s="38">
        <v>0.50229276895943564</v>
      </c>
      <c r="L114" s="38">
        <v>0.44314573531653451</v>
      </c>
    </row>
    <row r="115" spans="1:12" x14ac:dyDescent="0.25">
      <c r="A115" t="s">
        <v>587</v>
      </c>
      <c r="B115" s="69">
        <v>0.84606060606060607</v>
      </c>
      <c r="C115" s="69">
        <v>0.7466666666666667</v>
      </c>
      <c r="D115" s="69">
        <v>0.64761904761904765</v>
      </c>
      <c r="E115" s="69">
        <v>0.85333333333333339</v>
      </c>
      <c r="F115" s="69">
        <v>0.77111111111111108</v>
      </c>
      <c r="G115" s="70">
        <v>0.81</v>
      </c>
      <c r="H115" s="69">
        <v>0.41424639648662087</v>
      </c>
      <c r="I115" s="69">
        <v>0.42681119532540118</v>
      </c>
      <c r="J115" s="69">
        <v>0.3998529952223448</v>
      </c>
      <c r="K115" s="69">
        <v>0.54179894179894184</v>
      </c>
      <c r="L115" s="69">
        <v>0.4303308866273437</v>
      </c>
    </row>
    <row r="116" spans="1:12" x14ac:dyDescent="0.25">
      <c r="A116" t="s">
        <v>588</v>
      </c>
      <c r="B116" s="69">
        <v>0.73855072463768112</v>
      </c>
      <c r="C116" s="69">
        <v>0.82666666666666666</v>
      </c>
      <c r="D116" s="69">
        <v>0.75428571428571434</v>
      </c>
      <c r="E116" s="69">
        <v>0.9303703703703704</v>
      </c>
      <c r="F116" s="69">
        <v>0.79699530516431927</v>
      </c>
      <c r="G116" s="70">
        <f t="shared" si="2"/>
        <v>0.81</v>
      </c>
      <c r="H116" s="70">
        <v>0.36981400445576534</v>
      </c>
      <c r="I116" s="70">
        <v>0.45688346524001117</v>
      </c>
      <c r="J116" s="70">
        <v>0.46571113561190747</v>
      </c>
      <c r="K116" s="70">
        <v>0.5907113462669018</v>
      </c>
      <c r="L116" s="70">
        <v>0.44202462693756822</v>
      </c>
    </row>
    <row r="117" spans="1:12" x14ac:dyDescent="0.25">
      <c r="A117" t="s">
        <v>589</v>
      </c>
      <c r="B117" s="69">
        <v>0.62666666666666671</v>
      </c>
      <c r="C117" s="69">
        <v>0.91200000000000003</v>
      </c>
      <c r="D117" s="69">
        <v>0.85904761904761906</v>
      </c>
      <c r="E117" s="69">
        <v>0.96</v>
      </c>
      <c r="F117" s="69">
        <v>0.81790476190476191</v>
      </c>
      <c r="G117" s="70">
        <f t="shared" si="2"/>
        <v>0.81</v>
      </c>
      <c r="H117" s="70">
        <v>0.30682720198221058</v>
      </c>
      <c r="I117" s="70">
        <v>0.50404562939381881</v>
      </c>
      <c r="J117" s="70">
        <v>0.53039323778022796</v>
      </c>
      <c r="K117" s="70">
        <v>0.60952380952380958</v>
      </c>
      <c r="L117" s="70">
        <v>0.45075331123655366</v>
      </c>
    </row>
    <row r="118" spans="1:12" x14ac:dyDescent="0.25">
      <c r="A118" t="s">
        <v>590</v>
      </c>
      <c r="B118" s="69">
        <v>0.81818181818181823</v>
      </c>
      <c r="C118" s="69">
        <v>0.83199999999999996</v>
      </c>
      <c r="D118" s="69">
        <v>0.79047619047619044</v>
      </c>
      <c r="E118" s="69">
        <v>0.96296296296296291</v>
      </c>
      <c r="F118" s="69">
        <v>0.83619047619047615</v>
      </c>
      <c r="G118" s="70">
        <f t="shared" si="2"/>
        <v>0.81</v>
      </c>
      <c r="H118" s="38">
        <v>0.40059644359379526</v>
      </c>
      <c r="I118" s="38">
        <v>0.45983110049962417</v>
      </c>
      <c r="J118" s="38">
        <v>0.48805586181550908</v>
      </c>
      <c r="K118" s="38">
        <v>0.61140505584950033</v>
      </c>
      <c r="L118" s="38">
        <v>0.46083070245190277</v>
      </c>
    </row>
    <row r="119" spans="1:12" x14ac:dyDescent="0.25">
      <c r="A119" t="s">
        <v>591</v>
      </c>
      <c r="B119" s="69">
        <v>0.80242424242424237</v>
      </c>
      <c r="C119" s="69">
        <v>0.77333333333333332</v>
      </c>
      <c r="D119" s="69">
        <v>0.56571428571428573</v>
      </c>
      <c r="E119" s="69">
        <v>0.96592592592592597</v>
      </c>
      <c r="F119" s="69">
        <v>0.76582159624413149</v>
      </c>
      <c r="G119" s="70">
        <f t="shared" si="2"/>
        <v>0.81</v>
      </c>
      <c r="H119" s="69">
        <v>0.39288125282828512</v>
      </c>
      <c r="I119" s="69">
        <v>0.43488918688987899</v>
      </c>
      <c r="J119" s="69">
        <v>0.3492833517089306</v>
      </c>
      <c r="K119" s="69">
        <v>0.61328630217519109</v>
      </c>
      <c r="L119" s="69">
        <v>0.42473525651541072</v>
      </c>
    </row>
    <row r="120" spans="1:12" x14ac:dyDescent="0.25">
      <c r="A120" t="s">
        <v>592</v>
      </c>
      <c r="B120" s="69">
        <v>0.73777777777777775</v>
      </c>
      <c r="C120" s="69">
        <v>0.75794871794871799</v>
      </c>
      <c r="D120" s="69">
        <v>0.69904761904761903</v>
      </c>
      <c r="E120" s="69">
        <v>0.96296296296296291</v>
      </c>
      <c r="F120" s="69">
        <v>0.76529680365296804</v>
      </c>
      <c r="G120" s="70">
        <f t="shared" si="2"/>
        <v>0.81</v>
      </c>
      <c r="H120" s="69">
        <v>0.3772754067855596</v>
      </c>
      <c r="I120" s="69">
        <v>0.42623754524087609</v>
      </c>
      <c r="J120" s="69">
        <v>0.43160602719588392</v>
      </c>
      <c r="K120" s="69">
        <v>0.61140505584950033</v>
      </c>
      <c r="L120" s="69">
        <v>0.42968739985283977</v>
      </c>
    </row>
    <row r="121" spans="1:12" x14ac:dyDescent="0.25">
      <c r="A121" t="s">
        <v>593</v>
      </c>
      <c r="B121" s="69">
        <v>0.73444444444444446</v>
      </c>
      <c r="C121" s="69">
        <v>0.72197530864197534</v>
      </c>
      <c r="D121" s="69">
        <v>0.80761904761904757</v>
      </c>
      <c r="E121" s="69">
        <v>0.94518518518518524</v>
      </c>
      <c r="F121" s="69">
        <v>0.76936936936936939</v>
      </c>
      <c r="G121" s="70">
        <f t="shared" si="2"/>
        <v>0.81</v>
      </c>
      <c r="H121" s="69">
        <v>0.37557084922478151</v>
      </c>
      <c r="I121" s="69">
        <v>0.41269706849585747</v>
      </c>
      <c r="J121" s="69">
        <v>0.49864020580668877</v>
      </c>
      <c r="K121" s="69">
        <v>0.60011757789535569</v>
      </c>
      <c r="L121" s="69">
        <v>0.43454920608267122</v>
      </c>
    </row>
    <row r="122" spans="1:12" x14ac:dyDescent="0.25">
      <c r="A122" t="s">
        <v>594</v>
      </c>
      <c r="B122" s="69">
        <v>0.74555555555555553</v>
      </c>
      <c r="C122" s="69">
        <v>0.78666666666666663</v>
      </c>
      <c r="D122" s="69">
        <v>0.78476190476190477</v>
      </c>
      <c r="E122" s="69">
        <v>0.93925925925925924</v>
      </c>
      <c r="F122" s="69">
        <v>0.79146666666666665</v>
      </c>
      <c r="G122" s="70">
        <f t="shared" si="2"/>
        <v>0.81</v>
      </c>
      <c r="H122" s="69">
        <v>0.38125270776070858</v>
      </c>
      <c r="I122" s="69">
        <v>0.45666265842904724</v>
      </c>
      <c r="J122" s="69">
        <v>0.48452774715178248</v>
      </c>
      <c r="K122" s="69">
        <v>0.59635508524397418</v>
      </c>
      <c r="L122" s="69">
        <v>0.44963906163600142</v>
      </c>
    </row>
    <row r="123" spans="1:12" x14ac:dyDescent="0.25">
      <c r="A123" t="s">
        <v>595</v>
      </c>
      <c r="B123" s="69">
        <v>0.88111111111111107</v>
      </c>
      <c r="C123" s="69">
        <v>0.62952380952380949</v>
      </c>
      <c r="D123" s="69">
        <v>0.72761904761904761</v>
      </c>
      <c r="E123" s="69">
        <v>0.93333333333333335</v>
      </c>
      <c r="F123" s="69">
        <v>0.76480000000000004</v>
      </c>
      <c r="G123" s="70">
        <f t="shared" si="2"/>
        <v>0.81</v>
      </c>
      <c r="H123" s="69">
        <v>0.45057138189901924</v>
      </c>
      <c r="I123" s="69">
        <v>0.36544069881549668</v>
      </c>
      <c r="J123" s="69">
        <v>0.44924660051451676</v>
      </c>
      <c r="K123" s="69">
        <v>0.59259259259259256</v>
      </c>
      <c r="L123" s="69">
        <v>0.43448949756470762</v>
      </c>
    </row>
    <row r="124" spans="1:12" x14ac:dyDescent="0.25">
      <c r="A124" t="s">
        <v>596</v>
      </c>
      <c r="B124" s="69">
        <v>0.83846153846153848</v>
      </c>
      <c r="C124" s="69">
        <v>0.6791666666666667</v>
      </c>
      <c r="D124" s="69">
        <v>0.92777777777777781</v>
      </c>
      <c r="E124" s="69">
        <v>0.8606060606060606</v>
      </c>
      <c r="F124" s="69">
        <v>0.79176954732510285</v>
      </c>
      <c r="G124" s="70">
        <f t="shared" si="2"/>
        <v>0.81</v>
      </c>
      <c r="H124" s="69">
        <v>0.44550712198311987</v>
      </c>
      <c r="I124" s="69">
        <v>0.41607637426452759</v>
      </c>
      <c r="J124" s="69">
        <v>0.53849254332930285</v>
      </c>
      <c r="K124" s="69">
        <v>0.58526532715095325</v>
      </c>
      <c r="L124" s="69">
        <v>0.46467705669108395</v>
      </c>
    </row>
    <row r="125" spans="1:12" x14ac:dyDescent="0.25">
      <c r="A125" t="s">
        <v>597</v>
      </c>
      <c r="B125" s="69">
        <v>0.68615384615384611</v>
      </c>
      <c r="C125" s="69">
        <v>0.78166666666666662</v>
      </c>
      <c r="D125" s="69">
        <v>0.90222222222222226</v>
      </c>
      <c r="E125" s="69">
        <v>0.92606060606060603</v>
      </c>
      <c r="F125" s="69">
        <v>0.78847736625514409</v>
      </c>
      <c r="G125" s="70">
        <f t="shared" si="2"/>
        <v>0.81</v>
      </c>
      <c r="H125" s="38">
        <v>0.36458014019169072</v>
      </c>
      <c r="I125" s="38">
        <v>0.47887072277316178</v>
      </c>
      <c r="J125" s="38">
        <v>0.52365981459089084</v>
      </c>
      <c r="K125" s="38">
        <v>0.62977846470891308</v>
      </c>
      <c r="L125" s="38">
        <v>0.46274492755723329</v>
      </c>
    </row>
    <row r="126" spans="1:12" x14ac:dyDescent="0.25">
      <c r="A126" t="s">
        <v>597</v>
      </c>
      <c r="B126" s="69">
        <v>0.84717948717948721</v>
      </c>
      <c r="C126" s="69">
        <v>0.7587096774193548</v>
      </c>
      <c r="D126" s="69">
        <v>0.78222222222222226</v>
      </c>
      <c r="E126" s="69">
        <v>0.93333333333333335</v>
      </c>
      <c r="F126" s="69">
        <v>0.81499999999999995</v>
      </c>
      <c r="G126" s="70">
        <f t="shared" si="2"/>
        <v>0.81</v>
      </c>
      <c r="H126" s="69">
        <v>0.45013930612606362</v>
      </c>
      <c r="I126" s="69">
        <v>0.45907014872935936</v>
      </c>
      <c r="J126" s="69">
        <v>0.45401047964530439</v>
      </c>
      <c r="K126" s="69">
        <v>0.63472436888201966</v>
      </c>
      <c r="L126" s="69">
        <v>0.47585336126174127</v>
      </c>
    </row>
    <row r="127" spans="1:12" x14ac:dyDescent="0.25">
      <c r="A127" t="s">
        <v>598</v>
      </c>
      <c r="B127" s="69">
        <v>0.71802469135802471</v>
      </c>
      <c r="C127" s="69">
        <v>0.75440860215053762</v>
      </c>
      <c r="D127" s="69">
        <v>0.91111111111111109</v>
      </c>
      <c r="E127" s="69">
        <v>1.0133333333333334</v>
      </c>
      <c r="F127" s="69">
        <v>0.79800000000000004</v>
      </c>
      <c r="G127" s="70">
        <f t="shared" si="2"/>
        <v>0.81</v>
      </c>
      <c r="H127" s="38">
        <v>0.38825359314815189</v>
      </c>
      <c r="I127" s="38">
        <v>0.45646771024449906</v>
      </c>
      <c r="J127" s="38">
        <v>0.52881902458686025</v>
      </c>
      <c r="K127" s="38">
        <v>0.66776496430532672</v>
      </c>
      <c r="L127" s="38">
        <v>0.46592758562806075</v>
      </c>
    </row>
    <row r="128" spans="1:12" ht="15.75" thickBot="1" x14ac:dyDescent="0.3">
      <c r="A128" t="s">
        <v>599</v>
      </c>
      <c r="B128" s="69">
        <v>0.64987654320987653</v>
      </c>
      <c r="C128" s="69">
        <v>0.80516129032258066</v>
      </c>
      <c r="D128" s="69">
        <v>0.80888888888888888</v>
      </c>
      <c r="E128" s="69">
        <v>0.6</v>
      </c>
      <c r="F128" s="69">
        <v>0.72766666666666668</v>
      </c>
      <c r="G128" s="70">
        <f t="shared" si="2"/>
        <v>0.81</v>
      </c>
      <c r="H128" s="69">
        <v>0.35140421498140845</v>
      </c>
      <c r="I128" s="69">
        <v>0.48717648436585076</v>
      </c>
      <c r="J128" s="69">
        <v>0.46948810963321247</v>
      </c>
      <c r="K128" s="69">
        <v>0.39538714991762769</v>
      </c>
      <c r="L128" s="69">
        <v>0.42486212173185323</v>
      </c>
    </row>
    <row r="129" spans="1:14" ht="15.75" thickBot="1" x14ac:dyDescent="0.3">
      <c r="A129" s="1776" t="s">
        <v>600</v>
      </c>
      <c r="B129" s="1777"/>
      <c r="C129" s="1777"/>
      <c r="D129" s="1777"/>
      <c r="E129" s="1777"/>
      <c r="F129" s="1777"/>
      <c r="G129" s="1777"/>
      <c r="H129" s="1777"/>
      <c r="I129" s="1777"/>
      <c r="J129" s="1777"/>
      <c r="K129" s="1777"/>
      <c r="L129" s="1778"/>
    </row>
    <row r="130" spans="1:14" x14ac:dyDescent="0.25">
      <c r="A130" t="s">
        <v>601</v>
      </c>
      <c r="B130" s="69">
        <v>0.68906666666666672</v>
      </c>
      <c r="C130" s="69">
        <v>0.75935353535353534</v>
      </c>
      <c r="D130" s="69">
        <v>0.7088888888888889</v>
      </c>
      <c r="E130" s="69">
        <v>0.77866666666666662</v>
      </c>
      <c r="F130" s="69">
        <v>0.73223333333333329</v>
      </c>
      <c r="G130" s="69">
        <f>G128</f>
        <v>0.81</v>
      </c>
      <c r="H130" s="69">
        <v>0.34499562747414875</v>
      </c>
      <c r="I130" s="69">
        <v>0.47072672853189063</v>
      </c>
      <c r="J130" s="69">
        <v>0.4216439487814953</v>
      </c>
      <c r="K130" s="69">
        <v>0.49675704412546517</v>
      </c>
      <c r="L130" s="69">
        <v>0.42137772118997402</v>
      </c>
      <c r="M130" s="207">
        <f>60/L130</f>
        <v>142.39006236627679</v>
      </c>
      <c r="N130" s="94">
        <v>140</v>
      </c>
    </row>
    <row r="131" spans="1:14" x14ac:dyDescent="0.25">
      <c r="A131" t="s">
        <v>602</v>
      </c>
      <c r="B131" s="69">
        <v>0.53866666666666663</v>
      </c>
      <c r="C131" s="69">
        <v>0.76444444444444448</v>
      </c>
      <c r="D131" s="69">
        <v>0.88444444444444448</v>
      </c>
      <c r="E131" s="69">
        <v>0.67466666666666664</v>
      </c>
      <c r="F131" s="69">
        <v>0.70066666666666666</v>
      </c>
      <c r="G131" s="69">
        <f t="shared" ref="G131:G169" si="3">G130</f>
        <v>0.81</v>
      </c>
      <c r="H131" s="69">
        <v>0.26969472426384694</v>
      </c>
      <c r="I131" s="69">
        <v>0.47388260635433493</v>
      </c>
      <c r="J131" s="69">
        <v>0.52606361007848002</v>
      </c>
      <c r="K131" s="69">
        <v>0.43040935672514619</v>
      </c>
      <c r="L131" s="69">
        <v>0.40321207718000918</v>
      </c>
      <c r="M131" s="207">
        <f t="shared" ref="M131:M145" si="4">60/L131</f>
        <v>148.80506660323502</v>
      </c>
      <c r="N131" s="94">
        <f>N130</f>
        <v>140</v>
      </c>
    </row>
    <row r="132" spans="1:14" x14ac:dyDescent="0.25">
      <c r="A132" t="s">
        <v>603</v>
      </c>
      <c r="B132" s="69">
        <v>0.51733333333333331</v>
      </c>
      <c r="C132" s="69">
        <v>0.81858585858585864</v>
      </c>
      <c r="D132" s="69">
        <v>0.86</v>
      </c>
      <c r="E132" s="69">
        <v>0.53600000000000003</v>
      </c>
      <c r="F132" s="69">
        <v>0.69533333333333336</v>
      </c>
      <c r="G132" s="69">
        <f t="shared" si="3"/>
        <v>0.81</v>
      </c>
      <c r="H132" s="69">
        <v>0.25901374508508074</v>
      </c>
      <c r="I132" s="69">
        <v>0.50744511652953628</v>
      </c>
      <c r="J132" s="69">
        <v>0.51152416356877328</v>
      </c>
      <c r="K132" s="69">
        <v>0.34194577352472089</v>
      </c>
      <c r="L132" s="69">
        <v>0.4001429081814934</v>
      </c>
      <c r="M132" s="207">
        <f t="shared" si="4"/>
        <v>149.94642857142858</v>
      </c>
      <c r="N132" s="94">
        <f t="shared" ref="N132:N168" si="5">N131</f>
        <v>140</v>
      </c>
    </row>
    <row r="133" spans="1:14" x14ac:dyDescent="0.25">
      <c r="A133" t="s">
        <v>604</v>
      </c>
      <c r="B133" s="69">
        <v>0.67142857142857137</v>
      </c>
      <c r="C133" s="69">
        <v>0.81</v>
      </c>
      <c r="D133" s="69">
        <v>0.73611111111111116</v>
      </c>
      <c r="E133" s="69">
        <v>0.6</v>
      </c>
      <c r="F133" s="69">
        <v>0.73101851851851851</v>
      </c>
      <c r="G133" s="69">
        <f t="shared" si="3"/>
        <v>0.81</v>
      </c>
      <c r="H133" s="69">
        <v>0.3138005474818063</v>
      </c>
      <c r="I133" s="69">
        <v>0.47896873891276071</v>
      </c>
      <c r="J133" s="69">
        <v>0.43247654018767856</v>
      </c>
      <c r="K133" s="69">
        <v>0.36180904522613072</v>
      </c>
      <c r="L133" s="69">
        <v>0.40172903770757484</v>
      </c>
      <c r="M133" s="207">
        <f t="shared" si="4"/>
        <v>149.35440151994933</v>
      </c>
      <c r="N133" s="94">
        <f t="shared" si="5"/>
        <v>140</v>
      </c>
    </row>
    <row r="134" spans="1:14" x14ac:dyDescent="0.25">
      <c r="A134" t="s">
        <v>605</v>
      </c>
      <c r="B134" s="69">
        <v>0.84317460317460313</v>
      </c>
      <c r="C134" s="69">
        <v>0.8275555555555556</v>
      </c>
      <c r="D134" s="69">
        <v>0.76</v>
      </c>
      <c r="E134" s="69">
        <v>0.80296296296296299</v>
      </c>
      <c r="F134" s="69">
        <v>0.81777777777777783</v>
      </c>
      <c r="G134" s="69">
        <f t="shared" si="3"/>
        <v>0.81</v>
      </c>
      <c r="H134" s="69">
        <v>0.39406820525374825</v>
      </c>
      <c r="I134" s="69">
        <v>0.48934968003048579</v>
      </c>
      <c r="J134" s="69">
        <v>0.44651162790697679</v>
      </c>
      <c r="K134" s="69">
        <v>0.48419877163595759</v>
      </c>
      <c r="L134" s="69">
        <v>0.44940732881992412</v>
      </c>
      <c r="M134" s="207">
        <f t="shared" si="4"/>
        <v>133.50917119565219</v>
      </c>
      <c r="N134" s="94">
        <f t="shared" si="5"/>
        <v>140</v>
      </c>
    </row>
    <row r="135" spans="1:14" x14ac:dyDescent="0.25">
      <c r="A135" t="s">
        <v>606</v>
      </c>
      <c r="B135" s="69">
        <v>0.72133333333333338</v>
      </c>
      <c r="C135" s="69">
        <v>0.87888888888888894</v>
      </c>
      <c r="D135" s="69">
        <v>0.57523809523809522</v>
      </c>
      <c r="E135" s="69">
        <v>0.93333333333333335</v>
      </c>
      <c r="F135" s="69">
        <v>0.77333333333333332</v>
      </c>
      <c r="G135" s="69">
        <f t="shared" si="3"/>
        <v>0.81</v>
      </c>
      <c r="H135" s="69">
        <v>0.32107063108776779</v>
      </c>
      <c r="I135" s="69">
        <v>0.46631589807077267</v>
      </c>
      <c r="J135" s="69">
        <v>0.37588486970050572</v>
      </c>
      <c r="K135" s="69">
        <v>0.55617628801986352</v>
      </c>
      <c r="L135" s="69">
        <v>0.40826447603125976</v>
      </c>
      <c r="M135" s="207">
        <f t="shared" si="4"/>
        <v>146.9635579937304</v>
      </c>
      <c r="N135" s="94">
        <f t="shared" si="5"/>
        <v>140</v>
      </c>
    </row>
    <row r="136" spans="1:14" x14ac:dyDescent="0.25">
      <c r="A136" t="s">
        <v>607</v>
      </c>
      <c r="B136" s="69">
        <v>0.72799999999999998</v>
      </c>
      <c r="C136" s="69">
        <v>0.9244444444444444</v>
      </c>
      <c r="D136" s="69">
        <v>0.75238095238095237</v>
      </c>
      <c r="E136" s="69">
        <v>0.88666666666666671</v>
      </c>
      <c r="F136" s="69">
        <v>0.82383838383838381</v>
      </c>
      <c r="G136" s="69">
        <f t="shared" si="3"/>
        <v>0.81</v>
      </c>
      <c r="H136" s="69">
        <v>0.32403801215142553</v>
      </c>
      <c r="I136" s="69">
        <v>0.49048650719959908</v>
      </c>
      <c r="J136" s="69">
        <v>0.49163749513807864</v>
      </c>
      <c r="K136" s="69">
        <v>0.52836747361887038</v>
      </c>
      <c r="L136" s="69">
        <v>0.43492751652441936</v>
      </c>
      <c r="M136" s="207">
        <f t="shared" si="4"/>
        <v>137.95402157920549</v>
      </c>
      <c r="N136" s="94">
        <f t="shared" si="5"/>
        <v>140</v>
      </c>
    </row>
    <row r="137" spans="1:14" x14ac:dyDescent="0.25">
      <c r="A137" t="s">
        <v>608</v>
      </c>
      <c r="B137" s="69">
        <v>0.65454545454545454</v>
      </c>
      <c r="C137" s="69">
        <v>0.88717948717948714</v>
      </c>
      <c r="D137" s="69">
        <v>0.88</v>
      </c>
      <c r="E137" s="69">
        <v>0.90666666666666662</v>
      </c>
      <c r="F137" s="69">
        <v>0.81294117647058828</v>
      </c>
      <c r="G137" s="69">
        <f t="shared" si="3"/>
        <v>0.81</v>
      </c>
      <c r="H137" s="69">
        <v>0.3204771548750362</v>
      </c>
      <c r="I137" s="69">
        <v>0.48834878830221168</v>
      </c>
      <c r="J137" s="69">
        <v>0.54362934362934368</v>
      </c>
      <c r="K137" s="69">
        <v>0.54028553693358172</v>
      </c>
      <c r="L137" s="69">
        <v>0.44217986353855876</v>
      </c>
      <c r="M137" s="207">
        <f t="shared" si="4"/>
        <v>135.69138929088277</v>
      </c>
      <c r="N137" s="94">
        <f t="shared" si="5"/>
        <v>140</v>
      </c>
    </row>
    <row r="138" spans="1:14" x14ac:dyDescent="0.25">
      <c r="A138" t="s">
        <v>609</v>
      </c>
      <c r="B138" s="69">
        <v>0.62545454545454549</v>
      </c>
      <c r="C138" s="69">
        <v>0.87076923076923074</v>
      </c>
      <c r="D138" s="69">
        <v>0.7911111111111111</v>
      </c>
      <c r="E138" s="69">
        <v>0.83333333333333337</v>
      </c>
      <c r="F138" s="69">
        <v>0.77294117647058824</v>
      </c>
      <c r="G138" s="69">
        <f t="shared" si="3"/>
        <v>0.81</v>
      </c>
      <c r="H138" s="69">
        <v>0.30623372576947905</v>
      </c>
      <c r="I138" s="69">
        <v>0.4793157471313037</v>
      </c>
      <c r="J138" s="69">
        <v>0.48871728871728881</v>
      </c>
      <c r="K138" s="69">
        <v>0.49658597144630667</v>
      </c>
      <c r="L138" s="69">
        <v>0.42042282249614055</v>
      </c>
      <c r="M138" s="207">
        <f t="shared" si="4"/>
        <v>142.71347031963469</v>
      </c>
      <c r="N138" s="94">
        <f t="shared" si="5"/>
        <v>140</v>
      </c>
    </row>
    <row r="139" spans="1:14" x14ac:dyDescent="0.25">
      <c r="A139" s="208" t="s">
        <v>610</v>
      </c>
      <c r="B139" s="69">
        <v>0.74399999999999999</v>
      </c>
      <c r="C139" s="69">
        <v>0.79311827956989245</v>
      </c>
      <c r="D139" s="69">
        <v>0.86222222222222222</v>
      </c>
      <c r="E139" s="69">
        <v>0.93666666666666665</v>
      </c>
      <c r="F139" s="69">
        <v>0.80713615023474183</v>
      </c>
      <c r="G139" s="69">
        <f t="shared" si="3"/>
        <v>0.81</v>
      </c>
      <c r="H139" s="69">
        <v>0.34658654182097692</v>
      </c>
      <c r="I139" s="69">
        <v>0.47070235223545326</v>
      </c>
      <c r="J139" s="69">
        <v>0.53264693264693275</v>
      </c>
      <c r="K139" s="69">
        <v>0.55816263190564874</v>
      </c>
      <c r="L139" s="69">
        <v>0.4476488799664628</v>
      </c>
      <c r="M139" s="207">
        <f t="shared" si="4"/>
        <v>134.03362028850628</v>
      </c>
      <c r="N139" s="94">
        <f t="shared" si="5"/>
        <v>140</v>
      </c>
    </row>
    <row r="140" spans="1:14" x14ac:dyDescent="0.25">
      <c r="A140" t="s">
        <v>611</v>
      </c>
      <c r="B140" s="69">
        <v>0.71833333333333338</v>
      </c>
      <c r="C140" s="69">
        <v>0.83763440860215055</v>
      </c>
      <c r="D140" s="69">
        <v>0.81666666666666665</v>
      </c>
      <c r="E140" s="69">
        <v>0.99583333333333335</v>
      </c>
      <c r="F140" s="69">
        <v>0.8183098591549296</v>
      </c>
      <c r="G140" s="69">
        <f t="shared" si="3"/>
        <v>0.81</v>
      </c>
      <c r="H140" s="69">
        <v>0.33462992725098806</v>
      </c>
      <c r="I140" s="69">
        <v>0.49712192569335428</v>
      </c>
      <c r="J140" s="69">
        <v>0.50450450450450457</v>
      </c>
      <c r="K140" s="69">
        <v>0.59342023587833648</v>
      </c>
      <c r="L140" s="69">
        <v>0.4538459735816337</v>
      </c>
      <c r="M140" s="207">
        <f t="shared" si="4"/>
        <v>132.20344234079172</v>
      </c>
      <c r="N140" s="94">
        <f t="shared" si="5"/>
        <v>140</v>
      </c>
    </row>
    <row r="141" spans="1:14" x14ac:dyDescent="0.25">
      <c r="A141" t="s">
        <v>612</v>
      </c>
      <c r="B141" s="69">
        <v>0.73833333333333329</v>
      </c>
      <c r="C141" s="69">
        <v>0.73750000000000004</v>
      </c>
      <c r="D141" s="69">
        <v>0.65384615384615385</v>
      </c>
      <c r="E141" s="69">
        <v>0.89166666666666672</v>
      </c>
      <c r="F141" s="69">
        <v>0.73972602739726023</v>
      </c>
      <c r="G141" s="69">
        <f t="shared" si="3"/>
        <v>0.81</v>
      </c>
      <c r="H141" s="69">
        <v>0.34394676977305733</v>
      </c>
      <c r="I141" s="69">
        <v>0.43117623415061934</v>
      </c>
      <c r="J141" s="69">
        <v>0.4062126642771805</v>
      </c>
      <c r="K141" s="69">
        <v>0.53134698944754821</v>
      </c>
      <c r="L141" s="69">
        <v>0.40903822992493394</v>
      </c>
      <c r="M141" s="207">
        <f t="shared" si="4"/>
        <v>146.68555555555554</v>
      </c>
      <c r="N141" s="94">
        <f t="shared" si="5"/>
        <v>140</v>
      </c>
    </row>
    <row r="142" spans="1:14" x14ac:dyDescent="0.25">
      <c r="A142" t="s">
        <v>613</v>
      </c>
      <c r="B142" s="69">
        <v>0.74</v>
      </c>
      <c r="C142" s="69">
        <v>0.75666666666666671</v>
      </c>
      <c r="D142" s="69">
        <v>0.73641025641025637</v>
      </c>
      <c r="E142" s="69">
        <v>0.83</v>
      </c>
      <c r="F142" s="69">
        <v>0.75652968036529677</v>
      </c>
      <c r="G142" s="69">
        <f t="shared" si="3"/>
        <v>0.81</v>
      </c>
      <c r="H142" s="69">
        <v>0.3447231733165631</v>
      </c>
      <c r="I142" s="69">
        <v>0.44238194419069193</v>
      </c>
      <c r="J142" s="69">
        <v>0.45750696933492641</v>
      </c>
      <c r="K142" s="69">
        <v>0.49459962756052145</v>
      </c>
      <c r="L142" s="69">
        <v>0.41832996255532751</v>
      </c>
      <c r="M142" s="207">
        <f t="shared" si="4"/>
        <v>143.42745050700142</v>
      </c>
      <c r="N142" s="94">
        <f t="shared" si="5"/>
        <v>140</v>
      </c>
    </row>
    <row r="143" spans="1:14" x14ac:dyDescent="0.25">
      <c r="A143" t="s">
        <v>614</v>
      </c>
      <c r="B143" s="69">
        <v>0.7466666666666667</v>
      </c>
      <c r="C143" s="69">
        <v>0.77333333333333332</v>
      </c>
      <c r="D143" s="69">
        <v>0.72820512820512817</v>
      </c>
      <c r="E143" s="69">
        <v>0.96333333333333337</v>
      </c>
      <c r="F143" s="69">
        <v>0.77888888888888885</v>
      </c>
      <c r="G143" s="69">
        <f t="shared" si="3"/>
        <v>0.81</v>
      </c>
      <c r="H143" s="69">
        <v>0.34782878749058616</v>
      </c>
      <c r="I143" s="69">
        <v>0.45460866487149337</v>
      </c>
      <c r="J143" s="69">
        <v>0.45240939864595786</v>
      </c>
      <c r="K143" s="69">
        <v>0.57405338299193054</v>
      </c>
      <c r="L143" s="69">
        <v>0.4313282109262635</v>
      </c>
      <c r="M143" s="207">
        <f t="shared" si="4"/>
        <v>139.1052068473609</v>
      </c>
      <c r="N143" s="94">
        <f t="shared" si="5"/>
        <v>140</v>
      </c>
    </row>
    <row r="144" spans="1:14" x14ac:dyDescent="0.25">
      <c r="A144" s="208" t="s">
        <v>615</v>
      </c>
      <c r="B144" s="69">
        <v>0.68833333333333335</v>
      </c>
      <c r="C144" s="69">
        <v>0.81182795698924726</v>
      </c>
      <c r="D144" s="69">
        <v>0.82307692307692304</v>
      </c>
      <c r="E144" s="69">
        <v>0.72499999999999998</v>
      </c>
      <c r="F144" s="69">
        <v>0.76990740740740737</v>
      </c>
      <c r="G144" s="69">
        <f t="shared" si="3"/>
        <v>0.81</v>
      </c>
      <c r="H144" s="69">
        <v>0.31</v>
      </c>
      <c r="I144" s="69">
        <v>0.47723796159340592</v>
      </c>
      <c r="J144" s="69">
        <v>0.49</v>
      </c>
      <c r="K144" s="69">
        <v>0.47</v>
      </c>
      <c r="L144" s="69">
        <v>0.42</v>
      </c>
      <c r="M144" s="207">
        <f t="shared" si="4"/>
        <v>142.85714285714286</v>
      </c>
      <c r="N144" s="94">
        <f t="shared" si="5"/>
        <v>140</v>
      </c>
    </row>
    <row r="145" spans="1:14" x14ac:dyDescent="0.25">
      <c r="A145" t="s">
        <v>616</v>
      </c>
      <c r="B145" s="69">
        <v>0.55492063492063493</v>
      </c>
      <c r="C145" s="69">
        <v>0.85333333333333339</v>
      </c>
      <c r="D145" s="69">
        <v>0.93111111111111111</v>
      </c>
      <c r="E145" s="69">
        <v>0.95</v>
      </c>
      <c r="F145" s="69">
        <v>0.79086757990867584</v>
      </c>
      <c r="G145" s="69">
        <f t="shared" si="3"/>
        <v>0.81</v>
      </c>
      <c r="H145" s="69">
        <v>0.25934910496368674</v>
      </c>
      <c r="I145" s="69">
        <v>0.49889769917540588</v>
      </c>
      <c r="J145" s="69">
        <v>0.53397052966945446</v>
      </c>
      <c r="K145" s="69">
        <v>0.61167002012072447</v>
      </c>
      <c r="L145" s="69">
        <v>0.43402973554758667</v>
      </c>
      <c r="M145" s="207">
        <f t="shared" si="4"/>
        <v>138.239376443418</v>
      </c>
      <c r="N145" s="94">
        <f t="shared" si="5"/>
        <v>140</v>
      </c>
    </row>
    <row r="146" spans="1:14" x14ac:dyDescent="0.25">
      <c r="A146" t="s">
        <v>617</v>
      </c>
      <c r="B146" s="69">
        <v>0.65396825396825398</v>
      </c>
      <c r="C146" s="69">
        <v>0.77333333333333332</v>
      </c>
      <c r="D146" s="69">
        <v>0.82222222222222219</v>
      </c>
      <c r="E146" s="69">
        <v>0.91666666666666663</v>
      </c>
      <c r="F146" s="69">
        <v>0.76288288288288286</v>
      </c>
      <c r="G146" s="69">
        <f t="shared" si="3"/>
        <v>0.81</v>
      </c>
      <c r="H146" s="69">
        <v>0.30564024955674751</v>
      </c>
      <c r="I146" s="69">
        <v>0.45788925969785049</v>
      </c>
      <c r="J146" s="69">
        <v>0.47152528872958988</v>
      </c>
      <c r="K146" s="69">
        <v>0.59020791415157614</v>
      </c>
      <c r="L146" s="69">
        <v>0.42124009143118663</v>
      </c>
      <c r="M146" s="207">
        <f t="shared" ref="M146:M168" si="6">60/L146</f>
        <v>142.43658478979688</v>
      </c>
      <c r="N146" s="94">
        <f t="shared" si="5"/>
        <v>140</v>
      </c>
    </row>
    <row r="147" spans="1:14" x14ac:dyDescent="0.25">
      <c r="A147" t="s">
        <v>618</v>
      </c>
      <c r="B147" s="69">
        <v>0.65396825396825398</v>
      </c>
      <c r="C147" s="69">
        <v>0.77333333333333332</v>
      </c>
      <c r="D147" s="69">
        <v>0.82222222222222219</v>
      </c>
      <c r="E147" s="69">
        <v>0.91666666666666663</v>
      </c>
      <c r="F147" s="69">
        <v>0.76288288288288286</v>
      </c>
      <c r="G147" s="69">
        <f t="shared" si="3"/>
        <v>0.81</v>
      </c>
      <c r="H147" s="69">
        <v>0.30564024955674751</v>
      </c>
      <c r="I147" s="69">
        <v>0.45788925969785049</v>
      </c>
      <c r="J147" s="69">
        <v>0.47152528872958988</v>
      </c>
      <c r="K147" s="69">
        <v>0.59020791415157614</v>
      </c>
      <c r="L147" s="69">
        <v>0.42124009143118663</v>
      </c>
      <c r="M147" s="207">
        <f t="shared" si="6"/>
        <v>142.43658478979688</v>
      </c>
      <c r="N147" s="94">
        <f t="shared" si="5"/>
        <v>140</v>
      </c>
    </row>
    <row r="148" spans="1:14" x14ac:dyDescent="0.25">
      <c r="A148" t="s">
        <v>619</v>
      </c>
      <c r="B148" s="69">
        <v>0.64727272727272722</v>
      </c>
      <c r="C148" s="69">
        <v>0.79529411764705882</v>
      </c>
      <c r="D148" s="69">
        <v>0.69111111111111112</v>
      </c>
      <c r="E148" s="69">
        <v>1.0033333333333334</v>
      </c>
      <c r="F148" s="69">
        <v>0.75789473684210529</v>
      </c>
      <c r="G148" s="69">
        <f t="shared" si="3"/>
        <v>0.81</v>
      </c>
      <c r="H148" s="69">
        <v>0.31691629759864692</v>
      </c>
      <c r="I148" s="69">
        <v>0.47661014559170867</v>
      </c>
      <c r="J148" s="69">
        <v>0.39633612106730393</v>
      </c>
      <c r="K148" s="69">
        <v>0.64600938967136157</v>
      </c>
      <c r="L148" s="69">
        <v>0.42661294503655095</v>
      </c>
      <c r="M148" s="207">
        <f t="shared" si="6"/>
        <v>140.64270833333333</v>
      </c>
      <c r="N148" s="94">
        <f t="shared" si="5"/>
        <v>140</v>
      </c>
    </row>
    <row r="149" spans="1:14" x14ac:dyDescent="0.25">
      <c r="A149" t="s">
        <v>620</v>
      </c>
      <c r="B149" s="69">
        <v>0.71768115942028987</v>
      </c>
      <c r="C149" s="69">
        <v>0.73166666666666669</v>
      </c>
      <c r="D149" s="69">
        <v>0.81555555555555559</v>
      </c>
      <c r="E149" s="69">
        <v>0.8833333333333333</v>
      </c>
      <c r="F149" s="69">
        <v>0.75697777777777775</v>
      </c>
      <c r="G149" s="69">
        <f t="shared" si="3"/>
        <v>0.81</v>
      </c>
      <c r="H149" s="69">
        <v>0.35936400119013934</v>
      </c>
      <c r="I149" s="69">
        <v>0.42009066877190465</v>
      </c>
      <c r="J149" s="69">
        <v>0.46770211071286349</v>
      </c>
      <c r="K149" s="69">
        <v>0.56874580818242793</v>
      </c>
      <c r="L149" s="69">
        <v>0.42049025925130418</v>
      </c>
      <c r="M149" s="207">
        <f t="shared" si="6"/>
        <v>142.69058243306716</v>
      </c>
      <c r="N149" s="94">
        <f t="shared" si="5"/>
        <v>140</v>
      </c>
    </row>
    <row r="150" spans="1:14" x14ac:dyDescent="0.25">
      <c r="A150" t="s">
        <v>621</v>
      </c>
      <c r="B150" s="69">
        <v>0.6005797101449275</v>
      </c>
      <c r="C150" s="69">
        <v>0.63</v>
      </c>
      <c r="D150" s="69">
        <v>0.9044444444444445</v>
      </c>
      <c r="E150" s="69">
        <v>0.87</v>
      </c>
      <c r="F150" s="69">
        <v>0.69048888888888893</v>
      </c>
      <c r="G150" s="69">
        <f t="shared" si="3"/>
        <v>0.81</v>
      </c>
      <c r="H150" s="69">
        <v>0.30072787175523774</v>
      </c>
      <c r="I150" s="69">
        <v>0.36171816126601353</v>
      </c>
      <c r="J150" s="69">
        <v>0.51867781760254883</v>
      </c>
      <c r="K150" s="69">
        <v>0.56016096579476871</v>
      </c>
      <c r="L150" s="69">
        <v>0.38355663854675093</v>
      </c>
      <c r="M150" s="207">
        <f t="shared" si="6"/>
        <v>156.43061277033985</v>
      </c>
      <c r="N150" s="94">
        <f t="shared" si="5"/>
        <v>140</v>
      </c>
    </row>
    <row r="151" spans="1:14" x14ac:dyDescent="0.25">
      <c r="A151" t="s">
        <v>622</v>
      </c>
      <c r="B151" s="69">
        <v>0.66666666666666663</v>
      </c>
      <c r="C151" s="69">
        <v>0.66083333333333338</v>
      </c>
      <c r="D151" s="69">
        <v>0.88888888888888884</v>
      </c>
      <c r="E151" s="69">
        <v>0.95</v>
      </c>
      <c r="F151" s="69">
        <v>0.72912280701754384</v>
      </c>
      <c r="G151" s="69">
        <f t="shared" si="3"/>
        <v>0.81</v>
      </c>
      <c r="H151" s="69">
        <v>0.34091151215562615</v>
      </c>
      <c r="I151" s="69">
        <v>0.37942129878829201</v>
      </c>
      <c r="J151" s="69">
        <v>0.5097570688968539</v>
      </c>
      <c r="K151" s="69">
        <v>0.61167002012072447</v>
      </c>
      <c r="L151" s="69">
        <v>0.40740005538523372</v>
      </c>
      <c r="M151" s="207">
        <f t="shared" si="6"/>
        <v>147.27538498556305</v>
      </c>
      <c r="N151" s="94">
        <f t="shared" si="5"/>
        <v>140</v>
      </c>
    </row>
    <row r="152" spans="1:14" x14ac:dyDescent="0.25">
      <c r="A152" t="s">
        <v>623</v>
      </c>
      <c r="B152" s="69">
        <v>0.71238095238095234</v>
      </c>
      <c r="C152" s="69">
        <v>0.73019607843137257</v>
      </c>
      <c r="D152" s="69">
        <v>0.89230769230769236</v>
      </c>
      <c r="E152" s="69">
        <v>1.1047619047619048</v>
      </c>
      <c r="F152" s="69">
        <v>0.78826666666666667</v>
      </c>
      <c r="G152" s="69">
        <f t="shared" si="3"/>
        <v>0.81</v>
      </c>
      <c r="H152" s="69">
        <v>0.34051851683244949</v>
      </c>
      <c r="I152" s="69">
        <v>0.43001812912091081</v>
      </c>
      <c r="J152" s="69">
        <v>0.52907639680729768</v>
      </c>
      <c r="K152" s="69">
        <v>0.67687819110138592</v>
      </c>
      <c r="L152" s="69">
        <v>0.43787078664168216</v>
      </c>
      <c r="M152" s="207">
        <f t="shared" si="6"/>
        <v>137.02672530446549</v>
      </c>
      <c r="N152" s="94">
        <f t="shared" si="5"/>
        <v>140</v>
      </c>
    </row>
    <row r="153" spans="1:14" x14ac:dyDescent="0.25">
      <c r="A153" t="s">
        <v>624</v>
      </c>
      <c r="B153" s="69">
        <v>0.75682539682539685</v>
      </c>
      <c r="C153" s="69">
        <v>0.77411764705882358</v>
      </c>
      <c r="D153" s="69">
        <v>0.87179487179487181</v>
      </c>
      <c r="E153" s="69">
        <v>1.0704761904761906</v>
      </c>
      <c r="F153" s="69">
        <v>0.81386666666666663</v>
      </c>
      <c r="G153" s="69">
        <f t="shared" si="3"/>
        <v>0.81</v>
      </c>
      <c r="H153" s="69">
        <v>0.36176298757957198</v>
      </c>
      <c r="I153" s="69">
        <v>0.45588388124848439</v>
      </c>
      <c r="J153" s="69">
        <v>0.51691372101862421</v>
      </c>
      <c r="K153" s="69">
        <v>0.65587162654996367</v>
      </c>
      <c r="L153" s="69">
        <v>0.45209121814290054</v>
      </c>
      <c r="M153" s="207">
        <f t="shared" si="6"/>
        <v>132.71657929226737</v>
      </c>
      <c r="N153" s="94">
        <f t="shared" si="5"/>
        <v>140</v>
      </c>
    </row>
    <row r="154" spans="1:14" x14ac:dyDescent="0.25">
      <c r="A154" t="s">
        <v>625</v>
      </c>
      <c r="B154" s="69">
        <v>0.75047619047619052</v>
      </c>
      <c r="C154" s="69">
        <v>0.7584313725490196</v>
      </c>
      <c r="D154" s="69">
        <v>0.93743589743589739</v>
      </c>
      <c r="E154" s="69">
        <v>1.0209523809523811</v>
      </c>
      <c r="F154" s="69">
        <v>0.81173333333333331</v>
      </c>
      <c r="G154" s="69">
        <f t="shared" si="3"/>
        <v>0.81</v>
      </c>
      <c r="H154" s="69">
        <v>0.35872806318712591</v>
      </c>
      <c r="I154" s="69">
        <v>0.44664611263149384</v>
      </c>
      <c r="J154" s="69">
        <v>0.5558342835423794</v>
      </c>
      <c r="K154" s="69">
        <v>0.62552881108679803</v>
      </c>
      <c r="L154" s="69">
        <v>0.45090618218446565</v>
      </c>
      <c r="M154" s="207">
        <f t="shared" si="6"/>
        <v>133.06537450722735</v>
      </c>
      <c r="N154" s="94">
        <f t="shared" si="5"/>
        <v>140</v>
      </c>
    </row>
    <row r="155" spans="1:14" x14ac:dyDescent="0.25">
      <c r="A155" t="s">
        <v>626</v>
      </c>
      <c r="B155" s="69">
        <v>0.64333333333333331</v>
      </c>
      <c r="C155" s="69">
        <v>0.75586206896551722</v>
      </c>
      <c r="D155" s="69">
        <v>1.1222222222222222</v>
      </c>
      <c r="E155" s="69">
        <v>0.78518518518518521</v>
      </c>
      <c r="F155" s="69">
        <v>0.78234234234234235</v>
      </c>
      <c r="G155" s="69">
        <f t="shared" si="3"/>
        <v>0.81</v>
      </c>
      <c r="H155" s="69">
        <v>0.32897960923017922</v>
      </c>
      <c r="I155" s="69">
        <v>0.41567110403155455</v>
      </c>
      <c r="J155" s="69">
        <v>0.64356829948227812</v>
      </c>
      <c r="K155" s="69">
        <v>0.52638112973308515</v>
      </c>
      <c r="L155" s="69">
        <v>0.43198499692825043</v>
      </c>
      <c r="M155" s="207">
        <f t="shared" si="6"/>
        <v>138.8937125748503</v>
      </c>
      <c r="N155" s="94">
        <f t="shared" si="5"/>
        <v>140</v>
      </c>
    </row>
    <row r="156" spans="1:14" x14ac:dyDescent="0.25">
      <c r="A156" t="s">
        <v>627</v>
      </c>
      <c r="B156" s="69">
        <v>0.72</v>
      </c>
      <c r="C156" s="69">
        <v>0.55632183908045973</v>
      </c>
      <c r="D156" s="69">
        <v>1.1022222222222222</v>
      </c>
      <c r="E156" s="69">
        <v>0.74370370370370376</v>
      </c>
      <c r="F156" s="69">
        <v>0.72072072072072069</v>
      </c>
      <c r="G156" s="69">
        <f t="shared" si="3"/>
        <v>0.81</v>
      </c>
      <c r="H156" s="69">
        <v>0.36818443312807625</v>
      </c>
      <c r="I156" s="69">
        <v>0.30306445755219097</v>
      </c>
      <c r="J156" s="69">
        <v>0.63209876543209886</v>
      </c>
      <c r="K156" s="69">
        <v>0.4985723153320919</v>
      </c>
      <c r="L156" s="69">
        <v>0.3964802466107134</v>
      </c>
      <c r="M156" s="207">
        <f t="shared" si="6"/>
        <v>151.331625</v>
      </c>
      <c r="N156" s="94">
        <f t="shared" si="5"/>
        <v>140</v>
      </c>
    </row>
    <row r="157" spans="1:14" x14ac:dyDescent="0.25">
      <c r="A157" t="s">
        <v>628</v>
      </c>
      <c r="B157" s="69">
        <v>0.70111111111111113</v>
      </c>
      <c r="C157" s="69">
        <v>0.63080459770114938</v>
      </c>
      <c r="D157" s="69">
        <v>1.1244444444444444</v>
      </c>
      <c r="E157" s="69">
        <v>0.7911111111111111</v>
      </c>
      <c r="F157" s="69">
        <v>0.75315315315315312</v>
      </c>
      <c r="G157" s="69">
        <f t="shared" si="3"/>
        <v>0.81</v>
      </c>
      <c r="H157" s="69">
        <v>0.35852527361700015</v>
      </c>
      <c r="I157" s="69">
        <v>0.34364002955504624</v>
      </c>
      <c r="J157" s="69">
        <v>0.64484269215452017</v>
      </c>
      <c r="K157" s="69">
        <v>0.5303538175046556</v>
      </c>
      <c r="L157" s="69">
        <v>0.41432185770819552</v>
      </c>
      <c r="M157" s="207">
        <f t="shared" si="6"/>
        <v>144.81495215311003</v>
      </c>
      <c r="N157" s="94">
        <f t="shared" si="5"/>
        <v>140</v>
      </c>
    </row>
    <row r="158" spans="1:14" x14ac:dyDescent="0.25">
      <c r="A158" t="s">
        <v>629</v>
      </c>
      <c r="B158" s="69">
        <v>0.62333333333333329</v>
      </c>
      <c r="C158" s="69">
        <v>0.66666666666666663</v>
      </c>
      <c r="D158" s="69">
        <v>0.70456140350877194</v>
      </c>
      <c r="E158" s="69">
        <v>0.73333333333333328</v>
      </c>
      <c r="F158" s="69">
        <v>0.67089430894308943</v>
      </c>
      <c r="G158" s="69">
        <f t="shared" si="3"/>
        <v>0.81</v>
      </c>
      <c r="H158" s="69">
        <v>0.31875226386551048</v>
      </c>
      <c r="I158" s="69">
        <v>0.36317641607493956</v>
      </c>
      <c r="J158" s="69">
        <v>0.47937928976424948</v>
      </c>
      <c r="K158" s="69">
        <v>0.50837666088965916</v>
      </c>
      <c r="L158" s="69">
        <v>0.38601242892660759</v>
      </c>
      <c r="M158" s="207">
        <f t="shared" si="6"/>
        <v>155.4354095976733</v>
      </c>
      <c r="N158" s="94">
        <f t="shared" si="5"/>
        <v>140</v>
      </c>
    </row>
    <row r="159" spans="1:14" x14ac:dyDescent="0.25">
      <c r="A159" t="s">
        <v>630</v>
      </c>
      <c r="B159" s="69">
        <v>0.7088888888888889</v>
      </c>
      <c r="C159" s="69">
        <v>0.52597701149425291</v>
      </c>
      <c r="D159" s="69">
        <v>0.90947368421052632</v>
      </c>
      <c r="E159" s="69">
        <v>0.81866666666666665</v>
      </c>
      <c r="F159" s="69">
        <v>0.70406504065040654</v>
      </c>
      <c r="G159" s="69">
        <f t="shared" si="3"/>
        <v>0.81</v>
      </c>
      <c r="H159" s="69">
        <v>0.36250257459214913</v>
      </c>
      <c r="I159" s="69">
        <v>0.28653366895843507</v>
      </c>
      <c r="J159" s="69">
        <v>0.61880035810205913</v>
      </c>
      <c r="K159" s="69">
        <v>0.56753321779318311</v>
      </c>
      <c r="L159" s="69">
        <v>0.40509787136505354</v>
      </c>
      <c r="M159" s="207">
        <f t="shared" si="6"/>
        <v>148.1123556581986</v>
      </c>
      <c r="N159" s="94">
        <f t="shared" si="5"/>
        <v>140</v>
      </c>
    </row>
    <row r="160" spans="1:14" x14ac:dyDescent="0.25">
      <c r="A160" t="s">
        <v>631</v>
      </c>
      <c r="B160" s="69">
        <v>0.7088888888888889</v>
      </c>
      <c r="C160" s="69">
        <v>0.61955555555555553</v>
      </c>
      <c r="D160" s="69">
        <v>0.85333333333333339</v>
      </c>
      <c r="E160" s="69">
        <v>0.80592592592592593</v>
      </c>
      <c r="F160" s="69">
        <v>0.72796934865900387</v>
      </c>
      <c r="G160" s="69">
        <f t="shared" si="3"/>
        <v>0.81</v>
      </c>
      <c r="H160" s="69">
        <v>0.34072323580264224</v>
      </c>
      <c r="I160" s="69">
        <v>0.36277992478952775</v>
      </c>
      <c r="J160" s="69">
        <v>0.58639942734430917</v>
      </c>
      <c r="K160" s="69">
        <v>0.50283073367995379</v>
      </c>
      <c r="L160" s="69">
        <v>0.42077196152815521</v>
      </c>
      <c r="M160" s="207">
        <f t="shared" si="6"/>
        <v>142.59505263157894</v>
      </c>
      <c r="N160" s="94">
        <f t="shared" si="5"/>
        <v>140</v>
      </c>
    </row>
    <row r="161" spans="1:14" x14ac:dyDescent="0.25">
      <c r="A161" t="s">
        <v>632</v>
      </c>
      <c r="B161" s="69">
        <v>0.74555555555555553</v>
      </c>
      <c r="C161" s="69">
        <v>0.67288888888888887</v>
      </c>
      <c r="D161" s="69">
        <v>0.89555555555555555</v>
      </c>
      <c r="E161" s="69">
        <v>0.79407407407407404</v>
      </c>
      <c r="F161" s="69">
        <v>0.76689655172413795</v>
      </c>
      <c r="G161" s="69">
        <f t="shared" si="3"/>
        <v>0.81</v>
      </c>
      <c r="H161" s="69">
        <v>0.35834685144760653</v>
      </c>
      <c r="I161" s="69">
        <v>0.39400918660785156</v>
      </c>
      <c r="J161" s="69">
        <v>0.61541398234311606</v>
      </c>
      <c r="K161" s="69">
        <v>0.4954361640670133</v>
      </c>
      <c r="L161" s="69">
        <v>0.44327218852355549</v>
      </c>
      <c r="M161" s="207">
        <f t="shared" si="6"/>
        <v>135.3570143884892</v>
      </c>
      <c r="N161" s="94">
        <f t="shared" si="5"/>
        <v>140</v>
      </c>
    </row>
    <row r="162" spans="1:14" x14ac:dyDescent="0.25">
      <c r="A162" t="s">
        <v>633</v>
      </c>
      <c r="B162" s="69">
        <v>0.67888888888888888</v>
      </c>
      <c r="C162" s="69">
        <v>0.72888888888888892</v>
      </c>
      <c r="D162" s="69">
        <v>0.9211111111111111</v>
      </c>
      <c r="E162" s="69">
        <v>0.98074074074074069</v>
      </c>
      <c r="F162" s="69">
        <v>0.79417624521072794</v>
      </c>
      <c r="G162" s="69">
        <f t="shared" si="3"/>
        <v>0.81</v>
      </c>
      <c r="H162" s="69">
        <v>0.32630391391130786</v>
      </c>
      <c r="I162" s="69">
        <v>0.42679991151709151</v>
      </c>
      <c r="J162" s="69">
        <v>0.63297542352660452</v>
      </c>
      <c r="K162" s="69">
        <v>0.61190063547082607</v>
      </c>
      <c r="L162" s="69">
        <v>0.45904006413450532</v>
      </c>
      <c r="M162" s="207">
        <f t="shared" si="6"/>
        <v>130.70754534928599</v>
      </c>
      <c r="N162" s="94">
        <f t="shared" si="5"/>
        <v>140</v>
      </c>
    </row>
    <row r="163" spans="1:14" x14ac:dyDescent="0.25">
      <c r="A163" t="s">
        <v>634</v>
      </c>
      <c r="B163" s="69">
        <v>0.71253333333333335</v>
      </c>
      <c r="C163" s="69">
        <v>0.75456790123456785</v>
      </c>
      <c r="D163" s="69">
        <v>0.86888888888888893</v>
      </c>
      <c r="E163" s="69">
        <v>0.91851851851851851</v>
      </c>
      <c r="F163" s="69">
        <v>0.79184313725490196</v>
      </c>
      <c r="G163" s="69">
        <f t="shared" si="3"/>
        <v>0.81</v>
      </c>
      <c r="H163" s="69">
        <v>0.33652604865269936</v>
      </c>
      <c r="I163" s="69">
        <v>0.41805173663834966</v>
      </c>
      <c r="J163" s="69">
        <v>0.56474836380049642</v>
      </c>
      <c r="K163" s="69">
        <v>0.57307914500288848</v>
      </c>
      <c r="L163" s="69">
        <v>0.43986398025491724</v>
      </c>
      <c r="M163" s="207">
        <f t="shared" si="6"/>
        <v>136.40580427892235</v>
      </c>
      <c r="N163" s="94">
        <f t="shared" si="5"/>
        <v>140</v>
      </c>
    </row>
    <row r="164" spans="1:14" x14ac:dyDescent="0.25">
      <c r="A164" t="s">
        <v>635</v>
      </c>
      <c r="B164" s="69">
        <v>0.74133333333333329</v>
      </c>
      <c r="C164" s="69">
        <v>0.76148148148148154</v>
      </c>
      <c r="D164" s="69">
        <v>0.97666666666666668</v>
      </c>
      <c r="E164" s="69">
        <v>0.90074074074074073</v>
      </c>
      <c r="F164" s="69">
        <v>0.83105882352941174</v>
      </c>
      <c r="G164" s="69">
        <f t="shared" si="3"/>
        <v>0.81</v>
      </c>
      <c r="H164" s="69">
        <v>0.35012814942159592</v>
      </c>
      <c r="I164" s="69">
        <v>0.42188205359707798</v>
      </c>
      <c r="J164" s="69">
        <v>0.63480027081922807</v>
      </c>
      <c r="K164" s="69">
        <v>0.56198729058347774</v>
      </c>
      <c r="L164" s="69">
        <v>0.46164805217720906</v>
      </c>
      <c r="M164" s="207">
        <f t="shared" si="6"/>
        <v>129.96913929784824</v>
      </c>
      <c r="N164" s="94">
        <f t="shared" si="5"/>
        <v>140</v>
      </c>
    </row>
    <row r="165" spans="1:14" x14ac:dyDescent="0.25">
      <c r="A165" t="s">
        <v>636</v>
      </c>
      <c r="B165" s="69">
        <v>0.72923076923076924</v>
      </c>
      <c r="C165" s="69">
        <v>0.76148148148148154</v>
      </c>
      <c r="D165" s="69">
        <v>0.82370370370370372</v>
      </c>
      <c r="E165" s="69">
        <v>0.94518518518518524</v>
      </c>
      <c r="F165" s="69">
        <v>0.78951310861423218</v>
      </c>
      <c r="G165" s="69">
        <f t="shared" si="3"/>
        <v>0.81</v>
      </c>
      <c r="H165" s="69">
        <v>0.35154729015630509</v>
      </c>
      <c r="I165" s="69">
        <v>0.41339928419190092</v>
      </c>
      <c r="J165" s="69">
        <v>0.55704445835942384</v>
      </c>
      <c r="K165" s="69">
        <v>0.63364369956548738</v>
      </c>
      <c r="L165" s="69">
        <v>0.44750992992266231</v>
      </c>
      <c r="M165" s="207">
        <f t="shared" si="6"/>
        <v>134.07523719165084</v>
      </c>
      <c r="N165" s="94">
        <f t="shared" si="5"/>
        <v>140</v>
      </c>
    </row>
    <row r="166" spans="1:14" x14ac:dyDescent="0.25">
      <c r="A166" t="s">
        <v>637</v>
      </c>
      <c r="B166" s="69">
        <v>0.6974358974358974</v>
      </c>
      <c r="C166" s="69">
        <v>0.77333333333333332</v>
      </c>
      <c r="D166" s="69">
        <v>0.90567901234567905</v>
      </c>
      <c r="E166" s="69">
        <v>0.86222222222222222</v>
      </c>
      <c r="F166" s="69">
        <v>0.8002996254681648</v>
      </c>
      <c r="G166" s="69">
        <f t="shared" si="3"/>
        <v>0.81</v>
      </c>
      <c r="H166" s="69">
        <v>0.33621963052923692</v>
      </c>
      <c r="I166" s="69">
        <v>0.41983351429605498</v>
      </c>
      <c r="J166" s="69">
        <v>0.58326376465911345</v>
      </c>
      <c r="K166" s="69">
        <v>0.57802607076350099</v>
      </c>
      <c r="L166" s="69">
        <v>0.44791856635873317</v>
      </c>
      <c r="M166" s="207">
        <f t="shared" si="6"/>
        <v>133.95292025458627</v>
      </c>
      <c r="N166" s="94">
        <f t="shared" si="5"/>
        <v>140</v>
      </c>
    </row>
    <row r="167" spans="1:14" x14ac:dyDescent="0.25">
      <c r="A167" t="s">
        <v>638</v>
      </c>
      <c r="B167" s="69">
        <v>0.76512820512820512</v>
      </c>
      <c r="C167" s="69">
        <v>0.83555555555555561</v>
      </c>
      <c r="D167" s="69">
        <v>0.88395061728395063</v>
      </c>
      <c r="E167" s="69">
        <v>0.88592592592592589</v>
      </c>
      <c r="F167" s="69">
        <v>0.83475655430711615</v>
      </c>
      <c r="G167" s="69">
        <f t="shared" si="3"/>
        <v>0.81</v>
      </c>
      <c r="H167" s="69">
        <v>0.36885271231589817</v>
      </c>
      <c r="I167" s="69">
        <v>0.453613222342864</v>
      </c>
      <c r="J167" s="69">
        <v>0.56927052275889478</v>
      </c>
      <c r="K167" s="69">
        <v>0.59391682184978278</v>
      </c>
      <c r="L167" s="69">
        <v>0.46720371616451911</v>
      </c>
      <c r="M167" s="207">
        <f t="shared" si="6"/>
        <v>128.42363603732949</v>
      </c>
      <c r="N167" s="94">
        <f t="shared" si="5"/>
        <v>140</v>
      </c>
    </row>
    <row r="168" spans="1:14" x14ac:dyDescent="0.25">
      <c r="A168" t="s">
        <v>639</v>
      </c>
      <c r="B168" s="69">
        <v>0.87083333333333335</v>
      </c>
      <c r="C168" s="69">
        <v>0.7448275862068966</v>
      </c>
      <c r="D168" s="69">
        <v>0.88846153846153841</v>
      </c>
      <c r="E168" s="69">
        <v>0.88518518518518519</v>
      </c>
      <c r="F168" s="69">
        <v>0.83598484848484844</v>
      </c>
      <c r="G168" s="69">
        <f t="shared" si="3"/>
        <v>0.81</v>
      </c>
      <c r="H168" s="69">
        <v>0.40244160745576035</v>
      </c>
      <c r="I168" s="69">
        <v>0.4057557200285532</v>
      </c>
      <c r="J168" s="69">
        <v>0.55098389982110907</v>
      </c>
      <c r="K168" s="69">
        <v>0.57211250748055065</v>
      </c>
      <c r="L168" s="69">
        <v>0.45688757501795874</v>
      </c>
      <c r="M168" s="207">
        <f t="shared" si="6"/>
        <v>131.32333484367922</v>
      </c>
      <c r="N168" s="94">
        <f t="shared" si="5"/>
        <v>140</v>
      </c>
    </row>
    <row r="169" spans="1:14" x14ac:dyDescent="0.25">
      <c r="A169" t="s">
        <v>640</v>
      </c>
      <c r="B169" s="69">
        <v>0.80111111111111111</v>
      </c>
      <c r="C169" s="69">
        <v>0.73655172413793102</v>
      </c>
      <c r="D169" s="69">
        <v>0.96643678160919544</v>
      </c>
      <c r="E169" s="69">
        <v>0.98962962962962964</v>
      </c>
      <c r="F169" s="69">
        <v>0.85186813186813182</v>
      </c>
      <c r="G169" s="69">
        <f t="shared" si="3"/>
        <v>0.81</v>
      </c>
      <c r="H169" s="69">
        <v>0.37022060475356072</v>
      </c>
      <c r="I169" s="69">
        <v>0.40124732313934702</v>
      </c>
      <c r="J169" s="69">
        <v>0.62385457243554066</v>
      </c>
      <c r="K169" s="69">
        <v>0.63961699581089171</v>
      </c>
      <c r="L169" s="69">
        <v>0.4726339342872995</v>
      </c>
      <c r="M169" s="207">
        <f t="shared" ref="M169:M174" si="7">60/L169</f>
        <v>126.94814241486068</v>
      </c>
      <c r="N169" s="94">
        <f t="shared" ref="N169:N230" si="8">N168</f>
        <v>140</v>
      </c>
    </row>
    <row r="170" spans="1:14" x14ac:dyDescent="0.25">
      <c r="A170" t="s">
        <v>641</v>
      </c>
      <c r="B170" s="69">
        <v>0.7852873563218391</v>
      </c>
      <c r="C170" s="69">
        <v>0.71607843137254901</v>
      </c>
      <c r="D170" s="69">
        <v>0.93809523809523809</v>
      </c>
      <c r="E170" s="69">
        <v>0.79407407407407404</v>
      </c>
      <c r="F170" s="69">
        <v>0.80533333333333335</v>
      </c>
      <c r="G170" s="69">
        <v>0.82</v>
      </c>
      <c r="H170" s="69">
        <v>0.40000234193408629</v>
      </c>
      <c r="I170" s="69">
        <v>0.41808336481551439</v>
      </c>
      <c r="J170" s="69">
        <v>0.61192001553096476</v>
      </c>
      <c r="K170" s="69">
        <v>0.51322561340514661</v>
      </c>
      <c r="L170" s="69">
        <v>0.46817078157003861</v>
      </c>
      <c r="M170" s="207">
        <f t="shared" si="7"/>
        <v>128.15836092715233</v>
      </c>
      <c r="N170" s="94">
        <f t="shared" si="8"/>
        <v>140</v>
      </c>
    </row>
    <row r="171" spans="1:14" x14ac:dyDescent="0.25">
      <c r="A171" t="s">
        <v>642</v>
      </c>
      <c r="B171" s="69">
        <v>0.83494252873563224</v>
      </c>
      <c r="C171" s="69">
        <v>0.69925925925925925</v>
      </c>
      <c r="D171" s="69">
        <v>0.90390804597701147</v>
      </c>
      <c r="E171" s="69">
        <v>1.0233333333333334</v>
      </c>
      <c r="F171" s="69">
        <v>0.82143790849673204</v>
      </c>
      <c r="G171" s="69">
        <v>0.82</v>
      </c>
      <c r="H171" s="69">
        <v>0.42529523006574987</v>
      </c>
      <c r="I171" s="69">
        <v>0.4476532584083176</v>
      </c>
      <c r="J171" s="69">
        <v>0.59677480553974571</v>
      </c>
      <c r="K171" s="69">
        <v>0.63339780786589306</v>
      </c>
      <c r="L171" s="69">
        <v>0.49281346375166407</v>
      </c>
      <c r="M171" s="207">
        <f t="shared" si="7"/>
        <v>121.74992043284531</v>
      </c>
      <c r="N171" s="94">
        <f t="shared" si="8"/>
        <v>140</v>
      </c>
    </row>
    <row r="172" spans="1:14" x14ac:dyDescent="0.25">
      <c r="A172" t="s">
        <v>643</v>
      </c>
      <c r="B172" s="69">
        <v>0.88735632183908042</v>
      </c>
      <c r="C172" s="69">
        <v>0.71407407407407408</v>
      </c>
      <c r="D172" s="69">
        <v>0.90482758620689652</v>
      </c>
      <c r="E172" s="69">
        <v>0.89</v>
      </c>
      <c r="F172" s="69">
        <v>0.83137254901960789</v>
      </c>
      <c r="G172" s="69">
        <v>0.82</v>
      </c>
      <c r="H172" s="69">
        <v>0.45199327864917249</v>
      </c>
      <c r="I172" s="69">
        <v>0.45713743761188363</v>
      </c>
      <c r="J172" s="69">
        <v>0.59738190096755828</v>
      </c>
      <c r="K172" s="69">
        <v>0.55087040618955518</v>
      </c>
      <c r="L172" s="69">
        <v>0.49877365204656005</v>
      </c>
      <c r="M172" s="207">
        <f t="shared" si="7"/>
        <v>120.29504716981133</v>
      </c>
      <c r="N172" s="94">
        <f t="shared" si="8"/>
        <v>140</v>
      </c>
    </row>
    <row r="173" spans="1:14" x14ac:dyDescent="0.25">
      <c r="A173" t="s">
        <v>644</v>
      </c>
      <c r="B173" s="69">
        <v>0.57199999999999995</v>
      </c>
      <c r="C173" s="69">
        <v>0.87583333333333335</v>
      </c>
      <c r="D173" s="69">
        <v>0.9797849462365591</v>
      </c>
      <c r="E173" s="69">
        <v>0.83259259259259255</v>
      </c>
      <c r="F173" s="69">
        <v>0.79261904761904767</v>
      </c>
      <c r="G173" s="69">
        <v>0.82</v>
      </c>
      <c r="H173" s="69">
        <v>0.36943148240840912</v>
      </c>
      <c r="I173" s="69">
        <v>0.51677299602955096</v>
      </c>
      <c r="J173" s="69">
        <v>0.67608977926173242</v>
      </c>
      <c r="K173" s="69">
        <v>0.5381208856971873</v>
      </c>
      <c r="L173" s="69">
        <v>0.50722691700425293</v>
      </c>
      <c r="M173" s="207">
        <f t="shared" si="7"/>
        <v>118.29025232802643</v>
      </c>
      <c r="N173" s="94">
        <f t="shared" si="8"/>
        <v>140</v>
      </c>
    </row>
    <row r="174" spans="1:14" x14ac:dyDescent="0.25">
      <c r="A174" t="s">
        <v>645</v>
      </c>
      <c r="B174" s="69">
        <v>0.64466666666666672</v>
      </c>
      <c r="C174" s="69">
        <v>0.94666666666666666</v>
      </c>
      <c r="D174" s="69">
        <v>0.83870967741935487</v>
      </c>
      <c r="E174" s="69">
        <v>0.80296296296296299</v>
      </c>
      <c r="F174" s="69">
        <v>0.79738095238095241</v>
      </c>
      <c r="G174" s="69">
        <v>0.82</v>
      </c>
      <c r="H174" s="69">
        <v>0.41636392015026996</v>
      </c>
      <c r="I174" s="69">
        <v>0.55856719646961928</v>
      </c>
      <c r="J174" s="69">
        <v>0.57874234835837501</v>
      </c>
      <c r="K174" s="69">
        <v>0.5189706762417714</v>
      </c>
      <c r="L174" s="69">
        <v>0.51027424002620703</v>
      </c>
      <c r="M174" s="207">
        <f t="shared" si="7"/>
        <v>117.58383099432665</v>
      </c>
      <c r="N174" s="94">
        <f t="shared" si="8"/>
        <v>140</v>
      </c>
    </row>
    <row r="175" spans="1:14" x14ac:dyDescent="0.25">
      <c r="A175" t="s">
        <v>646</v>
      </c>
      <c r="B175" s="69">
        <v>0.6253333333333333</v>
      </c>
      <c r="C175" s="69">
        <v>0.90416666666666667</v>
      </c>
      <c r="D175" s="69">
        <v>0.53259259259259262</v>
      </c>
      <c r="E175" s="69">
        <v>0.81333333333333335</v>
      </c>
      <c r="F175" s="69">
        <v>0.69066666666666665</v>
      </c>
      <c r="G175" s="69">
        <v>0.82</v>
      </c>
      <c r="H175" s="69">
        <v>0.41050552792958389</v>
      </c>
      <c r="I175" s="69">
        <v>0.53349067620557822</v>
      </c>
      <c r="J175" s="69">
        <v>0.38404273076281081</v>
      </c>
      <c r="K175" s="69">
        <v>0.54449093444909358</v>
      </c>
      <c r="L175" s="69">
        <v>0.45285410644912771</v>
      </c>
      <c r="M175" s="207">
        <f t="shared" ref="M175:M181" si="9">60/L175</f>
        <v>132.49300193050192</v>
      </c>
      <c r="N175" s="94">
        <f t="shared" si="8"/>
        <v>140</v>
      </c>
    </row>
    <row r="176" spans="1:14" x14ac:dyDescent="0.25">
      <c r="A176" t="s">
        <v>647</v>
      </c>
      <c r="B176" s="69">
        <v>0.68933333333333335</v>
      </c>
      <c r="C176" s="69">
        <v>0.86</v>
      </c>
      <c r="D176" s="69">
        <v>0.48074074074074075</v>
      </c>
      <c r="E176" s="69">
        <v>0.84</v>
      </c>
      <c r="F176" s="69">
        <v>0.68733333333333335</v>
      </c>
      <c r="G176" s="69">
        <v>0.82</v>
      </c>
      <c r="H176" s="69">
        <v>0.45251888686480785</v>
      </c>
      <c r="I176" s="69">
        <v>0.50743076299000622</v>
      </c>
      <c r="J176" s="69">
        <v>0.34665331330328825</v>
      </c>
      <c r="K176" s="69">
        <v>0.56234309623430967</v>
      </c>
      <c r="L176" s="69">
        <v>0.45066851713228828</v>
      </c>
      <c r="M176" s="207">
        <f t="shared" si="9"/>
        <v>133.13554801163917</v>
      </c>
      <c r="N176" s="94">
        <v>129</v>
      </c>
    </row>
    <row r="177" spans="1:14" x14ac:dyDescent="0.25">
      <c r="A177" t="s">
        <v>648</v>
      </c>
      <c r="B177" s="69">
        <v>0.6763157894736842</v>
      </c>
      <c r="C177" s="69">
        <v>0.58863636363636362</v>
      </c>
      <c r="D177" s="69">
        <v>0.50476190476190474</v>
      </c>
      <c r="E177" s="69">
        <v>1.2749999999999999</v>
      </c>
      <c r="F177" s="69">
        <v>0.61460055096418731</v>
      </c>
      <c r="G177" s="69">
        <v>0.82</v>
      </c>
      <c r="H177" s="69">
        <v>0.42881217359384649</v>
      </c>
      <c r="I177" s="69">
        <v>0.39103783555273725</v>
      </c>
      <c r="J177" s="69">
        <v>0.36109691704990626</v>
      </c>
      <c r="K177" s="69">
        <v>0.51385390428211597</v>
      </c>
      <c r="L177" s="69">
        <v>0.40194504649122331</v>
      </c>
      <c r="M177" s="207">
        <f t="shared" si="9"/>
        <v>149.27413715822502</v>
      </c>
      <c r="N177" s="94">
        <f t="shared" si="8"/>
        <v>129</v>
      </c>
    </row>
    <row r="178" spans="1:14" x14ac:dyDescent="0.25">
      <c r="A178" t="s">
        <v>649</v>
      </c>
      <c r="B178" s="69">
        <v>0.65701754385964917</v>
      </c>
      <c r="C178" s="69">
        <v>0.62424242424242427</v>
      </c>
      <c r="D178" s="69">
        <v>0.70476190476190481</v>
      </c>
      <c r="E178" s="69">
        <v>1.0727272727272728</v>
      </c>
      <c r="F178" s="69">
        <v>0.69453125000000004</v>
      </c>
      <c r="G178" s="69">
        <v>0.82</v>
      </c>
      <c r="H178" s="69">
        <v>0.41657628796600654</v>
      </c>
      <c r="I178" s="69">
        <v>0.41469134684099801</v>
      </c>
      <c r="J178" s="69">
        <v>0.50417305399420875</v>
      </c>
      <c r="K178" s="69">
        <v>0.69719350073855224</v>
      </c>
      <c r="L178" s="69">
        <v>0.46297984032663775</v>
      </c>
      <c r="M178" s="207">
        <f t="shared" si="9"/>
        <v>129.59527559055118</v>
      </c>
      <c r="N178" s="94">
        <f t="shared" si="8"/>
        <v>129</v>
      </c>
    </row>
    <row r="179" spans="1:14" x14ac:dyDescent="0.25">
      <c r="A179" t="s">
        <v>650</v>
      </c>
      <c r="B179" s="69">
        <v>0.72280701754385968</v>
      </c>
      <c r="C179" s="69">
        <v>0.67272727272727273</v>
      </c>
      <c r="D179" s="69">
        <v>0.51276190476190475</v>
      </c>
      <c r="E179" s="69">
        <v>1.1078787878787879</v>
      </c>
      <c r="F179" s="69">
        <v>0.68125000000000002</v>
      </c>
      <c r="G179" s="69">
        <v>0.82</v>
      </c>
      <c r="H179" s="69">
        <v>0.45828953442455189</v>
      </c>
      <c r="I179" s="69">
        <v>0.44690038348884248</v>
      </c>
      <c r="J179" s="69">
        <v>0.3668199625276784</v>
      </c>
      <c r="K179" s="69">
        <v>0.72003938946331847</v>
      </c>
      <c r="L179" s="69">
        <v>0.45412645755323749</v>
      </c>
      <c r="M179" s="207">
        <f t="shared" si="9"/>
        <v>132.12178899082568</v>
      </c>
      <c r="N179" s="94">
        <v>129</v>
      </c>
    </row>
    <row r="180" spans="1:14" x14ac:dyDescent="0.25">
      <c r="A180" t="s">
        <v>651</v>
      </c>
      <c r="B180" s="69">
        <v>0.64140350877192986</v>
      </c>
      <c r="C180" s="69">
        <v>0.64666666666666661</v>
      </c>
      <c r="D180" s="69">
        <v>0.65219047619047621</v>
      </c>
      <c r="E180" s="69">
        <v>1.0036363636363637</v>
      </c>
      <c r="F180" s="69">
        <v>0.67729166666666663</v>
      </c>
      <c r="G180" s="69">
        <v>0.82</v>
      </c>
      <c r="H180" s="69">
        <v>0.4066763441398451</v>
      </c>
      <c r="I180" s="69">
        <v>0.42958802629062609</v>
      </c>
      <c r="J180" s="69">
        <v>0.46656446942599211</v>
      </c>
      <c r="K180" s="69">
        <v>0.65228951255539136</v>
      </c>
      <c r="L180" s="69">
        <v>0.4514878022952829</v>
      </c>
      <c r="M180" s="207">
        <f t="shared" si="9"/>
        <v>132.89395570593663</v>
      </c>
      <c r="N180" s="94">
        <f t="shared" si="8"/>
        <v>129</v>
      </c>
    </row>
    <row r="181" spans="1:14" x14ac:dyDescent="0.25">
      <c r="A181" t="s">
        <v>652</v>
      </c>
      <c r="B181" s="69">
        <v>0.61052631578947369</v>
      </c>
      <c r="C181" s="69">
        <v>0.59090909090909094</v>
      </c>
      <c r="D181" s="69">
        <v>0.37790476190476191</v>
      </c>
      <c r="E181" s="69">
        <v>1.1345454545454545</v>
      </c>
      <c r="F181" s="69">
        <v>0.58520833333333333</v>
      </c>
      <c r="G181" s="69">
        <v>0.82</v>
      </c>
      <c r="H181" s="69">
        <v>0.38709892713530114</v>
      </c>
      <c r="I181" s="69">
        <v>0.3925476341456049</v>
      </c>
      <c r="J181" s="69">
        <v>0.27034576733094867</v>
      </c>
      <c r="K181" s="69">
        <v>0.73737075332348578</v>
      </c>
      <c r="L181" s="69">
        <v>0.3901043483997077</v>
      </c>
      <c r="M181" s="207">
        <f t="shared" si="9"/>
        <v>153.80500177999286</v>
      </c>
      <c r="N181" s="94">
        <f t="shared" si="8"/>
        <v>129</v>
      </c>
    </row>
    <row r="182" spans="1:14" x14ac:dyDescent="0.25">
      <c r="A182" t="s">
        <v>653</v>
      </c>
      <c r="B182" s="69">
        <v>0.54222222222222227</v>
      </c>
      <c r="C182" s="69">
        <v>0.6603174603174603</v>
      </c>
      <c r="D182" s="69">
        <v>0.47434343434343434</v>
      </c>
      <c r="E182" s="69">
        <v>0.99897435897435893</v>
      </c>
      <c r="F182" s="69">
        <v>0.60882051282051286</v>
      </c>
      <c r="G182" s="69">
        <v>0.82</v>
      </c>
      <c r="H182" s="69">
        <v>0.35620623673741786</v>
      </c>
      <c r="I182" s="69">
        <v>0.43175473010139997</v>
      </c>
      <c r="J182" s="69">
        <v>0.3335819570236192</v>
      </c>
      <c r="K182" s="69">
        <v>0.68621752531924274</v>
      </c>
      <c r="L182" s="69">
        <v>0.40793676155525893</v>
      </c>
      <c r="M182" s="207">
        <f t="shared" ref="M182" si="10">60/L182</f>
        <v>147.08162061994608</v>
      </c>
      <c r="N182" s="94">
        <f t="shared" si="8"/>
        <v>129</v>
      </c>
    </row>
    <row r="183" spans="1:14" x14ac:dyDescent="0.25">
      <c r="A183" t="s">
        <v>654</v>
      </c>
      <c r="B183" s="69">
        <v>0.57777777777777772</v>
      </c>
      <c r="C183" s="69">
        <v>0.73821138211382109</v>
      </c>
      <c r="D183" s="69">
        <v>0.44</v>
      </c>
      <c r="E183" s="69">
        <v>0.83692307692307688</v>
      </c>
      <c r="F183" s="69">
        <v>0.61374677002583977</v>
      </c>
      <c r="G183" s="69">
        <v>0.82</v>
      </c>
      <c r="H183" s="69">
        <v>0.37956402275298623</v>
      </c>
      <c r="I183" s="69">
        <v>0.47864545444961043</v>
      </c>
      <c r="J183" s="69">
        <v>0.31</v>
      </c>
      <c r="K183" s="69">
        <v>0.57490092470277421</v>
      </c>
      <c r="L183" s="69">
        <v>0.41018839445921002</v>
      </c>
      <c r="M183" s="207">
        <f t="shared" ref="M183" si="11">60/L183</f>
        <v>146.27425058942404</v>
      </c>
      <c r="N183" s="94">
        <f t="shared" si="8"/>
        <v>129</v>
      </c>
    </row>
    <row r="184" spans="1:14" x14ac:dyDescent="0.25">
      <c r="A184" t="s">
        <v>655</v>
      </c>
      <c r="B184" s="69">
        <v>0.52552845528455283</v>
      </c>
      <c r="C184" s="69">
        <v>0.76292682926829269</v>
      </c>
      <c r="D184" s="69">
        <v>0.83199999999999996</v>
      </c>
      <c r="E184" s="69">
        <v>0.72888888888888892</v>
      </c>
      <c r="F184" s="69">
        <v>0.69784946236559142</v>
      </c>
      <c r="G184" s="69">
        <v>0.82</v>
      </c>
      <c r="H184" s="69">
        <v>0.34401460359022673</v>
      </c>
      <c r="I184" s="69">
        <v>0.48246290526575558</v>
      </c>
      <c r="J184" s="69">
        <v>0.55745393634840867</v>
      </c>
      <c r="K184" s="69">
        <v>0.49207688701359587</v>
      </c>
      <c r="L184" s="69">
        <v>0.45539785036777414</v>
      </c>
      <c r="M184" s="207">
        <f t="shared" ref="M184" si="12">60/L184</f>
        <v>131.75292758089367</v>
      </c>
      <c r="N184" s="94">
        <f t="shared" si="8"/>
        <v>129</v>
      </c>
    </row>
    <row r="185" spans="1:14" x14ac:dyDescent="0.25">
      <c r="A185" t="s">
        <v>656</v>
      </c>
      <c r="B185" s="69">
        <v>0.63087719298245615</v>
      </c>
      <c r="C185" s="69">
        <v>0.72957264957264956</v>
      </c>
      <c r="D185" s="69">
        <v>0.80444444444444441</v>
      </c>
      <c r="E185" s="69">
        <v>0.75555555555555554</v>
      </c>
      <c r="F185" s="69">
        <v>0.71955182072829127</v>
      </c>
      <c r="G185" s="69">
        <v>0.82</v>
      </c>
      <c r="H185" s="69">
        <v>0.38896911286702474</v>
      </c>
      <c r="I185" s="69">
        <v>0.46015676380847642</v>
      </c>
      <c r="J185" s="69">
        <v>0.52721645730930267</v>
      </c>
      <c r="K185" s="69">
        <v>0.51007969995311764</v>
      </c>
      <c r="L185" s="69">
        <v>0.45785499000982088</v>
      </c>
      <c r="M185" s="207">
        <f t="shared" ref="M185:M186" si="13">60/L185</f>
        <v>131.04585798816566</v>
      </c>
      <c r="N185" s="94">
        <f t="shared" si="8"/>
        <v>129</v>
      </c>
    </row>
    <row r="186" spans="1:14" x14ac:dyDescent="0.25">
      <c r="A186" t="s">
        <v>657</v>
      </c>
      <c r="B186" s="69">
        <v>0.71859649122807012</v>
      </c>
      <c r="C186" s="69">
        <v>0.79859649122807019</v>
      </c>
      <c r="D186" s="69">
        <v>0.76</v>
      </c>
      <c r="E186" s="69">
        <v>0.75466666666666671</v>
      </c>
      <c r="F186" s="69">
        <v>0.75862068965517238</v>
      </c>
      <c r="G186" s="69">
        <v>0.82</v>
      </c>
      <c r="H186" s="69">
        <v>0.44305269363274008</v>
      </c>
      <c r="I186" s="69">
        <v>0.49884384828659412</v>
      </c>
      <c r="J186" s="69">
        <v>0.49808847624249036</v>
      </c>
      <c r="K186" s="69">
        <v>0.47839408346539886</v>
      </c>
      <c r="L186" s="69">
        <v>0.47821668650179061</v>
      </c>
      <c r="M186" s="207">
        <f t="shared" si="13"/>
        <v>125.46613636363637</v>
      </c>
      <c r="N186" s="94">
        <f t="shared" si="8"/>
        <v>129</v>
      </c>
    </row>
    <row r="187" spans="1:14" x14ac:dyDescent="0.25">
      <c r="A187" t="s">
        <v>658</v>
      </c>
      <c r="B187" s="69">
        <v>0.68070175438596492</v>
      </c>
      <c r="C187" s="69">
        <v>0.76754385964912286</v>
      </c>
      <c r="D187" s="69">
        <v>0.8288888888888889</v>
      </c>
      <c r="E187" s="69">
        <v>0.75</v>
      </c>
      <c r="F187" s="69">
        <v>0.75344827586206897</v>
      </c>
      <c r="G187" s="69">
        <v>0.82</v>
      </c>
      <c r="H187" s="69">
        <v>0.41968858674195109</v>
      </c>
      <c r="I187" s="69">
        <v>0.47944680058300732</v>
      </c>
      <c r="J187" s="69">
        <v>0.54323684689604945</v>
      </c>
      <c r="K187" s="69">
        <v>0.47543581616481778</v>
      </c>
      <c r="L187" s="69">
        <v>0.47495611818473293</v>
      </c>
      <c r="M187" s="207">
        <f t="shared" ref="M187" si="14">60/L187</f>
        <v>126.3274599542334</v>
      </c>
      <c r="N187" s="94">
        <f t="shared" si="8"/>
        <v>129</v>
      </c>
    </row>
    <row r="188" spans="1:14" x14ac:dyDescent="0.25">
      <c r="A188" t="s">
        <v>659</v>
      </c>
      <c r="B188" s="69">
        <v>0.45833333333333331</v>
      </c>
      <c r="C188" s="69">
        <v>0.77105263157894732</v>
      </c>
      <c r="D188" s="69">
        <v>0.76533333333333331</v>
      </c>
      <c r="E188" s="69">
        <v>0.72222222222222221</v>
      </c>
      <c r="F188" s="69">
        <v>0.65416666666666667</v>
      </c>
      <c r="G188" s="69">
        <v>0.82</v>
      </c>
      <c r="H188" s="69">
        <v>0.28811046679133995</v>
      </c>
      <c r="I188" s="69">
        <v>0.48163855738567252</v>
      </c>
      <c r="J188" s="69">
        <v>0.45800917614203063</v>
      </c>
      <c r="K188" s="69">
        <v>0.43993231810490702</v>
      </c>
      <c r="L188" s="69">
        <v>0.4047501984159867</v>
      </c>
      <c r="M188" s="207">
        <f t="shared" ref="M188" si="15">60/L188</f>
        <v>148.23958143767061</v>
      </c>
      <c r="N188" s="94">
        <f t="shared" si="8"/>
        <v>129</v>
      </c>
    </row>
    <row r="189" spans="1:14" x14ac:dyDescent="0.25">
      <c r="A189" t="s">
        <v>660</v>
      </c>
      <c r="B189" s="69">
        <v>0.49733333333333335</v>
      </c>
      <c r="C189" s="69">
        <v>0.78486486486486484</v>
      </c>
      <c r="D189" s="69">
        <v>0.78506666666666669</v>
      </c>
      <c r="E189" s="69">
        <v>0.76148148148148154</v>
      </c>
      <c r="F189" s="69">
        <v>0.67939939939939942</v>
      </c>
      <c r="G189" s="69">
        <v>0.82</v>
      </c>
      <c r="H189" s="69">
        <v>0.31262604832922125</v>
      </c>
      <c r="I189" s="69">
        <v>0.50212677663658056</v>
      </c>
      <c r="J189" s="69">
        <v>0.47550979204522503</v>
      </c>
      <c r="K189" s="69">
        <v>0.44866339334424443</v>
      </c>
      <c r="L189" s="69">
        <v>0.42362995294456895</v>
      </c>
      <c r="M189" s="207">
        <f t="shared" ref="M189" si="16">60/L189</f>
        <v>141.63304455445544</v>
      </c>
      <c r="N189" s="94">
        <f t="shared" si="8"/>
        <v>129</v>
      </c>
    </row>
    <row r="190" spans="1:14" x14ac:dyDescent="0.25">
      <c r="A190" t="s">
        <v>661</v>
      </c>
      <c r="B190" s="69">
        <v>0.40273504273504274</v>
      </c>
      <c r="C190" s="69">
        <v>0.76180180180180179</v>
      </c>
      <c r="D190" s="69">
        <v>0.69449275362318841</v>
      </c>
      <c r="E190" s="69">
        <v>0.93629629629629629</v>
      </c>
      <c r="F190" s="69">
        <v>0.63234567901234573</v>
      </c>
      <c r="G190" s="69">
        <v>0.82</v>
      </c>
      <c r="H190" s="69">
        <v>0.25197995711207016</v>
      </c>
      <c r="I190" s="69">
        <v>0.4823675713910851</v>
      </c>
      <c r="J190" s="69">
        <v>0.39808930425752853</v>
      </c>
      <c r="K190" s="69">
        <v>0.5571349862258953</v>
      </c>
      <c r="L190" s="69">
        <v>0.38799282645047545</v>
      </c>
      <c r="M190" s="207">
        <f t="shared" ref="M190:M191" si="17">60/L190</f>
        <v>154.64203436157749</v>
      </c>
      <c r="N190" s="94">
        <f t="shared" si="8"/>
        <v>129</v>
      </c>
    </row>
    <row r="191" spans="1:14" x14ac:dyDescent="0.25">
      <c r="A191" t="s">
        <v>662</v>
      </c>
      <c r="B191" s="69">
        <v>0.6858119658119658</v>
      </c>
      <c r="C191" s="69">
        <v>0.77575757575757576</v>
      </c>
      <c r="D191" s="69">
        <v>0.53913043478260869</v>
      </c>
      <c r="E191" s="69">
        <v>0.77629629629629626</v>
      </c>
      <c r="F191" s="69">
        <v>0.68974358974358974</v>
      </c>
      <c r="G191" s="69">
        <v>0.82</v>
      </c>
      <c r="H191" s="69">
        <v>0.42909320370697174</v>
      </c>
      <c r="I191" s="69">
        <v>0.47029430135577033</v>
      </c>
      <c r="J191" s="69">
        <v>0.30903426791277261</v>
      </c>
      <c r="K191" s="69">
        <v>0.4588943623426382</v>
      </c>
      <c r="L191" s="69">
        <v>0.41677076252394202</v>
      </c>
      <c r="M191" s="207">
        <f t="shared" si="17"/>
        <v>143.96403345724909</v>
      </c>
      <c r="N191" s="94">
        <f t="shared" si="8"/>
        <v>129</v>
      </c>
    </row>
    <row r="192" spans="1:14" x14ac:dyDescent="0.25">
      <c r="A192" t="s">
        <v>663</v>
      </c>
      <c r="B192" s="69">
        <v>0.67213675213675217</v>
      </c>
      <c r="C192" s="69">
        <v>0.69898989898989894</v>
      </c>
      <c r="D192" s="69">
        <v>0.73507246376811597</v>
      </c>
      <c r="E192" s="69">
        <v>0.77925925925925921</v>
      </c>
      <c r="F192" s="69">
        <v>0.7038461538461539</v>
      </c>
      <c r="G192" s="69">
        <v>0.82</v>
      </c>
      <c r="H192" s="69">
        <v>0.42053700821929535</v>
      </c>
      <c r="I192" s="69">
        <v>0.42375476111743887</v>
      </c>
      <c r="J192" s="69">
        <v>0.42134994807892007</v>
      </c>
      <c r="K192" s="69">
        <v>0.46064586754241926</v>
      </c>
      <c r="L192" s="69">
        <v>0.42529209781718247</v>
      </c>
      <c r="M192" s="207">
        <f t="shared" ref="M192" si="18">60/L192</f>
        <v>141.07950819672132</v>
      </c>
      <c r="N192" s="94">
        <f t="shared" si="8"/>
        <v>129</v>
      </c>
    </row>
    <row r="193" spans="1:14" x14ac:dyDescent="0.25">
      <c r="A193" t="s">
        <v>664</v>
      </c>
      <c r="B193" s="69">
        <v>0.61824561403508771</v>
      </c>
      <c r="C193" s="69">
        <v>0.72946236559139788</v>
      </c>
      <c r="D193" s="69">
        <v>0.67362318840579705</v>
      </c>
      <c r="E193" s="69">
        <v>0.80888888888888888</v>
      </c>
      <c r="F193" s="69">
        <v>0.68198019801980203</v>
      </c>
      <c r="G193" s="69">
        <v>0.82</v>
      </c>
      <c r="H193" s="69">
        <v>0.38304556003021761</v>
      </c>
      <c r="I193" s="69">
        <v>0.42320120772042774</v>
      </c>
      <c r="J193" s="69">
        <v>0.37673758865248225</v>
      </c>
      <c r="K193" s="69">
        <v>0.47816091954022988</v>
      </c>
      <c r="L193" s="69">
        <v>0.40253160118515396</v>
      </c>
      <c r="M193" s="207">
        <f t="shared" ref="M193" si="19">60/L193</f>
        <v>149.05662020905925</v>
      </c>
      <c r="N193" s="94">
        <f t="shared" si="8"/>
        <v>129</v>
      </c>
    </row>
    <row r="194" spans="1:14" x14ac:dyDescent="0.25">
      <c r="A194" t="s">
        <v>665</v>
      </c>
      <c r="B194" s="69">
        <v>0.7583333333333333</v>
      </c>
      <c r="C194" s="69">
        <v>0.69784946236559142</v>
      </c>
      <c r="D194" s="69">
        <v>0.77654320987654324</v>
      </c>
      <c r="E194" s="69">
        <v>0.72962962962962963</v>
      </c>
      <c r="F194" s="69">
        <v>0.74239482200647244</v>
      </c>
      <c r="G194" s="69">
        <v>0.82</v>
      </c>
      <c r="H194" s="69">
        <v>0.46011494446598017</v>
      </c>
      <c r="I194" s="69">
        <v>0.40486082519244926</v>
      </c>
      <c r="J194" s="69">
        <v>0.46463527239150509</v>
      </c>
      <c r="K194" s="69">
        <v>0.43130815544608642</v>
      </c>
      <c r="L194" s="69">
        <v>0.44170512813107127</v>
      </c>
      <c r="M194" s="207">
        <f t="shared" ref="M194" si="20">60/L194</f>
        <v>135.83722755013079</v>
      </c>
      <c r="N194" s="94">
        <f t="shared" si="8"/>
        <v>129</v>
      </c>
    </row>
    <row r="195" spans="1:14" x14ac:dyDescent="0.25">
      <c r="A195" t="s">
        <v>666</v>
      </c>
      <c r="B195" s="69">
        <v>0.74370370370370376</v>
      </c>
      <c r="C195" s="69">
        <v>0.65858585858585861</v>
      </c>
      <c r="D195" s="69">
        <v>0.65777777777777779</v>
      </c>
      <c r="E195" s="69">
        <v>0.69037037037037041</v>
      </c>
      <c r="F195" s="69">
        <v>0.69028571428571428</v>
      </c>
      <c r="G195" s="69">
        <v>0.82</v>
      </c>
      <c r="H195" s="69">
        <v>0.45123849010387707</v>
      </c>
      <c r="I195" s="69">
        <v>0.39205782251566423</v>
      </c>
      <c r="J195" s="69">
        <v>0.39357340720221606</v>
      </c>
      <c r="K195" s="69">
        <v>0.40810071154898742</v>
      </c>
      <c r="L195" s="69">
        <v>0.41389471039362252</v>
      </c>
      <c r="M195" s="207">
        <f t="shared" ref="M195" si="21">60/L195</f>
        <v>144.96440397350995</v>
      </c>
      <c r="N195" s="94">
        <f t="shared" si="8"/>
        <v>129</v>
      </c>
    </row>
    <row r="196" spans="1:14" x14ac:dyDescent="0.25">
      <c r="A196" t="s">
        <v>667</v>
      </c>
      <c r="B196" s="69">
        <v>0.63833333333333331</v>
      </c>
      <c r="C196" s="69">
        <v>0.75806451612903225</v>
      </c>
      <c r="D196" s="69">
        <v>0.62068965517241381</v>
      </c>
      <c r="E196" s="69">
        <v>0.83333333333333337</v>
      </c>
      <c r="F196" s="69">
        <v>0.68379204892966361</v>
      </c>
      <c r="G196" s="69">
        <v>0.82</v>
      </c>
      <c r="H196" s="69">
        <v>0.40316001663166651</v>
      </c>
      <c r="I196" s="69">
        <v>0.44818247701872832</v>
      </c>
      <c r="J196" s="69">
        <v>0.3902439024390244</v>
      </c>
      <c r="K196" s="69">
        <v>0.4926108374384236</v>
      </c>
      <c r="L196" s="69">
        <v>0.42081411345795905</v>
      </c>
      <c r="M196" s="207">
        <f t="shared" ref="M196" si="22">60/L196</f>
        <v>142.58076923076922</v>
      </c>
      <c r="N196" s="94">
        <f t="shared" si="8"/>
        <v>129</v>
      </c>
    </row>
    <row r="197" spans="1:14" x14ac:dyDescent="0.25">
      <c r="A197" t="s">
        <v>668</v>
      </c>
      <c r="B197" s="69">
        <v>0.54113821138211382</v>
      </c>
      <c r="C197" s="69">
        <v>0.67466666666666664</v>
      </c>
      <c r="D197" s="69">
        <v>0.84476190476190471</v>
      </c>
      <c r="E197" s="69">
        <v>0.79666666666666663</v>
      </c>
      <c r="F197" s="69">
        <v>0.67713395638629281</v>
      </c>
      <c r="G197" s="69">
        <v>0.82</v>
      </c>
      <c r="H197" s="69">
        <v>0.34487225322411003</v>
      </c>
      <c r="I197" s="69">
        <v>0.39351401796477042</v>
      </c>
      <c r="J197" s="69">
        <v>0.52417359187442292</v>
      </c>
      <c r="K197" s="69">
        <v>0.44803749267721149</v>
      </c>
      <c r="L197" s="69">
        <v>0.41374243125072568</v>
      </c>
      <c r="M197" s="207">
        <f t="shared" ref="M197" si="23">60/L197</f>
        <v>145.01775855723224</v>
      </c>
      <c r="N197" s="94">
        <f t="shared" si="8"/>
        <v>129</v>
      </c>
    </row>
    <row r="198" spans="1:14" x14ac:dyDescent="0.25">
      <c r="A198" t="s">
        <v>669</v>
      </c>
      <c r="B198" s="69">
        <v>0.65777777777777779</v>
      </c>
      <c r="C198" s="69">
        <v>0.68689655172413788</v>
      </c>
      <c r="D198" s="69">
        <v>0.81931034482758625</v>
      </c>
      <c r="E198" s="69">
        <v>0.83</v>
      </c>
      <c r="F198" s="69">
        <v>0.72172839506172837</v>
      </c>
      <c r="G198" s="69">
        <v>0.82</v>
      </c>
      <c r="H198" s="69">
        <v>0.42285930030255259</v>
      </c>
      <c r="I198" s="69">
        <v>0.39497164611175006</v>
      </c>
      <c r="J198" s="69">
        <v>0.51512195121951221</v>
      </c>
      <c r="K198" s="69">
        <v>0.46678383128295253</v>
      </c>
      <c r="L198" s="69">
        <v>0.44258456972732135</v>
      </c>
      <c r="M198" s="207">
        <f t="shared" ref="M198" si="24">60/L198</f>
        <v>135.56731098186796</v>
      </c>
      <c r="N198" s="94">
        <f t="shared" si="8"/>
        <v>129</v>
      </c>
    </row>
    <row r="199" spans="1:14" x14ac:dyDescent="0.25">
      <c r="A199" t="s">
        <v>670</v>
      </c>
      <c r="B199" s="69">
        <v>0.57733333333333337</v>
      </c>
      <c r="C199" s="69">
        <v>0.81011494252873562</v>
      </c>
      <c r="D199" s="69">
        <v>0.64266666666666672</v>
      </c>
      <c r="E199" s="69">
        <v>0.71666666666666667</v>
      </c>
      <c r="F199" s="69">
        <v>0.66915887850467293</v>
      </c>
      <c r="G199" s="69">
        <v>0.82</v>
      </c>
      <c r="H199" s="69">
        <v>0.36463349807104251</v>
      </c>
      <c r="I199" s="69">
        <v>0.46582332024692341</v>
      </c>
      <c r="J199" s="69">
        <v>0.40912466843501327</v>
      </c>
      <c r="K199" s="69">
        <v>0.4030462800234329</v>
      </c>
      <c r="L199" s="69">
        <v>0.40886949867802663</v>
      </c>
      <c r="M199" s="207">
        <f t="shared" ref="M199" si="25">60/L199</f>
        <v>146.74608938547487</v>
      </c>
      <c r="N199" s="94">
        <f t="shared" si="8"/>
        <v>129</v>
      </c>
    </row>
    <row r="200" spans="1:14" x14ac:dyDescent="0.25">
      <c r="A200" t="s">
        <v>671</v>
      </c>
      <c r="B200" s="69">
        <v>0.7</v>
      </c>
      <c r="C200" s="69">
        <v>0.72583333333333333</v>
      </c>
      <c r="D200" s="69">
        <v>0.82952380952380955</v>
      </c>
      <c r="E200" s="69">
        <v>0.67333333333333334</v>
      </c>
      <c r="F200" s="69">
        <v>0.74</v>
      </c>
      <c r="G200" s="69">
        <v>0.82</v>
      </c>
      <c r="H200" s="69">
        <v>0.42</v>
      </c>
      <c r="I200" s="69">
        <v>0.43467954236378836</v>
      </c>
      <c r="J200" s="69">
        <v>0.51471837488457983</v>
      </c>
      <c r="K200" s="69">
        <v>0.37867603983596954</v>
      </c>
      <c r="L200" s="69">
        <v>0.44219357825618089</v>
      </c>
      <c r="M200" s="207">
        <f t="shared" ref="M200" si="26">60/L200</f>
        <v>135.68718079673138</v>
      </c>
      <c r="N200" s="94">
        <f t="shared" si="8"/>
        <v>129</v>
      </c>
    </row>
    <row r="201" spans="1:14" x14ac:dyDescent="0.25">
      <c r="A201" t="s">
        <v>672</v>
      </c>
      <c r="B201" s="69">
        <v>0.51649122807017545</v>
      </c>
      <c r="C201" s="69">
        <v>0.66083333333333338</v>
      </c>
      <c r="D201" s="69">
        <v>0.77619047619047621</v>
      </c>
      <c r="E201" s="69">
        <v>0.81</v>
      </c>
      <c r="F201" s="69">
        <v>0.65081761006289307</v>
      </c>
      <c r="G201" s="69">
        <v>0.82</v>
      </c>
      <c r="H201" s="69">
        <v>0.31486799394649173</v>
      </c>
      <c r="I201" s="69">
        <v>0.39575301618195657</v>
      </c>
      <c r="J201" s="69">
        <v>0.48162511542012926</v>
      </c>
      <c r="K201" s="69">
        <v>0.45553602811950789</v>
      </c>
      <c r="L201" s="69">
        <v>0.39394614267413591</v>
      </c>
      <c r="M201" s="207">
        <f t="shared" ref="M201" si="27">60/L201</f>
        <v>152.30508310784694</v>
      </c>
      <c r="N201" s="94">
        <f t="shared" si="8"/>
        <v>129</v>
      </c>
    </row>
    <row r="202" spans="1:14" x14ac:dyDescent="0.25">
      <c r="A202" t="s">
        <v>673</v>
      </c>
      <c r="B202" s="69">
        <v>0.74406504065040646</v>
      </c>
      <c r="C202" s="69">
        <v>0.71666666666666667</v>
      </c>
      <c r="D202" s="69">
        <v>0.63</v>
      </c>
      <c r="E202" s="69">
        <v>0.89333333333333331</v>
      </c>
      <c r="F202" s="69">
        <v>0.70593939393939398</v>
      </c>
      <c r="G202" s="69">
        <v>0.82</v>
      </c>
      <c r="H202" s="69">
        <v>0.46694115786305035</v>
      </c>
      <c r="I202" s="69">
        <v>0.42918990405609414</v>
      </c>
      <c r="J202" s="69">
        <v>0.39</v>
      </c>
      <c r="K202" s="69">
        <v>0.50240187463386055</v>
      </c>
      <c r="L202" s="69">
        <v>0.43353413318296602</v>
      </c>
      <c r="M202" s="207">
        <f t="shared" ref="M202" si="28">60/L202</f>
        <v>138.3974072802198</v>
      </c>
      <c r="N202" s="94">
        <f t="shared" si="8"/>
        <v>129</v>
      </c>
    </row>
    <row r="203" spans="1:14" x14ac:dyDescent="0.25">
      <c r="A203" t="s">
        <v>674</v>
      </c>
      <c r="B203" s="69">
        <v>0.68422764227642274</v>
      </c>
      <c r="C203" s="69">
        <v>0.755</v>
      </c>
      <c r="D203" s="69">
        <v>0.83142857142857141</v>
      </c>
      <c r="E203" s="69">
        <v>0.66666666666666663</v>
      </c>
      <c r="F203" s="69">
        <v>0.74152905198776753</v>
      </c>
      <c r="G203" s="69">
        <v>0.82</v>
      </c>
      <c r="H203" s="69">
        <v>0.4293899458670708</v>
      </c>
      <c r="I203" s="69">
        <v>0.45214657334281549</v>
      </c>
      <c r="J203" s="69">
        <v>0.5159002770083102</v>
      </c>
      <c r="K203" s="69">
        <v>0.37492677211482134</v>
      </c>
      <c r="L203" s="69">
        <v>0.45378412316997624</v>
      </c>
      <c r="M203" s="207">
        <f t="shared" ref="M203" si="29">60/L203</f>
        <v>132.22146156384034</v>
      </c>
      <c r="N203" s="94">
        <f t="shared" si="8"/>
        <v>129</v>
      </c>
    </row>
    <row r="204" spans="1:14" x14ac:dyDescent="0.25">
      <c r="A204" t="s">
        <v>675</v>
      </c>
      <c r="B204" s="69">
        <v>0.5810852713178295</v>
      </c>
      <c r="C204" s="69">
        <v>0.80622222222222217</v>
      </c>
      <c r="D204" s="69">
        <v>0.76800000000000002</v>
      </c>
      <c r="E204" s="69">
        <v>0.91111111111111109</v>
      </c>
      <c r="F204" s="69">
        <v>0.71266055045871557</v>
      </c>
      <c r="G204" s="69">
        <v>0.82</v>
      </c>
      <c r="H204" s="69">
        <v>0.37109094599478221</v>
      </c>
      <c r="I204" s="69">
        <v>0.45264563137078767</v>
      </c>
      <c r="J204" s="69">
        <v>0.49415549597855229</v>
      </c>
      <c r="K204" s="69">
        <v>0.46624022743425725</v>
      </c>
      <c r="L204" s="69">
        <v>0.43368301166276785</v>
      </c>
      <c r="M204" s="207">
        <f t="shared" ref="M204" si="30">60/L204</f>
        <v>138.34989701338827</v>
      </c>
      <c r="N204" s="94">
        <f t="shared" si="8"/>
        <v>129</v>
      </c>
    </row>
    <row r="205" spans="1:14" x14ac:dyDescent="0.25">
      <c r="A205" t="s">
        <v>676</v>
      </c>
      <c r="B205" s="69">
        <v>0.63751937984496121</v>
      </c>
      <c r="C205" s="69">
        <v>0.73118279569892475</v>
      </c>
      <c r="D205" s="69">
        <v>0.73490196078431369</v>
      </c>
      <c r="E205" s="69">
        <v>0.82666666666666666</v>
      </c>
      <c r="F205" s="69">
        <v>0.70198830409356727</v>
      </c>
      <c r="G205" s="69">
        <v>0.82</v>
      </c>
      <c r="H205" s="69">
        <v>0.40713072836994246</v>
      </c>
      <c r="I205" s="69">
        <v>0.416406412658755</v>
      </c>
      <c r="J205" s="69">
        <v>0.49356378600823048</v>
      </c>
      <c r="K205" s="69">
        <v>0.42302771855010657</v>
      </c>
      <c r="L205" s="69">
        <v>0.43465115479106575</v>
      </c>
      <c r="M205" s="207">
        <f t="shared" ref="M205" si="31">60/L205</f>
        <v>138.04173608797069</v>
      </c>
      <c r="N205" s="94">
        <f t="shared" si="8"/>
        <v>129</v>
      </c>
    </row>
    <row r="206" spans="1:14" x14ac:dyDescent="0.25">
      <c r="A206" t="s">
        <v>677</v>
      </c>
      <c r="B206" s="69">
        <v>0.62201550387596904</v>
      </c>
      <c r="C206" s="69">
        <v>0.66666666666666663</v>
      </c>
      <c r="D206" s="69">
        <v>0.7701960784313725</v>
      </c>
      <c r="E206" s="69">
        <v>0.8666666666666667</v>
      </c>
      <c r="F206" s="69">
        <v>0.69101449275362314</v>
      </c>
      <c r="G206" s="69">
        <v>0.82</v>
      </c>
      <c r="H206" s="69">
        <v>0.39722968925588747</v>
      </c>
      <c r="I206" s="69">
        <v>0.38484203437120418</v>
      </c>
      <c r="J206" s="69">
        <v>0.52769101595298074</v>
      </c>
      <c r="K206" s="69">
        <v>0.44349680170575689</v>
      </c>
      <c r="L206" s="69">
        <v>0.43160961055560682</v>
      </c>
      <c r="M206" s="207">
        <f t="shared" ref="M206" si="32">60/L206</f>
        <v>139.01451342281879</v>
      </c>
      <c r="N206" s="94">
        <f t="shared" si="8"/>
        <v>129</v>
      </c>
    </row>
    <row r="207" spans="1:14" x14ac:dyDescent="0.25">
      <c r="A207" t="s">
        <v>678</v>
      </c>
      <c r="B207" s="69">
        <v>0.68031007751937989</v>
      </c>
      <c r="C207" s="69">
        <v>0.84476190476190471</v>
      </c>
      <c r="D207" s="69">
        <v>0.78431372549019607</v>
      </c>
      <c r="E207" s="69">
        <v>0.84888888888888892</v>
      </c>
      <c r="F207" s="69">
        <v>0.76276276276276278</v>
      </c>
      <c r="G207" s="69">
        <v>0.82</v>
      </c>
      <c r="H207" s="69">
        <v>0.43445759632473435</v>
      </c>
      <c r="I207" s="69">
        <v>0.44266447081134364</v>
      </c>
      <c r="J207" s="69">
        <v>0.53736356003358521</v>
      </c>
      <c r="K207" s="69">
        <v>0.43439943141435672</v>
      </c>
      <c r="L207" s="69">
        <v>0.46490259924480776</v>
      </c>
      <c r="M207" s="207">
        <f t="shared" ref="M207" si="33">60/L207</f>
        <v>129.05929133858268</v>
      </c>
      <c r="N207" s="94">
        <f t="shared" si="8"/>
        <v>129</v>
      </c>
    </row>
    <row r="208" spans="1:14" x14ac:dyDescent="0.25">
      <c r="A208" t="s">
        <v>679</v>
      </c>
      <c r="B208" s="69">
        <v>0.59936507936507932</v>
      </c>
      <c r="C208" s="69">
        <v>0.77075268817204301</v>
      </c>
      <c r="D208" s="69">
        <v>0.71771428571428575</v>
      </c>
      <c r="E208" s="69">
        <v>0.80888888888888888</v>
      </c>
      <c r="F208" s="69">
        <v>0.69333333333333336</v>
      </c>
      <c r="G208" s="69">
        <v>0.82</v>
      </c>
      <c r="H208" s="69">
        <v>0.37949939446931896</v>
      </c>
      <c r="I208" s="69">
        <v>0.41601374331116292</v>
      </c>
      <c r="J208" s="69">
        <v>0.49619753086419754</v>
      </c>
      <c r="K208" s="69">
        <v>0.41393034825870639</v>
      </c>
      <c r="L208" s="69">
        <v>0.42467909970609879</v>
      </c>
      <c r="M208" s="207">
        <f t="shared" ref="M208" si="34">60/L208</f>
        <v>141.28314777327938</v>
      </c>
      <c r="N208" s="94">
        <f t="shared" si="8"/>
        <v>129</v>
      </c>
    </row>
    <row r="209" spans="1:14" x14ac:dyDescent="0.25">
      <c r="A209" t="s">
        <v>680</v>
      </c>
      <c r="B209" s="69">
        <v>0.66418604651162794</v>
      </c>
      <c r="C209" s="69">
        <v>0.63200000000000001</v>
      </c>
      <c r="D209" s="69">
        <v>0.74738738738738741</v>
      </c>
      <c r="E209" s="69">
        <v>0.88</v>
      </c>
      <c r="F209" s="69">
        <v>0.69356321839080459</v>
      </c>
      <c r="G209" s="69">
        <v>0.82</v>
      </c>
      <c r="H209" s="69">
        <v>0.42416051564611712</v>
      </c>
      <c r="I209" s="69">
        <v>0.35483025788823597</v>
      </c>
      <c r="J209" s="69">
        <v>0.52547901821060961</v>
      </c>
      <c r="K209" s="69">
        <v>0.45031982942430698</v>
      </c>
      <c r="L209" s="69">
        <v>0.43460802267394849</v>
      </c>
      <c r="M209" s="207">
        <f t="shared" ref="M209" si="35">60/L209</f>
        <v>138.05543586344052</v>
      </c>
      <c r="N209" s="94">
        <f t="shared" si="8"/>
        <v>129</v>
      </c>
    </row>
    <row r="210" spans="1:14" x14ac:dyDescent="0.25">
      <c r="A210" t="s">
        <v>681</v>
      </c>
      <c r="B210" s="69">
        <v>0.56524822695035459</v>
      </c>
      <c r="C210" s="69">
        <v>0.67816091954022983</v>
      </c>
      <c r="D210" s="69">
        <v>0.6954954954954955</v>
      </c>
      <c r="E210" s="69">
        <v>0.90555555555555556</v>
      </c>
      <c r="F210" s="69">
        <v>0.65042016806722691</v>
      </c>
      <c r="G210" s="69">
        <v>0.82</v>
      </c>
      <c r="H210" s="69">
        <v>0.37243164687685459</v>
      </c>
      <c r="I210" s="69">
        <v>0.37507469707950314</v>
      </c>
      <c r="J210" s="69">
        <v>0.48899445764053839</v>
      </c>
      <c r="K210" s="69">
        <v>0.46339729921819467</v>
      </c>
      <c r="L210" s="69">
        <v>0.41144606813844575</v>
      </c>
      <c r="M210" s="207">
        <f t="shared" ref="M210" si="36">60/L210</f>
        <v>145.82713178294574</v>
      </c>
      <c r="N210" s="94">
        <f t="shared" si="8"/>
        <v>129</v>
      </c>
    </row>
    <row r="211" spans="1:14" x14ac:dyDescent="0.25">
      <c r="A211" t="s">
        <v>682</v>
      </c>
      <c r="B211" s="69">
        <v>0.60289855072463772</v>
      </c>
      <c r="C211" s="69">
        <v>0.70528735632183903</v>
      </c>
      <c r="D211" s="69">
        <v>0.82</v>
      </c>
      <c r="E211" s="69">
        <v>0.85333333333333339</v>
      </c>
      <c r="F211" s="69">
        <v>0.69604519774011298</v>
      </c>
      <c r="G211" s="69">
        <v>0.82</v>
      </c>
      <c r="H211" s="69">
        <v>0.39431466499841233</v>
      </c>
      <c r="I211" s="69">
        <v>0.39007768496268325</v>
      </c>
      <c r="J211" s="69">
        <v>0.56000000000000005</v>
      </c>
      <c r="K211" s="69">
        <v>0.43667377398720675</v>
      </c>
      <c r="L211" s="69">
        <v>0.43894105470552286</v>
      </c>
      <c r="M211" s="207">
        <f t="shared" ref="M211" si="37">60/L211</f>
        <v>136.69261363636366</v>
      </c>
      <c r="N211" s="94">
        <f t="shared" si="8"/>
        <v>129</v>
      </c>
    </row>
    <row r="212" spans="1:14" x14ac:dyDescent="0.25">
      <c r="A212" t="s">
        <v>683</v>
      </c>
      <c r="B212" s="69">
        <v>0.63420289855072465</v>
      </c>
      <c r="C212" s="69">
        <v>0.6905747126436782</v>
      </c>
      <c r="D212" s="69">
        <v>0.81599999999999995</v>
      </c>
      <c r="E212" s="69">
        <v>0.77</v>
      </c>
      <c r="F212" s="69">
        <v>0.7111864406779661</v>
      </c>
      <c r="G212" s="69">
        <v>0.82</v>
      </c>
      <c r="H212" s="69">
        <v>0.41478869568102222</v>
      </c>
      <c r="I212" s="69">
        <v>0.3819404711955347</v>
      </c>
      <c r="J212" s="69">
        <v>0.5532203389830509</v>
      </c>
      <c r="K212" s="69">
        <v>0.44881602914389801</v>
      </c>
      <c r="L212" s="69">
        <v>0.4461053493304698</v>
      </c>
      <c r="M212" s="207">
        <f t="shared" ref="M212" si="38">60/L212</f>
        <v>134.49737845567208</v>
      </c>
      <c r="N212" s="94">
        <f t="shared" si="8"/>
        <v>129</v>
      </c>
    </row>
    <row r="213" spans="1:14" x14ac:dyDescent="0.25">
      <c r="A213" t="s">
        <v>684</v>
      </c>
      <c r="B213" s="69">
        <v>0.59177304964539013</v>
      </c>
      <c r="C213" s="69">
        <v>0.71908045977011492</v>
      </c>
      <c r="D213" s="69">
        <v>0.85171717171717176</v>
      </c>
      <c r="E213" s="69">
        <v>0.72380952380952379</v>
      </c>
      <c r="F213" s="69">
        <v>0.70551724137931038</v>
      </c>
      <c r="G213" s="69">
        <v>0.82</v>
      </c>
      <c r="H213" s="69">
        <v>0.38990836405777601</v>
      </c>
      <c r="I213" s="69">
        <v>0.39770632286938501</v>
      </c>
      <c r="J213" s="69">
        <v>0.56638119227539885</v>
      </c>
      <c r="K213" s="69">
        <v>0.36915604128718882</v>
      </c>
      <c r="L213" s="69">
        <v>0.4373734080815746</v>
      </c>
      <c r="M213" s="207">
        <f t="shared" ref="M213" si="39">60/L213</f>
        <v>137.1825513196481</v>
      </c>
      <c r="N213" s="94">
        <f t="shared" si="8"/>
        <v>129</v>
      </c>
    </row>
    <row r="214" spans="1:14" x14ac:dyDescent="0.25">
      <c r="A214" t="s">
        <v>685</v>
      </c>
      <c r="B214" s="69">
        <v>0.56312056737588656</v>
      </c>
      <c r="C214" s="69">
        <v>0.62643678160919536</v>
      </c>
      <c r="D214" s="69">
        <v>0.90202020202020206</v>
      </c>
      <c r="E214" s="69">
        <v>0.65714285714285714</v>
      </c>
      <c r="F214" s="69">
        <v>0.68103448275862066</v>
      </c>
      <c r="G214" s="69">
        <v>0.83</v>
      </c>
      <c r="H214" s="69">
        <v>0.37102977116715502</v>
      </c>
      <c r="I214" s="69">
        <v>0.34646730492937156</v>
      </c>
      <c r="J214" s="69">
        <v>0.59983207388748949</v>
      </c>
      <c r="K214" s="69">
        <v>0.33515482695810561</v>
      </c>
      <c r="L214" s="69">
        <v>0.42219573849516612</v>
      </c>
      <c r="M214" s="207">
        <f t="shared" ref="M214" si="40">60/L214</f>
        <v>142.11417721518987</v>
      </c>
      <c r="N214" s="94">
        <f t="shared" si="8"/>
        <v>129</v>
      </c>
    </row>
    <row r="215" spans="1:14" x14ac:dyDescent="0.25">
      <c r="A215" t="s">
        <v>686</v>
      </c>
      <c r="B215" s="69">
        <v>0.62055555555555553</v>
      </c>
      <c r="C215" s="69">
        <v>0.50666666666666671</v>
      </c>
      <c r="D215" s="69">
        <v>0.77090909090909088</v>
      </c>
      <c r="E215" s="69">
        <v>0.52952380952380951</v>
      </c>
      <c r="F215" s="69">
        <v>0.62824858757062152</v>
      </c>
      <c r="G215" s="69">
        <v>0.83</v>
      </c>
      <c r="H215" s="69">
        <v>0.42350911615694864</v>
      </c>
      <c r="I215" s="69">
        <v>0.28446307594415543</v>
      </c>
      <c r="J215" s="69">
        <v>0.51264483627204027</v>
      </c>
      <c r="K215" s="69">
        <v>0.27006678809957496</v>
      </c>
      <c r="L215" s="69">
        <v>0.39618705587056935</v>
      </c>
      <c r="M215" s="207">
        <f t="shared" ref="M215" si="41">60/L215</f>
        <v>151.4436151079137</v>
      </c>
      <c r="N215" s="94">
        <f t="shared" si="8"/>
        <v>129</v>
      </c>
    </row>
    <row r="216" spans="1:14" x14ac:dyDescent="0.25">
      <c r="A216" t="s">
        <v>687</v>
      </c>
      <c r="B216" s="69">
        <v>0.64555555555555555</v>
      </c>
      <c r="C216" s="69">
        <v>0.48355555555555557</v>
      </c>
      <c r="D216" s="69">
        <v>0.78383838383838389</v>
      </c>
      <c r="E216" s="69">
        <v>0.34285714285714286</v>
      </c>
      <c r="F216" s="69">
        <v>0.62508474576271189</v>
      </c>
      <c r="G216" s="69">
        <v>0.83</v>
      </c>
      <c r="H216" s="69">
        <v>0.44057080839245688</v>
      </c>
      <c r="I216" s="69">
        <v>0.27148756721687817</v>
      </c>
      <c r="J216" s="69">
        <v>0.52124265323257768</v>
      </c>
      <c r="K216" s="69">
        <v>0.17486338797814208</v>
      </c>
      <c r="L216" s="69">
        <v>0.39419186925827154</v>
      </c>
      <c r="M216" s="207">
        <f t="shared" ref="M216" si="42">60/L216</f>
        <v>152.21014099783082</v>
      </c>
      <c r="N216" s="94">
        <f t="shared" si="8"/>
        <v>129</v>
      </c>
    </row>
    <row r="217" spans="1:14" x14ac:dyDescent="0.25">
      <c r="A217" t="s">
        <v>688</v>
      </c>
      <c r="B217" s="69">
        <v>0.74</v>
      </c>
      <c r="C217" s="69">
        <v>0.47012345679012346</v>
      </c>
      <c r="D217" s="69">
        <v>0.61128205128205126</v>
      </c>
      <c r="E217" s="69">
        <v>0.64444444444444449</v>
      </c>
      <c r="F217" s="69">
        <v>0.62</v>
      </c>
      <c r="G217" s="69">
        <v>0.83</v>
      </c>
      <c r="H217" s="69">
        <v>0.45205091596937336</v>
      </c>
      <c r="I217" s="69">
        <v>0.27045070382522979</v>
      </c>
      <c r="J217" s="69">
        <v>0.38182182182182184</v>
      </c>
      <c r="K217" s="69">
        <v>0.34446919079435778</v>
      </c>
      <c r="L217" s="69">
        <v>0.37047304077997034</v>
      </c>
      <c r="M217" s="207">
        <f t="shared" ref="M217" si="43">60/L217</f>
        <v>161.9551044083527</v>
      </c>
      <c r="N217" s="94">
        <f t="shared" si="8"/>
        <v>129</v>
      </c>
    </row>
    <row r="218" spans="1:14" x14ac:dyDescent="0.25">
      <c r="A218" t="s">
        <v>689</v>
      </c>
      <c r="B218" s="69">
        <v>0.71686274509803927</v>
      </c>
      <c r="C218" s="69">
        <v>0.44345679012345679</v>
      </c>
      <c r="D218" s="69">
        <v>0.61538461538461542</v>
      </c>
      <c r="E218" s="69">
        <v>0.58666666666666667</v>
      </c>
      <c r="F218" s="69">
        <v>0.60071684587813623</v>
      </c>
      <c r="G218" s="69">
        <v>0.83</v>
      </c>
      <c r="H218" s="69">
        <v>0.43266528204308907</v>
      </c>
      <c r="I218" s="69">
        <v>0.25511001264186589</v>
      </c>
      <c r="J218" s="69">
        <v>0.38438438438438438</v>
      </c>
      <c r="K218" s="69">
        <v>0.31358574610244982</v>
      </c>
      <c r="L218" s="69">
        <v>0.35785126966740755</v>
      </c>
      <c r="M218" s="207">
        <f t="shared" ref="M218" si="44">60/L218</f>
        <v>167.66742243436755</v>
      </c>
      <c r="N218" s="94">
        <f t="shared" si="8"/>
        <v>129</v>
      </c>
    </row>
    <row r="219" spans="1:14" x14ac:dyDescent="0.25">
      <c r="A219" t="s">
        <v>690</v>
      </c>
      <c r="B219" s="69">
        <v>0.64392156862745098</v>
      </c>
      <c r="C219" s="69">
        <v>0.31209876543209875</v>
      </c>
      <c r="D219" s="69">
        <v>0.56000000000000005</v>
      </c>
      <c r="E219" s="69">
        <v>0.61333333333333329</v>
      </c>
      <c r="F219" s="69">
        <v>0.52215053763440855</v>
      </c>
      <c r="G219" s="69">
        <v>0.83</v>
      </c>
      <c r="H219" s="69">
        <v>0.3886413529074137</v>
      </c>
      <c r="I219" s="69">
        <v>0.17954290422011052</v>
      </c>
      <c r="J219" s="69">
        <v>0.34978978978978981</v>
      </c>
      <c r="K219" s="69">
        <v>0.32783964365256119</v>
      </c>
      <c r="L219" s="69">
        <v>0.31104876470851983</v>
      </c>
      <c r="M219" s="207">
        <f t="shared" ref="M219" si="45">60/L219</f>
        <v>192.89579901153218</v>
      </c>
      <c r="N219" s="94">
        <f t="shared" si="8"/>
        <v>129</v>
      </c>
    </row>
    <row r="220" spans="1:14" x14ac:dyDescent="0.25">
      <c r="A220" t="s">
        <v>691</v>
      </c>
      <c r="B220" s="69">
        <v>0.62117647058823533</v>
      </c>
      <c r="C220" s="69">
        <v>0.46617283950617283</v>
      </c>
      <c r="D220" s="69">
        <v>0.44102564102564101</v>
      </c>
      <c r="E220" s="69">
        <v>0.84888888888888892</v>
      </c>
      <c r="F220" s="69">
        <v>0.54050179211469529</v>
      </c>
      <c r="G220" s="69">
        <v>0.83</v>
      </c>
      <c r="H220" s="69">
        <v>0.37491346102639667</v>
      </c>
      <c r="I220" s="69">
        <v>0.26817800883510179</v>
      </c>
      <c r="J220" s="69">
        <v>0.27547547547547546</v>
      </c>
      <c r="K220" s="69">
        <v>0.4537490720118782</v>
      </c>
      <c r="L220" s="69">
        <v>0.32198073666971988</v>
      </c>
      <c r="M220" s="207">
        <f t="shared" ref="M220" si="46">60/L220</f>
        <v>186.34655172413795</v>
      </c>
      <c r="N220" s="94">
        <f t="shared" si="8"/>
        <v>129</v>
      </c>
    </row>
    <row r="221" spans="1:14" x14ac:dyDescent="0.25">
      <c r="A221" t="s">
        <v>692</v>
      </c>
      <c r="B221" s="69">
        <v>0.4975</v>
      </c>
      <c r="C221" s="69">
        <v>0.78095238095238095</v>
      </c>
      <c r="D221" s="69">
        <v>0.59508771929824567</v>
      </c>
      <c r="E221" s="69">
        <v>0.68</v>
      </c>
      <c r="F221" s="69">
        <v>0.61333333333333329</v>
      </c>
      <c r="G221" s="69">
        <v>0.85</v>
      </c>
      <c r="H221" s="69">
        <v>0.31629348538732044</v>
      </c>
      <c r="I221" s="69">
        <v>0.41588476948825892</v>
      </c>
      <c r="J221" s="69">
        <v>0.326546329723225</v>
      </c>
      <c r="K221" s="69">
        <v>0.39635701275045537</v>
      </c>
      <c r="L221" s="69">
        <v>0.35525436164025187</v>
      </c>
      <c r="M221" s="207">
        <f t="shared" ref="M221" si="47">60/L221</f>
        <v>168.89307065217392</v>
      </c>
      <c r="N221" s="94">
        <f t="shared" si="8"/>
        <v>129</v>
      </c>
    </row>
    <row r="222" spans="1:14" x14ac:dyDescent="0.25">
      <c r="A222" t="s">
        <v>693</v>
      </c>
      <c r="B222" s="69">
        <v>0.6166666666666667</v>
      </c>
      <c r="C222" s="69">
        <v>0.67809523809523808</v>
      </c>
      <c r="D222" s="69">
        <v>0.51508771929824559</v>
      </c>
      <c r="E222" s="69">
        <v>0.52</v>
      </c>
      <c r="F222" s="69">
        <v>0.59899999999999998</v>
      </c>
      <c r="G222" s="69">
        <f t="shared" ref="G222:G230" si="48">G221</f>
        <v>0.85</v>
      </c>
      <c r="H222" s="69">
        <v>0.39205557652699685</v>
      </c>
      <c r="I222" s="69">
        <v>0.36110970228736627</v>
      </c>
      <c r="J222" s="69">
        <v>0.28264741275571603</v>
      </c>
      <c r="K222" s="69">
        <v>0.30309653916211293</v>
      </c>
      <c r="L222" s="69">
        <v>0.34695222166713729</v>
      </c>
      <c r="M222" s="207">
        <f t="shared" ref="M222" si="49">60/L222</f>
        <v>172.93447412353922</v>
      </c>
      <c r="N222" s="94">
        <f t="shared" si="8"/>
        <v>129</v>
      </c>
    </row>
    <row r="223" spans="1:14" x14ac:dyDescent="0.25">
      <c r="A223" t="s">
        <v>694</v>
      </c>
      <c r="B223" s="69">
        <v>0.69270833333333337</v>
      </c>
      <c r="C223" s="69">
        <v>0.78888888888888886</v>
      </c>
      <c r="D223" s="69">
        <v>0.55087719298245619</v>
      </c>
      <c r="E223" s="69">
        <v>0.44583333333333336</v>
      </c>
      <c r="F223" s="69">
        <v>0.6595833333333333</v>
      </c>
      <c r="G223" s="69">
        <f t="shared" si="48"/>
        <v>0.85</v>
      </c>
      <c r="H223" s="69">
        <v>0.44040026755144074</v>
      </c>
      <c r="I223" s="69">
        <v>0.42011124072289563</v>
      </c>
      <c r="J223" s="69">
        <v>0.30228640192539108</v>
      </c>
      <c r="K223" s="69">
        <v>0.25986642380085001</v>
      </c>
      <c r="L223" s="69">
        <v>0.38204324353024377</v>
      </c>
      <c r="M223" s="207">
        <f t="shared" ref="M223" si="50">60/L223</f>
        <v>157.05028427037269</v>
      </c>
      <c r="N223" s="94">
        <f t="shared" si="8"/>
        <v>129</v>
      </c>
    </row>
    <row r="224" spans="1:14" x14ac:dyDescent="0.25">
      <c r="A224" t="s">
        <v>695</v>
      </c>
      <c r="B224" s="69">
        <v>0.6701149425287356</v>
      </c>
      <c r="C224" s="69">
        <v>0.61199999999999999</v>
      </c>
      <c r="D224" s="69">
        <v>0.80666666666666664</v>
      </c>
      <c r="E224" s="69">
        <v>0.72777777777777775</v>
      </c>
      <c r="F224" s="69">
        <v>0.67380952380952386</v>
      </c>
      <c r="G224" s="69">
        <f t="shared" si="48"/>
        <v>0.85</v>
      </c>
      <c r="H224" s="69">
        <v>0.41056627159346193</v>
      </c>
      <c r="I224" s="69">
        <v>0.36055992835933448</v>
      </c>
      <c r="J224" s="69">
        <v>0.36876190476190474</v>
      </c>
      <c r="K224" s="69">
        <v>0.416865552903739</v>
      </c>
      <c r="L224" s="69">
        <v>0.38624160982227429</v>
      </c>
      <c r="M224" s="207">
        <f t="shared" ref="M224:M229" si="51">60/L224</f>
        <v>155.34318021201412</v>
      </c>
      <c r="N224" s="94">
        <f t="shared" si="8"/>
        <v>129</v>
      </c>
    </row>
    <row r="225" spans="1:14" x14ac:dyDescent="0.25">
      <c r="A225" t="s">
        <v>696</v>
      </c>
      <c r="B225" s="69">
        <v>0.67770114942528736</v>
      </c>
      <c r="C225" s="69">
        <v>0.75839999999999996</v>
      </c>
      <c r="D225" s="69">
        <v>0.81599999999999995</v>
      </c>
      <c r="E225" s="69">
        <v>0.74222222222222223</v>
      </c>
      <c r="F225" s="69">
        <v>0.7318095238095238</v>
      </c>
      <c r="G225" s="69">
        <f t="shared" si="48"/>
        <v>0.85</v>
      </c>
      <c r="H225" s="69">
        <v>0.41521419164923695</v>
      </c>
      <c r="I225" s="69">
        <v>0.44681151906490085</v>
      </c>
      <c r="J225" s="69">
        <v>0.37302857142857143</v>
      </c>
      <c r="K225" s="69">
        <v>0.42513922036595059</v>
      </c>
      <c r="L225" s="69">
        <v>0.41948841411651672</v>
      </c>
      <c r="M225" s="207">
        <f t="shared" si="51"/>
        <v>143.03136387298281</v>
      </c>
      <c r="N225" s="94">
        <f t="shared" si="8"/>
        <v>129</v>
      </c>
    </row>
    <row r="226" spans="1:14" x14ac:dyDescent="0.25">
      <c r="A226" t="s">
        <v>697</v>
      </c>
      <c r="B226" s="69">
        <v>0.6344827586206897</v>
      </c>
      <c r="C226" s="69">
        <v>0.73386666666666667</v>
      </c>
      <c r="D226" s="69">
        <v>0.65333333333333332</v>
      </c>
      <c r="E226" s="69">
        <v>0.82666666666666666</v>
      </c>
      <c r="F226" s="69">
        <v>0.68914285714285717</v>
      </c>
      <c r="G226" s="69">
        <f t="shared" si="48"/>
        <v>0.85</v>
      </c>
      <c r="H226" s="69">
        <v>0.38873513193754888</v>
      </c>
      <c r="I226" s="69">
        <v>0.43235770058600809</v>
      </c>
      <c r="J226" s="69">
        <v>0.29866666666666669</v>
      </c>
      <c r="K226" s="69">
        <v>0.47350835322195695</v>
      </c>
      <c r="L226" s="69">
        <v>0.39503099486557974</v>
      </c>
      <c r="M226" s="207">
        <f t="shared" si="51"/>
        <v>151.88681592039799</v>
      </c>
      <c r="N226" s="94">
        <f t="shared" si="8"/>
        <v>129</v>
      </c>
    </row>
    <row r="227" spans="1:14" x14ac:dyDescent="0.25">
      <c r="A227" t="s">
        <v>698</v>
      </c>
      <c r="B227" s="69">
        <v>0.54949494949494948</v>
      </c>
      <c r="C227" s="69">
        <v>0.66172839506172842</v>
      </c>
      <c r="D227" s="69">
        <v>0.34666666666666668</v>
      </c>
      <c r="E227" s="69">
        <v>0.62666666666666671</v>
      </c>
      <c r="F227" s="69">
        <v>0.56307692307692303</v>
      </c>
      <c r="G227" s="69">
        <f t="shared" si="48"/>
        <v>0.85</v>
      </c>
      <c r="H227" s="69">
        <v>0.34649902228676616</v>
      </c>
      <c r="I227" s="69">
        <v>0.41135208976070975</v>
      </c>
      <c r="J227" s="69">
        <v>0.17424083769633508</v>
      </c>
      <c r="K227" s="69">
        <v>0.35894988066825773</v>
      </c>
      <c r="L227" s="69">
        <v>0.33754236571700857</v>
      </c>
      <c r="M227" s="207">
        <f t="shared" si="51"/>
        <v>177.75546448087431</v>
      </c>
      <c r="N227" s="94">
        <f t="shared" si="8"/>
        <v>129</v>
      </c>
    </row>
    <row r="228" spans="1:14" x14ac:dyDescent="0.25">
      <c r="A228" t="s">
        <v>699</v>
      </c>
      <c r="B228" s="69">
        <v>0.4177777777777778</v>
      </c>
      <c r="C228" s="69">
        <v>0.68839506172839504</v>
      </c>
      <c r="D228" s="69">
        <v>0.55111111111111111</v>
      </c>
      <c r="E228" s="69">
        <v>0.97777777777777775</v>
      </c>
      <c r="F228" s="69">
        <v>0.57504273504273506</v>
      </c>
      <c r="G228" s="69">
        <f t="shared" si="48"/>
        <v>0.85</v>
      </c>
      <c r="H228" s="69">
        <v>0.26344116841508547</v>
      </c>
      <c r="I228" s="69">
        <v>0.42792896501972344</v>
      </c>
      <c r="J228" s="69">
        <v>0.2769982547993019</v>
      </c>
      <c r="K228" s="69">
        <v>0.56006364359586314</v>
      </c>
      <c r="L228" s="69">
        <v>0.34471539716818966</v>
      </c>
      <c r="M228" s="207">
        <f t="shared" si="51"/>
        <v>174.05662901307966</v>
      </c>
      <c r="N228" s="94">
        <f t="shared" si="8"/>
        <v>129</v>
      </c>
    </row>
    <row r="229" spans="1:14" x14ac:dyDescent="0.25">
      <c r="A229" t="s">
        <v>700</v>
      </c>
      <c r="B229" s="69">
        <v>0.58322580645161293</v>
      </c>
      <c r="C229" s="69">
        <v>0.65086419753086422</v>
      </c>
      <c r="D229" s="69">
        <v>0.65555555555555556</v>
      </c>
      <c r="E229" s="69">
        <v>0.62857142857142856</v>
      </c>
      <c r="F229" s="69">
        <v>0.6223376623376623</v>
      </c>
      <c r="G229" s="69">
        <f t="shared" si="48"/>
        <v>0.85</v>
      </c>
      <c r="H229" s="69">
        <v>0.35920767687203226</v>
      </c>
      <c r="I229" s="69">
        <v>0.37845831359205184</v>
      </c>
      <c r="J229" s="69">
        <v>0.31624790619765492</v>
      </c>
      <c r="K229" s="69">
        <v>0.3834422657952069</v>
      </c>
      <c r="L229" s="69">
        <v>0.35998407416032513</v>
      </c>
      <c r="M229" s="207">
        <f t="shared" si="51"/>
        <v>166.67404006677796</v>
      </c>
      <c r="N229" s="94">
        <f t="shared" si="8"/>
        <v>129</v>
      </c>
    </row>
    <row r="230" spans="1:14" x14ac:dyDescent="0.25">
      <c r="A230" t="s">
        <v>472</v>
      </c>
      <c r="B230" s="69">
        <v>0.47655913978494624</v>
      </c>
      <c r="C230" s="69">
        <v>0.62320987654320992</v>
      </c>
      <c r="D230" s="69">
        <v>0.46444444444444444</v>
      </c>
      <c r="E230" s="69">
        <v>0.65523809523809529</v>
      </c>
      <c r="F230" s="69">
        <v>0.54233766233766234</v>
      </c>
      <c r="G230" s="69">
        <f t="shared" si="48"/>
        <v>0.85</v>
      </c>
      <c r="H230" s="69">
        <v>0.29351187756210306</v>
      </c>
      <c r="I230" s="69">
        <v>0.36237814245308758</v>
      </c>
      <c r="J230" s="69">
        <v>0.22405360134003349</v>
      </c>
      <c r="K230" s="69">
        <v>0.3997095134350036</v>
      </c>
      <c r="L230" s="69">
        <v>0.31370899284088399</v>
      </c>
      <c r="M230" s="207">
        <f>60/L230</f>
        <v>191.26005747126459</v>
      </c>
      <c r="N230" s="94">
        <f t="shared" si="8"/>
        <v>129</v>
      </c>
    </row>
  </sheetData>
  <mergeCells count="19">
    <mergeCell ref="A129:L129"/>
    <mergeCell ref="B63:F63"/>
    <mergeCell ref="Y1:AB1"/>
    <mergeCell ref="AC1:AF1"/>
    <mergeCell ref="AG1:AJ1"/>
    <mergeCell ref="B37:F37"/>
    <mergeCell ref="B38:F38"/>
    <mergeCell ref="I1:L1"/>
    <mergeCell ref="M1:P1"/>
    <mergeCell ref="Q1:T1"/>
    <mergeCell ref="U1:X1"/>
    <mergeCell ref="P63:S63"/>
    <mergeCell ref="T63:W63"/>
    <mergeCell ref="G10:G11"/>
    <mergeCell ref="AW1:AZ1"/>
    <mergeCell ref="BA1:BD1"/>
    <mergeCell ref="AK1:AN1"/>
    <mergeCell ref="AO1:AR1"/>
    <mergeCell ref="AS1:AV1"/>
  </mergeCells>
  <phoneticPr fontId="11" type="noConversion"/>
  <conditionalFormatting sqref="F130:F141">
    <cfRule type="cellIs" dxfId="362" priority="338" operator="lessThan">
      <formula>0.8</formula>
    </cfRule>
    <cfRule type="cellIs" dxfId="361" priority="339" operator="greaterThan">
      <formula>0.81</formula>
    </cfRule>
    <cfRule type="cellIs" dxfId="360" priority="340" operator="equal">
      <formula>0.81</formula>
    </cfRule>
  </conditionalFormatting>
  <conditionalFormatting sqref="F142">
    <cfRule type="cellIs" dxfId="359" priority="335" operator="lessThan">
      <formula>0.8</formula>
    </cfRule>
    <cfRule type="cellIs" dxfId="358" priority="336" operator="greaterThan">
      <formula>0.81</formula>
    </cfRule>
    <cfRule type="cellIs" dxfId="357" priority="337" operator="equal">
      <formula>0.81</formula>
    </cfRule>
  </conditionalFormatting>
  <conditionalFormatting sqref="F143">
    <cfRule type="cellIs" dxfId="356" priority="332" operator="lessThan">
      <formula>0.8</formula>
    </cfRule>
    <cfRule type="cellIs" dxfId="355" priority="333" operator="greaterThan">
      <formula>0.81</formula>
    </cfRule>
    <cfRule type="cellIs" dxfId="354" priority="334" operator="equal">
      <formula>0.81</formula>
    </cfRule>
  </conditionalFormatting>
  <conditionalFormatting sqref="F144">
    <cfRule type="cellIs" dxfId="353" priority="329" operator="lessThan">
      <formula>0.8</formula>
    </cfRule>
    <cfRule type="cellIs" dxfId="352" priority="330" operator="greaterThan">
      <formula>0.81</formula>
    </cfRule>
    <cfRule type="cellIs" dxfId="351" priority="331" operator="equal">
      <formula>0.81</formula>
    </cfRule>
  </conditionalFormatting>
  <conditionalFormatting sqref="F145">
    <cfRule type="cellIs" dxfId="350" priority="326" operator="lessThan">
      <formula>0.8</formula>
    </cfRule>
    <cfRule type="cellIs" dxfId="349" priority="327" operator="greaterThan">
      <formula>0.81</formula>
    </cfRule>
    <cfRule type="cellIs" dxfId="348" priority="328" operator="equal">
      <formula>0.81</formula>
    </cfRule>
  </conditionalFormatting>
  <conditionalFormatting sqref="F146">
    <cfRule type="cellIs" dxfId="347" priority="323" operator="lessThan">
      <formula>0.8</formula>
    </cfRule>
    <cfRule type="cellIs" dxfId="346" priority="324" operator="greaterThan">
      <formula>0.81</formula>
    </cfRule>
    <cfRule type="cellIs" dxfId="345" priority="325" operator="equal">
      <formula>0.81</formula>
    </cfRule>
  </conditionalFormatting>
  <conditionalFormatting sqref="F147">
    <cfRule type="cellIs" dxfId="344" priority="320" operator="lessThan">
      <formula>0.8</formula>
    </cfRule>
    <cfRule type="cellIs" dxfId="343" priority="321" operator="greaterThan">
      <formula>0.81</formula>
    </cfRule>
    <cfRule type="cellIs" dxfId="342" priority="322" operator="equal">
      <formula>0.81</formula>
    </cfRule>
  </conditionalFormatting>
  <conditionalFormatting sqref="F148">
    <cfRule type="cellIs" dxfId="341" priority="317" operator="lessThan">
      <formula>0.8</formula>
    </cfRule>
    <cfRule type="cellIs" dxfId="340" priority="318" operator="greaterThan">
      <formula>0.81</formula>
    </cfRule>
    <cfRule type="cellIs" dxfId="339" priority="319" operator="equal">
      <formula>0.81</formula>
    </cfRule>
  </conditionalFormatting>
  <conditionalFormatting sqref="F149:F150">
    <cfRule type="cellIs" dxfId="338" priority="314" operator="lessThan">
      <formula>0.8</formula>
    </cfRule>
    <cfRule type="cellIs" dxfId="337" priority="315" operator="greaterThan">
      <formula>0.81</formula>
    </cfRule>
    <cfRule type="cellIs" dxfId="336" priority="316" operator="equal">
      <formula>0.81</formula>
    </cfRule>
  </conditionalFormatting>
  <conditionalFormatting sqref="F151">
    <cfRule type="cellIs" dxfId="335" priority="311" operator="lessThan">
      <formula>0.8</formula>
    </cfRule>
    <cfRule type="cellIs" dxfId="334" priority="312" operator="greaterThan">
      <formula>0.81</formula>
    </cfRule>
    <cfRule type="cellIs" dxfId="333" priority="313" operator="equal">
      <formula>0.81</formula>
    </cfRule>
  </conditionalFormatting>
  <conditionalFormatting sqref="F152">
    <cfRule type="cellIs" dxfId="332" priority="308" operator="lessThan">
      <formula>0.8</formula>
    </cfRule>
    <cfRule type="cellIs" dxfId="331" priority="309" operator="greaterThan">
      <formula>0.81</formula>
    </cfRule>
    <cfRule type="cellIs" dxfId="330" priority="310" operator="equal">
      <formula>0.81</formula>
    </cfRule>
  </conditionalFormatting>
  <conditionalFormatting sqref="F153:F155">
    <cfRule type="cellIs" dxfId="329" priority="305" operator="lessThan">
      <formula>0.8</formula>
    </cfRule>
    <cfRule type="cellIs" dxfId="328" priority="306" operator="greaterThan">
      <formula>0.81</formula>
    </cfRule>
    <cfRule type="cellIs" dxfId="327" priority="307" operator="equal">
      <formula>0.81</formula>
    </cfRule>
  </conditionalFormatting>
  <conditionalFormatting sqref="F156">
    <cfRule type="cellIs" dxfId="326" priority="302" operator="lessThan">
      <formula>0.8</formula>
    </cfRule>
    <cfRule type="cellIs" dxfId="325" priority="303" operator="greaterThan">
      <formula>0.81</formula>
    </cfRule>
    <cfRule type="cellIs" dxfId="324" priority="304" operator="equal">
      <formula>0.81</formula>
    </cfRule>
  </conditionalFormatting>
  <conditionalFormatting sqref="F157">
    <cfRule type="cellIs" dxfId="323" priority="299" operator="lessThan">
      <formula>0.8</formula>
    </cfRule>
    <cfRule type="cellIs" dxfId="322" priority="300" operator="greaterThan">
      <formula>0.81</formula>
    </cfRule>
    <cfRule type="cellIs" dxfId="321" priority="301" operator="equal">
      <formula>0.81</formula>
    </cfRule>
  </conditionalFormatting>
  <conditionalFormatting sqref="F158">
    <cfRule type="cellIs" dxfId="320" priority="293" operator="lessThan">
      <formula>0.8</formula>
    </cfRule>
    <cfRule type="cellIs" dxfId="319" priority="294" operator="greaterThan">
      <formula>0.81</formula>
    </cfRule>
    <cfRule type="cellIs" dxfId="318" priority="295" operator="equal">
      <formula>0.81</formula>
    </cfRule>
  </conditionalFormatting>
  <conditionalFormatting sqref="F159">
    <cfRule type="cellIs" dxfId="317" priority="290" operator="lessThan">
      <formula>0.8</formula>
    </cfRule>
    <cfRule type="cellIs" dxfId="316" priority="291" operator="greaterThan">
      <formula>0.81</formula>
    </cfRule>
    <cfRule type="cellIs" dxfId="315" priority="292" operator="equal">
      <formula>0.81</formula>
    </cfRule>
  </conditionalFormatting>
  <conditionalFormatting sqref="F160">
    <cfRule type="cellIs" dxfId="314" priority="287" operator="lessThan">
      <formula>0.8</formula>
    </cfRule>
    <cfRule type="cellIs" dxfId="313" priority="288" operator="greaterThan">
      <formula>0.81</formula>
    </cfRule>
    <cfRule type="cellIs" dxfId="312" priority="289" operator="equal">
      <formula>0.81</formula>
    </cfRule>
  </conditionalFormatting>
  <conditionalFormatting sqref="F161">
    <cfRule type="cellIs" dxfId="311" priority="284" operator="lessThan">
      <formula>0.8</formula>
    </cfRule>
    <cfRule type="cellIs" dxfId="310" priority="285" operator="greaterThan">
      <formula>0.81</formula>
    </cfRule>
    <cfRule type="cellIs" dxfId="309" priority="286" operator="equal">
      <formula>0.81</formula>
    </cfRule>
  </conditionalFormatting>
  <conditionalFormatting sqref="F162">
    <cfRule type="cellIs" dxfId="308" priority="281" operator="lessThan">
      <formula>0.8</formula>
    </cfRule>
    <cfRule type="cellIs" dxfId="307" priority="282" operator="greaterThan">
      <formula>0.81</formula>
    </cfRule>
    <cfRule type="cellIs" dxfId="306" priority="283" operator="equal">
      <formula>0.81</formula>
    </cfRule>
  </conditionalFormatting>
  <conditionalFormatting sqref="F163">
    <cfRule type="cellIs" dxfId="305" priority="278" operator="lessThan">
      <formula>0.8</formula>
    </cfRule>
    <cfRule type="cellIs" dxfId="304" priority="279" operator="greaterThan">
      <formula>0.81</formula>
    </cfRule>
    <cfRule type="cellIs" dxfId="303" priority="280" operator="equal">
      <formula>0.81</formula>
    </cfRule>
  </conditionalFormatting>
  <conditionalFormatting sqref="F164">
    <cfRule type="cellIs" dxfId="302" priority="275" operator="lessThan">
      <formula>0.8</formula>
    </cfRule>
    <cfRule type="cellIs" dxfId="301" priority="276" operator="greaterThan">
      <formula>0.81</formula>
    </cfRule>
    <cfRule type="cellIs" dxfId="300" priority="277" operator="equal">
      <formula>0.81</formula>
    </cfRule>
  </conditionalFormatting>
  <conditionalFormatting sqref="F165">
    <cfRule type="cellIs" dxfId="299" priority="272" operator="lessThan">
      <formula>0.8</formula>
    </cfRule>
    <cfRule type="cellIs" dxfId="298" priority="273" operator="greaterThan">
      <formula>0.81</formula>
    </cfRule>
    <cfRule type="cellIs" dxfId="297" priority="274" operator="equal">
      <formula>0.81</formula>
    </cfRule>
  </conditionalFormatting>
  <conditionalFormatting sqref="F166:F167">
    <cfRule type="cellIs" dxfId="296" priority="266" operator="lessThan">
      <formula>0.8</formula>
    </cfRule>
    <cfRule type="cellIs" dxfId="295" priority="267" operator="greaterThan">
      <formula>0.81</formula>
    </cfRule>
    <cfRule type="cellIs" dxfId="294" priority="268" operator="equal">
      <formula>0.81</formula>
    </cfRule>
  </conditionalFormatting>
  <conditionalFormatting sqref="F168">
    <cfRule type="cellIs" dxfId="293" priority="263" operator="lessThan">
      <formula>0.8</formula>
    </cfRule>
    <cfRule type="cellIs" dxfId="292" priority="264" operator="greaterThan">
      <formula>0.81</formula>
    </cfRule>
    <cfRule type="cellIs" dxfId="291" priority="265" operator="equal">
      <formula>0.81</formula>
    </cfRule>
  </conditionalFormatting>
  <conditionalFormatting sqref="F169">
    <cfRule type="cellIs" dxfId="290" priority="260" operator="lessThan">
      <formula>0.8</formula>
    </cfRule>
    <cfRule type="cellIs" dxfId="289" priority="261" operator="greaterThan">
      <formula>0.81</formula>
    </cfRule>
    <cfRule type="cellIs" dxfId="288" priority="262" operator="equal">
      <formula>0.81</formula>
    </cfRule>
  </conditionalFormatting>
  <conditionalFormatting sqref="F170">
    <cfRule type="cellIs" dxfId="287" priority="254" operator="lessThan">
      <formula>0.8</formula>
    </cfRule>
    <cfRule type="cellIs" dxfId="286" priority="255" operator="greaterThan">
      <formula>0.81</formula>
    </cfRule>
    <cfRule type="cellIs" dxfId="285" priority="256" operator="equal">
      <formula>0.81</formula>
    </cfRule>
  </conditionalFormatting>
  <conditionalFormatting sqref="F171">
    <cfRule type="cellIs" dxfId="284" priority="251" operator="lessThan">
      <formula>0.8</formula>
    </cfRule>
    <cfRule type="cellIs" dxfId="283" priority="252" operator="greaterThan">
      <formula>0.81</formula>
    </cfRule>
    <cfRule type="cellIs" dxfId="282" priority="253" operator="equal">
      <formula>0.81</formula>
    </cfRule>
  </conditionalFormatting>
  <conditionalFormatting sqref="F172">
    <cfRule type="cellIs" dxfId="281" priority="248" operator="lessThan">
      <formula>0.8</formula>
    </cfRule>
    <cfRule type="cellIs" dxfId="280" priority="249" operator="greaterThan">
      <formula>0.81</formula>
    </cfRule>
    <cfRule type="cellIs" dxfId="279" priority="250" operator="equal">
      <formula>0.81</formula>
    </cfRule>
  </conditionalFormatting>
  <conditionalFormatting sqref="F173">
    <cfRule type="cellIs" dxfId="278" priority="245" operator="lessThan">
      <formula>0.8</formula>
    </cfRule>
    <cfRule type="cellIs" dxfId="277" priority="246" operator="greaterThan">
      <formula>0.81</formula>
    </cfRule>
    <cfRule type="cellIs" dxfId="276" priority="247" operator="equal">
      <formula>0.81</formula>
    </cfRule>
  </conditionalFormatting>
  <conditionalFormatting sqref="F174">
    <cfRule type="cellIs" dxfId="275" priority="242" operator="lessThan">
      <formula>0.8</formula>
    </cfRule>
    <cfRule type="cellIs" dxfId="274" priority="243" operator="greaterThan">
      <formula>0.81</formula>
    </cfRule>
    <cfRule type="cellIs" dxfId="273" priority="244" operator="equal">
      <formula>0.81</formula>
    </cfRule>
  </conditionalFormatting>
  <conditionalFormatting sqref="F175">
    <cfRule type="cellIs" dxfId="272" priority="239" operator="lessThan">
      <formula>0.8</formula>
    </cfRule>
    <cfRule type="cellIs" dxfId="271" priority="240" operator="greaterThan">
      <formula>0.81</formula>
    </cfRule>
    <cfRule type="cellIs" dxfId="270" priority="241" operator="equal">
      <formula>0.81</formula>
    </cfRule>
  </conditionalFormatting>
  <conditionalFormatting sqref="F176">
    <cfRule type="cellIs" dxfId="269" priority="236" operator="lessThan">
      <formula>0.8</formula>
    </cfRule>
    <cfRule type="cellIs" dxfId="268" priority="237" operator="greaterThan">
      <formula>0.81</formula>
    </cfRule>
    <cfRule type="cellIs" dxfId="267" priority="238" operator="equal">
      <formula>0.81</formula>
    </cfRule>
  </conditionalFormatting>
  <conditionalFormatting sqref="F177">
    <cfRule type="cellIs" dxfId="266" priority="233" operator="lessThan">
      <formula>0.8</formula>
    </cfRule>
    <cfRule type="cellIs" dxfId="265" priority="234" operator="greaterThan">
      <formula>0.81</formula>
    </cfRule>
    <cfRule type="cellIs" dxfId="264" priority="235" operator="equal">
      <formula>0.81</formula>
    </cfRule>
  </conditionalFormatting>
  <conditionalFormatting sqref="F178">
    <cfRule type="cellIs" dxfId="263" priority="230" operator="lessThan">
      <formula>0.8</formula>
    </cfRule>
    <cfRule type="cellIs" dxfId="262" priority="231" operator="greaterThan">
      <formula>0.81</formula>
    </cfRule>
    <cfRule type="cellIs" dxfId="261" priority="232" operator="equal">
      <formula>0.81</formula>
    </cfRule>
  </conditionalFormatting>
  <conditionalFormatting sqref="F179">
    <cfRule type="cellIs" dxfId="260" priority="227" operator="lessThan">
      <formula>0.8</formula>
    </cfRule>
    <cfRule type="cellIs" dxfId="259" priority="228" operator="greaterThan">
      <formula>0.81</formula>
    </cfRule>
    <cfRule type="cellIs" dxfId="258" priority="229" operator="equal">
      <formula>0.81</formula>
    </cfRule>
  </conditionalFormatting>
  <conditionalFormatting sqref="F180:F182">
    <cfRule type="cellIs" dxfId="257" priority="224" operator="lessThan">
      <formula>0.8</formula>
    </cfRule>
    <cfRule type="cellIs" dxfId="256" priority="225" operator="greaterThan">
      <formula>0.81</formula>
    </cfRule>
    <cfRule type="cellIs" dxfId="255" priority="226" operator="equal">
      <formula>0.81</formula>
    </cfRule>
  </conditionalFormatting>
  <conditionalFormatting sqref="F183">
    <cfRule type="cellIs" dxfId="254" priority="221" operator="lessThan">
      <formula>0.8</formula>
    </cfRule>
    <cfRule type="cellIs" dxfId="253" priority="222" operator="greaterThan">
      <formula>0.81</formula>
    </cfRule>
    <cfRule type="cellIs" dxfId="252" priority="223" operator="equal">
      <formula>0.81</formula>
    </cfRule>
  </conditionalFormatting>
  <conditionalFormatting sqref="F184">
    <cfRule type="cellIs" dxfId="251" priority="218" operator="lessThan">
      <formula>0.8</formula>
    </cfRule>
    <cfRule type="cellIs" dxfId="250" priority="219" operator="greaterThan">
      <formula>0.81</formula>
    </cfRule>
    <cfRule type="cellIs" dxfId="249" priority="220" operator="equal">
      <formula>0.81</formula>
    </cfRule>
  </conditionalFormatting>
  <conditionalFormatting sqref="F185">
    <cfRule type="cellIs" dxfId="248" priority="215" operator="lessThan">
      <formula>0.8</formula>
    </cfRule>
    <cfRule type="cellIs" dxfId="247" priority="216" operator="greaterThan">
      <formula>0.81</formula>
    </cfRule>
    <cfRule type="cellIs" dxfId="246" priority="217" operator="equal">
      <formula>0.81</formula>
    </cfRule>
  </conditionalFormatting>
  <conditionalFormatting sqref="B130:E185">
    <cfRule type="cellIs" dxfId="245" priority="212" operator="lessThan">
      <formula>0.8</formula>
    </cfRule>
    <cfRule type="cellIs" dxfId="244" priority="213" operator="greaterThan">
      <formula>0.81</formula>
    </cfRule>
    <cfRule type="cellIs" dxfId="243" priority="214" operator="equal">
      <formula>0.81</formula>
    </cfRule>
  </conditionalFormatting>
  <conditionalFormatting sqref="F186">
    <cfRule type="cellIs" dxfId="242" priority="209" operator="lessThan">
      <formula>0.8</formula>
    </cfRule>
    <cfRule type="cellIs" dxfId="241" priority="210" operator="greaterThan">
      <formula>0.81</formula>
    </cfRule>
    <cfRule type="cellIs" dxfId="240" priority="211" operator="equal">
      <formula>0.81</formula>
    </cfRule>
  </conditionalFormatting>
  <conditionalFormatting sqref="B186:E186">
    <cfRule type="cellIs" dxfId="239" priority="206" operator="lessThan">
      <formula>0.8</formula>
    </cfRule>
    <cfRule type="cellIs" dxfId="238" priority="207" operator="greaterThan">
      <formula>0.81</formula>
    </cfRule>
    <cfRule type="cellIs" dxfId="237" priority="208" operator="equal">
      <formula>0.81</formula>
    </cfRule>
  </conditionalFormatting>
  <conditionalFormatting sqref="F187">
    <cfRule type="cellIs" dxfId="236" priority="203" operator="lessThan">
      <formula>0.8</formula>
    </cfRule>
    <cfRule type="cellIs" dxfId="235" priority="204" operator="greaterThan">
      <formula>0.81</formula>
    </cfRule>
    <cfRule type="cellIs" dxfId="234" priority="205" operator="equal">
      <formula>0.81</formula>
    </cfRule>
  </conditionalFormatting>
  <conditionalFormatting sqref="B187:E187">
    <cfRule type="cellIs" dxfId="233" priority="200" operator="lessThan">
      <formula>0.8</formula>
    </cfRule>
    <cfRule type="cellIs" dxfId="232" priority="201" operator="greaterThan">
      <formula>0.81</formula>
    </cfRule>
    <cfRule type="cellIs" dxfId="231" priority="202" operator="equal">
      <formula>0.81</formula>
    </cfRule>
  </conditionalFormatting>
  <conditionalFormatting sqref="F188">
    <cfRule type="cellIs" dxfId="230" priority="197" operator="lessThan">
      <formula>0.8</formula>
    </cfRule>
    <cfRule type="cellIs" dxfId="229" priority="198" operator="greaterThan">
      <formula>0.81</formula>
    </cfRule>
    <cfRule type="cellIs" dxfId="228" priority="199" operator="equal">
      <formula>0.81</formula>
    </cfRule>
  </conditionalFormatting>
  <conditionalFormatting sqref="B188:E188">
    <cfRule type="cellIs" dxfId="227" priority="194" operator="lessThan">
      <formula>0.8</formula>
    </cfRule>
    <cfRule type="cellIs" dxfId="226" priority="195" operator="greaterThan">
      <formula>0.81</formula>
    </cfRule>
    <cfRule type="cellIs" dxfId="225" priority="196" operator="equal">
      <formula>0.81</formula>
    </cfRule>
  </conditionalFormatting>
  <conditionalFormatting sqref="F189">
    <cfRule type="cellIs" dxfId="224" priority="191" operator="lessThan">
      <formula>0.8</formula>
    </cfRule>
    <cfRule type="cellIs" dxfId="223" priority="192" operator="greaterThan">
      <formula>0.81</formula>
    </cfRule>
    <cfRule type="cellIs" dxfId="222" priority="193" operator="equal">
      <formula>0.81</formula>
    </cfRule>
  </conditionalFormatting>
  <conditionalFormatting sqref="B189:E189">
    <cfRule type="cellIs" dxfId="221" priority="188" operator="lessThan">
      <formula>0.8</formula>
    </cfRule>
    <cfRule type="cellIs" dxfId="220" priority="189" operator="greaterThan">
      <formula>0.81</formula>
    </cfRule>
    <cfRule type="cellIs" dxfId="219" priority="190" operator="equal">
      <formula>0.81</formula>
    </cfRule>
  </conditionalFormatting>
  <conditionalFormatting sqref="F190">
    <cfRule type="cellIs" dxfId="218" priority="185" operator="lessThan">
      <formula>0.8</formula>
    </cfRule>
    <cfRule type="cellIs" dxfId="217" priority="186" operator="greaterThan">
      <formula>0.81</formula>
    </cfRule>
    <cfRule type="cellIs" dxfId="216" priority="187" operator="equal">
      <formula>0.81</formula>
    </cfRule>
  </conditionalFormatting>
  <conditionalFormatting sqref="B190:E190">
    <cfRule type="cellIs" dxfId="215" priority="182" operator="lessThan">
      <formula>0.8</formula>
    </cfRule>
    <cfRule type="cellIs" dxfId="214" priority="183" operator="greaterThan">
      <formula>0.81</formula>
    </cfRule>
    <cfRule type="cellIs" dxfId="213" priority="184" operator="equal">
      <formula>0.81</formula>
    </cfRule>
  </conditionalFormatting>
  <conditionalFormatting sqref="F191">
    <cfRule type="cellIs" dxfId="212" priority="173" operator="lessThan">
      <formula>0.8</formula>
    </cfRule>
    <cfRule type="cellIs" dxfId="211" priority="174" operator="greaterThan">
      <formula>0.81</formula>
    </cfRule>
    <cfRule type="cellIs" dxfId="210" priority="175" operator="equal">
      <formula>0.81</formula>
    </cfRule>
  </conditionalFormatting>
  <conditionalFormatting sqref="B191:E191">
    <cfRule type="cellIs" dxfId="209" priority="170" operator="lessThan">
      <formula>0.8</formula>
    </cfRule>
    <cfRule type="cellIs" dxfId="208" priority="171" operator="greaterThan">
      <formula>0.81</formula>
    </cfRule>
    <cfRule type="cellIs" dxfId="207" priority="172" operator="equal">
      <formula>0.81</formula>
    </cfRule>
  </conditionalFormatting>
  <conditionalFormatting sqref="F192">
    <cfRule type="cellIs" dxfId="206" priority="167" operator="lessThan">
      <formula>0.8</formula>
    </cfRule>
    <cfRule type="cellIs" dxfId="205" priority="168" operator="greaterThan">
      <formula>0.81</formula>
    </cfRule>
    <cfRule type="cellIs" dxfId="204" priority="169" operator="equal">
      <formula>0.81</formula>
    </cfRule>
  </conditionalFormatting>
  <conditionalFormatting sqref="B192:E192">
    <cfRule type="cellIs" dxfId="203" priority="164" operator="lessThan">
      <formula>0.8</formula>
    </cfRule>
    <cfRule type="cellIs" dxfId="202" priority="165" operator="greaterThan">
      <formula>0.81</formula>
    </cfRule>
    <cfRule type="cellIs" dxfId="201" priority="166" operator="equal">
      <formula>0.81</formula>
    </cfRule>
  </conditionalFormatting>
  <conditionalFormatting sqref="F65:F128">
    <cfRule type="cellIs" dxfId="200" priority="161" operator="lessThan">
      <formula>0.8</formula>
    </cfRule>
    <cfRule type="cellIs" dxfId="199" priority="162" operator="greaterThan">
      <formula>0.81</formula>
    </cfRule>
    <cfRule type="cellIs" dxfId="198" priority="163" operator="equal">
      <formula>0.81</formula>
    </cfRule>
  </conditionalFormatting>
  <conditionalFormatting sqref="B65:E128">
    <cfRule type="cellIs" dxfId="197" priority="158" operator="lessThan">
      <formula>0.8</formula>
    </cfRule>
    <cfRule type="cellIs" dxfId="196" priority="159" operator="greaterThan">
      <formula>0.81</formula>
    </cfRule>
    <cfRule type="cellIs" dxfId="195" priority="160" operator="equal">
      <formula>0.81</formula>
    </cfRule>
  </conditionalFormatting>
  <conditionalFormatting sqref="F193">
    <cfRule type="cellIs" dxfId="194" priority="155" operator="lessThan">
      <formula>0.8</formula>
    </cfRule>
    <cfRule type="cellIs" dxfId="193" priority="156" operator="greaterThan">
      <formula>0.81</formula>
    </cfRule>
    <cfRule type="cellIs" dxfId="192" priority="157" operator="equal">
      <formula>0.81</formula>
    </cfRule>
  </conditionalFormatting>
  <conditionalFormatting sqref="B193:E193">
    <cfRule type="cellIs" dxfId="191" priority="152" operator="lessThan">
      <formula>0.8</formula>
    </cfRule>
    <cfRule type="cellIs" dxfId="190" priority="153" operator="greaterThan">
      <formula>0.81</formula>
    </cfRule>
    <cfRule type="cellIs" dxfId="189" priority="154" operator="equal">
      <formula>0.81</formula>
    </cfRule>
  </conditionalFormatting>
  <conditionalFormatting sqref="F194">
    <cfRule type="cellIs" dxfId="188" priority="149" operator="lessThan">
      <formula>0.8</formula>
    </cfRule>
    <cfRule type="cellIs" dxfId="187" priority="150" operator="greaterThan">
      <formula>0.81</formula>
    </cfRule>
    <cfRule type="cellIs" dxfId="186" priority="151" operator="equal">
      <formula>0.81</formula>
    </cfRule>
  </conditionalFormatting>
  <conditionalFormatting sqref="B194:E194">
    <cfRule type="cellIs" dxfId="185" priority="146" operator="lessThan">
      <formula>0.8</formula>
    </cfRule>
    <cfRule type="cellIs" dxfId="184" priority="147" operator="greaterThan">
      <formula>0.81</formula>
    </cfRule>
    <cfRule type="cellIs" dxfId="183" priority="148" operator="equal">
      <formula>0.81</formula>
    </cfRule>
  </conditionalFormatting>
  <conditionalFormatting sqref="F195">
    <cfRule type="cellIs" dxfId="182" priority="143" operator="lessThan">
      <formula>0.8</formula>
    </cfRule>
    <cfRule type="cellIs" dxfId="181" priority="144" operator="greaterThan">
      <formula>0.81</formula>
    </cfRule>
    <cfRule type="cellIs" dxfId="180" priority="145" operator="equal">
      <formula>0.81</formula>
    </cfRule>
  </conditionalFormatting>
  <conditionalFormatting sqref="B195:E195">
    <cfRule type="cellIs" dxfId="179" priority="140" operator="lessThan">
      <formula>0.8</formula>
    </cfRule>
    <cfRule type="cellIs" dxfId="178" priority="141" operator="greaterThan">
      <formula>0.81</formula>
    </cfRule>
    <cfRule type="cellIs" dxfId="177" priority="142" operator="equal">
      <formula>0.81</formula>
    </cfRule>
  </conditionalFormatting>
  <conditionalFormatting sqref="F196">
    <cfRule type="cellIs" dxfId="176" priority="137" operator="lessThan">
      <formula>0.8</formula>
    </cfRule>
    <cfRule type="cellIs" dxfId="175" priority="138" operator="greaterThan">
      <formula>0.81</formula>
    </cfRule>
    <cfRule type="cellIs" dxfId="174" priority="139" operator="equal">
      <formula>0.81</formula>
    </cfRule>
  </conditionalFormatting>
  <conditionalFormatting sqref="B196:E196">
    <cfRule type="cellIs" dxfId="173" priority="134" operator="lessThan">
      <formula>0.8</formula>
    </cfRule>
    <cfRule type="cellIs" dxfId="172" priority="135" operator="greaterThan">
      <formula>0.81</formula>
    </cfRule>
    <cfRule type="cellIs" dxfId="171" priority="136" operator="equal">
      <formula>0.81</formula>
    </cfRule>
  </conditionalFormatting>
  <conditionalFormatting sqref="F197">
    <cfRule type="cellIs" dxfId="170" priority="131" operator="lessThan">
      <formula>0.8</formula>
    </cfRule>
    <cfRule type="cellIs" dxfId="169" priority="132" operator="greaterThan">
      <formula>0.81</formula>
    </cfRule>
    <cfRule type="cellIs" dxfId="168" priority="133" operator="equal">
      <formula>0.81</formula>
    </cfRule>
  </conditionalFormatting>
  <conditionalFormatting sqref="B197:E197">
    <cfRule type="cellIs" dxfId="167" priority="128" operator="lessThan">
      <formula>0.8</formula>
    </cfRule>
    <cfRule type="cellIs" dxfId="166" priority="129" operator="greaterThan">
      <formula>0.81</formula>
    </cfRule>
    <cfRule type="cellIs" dxfId="165" priority="130" operator="equal">
      <formula>0.81</formula>
    </cfRule>
  </conditionalFormatting>
  <conditionalFormatting sqref="F198">
    <cfRule type="cellIs" dxfId="164" priority="125" operator="lessThan">
      <formula>0.8</formula>
    </cfRule>
    <cfRule type="cellIs" dxfId="163" priority="126" operator="greaterThan">
      <formula>0.81</formula>
    </cfRule>
    <cfRule type="cellIs" dxfId="162" priority="127" operator="equal">
      <formula>0.81</formula>
    </cfRule>
  </conditionalFormatting>
  <conditionalFormatting sqref="B198:E198">
    <cfRule type="cellIs" dxfId="161" priority="122" operator="lessThan">
      <formula>0.8</formula>
    </cfRule>
    <cfRule type="cellIs" dxfId="160" priority="123" operator="greaterThan">
      <formula>0.81</formula>
    </cfRule>
    <cfRule type="cellIs" dxfId="159" priority="124" operator="equal">
      <formula>0.81</formula>
    </cfRule>
  </conditionalFormatting>
  <conditionalFormatting sqref="F199">
    <cfRule type="cellIs" dxfId="158" priority="119" operator="lessThan">
      <formula>0.8</formula>
    </cfRule>
    <cfRule type="cellIs" dxfId="157" priority="120" operator="greaterThan">
      <formula>0.81</formula>
    </cfRule>
    <cfRule type="cellIs" dxfId="156" priority="121" operator="equal">
      <formula>0.81</formula>
    </cfRule>
  </conditionalFormatting>
  <conditionalFormatting sqref="B199:E199">
    <cfRule type="cellIs" dxfId="155" priority="116" operator="lessThan">
      <formula>0.8</formula>
    </cfRule>
    <cfRule type="cellIs" dxfId="154" priority="117" operator="greaterThan">
      <formula>0.81</formula>
    </cfRule>
    <cfRule type="cellIs" dxfId="153" priority="118" operator="equal">
      <formula>0.81</formula>
    </cfRule>
  </conditionalFormatting>
  <conditionalFormatting sqref="F200">
    <cfRule type="cellIs" dxfId="152" priority="113" operator="lessThan">
      <formula>0.8</formula>
    </cfRule>
    <cfRule type="cellIs" dxfId="151" priority="114" operator="greaterThan">
      <formula>0.81</formula>
    </cfRule>
    <cfRule type="cellIs" dxfId="150" priority="115" operator="equal">
      <formula>0.81</formula>
    </cfRule>
  </conditionalFormatting>
  <conditionalFormatting sqref="B200:E200">
    <cfRule type="cellIs" dxfId="149" priority="110" operator="lessThan">
      <formula>0.8</formula>
    </cfRule>
    <cfRule type="cellIs" dxfId="148" priority="111" operator="greaterThan">
      <formula>0.81</formula>
    </cfRule>
    <cfRule type="cellIs" dxfId="147" priority="112" operator="equal">
      <formula>0.81</formula>
    </cfRule>
  </conditionalFormatting>
  <conditionalFormatting sqref="F201">
    <cfRule type="cellIs" dxfId="146" priority="107" operator="lessThan">
      <formula>0.8</formula>
    </cfRule>
    <cfRule type="cellIs" dxfId="145" priority="108" operator="greaterThan">
      <formula>0.81</formula>
    </cfRule>
    <cfRule type="cellIs" dxfId="144" priority="109" operator="equal">
      <formula>0.81</formula>
    </cfRule>
  </conditionalFormatting>
  <conditionalFormatting sqref="B201:E201">
    <cfRule type="cellIs" dxfId="143" priority="104" operator="lessThan">
      <formula>0.8</formula>
    </cfRule>
    <cfRule type="cellIs" dxfId="142" priority="105" operator="greaterThan">
      <formula>0.81</formula>
    </cfRule>
    <cfRule type="cellIs" dxfId="141" priority="106" operator="equal">
      <formula>0.81</formula>
    </cfRule>
  </conditionalFormatting>
  <conditionalFormatting sqref="F202">
    <cfRule type="cellIs" dxfId="140" priority="101" operator="lessThan">
      <formula>0.8</formula>
    </cfRule>
    <cfRule type="cellIs" dxfId="139" priority="102" operator="greaterThan">
      <formula>0.81</formula>
    </cfRule>
    <cfRule type="cellIs" dxfId="138" priority="103" operator="equal">
      <formula>0.81</formula>
    </cfRule>
  </conditionalFormatting>
  <conditionalFormatting sqref="B202:E202">
    <cfRule type="cellIs" dxfId="137" priority="98" operator="lessThan">
      <formula>0.8</formula>
    </cfRule>
    <cfRule type="cellIs" dxfId="136" priority="99" operator="greaterThan">
      <formula>0.81</formula>
    </cfRule>
    <cfRule type="cellIs" dxfId="135" priority="100" operator="equal">
      <formula>0.81</formula>
    </cfRule>
  </conditionalFormatting>
  <conditionalFormatting sqref="F203">
    <cfRule type="cellIs" dxfId="134" priority="95" operator="lessThan">
      <formula>0.8</formula>
    </cfRule>
    <cfRule type="cellIs" dxfId="133" priority="96" operator="greaterThan">
      <formula>0.81</formula>
    </cfRule>
    <cfRule type="cellIs" dxfId="132" priority="97" operator="equal">
      <formula>0.81</formula>
    </cfRule>
  </conditionalFormatting>
  <conditionalFormatting sqref="B203:E203">
    <cfRule type="cellIs" dxfId="131" priority="92" operator="lessThan">
      <formula>0.8</formula>
    </cfRule>
    <cfRule type="cellIs" dxfId="130" priority="93" operator="greaterThan">
      <formula>0.81</formula>
    </cfRule>
    <cfRule type="cellIs" dxfId="129" priority="94" operator="equal">
      <formula>0.81</formula>
    </cfRule>
  </conditionalFormatting>
  <conditionalFormatting sqref="F204:F230">
    <cfRule type="cellIs" dxfId="128" priority="89" operator="lessThan">
      <formula>0.8</formula>
    </cfRule>
    <cfRule type="cellIs" dxfId="127" priority="90" operator="greaterThan">
      <formula>0.81</formula>
    </cfRule>
    <cfRule type="cellIs" dxfId="126" priority="91" operator="equal">
      <formula>0.81</formula>
    </cfRule>
  </conditionalFormatting>
  <conditionalFormatting sqref="B204:E204">
    <cfRule type="cellIs" dxfId="125" priority="86" operator="lessThan">
      <formula>0.8</formula>
    </cfRule>
    <cfRule type="cellIs" dxfId="124" priority="87" operator="greaterThan">
      <formula>0.81</formula>
    </cfRule>
    <cfRule type="cellIs" dxfId="123" priority="88" operator="equal">
      <formula>0.81</formula>
    </cfRule>
  </conditionalFormatting>
  <conditionalFormatting sqref="B205:E205">
    <cfRule type="cellIs" dxfId="122" priority="83" operator="lessThan">
      <formula>0.8</formula>
    </cfRule>
    <cfRule type="cellIs" dxfId="121" priority="84" operator="greaterThan">
      <formula>0.81</formula>
    </cfRule>
    <cfRule type="cellIs" dxfId="120" priority="85" operator="equal">
      <formula>0.81</formula>
    </cfRule>
  </conditionalFormatting>
  <conditionalFormatting sqref="B206:E206">
    <cfRule type="cellIs" dxfId="119" priority="80" operator="lessThan">
      <formula>0.8</formula>
    </cfRule>
    <cfRule type="cellIs" dxfId="118" priority="81" operator="greaterThan">
      <formula>0.81</formula>
    </cfRule>
    <cfRule type="cellIs" dxfId="117" priority="82" operator="equal">
      <formula>0.81</formula>
    </cfRule>
  </conditionalFormatting>
  <conditionalFormatting sqref="B207:E207">
    <cfRule type="cellIs" dxfId="116" priority="77" operator="lessThan">
      <formula>0.8</formula>
    </cfRule>
    <cfRule type="cellIs" dxfId="115" priority="78" operator="greaterThan">
      <formula>0.81</formula>
    </cfRule>
    <cfRule type="cellIs" dxfId="114" priority="79" operator="equal">
      <formula>0.81</formula>
    </cfRule>
  </conditionalFormatting>
  <conditionalFormatting sqref="B208:E208">
    <cfRule type="cellIs" dxfId="113" priority="74" operator="lessThan">
      <formula>0.8</formula>
    </cfRule>
    <cfRule type="cellIs" dxfId="112" priority="75" operator="greaterThan">
      <formula>0.81</formula>
    </cfRule>
    <cfRule type="cellIs" dxfId="111" priority="76" operator="equal">
      <formula>0.81</formula>
    </cfRule>
  </conditionalFormatting>
  <conditionalFormatting sqref="B209:E209">
    <cfRule type="cellIs" dxfId="110" priority="71" operator="lessThan">
      <formula>0.8</formula>
    </cfRule>
    <cfRule type="cellIs" dxfId="109" priority="72" operator="greaterThan">
      <formula>0.81</formula>
    </cfRule>
    <cfRule type="cellIs" dxfId="108" priority="73" operator="equal">
      <formula>0.81</formula>
    </cfRule>
  </conditionalFormatting>
  <conditionalFormatting sqref="B210:E210">
    <cfRule type="cellIs" dxfId="107" priority="68" operator="lessThan">
      <formula>0.8</formula>
    </cfRule>
    <cfRule type="cellIs" dxfId="106" priority="69" operator="greaterThan">
      <formula>0.81</formula>
    </cfRule>
    <cfRule type="cellIs" dxfId="105" priority="70" operator="equal">
      <formula>0.81</formula>
    </cfRule>
  </conditionalFormatting>
  <conditionalFormatting sqref="B211:E211">
    <cfRule type="cellIs" dxfId="104" priority="62" operator="lessThan">
      <formula>0.8</formula>
    </cfRule>
    <cfRule type="cellIs" dxfId="103" priority="63" operator="greaterThan">
      <formula>0.81</formula>
    </cfRule>
    <cfRule type="cellIs" dxfId="102" priority="64" operator="equal">
      <formula>0.81</formula>
    </cfRule>
  </conditionalFormatting>
  <conditionalFormatting sqref="B212:E212">
    <cfRule type="cellIs" dxfId="101" priority="59" operator="lessThan">
      <formula>0.8</formula>
    </cfRule>
    <cfRule type="cellIs" dxfId="100" priority="60" operator="greaterThan">
      <formula>0.81</formula>
    </cfRule>
    <cfRule type="cellIs" dxfId="99" priority="61" operator="equal">
      <formula>0.81</formula>
    </cfRule>
  </conditionalFormatting>
  <conditionalFormatting sqref="B213:E213">
    <cfRule type="cellIs" dxfId="98" priority="56" operator="lessThan">
      <formula>0.8</formula>
    </cfRule>
    <cfRule type="cellIs" dxfId="97" priority="57" operator="greaterThan">
      <formula>0.81</formula>
    </cfRule>
    <cfRule type="cellIs" dxfId="96" priority="58" operator="equal">
      <formula>0.81</formula>
    </cfRule>
  </conditionalFormatting>
  <conditionalFormatting sqref="B214:E214">
    <cfRule type="cellIs" dxfId="95" priority="53" operator="lessThan">
      <formula>0.8</formula>
    </cfRule>
    <cfRule type="cellIs" dxfId="94" priority="54" operator="greaterThan">
      <formula>0.81</formula>
    </cfRule>
    <cfRule type="cellIs" dxfId="93" priority="55" operator="equal">
      <formula>0.81</formula>
    </cfRule>
  </conditionalFormatting>
  <conditionalFormatting sqref="B215:E215">
    <cfRule type="cellIs" dxfId="92" priority="50" operator="lessThan">
      <formula>0.8</formula>
    </cfRule>
    <cfRule type="cellIs" dxfId="91" priority="51" operator="greaterThan">
      <formula>0.81</formula>
    </cfRule>
    <cfRule type="cellIs" dxfId="90" priority="52" operator="equal">
      <formula>0.81</formula>
    </cfRule>
  </conditionalFormatting>
  <conditionalFormatting sqref="B216:E216">
    <cfRule type="cellIs" dxfId="89" priority="47" operator="lessThan">
      <formula>0.8</formula>
    </cfRule>
    <cfRule type="cellIs" dxfId="88" priority="48" operator="greaterThan">
      <formula>0.81</formula>
    </cfRule>
    <cfRule type="cellIs" dxfId="87" priority="49" operator="equal">
      <formula>0.81</formula>
    </cfRule>
  </conditionalFormatting>
  <conditionalFormatting sqref="B217:E217">
    <cfRule type="cellIs" dxfId="86" priority="44" operator="lessThan">
      <formula>0.8</formula>
    </cfRule>
    <cfRule type="cellIs" dxfId="85" priority="45" operator="greaterThan">
      <formula>0.81</formula>
    </cfRule>
    <cfRule type="cellIs" dxfId="84" priority="46" operator="equal">
      <formula>0.81</formula>
    </cfRule>
  </conditionalFormatting>
  <conditionalFormatting sqref="B218:E218">
    <cfRule type="cellIs" dxfId="83" priority="41" operator="lessThan">
      <formula>0.8</formula>
    </cfRule>
    <cfRule type="cellIs" dxfId="82" priority="42" operator="greaterThan">
      <formula>0.81</formula>
    </cfRule>
    <cfRule type="cellIs" dxfId="81" priority="43" operator="equal">
      <formula>0.81</formula>
    </cfRule>
  </conditionalFormatting>
  <conditionalFormatting sqref="M130:M230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9:E219">
    <cfRule type="cellIs" dxfId="80" priority="37" operator="lessThan">
      <formula>0.8</formula>
    </cfRule>
    <cfRule type="cellIs" dxfId="79" priority="38" operator="greaterThan">
      <formula>0.81</formula>
    </cfRule>
    <cfRule type="cellIs" dxfId="78" priority="39" operator="equal">
      <formula>0.81</formula>
    </cfRule>
  </conditionalFormatting>
  <conditionalFormatting sqref="B220:E220">
    <cfRule type="cellIs" dxfId="77" priority="34" operator="lessThan">
      <formula>0.8</formula>
    </cfRule>
    <cfRule type="cellIs" dxfId="76" priority="35" operator="greaterThan">
      <formula>0.81</formula>
    </cfRule>
    <cfRule type="cellIs" dxfId="75" priority="36" operator="equal">
      <formula>0.81</formula>
    </cfRule>
  </conditionalFormatting>
  <conditionalFormatting sqref="B221:E221">
    <cfRule type="cellIs" dxfId="74" priority="31" operator="lessThan">
      <formula>0.8</formula>
    </cfRule>
    <cfRule type="cellIs" dxfId="73" priority="32" operator="greaterThan">
      <formula>0.81</formula>
    </cfRule>
    <cfRule type="cellIs" dxfId="72" priority="33" operator="equal">
      <formula>0.81</formula>
    </cfRule>
  </conditionalFormatting>
  <conditionalFormatting sqref="B222:E222">
    <cfRule type="cellIs" dxfId="71" priority="28" operator="lessThan">
      <formula>0.8</formula>
    </cfRule>
    <cfRule type="cellIs" dxfId="70" priority="29" operator="greaterThan">
      <formula>0.81</formula>
    </cfRule>
    <cfRule type="cellIs" dxfId="69" priority="30" operator="equal">
      <formula>0.81</formula>
    </cfRule>
  </conditionalFormatting>
  <conditionalFormatting sqref="B223:E223">
    <cfRule type="cellIs" dxfId="68" priority="25" operator="lessThan">
      <formula>0.8</formula>
    </cfRule>
    <cfRule type="cellIs" dxfId="67" priority="26" operator="greaterThan">
      <formula>0.81</formula>
    </cfRule>
    <cfRule type="cellIs" dxfId="66" priority="27" operator="equal">
      <formula>0.81</formula>
    </cfRule>
  </conditionalFormatting>
  <conditionalFormatting sqref="B224:E224">
    <cfRule type="cellIs" dxfId="65" priority="22" operator="lessThan">
      <formula>0.8</formula>
    </cfRule>
    <cfRule type="cellIs" dxfId="64" priority="23" operator="greaterThan">
      <formula>0.81</formula>
    </cfRule>
    <cfRule type="cellIs" dxfId="63" priority="24" operator="equal">
      <formula>0.81</formula>
    </cfRule>
  </conditionalFormatting>
  <conditionalFormatting sqref="B225:E225">
    <cfRule type="cellIs" dxfId="62" priority="19" operator="lessThan">
      <formula>0.8</formula>
    </cfRule>
    <cfRule type="cellIs" dxfId="61" priority="20" operator="greaterThan">
      <formula>0.81</formula>
    </cfRule>
    <cfRule type="cellIs" dxfId="60" priority="21" operator="equal">
      <formula>0.81</formula>
    </cfRule>
  </conditionalFormatting>
  <conditionalFormatting sqref="B226:E226">
    <cfRule type="cellIs" dxfId="59" priority="16" operator="lessThan">
      <formula>0.8</formula>
    </cfRule>
    <cfRule type="cellIs" dxfId="58" priority="17" operator="greaterThan">
      <formula>0.81</formula>
    </cfRule>
    <cfRule type="cellIs" dxfId="57" priority="18" operator="equal">
      <formula>0.81</formula>
    </cfRule>
  </conditionalFormatting>
  <conditionalFormatting sqref="B227:E227">
    <cfRule type="cellIs" dxfId="56" priority="10" operator="lessThan">
      <formula>0.8</formula>
    </cfRule>
    <cfRule type="cellIs" dxfId="55" priority="11" operator="greaterThan">
      <formula>0.81</formula>
    </cfRule>
    <cfRule type="cellIs" dxfId="54" priority="12" operator="equal">
      <formula>0.81</formula>
    </cfRule>
  </conditionalFormatting>
  <conditionalFormatting sqref="B228:E228">
    <cfRule type="cellIs" dxfId="53" priority="7" operator="lessThan">
      <formula>0.8</formula>
    </cfRule>
    <cfRule type="cellIs" dxfId="52" priority="8" operator="greaterThan">
      <formula>0.81</formula>
    </cfRule>
    <cfRule type="cellIs" dxfId="51" priority="9" operator="equal">
      <formula>0.81</formula>
    </cfRule>
  </conditionalFormatting>
  <conditionalFormatting sqref="B229:E229">
    <cfRule type="cellIs" dxfId="50" priority="4" operator="lessThan">
      <formula>0.8</formula>
    </cfRule>
    <cfRule type="cellIs" dxfId="49" priority="5" operator="greaterThan">
      <formula>0.81</formula>
    </cfRule>
    <cfRule type="cellIs" dxfId="48" priority="6" operator="equal">
      <formula>0.81</formula>
    </cfRule>
  </conditionalFormatting>
  <conditionalFormatting sqref="B230:E230">
    <cfRule type="cellIs" dxfId="47" priority="1" operator="lessThan">
      <formula>0.8</formula>
    </cfRule>
    <cfRule type="cellIs" dxfId="46" priority="2" operator="greaterThan">
      <formula>0.81</formula>
    </cfRule>
    <cfRule type="cellIs" dxfId="45" priority="3" operator="equal">
      <formula>0.81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D71E8-4F78-4205-81D3-3BBF5E417AB6}">
  <sheetPr>
    <tabColor rgb="FF00B0F0"/>
    <pageSetUpPr fitToPage="1"/>
  </sheetPr>
  <dimension ref="A1"/>
  <sheetViews>
    <sheetView topLeftCell="A16" zoomScale="85" zoomScaleNormal="85" workbookViewId="0">
      <selection activeCell="P51" sqref="P51"/>
    </sheetView>
  </sheetViews>
  <sheetFormatPr defaultRowHeight="15" x14ac:dyDescent="0.25"/>
  <cols>
    <col min="12" max="12" width="2.42578125" customWidth="1"/>
  </cols>
  <sheetData/>
  <pageMargins left="0.7" right="0.7" top="0.75" bottom="0.75" header="0.3" footer="0.3"/>
  <pageSetup paperSize="8" scale="83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81D5A-9FAC-4937-B206-062074F5393F}">
  <sheetPr>
    <tabColor rgb="FFFFFF00"/>
  </sheetPr>
  <dimension ref="B1:AW146"/>
  <sheetViews>
    <sheetView showGridLines="0" zoomScale="130" zoomScaleNormal="130" workbookViewId="0">
      <pane ySplit="20" topLeftCell="A94" activePane="bottomLeft" state="frozen"/>
      <selection pane="bottomLeft" activeCell="C100" sqref="C100"/>
    </sheetView>
  </sheetViews>
  <sheetFormatPr defaultRowHeight="15" outlineLevelRow="1" x14ac:dyDescent="0.25"/>
  <cols>
    <col min="7" max="7" width="2" customWidth="1"/>
    <col min="12" max="12" width="1.7109375" customWidth="1"/>
    <col min="17" max="17" width="1.85546875" customWidth="1"/>
    <col min="22" max="22" width="1.7109375" customWidth="1"/>
    <col min="27" max="27" width="2.140625" customWidth="1"/>
    <col min="36" max="36" width="28" bestFit="1" customWidth="1"/>
    <col min="37" max="37" width="18.7109375" bestFit="1" customWidth="1"/>
    <col min="38" max="38" width="20.28515625" bestFit="1" customWidth="1"/>
    <col min="39" max="39" width="20.85546875" bestFit="1" customWidth="1"/>
  </cols>
  <sheetData>
    <row r="1" outlineLevel="1" x14ac:dyDescent="0.25"/>
    <row r="2" outlineLevel="1" x14ac:dyDescent="0.25"/>
    <row r="3" outlineLevel="1" x14ac:dyDescent="0.25"/>
    <row r="4" outlineLevel="1" x14ac:dyDescent="0.25"/>
    <row r="5" outlineLevel="1" x14ac:dyDescent="0.25"/>
    <row r="6" outlineLevel="1" x14ac:dyDescent="0.25"/>
    <row r="7" outlineLevel="1" x14ac:dyDescent="0.25"/>
    <row r="8" outlineLevel="1" x14ac:dyDescent="0.25"/>
    <row r="9" outlineLevel="1" x14ac:dyDescent="0.25"/>
    <row r="10" outlineLevel="1" x14ac:dyDescent="0.25"/>
    <row r="11" outlineLevel="1" x14ac:dyDescent="0.25"/>
    <row r="12" outlineLevel="1" x14ac:dyDescent="0.25"/>
    <row r="13" outlineLevel="1" x14ac:dyDescent="0.25"/>
    <row r="14" outlineLevel="1" x14ac:dyDescent="0.25"/>
    <row r="15" outlineLevel="1" x14ac:dyDescent="0.25"/>
    <row r="16" outlineLevel="1" x14ac:dyDescent="0.25"/>
    <row r="17" spans="2:49" outlineLevel="1" x14ac:dyDescent="0.25"/>
    <row r="18" spans="2:49" outlineLevel="1" x14ac:dyDescent="0.25"/>
    <row r="19" spans="2:49" x14ac:dyDescent="0.25">
      <c r="B19" s="71" t="s">
        <v>701</v>
      </c>
      <c r="C19" s="72"/>
      <c r="D19" s="73"/>
      <c r="E19" s="73"/>
      <c r="F19" s="73"/>
      <c r="H19" s="1780" t="s">
        <v>702</v>
      </c>
      <c r="I19" s="1781"/>
      <c r="J19" s="1781"/>
      <c r="K19" s="1781"/>
      <c r="M19" s="1780" t="s">
        <v>240</v>
      </c>
      <c r="N19" s="1781"/>
      <c r="O19" s="1781"/>
      <c r="P19" s="1781"/>
      <c r="R19" s="1780" t="s">
        <v>407</v>
      </c>
      <c r="S19" s="1781"/>
      <c r="T19" s="1781"/>
      <c r="U19" s="1781"/>
      <c r="W19" s="1780" t="s">
        <v>703</v>
      </c>
      <c r="X19" s="1781"/>
      <c r="Y19" s="1781"/>
      <c r="Z19" s="1781"/>
      <c r="AA19" s="87"/>
      <c r="AB19" s="1781" t="s">
        <v>704</v>
      </c>
      <c r="AC19" s="1781"/>
      <c r="AD19" s="1781"/>
      <c r="AE19" s="1781"/>
      <c r="AF19" s="1781"/>
      <c r="AH19" s="92" t="s">
        <v>705</v>
      </c>
      <c r="AI19" s="92" t="s">
        <v>706</v>
      </c>
      <c r="AJ19" t="s">
        <v>707</v>
      </c>
      <c r="AK19" s="92" t="s">
        <v>708</v>
      </c>
      <c r="AL19" s="92" t="s">
        <v>709</v>
      </c>
      <c r="AM19" s="92" t="s">
        <v>710</v>
      </c>
      <c r="AO19" s="1557" t="s">
        <v>711</v>
      </c>
      <c r="AP19" s="1557"/>
      <c r="AQ19" s="1557"/>
      <c r="AR19" s="1557"/>
      <c r="AS19" s="1557"/>
      <c r="AU19" s="1557" t="s">
        <v>712</v>
      </c>
      <c r="AV19" s="1557"/>
      <c r="AW19" s="1557"/>
    </row>
    <row r="20" spans="2:49" x14ac:dyDescent="0.25">
      <c r="B20" s="74" t="s">
        <v>22</v>
      </c>
      <c r="C20" s="75" t="s">
        <v>713</v>
      </c>
      <c r="D20" s="75" t="s">
        <v>467</v>
      </c>
      <c r="E20" s="75" t="s">
        <v>468</v>
      </c>
      <c r="F20" s="76" t="s">
        <v>706</v>
      </c>
      <c r="H20" s="75" t="s">
        <v>713</v>
      </c>
      <c r="I20" s="75" t="s">
        <v>467</v>
      </c>
      <c r="J20" s="75" t="s">
        <v>468</v>
      </c>
      <c r="K20" s="76" t="s">
        <v>706</v>
      </c>
      <c r="M20" s="75" t="s">
        <v>713</v>
      </c>
      <c r="N20" s="75" t="s">
        <v>467</v>
      </c>
      <c r="O20" s="75" t="s">
        <v>468</v>
      </c>
      <c r="P20" s="76" t="s">
        <v>706</v>
      </c>
      <c r="R20" s="75" t="s">
        <v>713</v>
      </c>
      <c r="S20" s="75" t="s">
        <v>467</v>
      </c>
      <c r="T20" s="75" t="s">
        <v>468</v>
      </c>
      <c r="U20" s="76" t="s">
        <v>706</v>
      </c>
      <c r="W20" s="75" t="s">
        <v>713</v>
      </c>
      <c r="X20" s="75" t="s">
        <v>467</v>
      </c>
      <c r="Y20" s="75" t="s">
        <v>468</v>
      </c>
      <c r="Z20" s="76" t="s">
        <v>706</v>
      </c>
      <c r="AA20" s="43"/>
      <c r="AB20" s="75" t="s">
        <v>713</v>
      </c>
      <c r="AC20" s="75" t="s">
        <v>467</v>
      </c>
      <c r="AD20" s="75" t="s">
        <v>468</v>
      </c>
      <c r="AE20" s="76" t="s">
        <v>706</v>
      </c>
      <c r="AF20" s="85" t="s">
        <v>714</v>
      </c>
      <c r="AH20" s="83" t="s">
        <v>714</v>
      </c>
      <c r="AI20" s="83" t="s">
        <v>714</v>
      </c>
      <c r="AJ20" s="83" t="s">
        <v>714</v>
      </c>
      <c r="AK20" s="83" t="s">
        <v>714</v>
      </c>
      <c r="AL20" s="83" t="s">
        <v>714</v>
      </c>
      <c r="AM20" s="83" t="s">
        <v>714</v>
      </c>
      <c r="AO20" s="85" t="s">
        <v>715</v>
      </c>
      <c r="AP20" s="85" t="s">
        <v>705</v>
      </c>
      <c r="AQ20" s="85" t="s">
        <v>716</v>
      </c>
      <c r="AR20" s="85" t="s">
        <v>717</v>
      </c>
      <c r="AS20" s="85" t="s">
        <v>718</v>
      </c>
      <c r="AU20" s="85" t="s">
        <v>705</v>
      </c>
      <c r="AV20" s="85" t="s">
        <v>717</v>
      </c>
      <c r="AW20" s="85" t="s">
        <v>718</v>
      </c>
    </row>
    <row r="21" spans="2:49" x14ac:dyDescent="0.25">
      <c r="B21" s="78">
        <v>41183</v>
      </c>
      <c r="C21" s="9">
        <v>70</v>
      </c>
      <c r="D21" s="75"/>
      <c r="E21" s="75"/>
      <c r="F21" s="76"/>
      <c r="H21" s="75"/>
      <c r="I21" s="75"/>
      <c r="J21" s="75"/>
      <c r="K21" s="76"/>
      <c r="M21" s="75"/>
      <c r="N21" s="75"/>
      <c r="O21" s="75"/>
      <c r="P21" s="76"/>
      <c r="R21" s="75"/>
      <c r="S21" s="75"/>
      <c r="T21" s="75"/>
      <c r="U21" s="76"/>
      <c r="W21" s="75"/>
      <c r="X21" s="75"/>
      <c r="Y21" s="75"/>
      <c r="Z21" s="76"/>
      <c r="AA21" s="43"/>
      <c r="AB21" s="75"/>
      <c r="AC21" s="75"/>
      <c r="AD21" s="75"/>
      <c r="AE21" s="85"/>
      <c r="AF21" s="85"/>
      <c r="AH21" s="85"/>
      <c r="AI21" s="85"/>
      <c r="AJ21" s="85"/>
      <c r="AK21" s="85"/>
      <c r="AL21" s="85"/>
      <c r="AM21" s="85"/>
      <c r="AO21" s="85"/>
      <c r="AP21" s="85"/>
      <c r="AQ21" s="85"/>
      <c r="AR21" s="85"/>
      <c r="AS21" s="85"/>
      <c r="AU21" s="85"/>
      <c r="AV21" s="85"/>
      <c r="AW21" s="85"/>
    </row>
    <row r="22" spans="2:49" x14ac:dyDescent="0.25">
      <c r="B22" s="78">
        <v>41214</v>
      </c>
      <c r="C22" s="9">
        <v>70</v>
      </c>
      <c r="D22" s="75"/>
      <c r="E22" s="75"/>
      <c r="F22" s="76"/>
      <c r="H22" s="75"/>
      <c r="I22" s="75"/>
      <c r="J22" s="75"/>
      <c r="K22" s="76"/>
      <c r="M22" s="75"/>
      <c r="N22" s="75"/>
      <c r="O22" s="75"/>
      <c r="P22" s="76"/>
      <c r="R22" s="75"/>
      <c r="S22" s="75"/>
      <c r="T22" s="75"/>
      <c r="U22" s="76"/>
      <c r="W22" s="75"/>
      <c r="X22" s="75"/>
      <c r="Y22" s="75"/>
      <c r="Z22" s="76"/>
      <c r="AA22" s="43"/>
      <c r="AB22" s="75"/>
      <c r="AC22" s="75"/>
      <c r="AD22" s="75"/>
      <c r="AE22" s="85"/>
      <c r="AF22" s="85"/>
      <c r="AH22" s="85"/>
      <c r="AI22" s="85"/>
      <c r="AJ22" s="85"/>
      <c r="AK22" s="85"/>
      <c r="AL22" s="85"/>
      <c r="AM22" s="85"/>
      <c r="AO22" s="85"/>
      <c r="AP22" s="85"/>
      <c r="AQ22" s="85"/>
      <c r="AR22" s="85"/>
      <c r="AS22" s="85"/>
      <c r="AU22" s="85"/>
      <c r="AV22" s="85"/>
      <c r="AW22" s="85"/>
    </row>
    <row r="23" spans="2:49" x14ac:dyDescent="0.25">
      <c r="B23" s="78">
        <v>41244</v>
      </c>
      <c r="C23" s="9">
        <v>70</v>
      </c>
      <c r="D23" s="75"/>
      <c r="E23" s="75"/>
      <c r="F23" s="76"/>
      <c r="H23" s="75"/>
      <c r="I23" s="75"/>
      <c r="J23" s="75"/>
      <c r="K23" s="76"/>
      <c r="M23" s="75"/>
      <c r="N23" s="75"/>
      <c r="O23" s="75"/>
      <c r="P23" s="76"/>
      <c r="R23" s="75"/>
      <c r="S23" s="75"/>
      <c r="T23" s="75"/>
      <c r="U23" s="76"/>
      <c r="W23" s="75"/>
      <c r="X23" s="75"/>
      <c r="Y23" s="75"/>
      <c r="Z23" s="76"/>
      <c r="AA23" s="43"/>
      <c r="AB23" s="75"/>
      <c r="AC23" s="75"/>
      <c r="AD23" s="75"/>
      <c r="AE23" s="85"/>
      <c r="AF23" s="85"/>
      <c r="AH23" s="85"/>
      <c r="AI23" s="85"/>
      <c r="AJ23" s="85"/>
      <c r="AK23" s="85"/>
      <c r="AL23" s="85"/>
      <c r="AM23" s="85"/>
      <c r="AO23" s="85"/>
      <c r="AP23" s="85"/>
      <c r="AQ23" s="85"/>
      <c r="AR23" s="85"/>
      <c r="AS23" s="85"/>
      <c r="AU23" s="85"/>
      <c r="AV23" s="85"/>
      <c r="AW23" s="85"/>
    </row>
    <row r="24" spans="2:49" x14ac:dyDescent="0.25">
      <c r="B24" s="78">
        <v>41275</v>
      </c>
      <c r="C24" s="9">
        <v>70</v>
      </c>
      <c r="D24" s="75"/>
      <c r="E24" s="75"/>
      <c r="F24" s="76"/>
      <c r="H24" s="75"/>
      <c r="I24" s="75"/>
      <c r="J24" s="75"/>
      <c r="K24" s="76"/>
      <c r="M24" s="75"/>
      <c r="N24" s="75"/>
      <c r="O24" s="75"/>
      <c r="P24" s="76"/>
      <c r="R24" s="75"/>
      <c r="S24" s="75"/>
      <c r="T24" s="75"/>
      <c r="U24" s="76"/>
      <c r="W24" s="75"/>
      <c r="X24" s="75"/>
      <c r="Y24" s="75"/>
      <c r="Z24" s="76"/>
      <c r="AA24" s="43"/>
      <c r="AB24" s="75"/>
      <c r="AC24" s="75"/>
      <c r="AD24" s="75"/>
      <c r="AE24" s="85"/>
      <c r="AF24" s="85"/>
      <c r="AH24" s="85"/>
      <c r="AI24" s="85"/>
      <c r="AJ24" s="85"/>
      <c r="AK24" s="85"/>
      <c r="AL24" s="85"/>
      <c r="AM24" s="85"/>
      <c r="AO24" s="85"/>
      <c r="AP24" s="85"/>
      <c r="AQ24" s="85"/>
      <c r="AR24" s="85"/>
      <c r="AS24" s="85"/>
      <c r="AU24" s="85"/>
      <c r="AV24" s="85"/>
      <c r="AW24" s="85"/>
    </row>
    <row r="25" spans="2:49" x14ac:dyDescent="0.25">
      <c r="B25" s="78">
        <v>41306</v>
      </c>
      <c r="C25" s="9">
        <v>70</v>
      </c>
      <c r="D25" s="75"/>
      <c r="E25" s="75"/>
      <c r="F25" s="76"/>
      <c r="H25" s="75"/>
      <c r="I25" s="75"/>
      <c r="J25" s="75"/>
      <c r="K25" s="76"/>
      <c r="M25" s="75"/>
      <c r="N25" s="75"/>
      <c r="O25" s="75"/>
      <c r="P25" s="76"/>
      <c r="R25" s="75"/>
      <c r="S25" s="75"/>
      <c r="T25" s="75"/>
      <c r="U25" s="76"/>
      <c r="W25" s="75"/>
      <c r="X25" s="75"/>
      <c r="Y25" s="75"/>
      <c r="Z25" s="76"/>
      <c r="AA25" s="43"/>
      <c r="AB25" s="75"/>
      <c r="AC25" s="75"/>
      <c r="AD25" s="75"/>
      <c r="AE25" s="85"/>
      <c r="AF25" s="85"/>
      <c r="AH25" s="85"/>
      <c r="AI25" s="85"/>
      <c r="AJ25" s="85"/>
      <c r="AK25" s="85"/>
      <c r="AL25" s="85"/>
      <c r="AM25" s="85"/>
      <c r="AO25" s="85"/>
      <c r="AP25" s="85"/>
      <c r="AQ25" s="85"/>
      <c r="AR25" s="85"/>
      <c r="AS25" s="85"/>
      <c r="AU25" s="85"/>
      <c r="AV25" s="85"/>
      <c r="AW25" s="85"/>
    </row>
    <row r="26" spans="2:49" x14ac:dyDescent="0.25">
      <c r="B26" s="78">
        <v>41334</v>
      </c>
      <c r="C26" s="9">
        <v>70</v>
      </c>
      <c r="D26" s="75"/>
      <c r="E26" s="75"/>
      <c r="F26" s="76"/>
      <c r="H26" s="75"/>
      <c r="I26" s="75"/>
      <c r="J26" s="75"/>
      <c r="K26" s="76"/>
      <c r="M26" s="75"/>
      <c r="N26" s="75"/>
      <c r="O26" s="75"/>
      <c r="P26" s="76"/>
      <c r="R26" s="75"/>
      <c r="S26" s="75"/>
      <c r="T26" s="75"/>
      <c r="U26" s="76"/>
      <c r="W26" s="75"/>
      <c r="X26" s="75"/>
      <c r="Y26" s="75"/>
      <c r="Z26" s="76"/>
      <c r="AA26" s="43"/>
      <c r="AB26" s="75"/>
      <c r="AC26" s="75"/>
      <c r="AD26" s="75"/>
      <c r="AE26" s="85"/>
      <c r="AF26" s="85"/>
      <c r="AH26" s="85"/>
      <c r="AI26" s="85"/>
      <c r="AJ26" s="85"/>
      <c r="AK26" s="85"/>
      <c r="AL26" s="85"/>
      <c r="AM26" s="85"/>
      <c r="AO26" s="85"/>
      <c r="AP26" s="85"/>
      <c r="AQ26" s="85"/>
      <c r="AR26" s="85"/>
      <c r="AS26" s="85"/>
      <c r="AU26" s="85"/>
      <c r="AV26" s="85"/>
      <c r="AW26" s="85"/>
    </row>
    <row r="27" spans="2:49" x14ac:dyDescent="0.25">
      <c r="B27" s="78">
        <v>41365</v>
      </c>
      <c r="C27" s="9">
        <v>64</v>
      </c>
      <c r="D27" s="75"/>
      <c r="E27" s="75"/>
      <c r="F27" s="76"/>
      <c r="H27" s="75"/>
      <c r="I27" s="75"/>
      <c r="J27" s="75"/>
      <c r="K27" s="76"/>
      <c r="M27" s="75"/>
      <c r="N27" s="75"/>
      <c r="O27" s="75"/>
      <c r="P27" s="76"/>
      <c r="R27" s="75"/>
      <c r="S27" s="75"/>
      <c r="T27" s="75"/>
      <c r="U27" s="76"/>
      <c r="W27" s="75"/>
      <c r="X27" s="75"/>
      <c r="Y27" s="75"/>
      <c r="Z27" s="76"/>
      <c r="AA27" s="43"/>
      <c r="AB27" s="75"/>
      <c r="AC27" s="75"/>
      <c r="AD27" s="75"/>
      <c r="AE27" s="85"/>
      <c r="AF27" s="85"/>
      <c r="AH27" s="85"/>
      <c r="AI27" s="85"/>
      <c r="AJ27" s="85"/>
      <c r="AK27" s="85"/>
      <c r="AL27" s="85"/>
      <c r="AM27" s="85"/>
      <c r="AO27" s="85"/>
      <c r="AP27" s="85"/>
      <c r="AQ27" s="85"/>
      <c r="AR27" s="85"/>
      <c r="AS27" s="85"/>
      <c r="AU27" s="85"/>
      <c r="AV27" s="85"/>
      <c r="AW27" s="85"/>
    </row>
    <row r="28" spans="2:49" x14ac:dyDescent="0.25">
      <c r="B28" s="78">
        <v>41395</v>
      </c>
      <c r="C28" s="9">
        <v>64</v>
      </c>
      <c r="D28" s="75"/>
      <c r="E28" s="75"/>
      <c r="F28" s="76"/>
      <c r="H28" s="75"/>
      <c r="I28" s="75"/>
      <c r="J28" s="75"/>
      <c r="K28" s="76"/>
      <c r="M28" s="75"/>
      <c r="N28" s="75"/>
      <c r="O28" s="75"/>
      <c r="P28" s="76"/>
      <c r="R28" s="75"/>
      <c r="S28" s="75"/>
      <c r="T28" s="75"/>
      <c r="U28" s="76"/>
      <c r="W28" s="75"/>
      <c r="X28" s="75"/>
      <c r="Y28" s="75"/>
      <c r="Z28" s="76"/>
      <c r="AA28" s="43"/>
      <c r="AB28" s="75"/>
      <c r="AC28" s="75"/>
      <c r="AD28" s="75"/>
      <c r="AE28" s="85"/>
      <c r="AF28" s="85"/>
      <c r="AH28" s="85"/>
      <c r="AI28" s="85"/>
      <c r="AJ28" s="85"/>
      <c r="AK28" s="85"/>
      <c r="AL28" s="85"/>
      <c r="AM28" s="85"/>
      <c r="AO28" s="85"/>
      <c r="AP28" s="85"/>
      <c r="AQ28" s="85"/>
      <c r="AR28" s="85"/>
      <c r="AS28" s="85"/>
      <c r="AU28" s="85"/>
      <c r="AV28" s="85"/>
      <c r="AW28" s="85"/>
    </row>
    <row r="29" spans="2:49" x14ac:dyDescent="0.25">
      <c r="B29" s="78">
        <v>41426</v>
      </c>
      <c r="C29" s="9">
        <v>64</v>
      </c>
      <c r="D29" s="75"/>
      <c r="E29" s="75"/>
      <c r="F29" s="76"/>
      <c r="H29" s="75"/>
      <c r="I29" s="75"/>
      <c r="J29" s="75"/>
      <c r="K29" s="76"/>
      <c r="M29" s="75"/>
      <c r="N29" s="75"/>
      <c r="O29" s="75"/>
      <c r="P29" s="76"/>
      <c r="R29" s="75"/>
      <c r="S29" s="75"/>
      <c r="T29" s="75"/>
      <c r="U29" s="76"/>
      <c r="W29" s="75"/>
      <c r="X29" s="75"/>
      <c r="Y29" s="75"/>
      <c r="Z29" s="76"/>
      <c r="AA29" s="43"/>
      <c r="AB29" s="75"/>
      <c r="AC29" s="75"/>
      <c r="AD29" s="75"/>
      <c r="AE29" s="85"/>
      <c r="AF29" s="85"/>
      <c r="AH29" s="85"/>
      <c r="AI29" s="85"/>
      <c r="AJ29" s="85"/>
      <c r="AK29" s="85"/>
      <c r="AL29" s="85"/>
      <c r="AM29" s="85"/>
      <c r="AO29" s="85"/>
      <c r="AP29" s="85"/>
      <c r="AQ29" s="85"/>
      <c r="AR29" s="85"/>
      <c r="AS29" s="85"/>
      <c r="AU29" s="85"/>
      <c r="AV29" s="85"/>
      <c r="AW29" s="85"/>
    </row>
    <row r="30" spans="2:49" x14ac:dyDescent="0.25">
      <c r="B30" s="78">
        <v>41456</v>
      </c>
      <c r="C30" s="9">
        <v>64</v>
      </c>
      <c r="D30" s="75"/>
      <c r="E30" s="75"/>
      <c r="F30" s="76"/>
      <c r="H30" s="75"/>
      <c r="I30" s="75"/>
      <c r="J30" s="75"/>
      <c r="K30" s="76"/>
      <c r="M30" s="75"/>
      <c r="N30" s="75"/>
      <c r="O30" s="75"/>
      <c r="P30" s="76"/>
      <c r="R30" s="75"/>
      <c r="S30" s="75"/>
      <c r="T30" s="75"/>
      <c r="U30" s="76"/>
      <c r="W30" s="75"/>
      <c r="X30" s="75"/>
      <c r="Y30" s="75"/>
      <c r="Z30" s="76"/>
      <c r="AA30" s="43"/>
      <c r="AB30" s="75"/>
      <c r="AC30" s="75"/>
      <c r="AD30" s="75"/>
      <c r="AE30" s="85"/>
      <c r="AF30" s="85"/>
      <c r="AH30" s="85"/>
      <c r="AI30" s="85"/>
      <c r="AJ30" s="85"/>
      <c r="AK30" s="85"/>
      <c r="AL30" s="85"/>
      <c r="AM30" s="85"/>
      <c r="AO30" s="85"/>
      <c r="AP30" s="85"/>
      <c r="AQ30" s="85"/>
      <c r="AR30" s="85"/>
      <c r="AS30" s="85"/>
      <c r="AU30" s="85"/>
      <c r="AV30" s="85"/>
      <c r="AW30" s="85"/>
    </row>
    <row r="31" spans="2:49" x14ac:dyDescent="0.25">
      <c r="B31" s="78">
        <v>41487</v>
      </c>
      <c r="C31" s="9">
        <v>64</v>
      </c>
      <c r="D31" s="75"/>
      <c r="E31" s="75"/>
      <c r="F31" s="76"/>
      <c r="H31" s="75"/>
      <c r="I31" s="75"/>
      <c r="J31" s="75"/>
      <c r="K31" s="76"/>
      <c r="M31" s="75"/>
      <c r="N31" s="75"/>
      <c r="O31" s="75"/>
      <c r="P31" s="76"/>
      <c r="R31" s="75"/>
      <c r="S31" s="75"/>
      <c r="T31" s="75"/>
      <c r="U31" s="76"/>
      <c r="W31" s="75"/>
      <c r="X31" s="75"/>
      <c r="Y31" s="75"/>
      <c r="Z31" s="76"/>
      <c r="AA31" s="43"/>
      <c r="AB31" s="75"/>
      <c r="AC31" s="75"/>
      <c r="AD31" s="75"/>
      <c r="AE31" s="85"/>
      <c r="AF31" s="85"/>
      <c r="AH31" s="85"/>
      <c r="AI31" s="85"/>
      <c r="AJ31" s="85"/>
      <c r="AK31" s="85"/>
      <c r="AL31" s="85"/>
      <c r="AM31" s="85"/>
      <c r="AO31" s="85"/>
      <c r="AP31" s="85"/>
      <c r="AQ31" s="85"/>
      <c r="AR31" s="85"/>
      <c r="AS31" s="85"/>
      <c r="AU31" s="85"/>
      <c r="AV31" s="85"/>
      <c r="AW31" s="85"/>
    </row>
    <row r="32" spans="2:49" x14ac:dyDescent="0.25">
      <c r="B32" s="78">
        <v>41518</v>
      </c>
      <c r="C32" s="9">
        <v>64</v>
      </c>
      <c r="D32" s="75"/>
      <c r="E32" s="75"/>
      <c r="F32" s="76"/>
      <c r="H32" s="75"/>
      <c r="I32" s="75"/>
      <c r="J32" s="75"/>
      <c r="K32" s="76"/>
      <c r="M32" s="75"/>
      <c r="N32" s="75"/>
      <c r="O32" s="75"/>
      <c r="P32" s="76"/>
      <c r="R32" s="75"/>
      <c r="S32" s="75"/>
      <c r="T32" s="75"/>
      <c r="U32" s="76"/>
      <c r="W32" s="75"/>
      <c r="X32" s="75"/>
      <c r="Y32" s="75"/>
      <c r="Z32" s="76"/>
      <c r="AA32" s="43"/>
      <c r="AB32" s="75"/>
      <c r="AC32" s="75"/>
      <c r="AD32" s="75"/>
      <c r="AE32" s="85"/>
      <c r="AF32" s="85"/>
      <c r="AH32" s="85"/>
      <c r="AI32" s="85"/>
      <c r="AJ32" s="85"/>
      <c r="AK32" s="85"/>
      <c r="AL32" s="85"/>
      <c r="AM32" s="85"/>
      <c r="AO32" s="85"/>
      <c r="AP32" s="85"/>
      <c r="AQ32" s="85"/>
      <c r="AR32" s="85"/>
      <c r="AS32" s="85"/>
      <c r="AU32" s="85"/>
      <c r="AV32" s="85"/>
      <c r="AW32" s="85"/>
    </row>
    <row r="33" spans="2:49" x14ac:dyDescent="0.25">
      <c r="B33" s="78">
        <v>41548</v>
      </c>
      <c r="C33" s="9">
        <v>58</v>
      </c>
      <c r="D33" s="75"/>
      <c r="E33" s="75"/>
      <c r="F33" s="76"/>
      <c r="H33" s="75"/>
      <c r="I33" s="75"/>
      <c r="J33" s="75"/>
      <c r="K33" s="76"/>
      <c r="M33" s="75"/>
      <c r="N33" s="75"/>
      <c r="O33" s="75"/>
      <c r="P33" s="76"/>
      <c r="R33" s="75"/>
      <c r="S33" s="75"/>
      <c r="T33" s="75"/>
      <c r="U33" s="76"/>
      <c r="W33" s="75"/>
      <c r="X33" s="75"/>
      <c r="Y33" s="75"/>
      <c r="Z33" s="76"/>
      <c r="AA33" s="43"/>
      <c r="AB33" s="75"/>
      <c r="AC33" s="75"/>
      <c r="AD33" s="75"/>
      <c r="AE33" s="85"/>
      <c r="AF33" s="85"/>
      <c r="AH33" s="85"/>
      <c r="AI33" s="85"/>
      <c r="AJ33" s="85"/>
      <c r="AK33" s="85"/>
      <c r="AL33" s="85"/>
      <c r="AM33" s="85"/>
      <c r="AO33" s="85"/>
      <c r="AP33" s="85"/>
      <c r="AQ33" s="85"/>
      <c r="AR33" s="85"/>
      <c r="AS33" s="85"/>
      <c r="AU33" s="85"/>
      <c r="AV33" s="85"/>
      <c r="AW33" s="85"/>
    </row>
    <row r="34" spans="2:49" x14ac:dyDescent="0.25">
      <c r="B34" s="78">
        <v>41579</v>
      </c>
      <c r="C34" s="9">
        <v>58</v>
      </c>
      <c r="D34" s="75"/>
      <c r="E34" s="75"/>
      <c r="F34" s="76"/>
      <c r="H34" s="75"/>
      <c r="I34" s="75"/>
      <c r="J34" s="75"/>
      <c r="K34" s="76"/>
      <c r="M34" s="75"/>
      <c r="N34" s="75"/>
      <c r="O34" s="75"/>
      <c r="P34" s="76"/>
      <c r="R34" s="75"/>
      <c r="S34" s="75"/>
      <c r="T34" s="75"/>
      <c r="U34" s="76"/>
      <c r="W34" s="75"/>
      <c r="X34" s="75"/>
      <c r="Y34" s="75"/>
      <c r="Z34" s="76"/>
      <c r="AA34" s="43"/>
      <c r="AB34" s="75"/>
      <c r="AC34" s="75"/>
      <c r="AD34" s="75"/>
      <c r="AE34" s="85"/>
      <c r="AF34" s="85"/>
      <c r="AH34" s="85"/>
      <c r="AI34" s="85"/>
      <c r="AJ34" s="85"/>
      <c r="AK34" s="85"/>
      <c r="AL34" s="85"/>
      <c r="AM34" s="85"/>
      <c r="AO34" s="85"/>
      <c r="AP34" s="85"/>
      <c r="AQ34" s="85"/>
      <c r="AR34" s="85"/>
      <c r="AS34" s="85"/>
      <c r="AU34" s="85"/>
      <c r="AV34" s="85"/>
      <c r="AW34" s="85"/>
    </row>
    <row r="35" spans="2:49" x14ac:dyDescent="0.25">
      <c r="B35" s="78">
        <v>41609</v>
      </c>
      <c r="C35" s="9">
        <v>58</v>
      </c>
      <c r="D35" s="75"/>
      <c r="E35" s="75"/>
      <c r="F35" s="76"/>
      <c r="H35" s="75"/>
      <c r="I35" s="75"/>
      <c r="J35" s="75"/>
      <c r="K35" s="76"/>
      <c r="M35" s="75"/>
      <c r="N35" s="75"/>
      <c r="O35" s="75"/>
      <c r="P35" s="76"/>
      <c r="R35" s="75"/>
      <c r="S35" s="75"/>
      <c r="T35" s="75"/>
      <c r="U35" s="76"/>
      <c r="W35" s="75"/>
      <c r="X35" s="75"/>
      <c r="Y35" s="75"/>
      <c r="Z35" s="76"/>
      <c r="AA35" s="43"/>
      <c r="AB35" s="75"/>
      <c r="AC35" s="75"/>
      <c r="AD35" s="75"/>
      <c r="AE35" s="85"/>
      <c r="AF35" s="85"/>
      <c r="AH35" s="85"/>
      <c r="AI35" s="85"/>
      <c r="AJ35" s="85"/>
      <c r="AK35" s="85"/>
      <c r="AL35" s="85"/>
      <c r="AM35" s="85"/>
      <c r="AO35" s="85"/>
      <c r="AP35" s="85"/>
      <c r="AQ35" s="85"/>
      <c r="AR35" s="85"/>
      <c r="AS35" s="85"/>
      <c r="AU35" s="85"/>
      <c r="AV35" s="85"/>
      <c r="AW35" s="85"/>
    </row>
    <row r="36" spans="2:49" x14ac:dyDescent="0.25">
      <c r="B36" s="78">
        <v>41640</v>
      </c>
      <c r="C36" s="9">
        <v>58</v>
      </c>
      <c r="D36" s="75"/>
      <c r="E36" s="75"/>
      <c r="F36" s="76"/>
      <c r="H36" s="75"/>
      <c r="I36" s="75"/>
      <c r="J36" s="75"/>
      <c r="K36" s="76"/>
      <c r="M36" s="75"/>
      <c r="N36" s="75"/>
      <c r="O36" s="75"/>
      <c r="P36" s="76"/>
      <c r="R36" s="75"/>
      <c r="S36" s="75"/>
      <c r="T36" s="75"/>
      <c r="U36" s="76"/>
      <c r="W36" s="75"/>
      <c r="X36" s="75"/>
      <c r="Y36" s="75"/>
      <c r="Z36" s="76"/>
      <c r="AA36" s="43"/>
      <c r="AB36" s="75"/>
      <c r="AC36" s="75"/>
      <c r="AD36" s="75"/>
      <c r="AE36" s="85"/>
      <c r="AF36" s="85"/>
      <c r="AH36" s="85"/>
      <c r="AI36" s="85"/>
      <c r="AJ36" s="85"/>
      <c r="AK36" s="85"/>
      <c r="AL36" s="85"/>
      <c r="AM36" s="85"/>
      <c r="AO36" s="85"/>
      <c r="AP36" s="85"/>
      <c r="AQ36" s="85"/>
      <c r="AR36" s="85"/>
      <c r="AS36" s="85"/>
      <c r="AU36" s="85"/>
      <c r="AV36" s="85"/>
      <c r="AW36" s="85"/>
    </row>
    <row r="37" spans="2:49" x14ac:dyDescent="0.25">
      <c r="B37" s="78">
        <v>41671</v>
      </c>
      <c r="C37" s="9">
        <v>58</v>
      </c>
      <c r="D37" s="75"/>
      <c r="E37" s="75"/>
      <c r="F37" s="76"/>
      <c r="H37" s="75"/>
      <c r="I37" s="75"/>
      <c r="J37" s="75"/>
      <c r="K37" s="76"/>
      <c r="M37" s="75"/>
      <c r="N37" s="75"/>
      <c r="O37" s="75"/>
      <c r="P37" s="76"/>
      <c r="R37" s="75"/>
      <c r="S37" s="75"/>
      <c r="T37" s="75"/>
      <c r="U37" s="76"/>
      <c r="W37" s="75"/>
      <c r="X37" s="75"/>
      <c r="Y37" s="75"/>
      <c r="Z37" s="76"/>
      <c r="AA37" s="43"/>
      <c r="AB37" s="75"/>
      <c r="AC37" s="75"/>
      <c r="AD37" s="75"/>
      <c r="AE37" s="85"/>
      <c r="AF37" s="85"/>
      <c r="AH37" s="85"/>
      <c r="AI37" s="85"/>
      <c r="AJ37" s="85"/>
      <c r="AK37" s="85"/>
      <c r="AL37" s="85"/>
      <c r="AM37" s="85"/>
      <c r="AO37" s="85"/>
      <c r="AP37" s="85"/>
      <c r="AQ37" s="85"/>
      <c r="AR37" s="85"/>
      <c r="AS37" s="85"/>
      <c r="AU37" s="85"/>
      <c r="AV37" s="85"/>
      <c r="AW37" s="85"/>
    </row>
    <row r="38" spans="2:49" x14ac:dyDescent="0.25">
      <c r="B38" s="78">
        <v>41699</v>
      </c>
      <c r="C38" s="9">
        <v>58</v>
      </c>
      <c r="D38" s="75"/>
      <c r="E38" s="75"/>
      <c r="F38" s="76"/>
      <c r="H38" s="75"/>
      <c r="I38" s="75"/>
      <c r="J38" s="75"/>
      <c r="K38" s="76"/>
      <c r="M38" s="75"/>
      <c r="N38" s="75"/>
      <c r="O38" s="75"/>
      <c r="P38" s="76"/>
      <c r="R38" s="75"/>
      <c r="S38" s="75"/>
      <c r="T38" s="75"/>
      <c r="U38" s="76"/>
      <c r="W38" s="75"/>
      <c r="X38" s="75"/>
      <c r="Y38" s="75"/>
      <c r="Z38" s="76"/>
      <c r="AA38" s="43"/>
      <c r="AB38" s="75"/>
      <c r="AC38" s="75"/>
      <c r="AD38" s="75"/>
      <c r="AE38" s="85"/>
      <c r="AF38" s="85"/>
      <c r="AH38" s="85"/>
      <c r="AI38" s="85"/>
      <c r="AJ38" s="85"/>
      <c r="AK38" s="85"/>
      <c r="AL38" s="85"/>
      <c r="AM38" s="85"/>
      <c r="AO38" s="85"/>
      <c r="AP38" s="85"/>
      <c r="AQ38" s="85"/>
      <c r="AR38" s="85"/>
      <c r="AS38" s="85"/>
      <c r="AU38" s="85"/>
      <c r="AV38" s="85"/>
      <c r="AW38" s="85"/>
    </row>
    <row r="39" spans="2:49" x14ac:dyDescent="0.25">
      <c r="B39" s="78">
        <v>41730</v>
      </c>
      <c r="C39" s="9">
        <v>58</v>
      </c>
      <c r="D39" s="75"/>
      <c r="E39" s="75"/>
      <c r="F39" s="76"/>
      <c r="H39" s="75"/>
      <c r="I39" s="75"/>
      <c r="J39" s="75"/>
      <c r="K39" s="76"/>
      <c r="M39" s="75"/>
      <c r="N39" s="75"/>
      <c r="O39" s="75"/>
      <c r="P39" s="76"/>
      <c r="R39" s="75"/>
      <c r="S39" s="75"/>
      <c r="T39" s="75"/>
      <c r="U39" s="76"/>
      <c r="W39" s="75"/>
      <c r="X39" s="75"/>
      <c r="Y39" s="75"/>
      <c r="Z39" s="76"/>
      <c r="AA39" s="43"/>
      <c r="AB39" s="75"/>
      <c r="AC39" s="75"/>
      <c r="AD39" s="75"/>
      <c r="AE39" s="85"/>
      <c r="AF39" s="85"/>
      <c r="AH39" s="85"/>
      <c r="AI39" s="85"/>
      <c r="AJ39" s="85"/>
      <c r="AK39" s="85"/>
      <c r="AL39" s="85"/>
      <c r="AM39" s="85"/>
      <c r="AO39" s="85"/>
      <c r="AP39" s="85"/>
      <c r="AQ39" s="85"/>
      <c r="AR39" s="85"/>
      <c r="AS39" s="85"/>
      <c r="AU39" s="85"/>
      <c r="AV39" s="85"/>
      <c r="AW39" s="85"/>
    </row>
    <row r="40" spans="2:49" x14ac:dyDescent="0.25">
      <c r="B40" s="78">
        <v>41760</v>
      </c>
      <c r="C40" s="9">
        <v>58</v>
      </c>
      <c r="D40" s="75"/>
      <c r="E40" s="75"/>
      <c r="F40" s="76"/>
      <c r="H40" s="75"/>
      <c r="I40" s="75"/>
      <c r="J40" s="75"/>
      <c r="K40" s="76"/>
      <c r="M40" s="75"/>
      <c r="N40" s="75"/>
      <c r="O40" s="75"/>
      <c r="P40" s="76"/>
      <c r="R40" s="75"/>
      <c r="S40" s="75"/>
      <c r="T40" s="75"/>
      <c r="U40" s="76"/>
      <c r="W40" s="75"/>
      <c r="X40" s="75"/>
      <c r="Y40" s="75"/>
      <c r="Z40" s="76"/>
      <c r="AA40" s="43"/>
      <c r="AB40" s="75"/>
      <c r="AC40" s="75"/>
      <c r="AD40" s="75"/>
      <c r="AE40" s="85"/>
      <c r="AF40" s="85"/>
      <c r="AH40" s="85"/>
      <c r="AI40" s="85"/>
      <c r="AJ40" s="85"/>
      <c r="AK40" s="85"/>
      <c r="AL40" s="85"/>
      <c r="AM40" s="85"/>
      <c r="AO40" s="85"/>
      <c r="AP40" s="85"/>
      <c r="AQ40" s="85"/>
      <c r="AR40" s="85"/>
      <c r="AS40" s="85"/>
      <c r="AU40" s="85"/>
      <c r="AV40" s="85"/>
      <c r="AW40" s="85"/>
    </row>
    <row r="41" spans="2:49" x14ac:dyDescent="0.25">
      <c r="B41" s="78">
        <v>41791</v>
      </c>
      <c r="C41" s="9">
        <v>58</v>
      </c>
      <c r="D41" s="75"/>
      <c r="E41" s="75"/>
      <c r="F41" s="76"/>
      <c r="H41" s="75"/>
      <c r="I41" s="75"/>
      <c r="J41" s="75"/>
      <c r="K41" s="76"/>
      <c r="M41" s="75"/>
      <c r="N41" s="75"/>
      <c r="O41" s="75"/>
      <c r="P41" s="76"/>
      <c r="R41" s="75"/>
      <c r="S41" s="75"/>
      <c r="T41" s="75"/>
      <c r="U41" s="76"/>
      <c r="W41" s="75"/>
      <c r="X41" s="75"/>
      <c r="Y41" s="75"/>
      <c r="Z41" s="76"/>
      <c r="AA41" s="43"/>
      <c r="AB41" s="75"/>
      <c r="AC41" s="75"/>
      <c r="AD41" s="75"/>
      <c r="AE41" s="85"/>
      <c r="AF41" s="85"/>
      <c r="AH41" s="85"/>
      <c r="AI41" s="85"/>
      <c r="AJ41" s="85"/>
      <c r="AK41" s="85"/>
      <c r="AL41" s="85"/>
      <c r="AM41" s="85"/>
      <c r="AO41" s="85"/>
      <c r="AP41" s="85"/>
      <c r="AQ41" s="85"/>
      <c r="AR41" s="85"/>
      <c r="AS41" s="85"/>
      <c r="AU41" s="85"/>
      <c r="AV41" s="85"/>
      <c r="AW41" s="85"/>
    </row>
    <row r="42" spans="2:49" x14ac:dyDescent="0.25">
      <c r="B42" s="78">
        <v>41821</v>
      </c>
      <c r="C42" s="9">
        <v>58</v>
      </c>
      <c r="D42" s="75"/>
      <c r="E42" s="75"/>
      <c r="F42" s="76"/>
      <c r="H42" s="75"/>
      <c r="I42" s="75"/>
      <c r="J42" s="75"/>
      <c r="K42" s="76"/>
      <c r="M42" s="75"/>
      <c r="N42" s="75"/>
      <c r="O42" s="75"/>
      <c r="P42" s="76"/>
      <c r="R42" s="75"/>
      <c r="S42" s="75"/>
      <c r="T42" s="75"/>
      <c r="U42" s="76"/>
      <c r="W42" s="75"/>
      <c r="X42" s="75"/>
      <c r="Y42" s="75"/>
      <c r="Z42" s="76"/>
      <c r="AA42" s="43"/>
      <c r="AB42" s="75"/>
      <c r="AC42" s="75"/>
      <c r="AD42" s="75"/>
      <c r="AE42" s="85"/>
      <c r="AF42" s="85"/>
      <c r="AH42" s="85"/>
      <c r="AI42" s="85"/>
      <c r="AJ42" s="85"/>
      <c r="AK42" s="85"/>
      <c r="AL42" s="85"/>
      <c r="AM42" s="85"/>
      <c r="AO42" s="85"/>
      <c r="AP42" s="85"/>
      <c r="AQ42" s="85"/>
      <c r="AR42" s="85"/>
      <c r="AS42" s="85"/>
      <c r="AU42" s="85"/>
      <c r="AV42" s="85"/>
      <c r="AW42" s="85"/>
    </row>
    <row r="43" spans="2:49" x14ac:dyDescent="0.25">
      <c r="B43" s="78">
        <v>41852</v>
      </c>
      <c r="C43" s="9">
        <v>58</v>
      </c>
      <c r="D43" s="75"/>
      <c r="E43" s="75"/>
      <c r="F43" s="76"/>
      <c r="H43" s="75"/>
      <c r="I43" s="75"/>
      <c r="J43" s="75"/>
      <c r="K43" s="76"/>
      <c r="M43" s="75"/>
      <c r="N43" s="75"/>
      <c r="O43" s="75"/>
      <c r="P43" s="76"/>
      <c r="R43" s="75"/>
      <c r="S43" s="75"/>
      <c r="T43" s="75"/>
      <c r="U43" s="76"/>
      <c r="W43" s="75"/>
      <c r="X43" s="75"/>
      <c r="Y43" s="75"/>
      <c r="Z43" s="76"/>
      <c r="AA43" s="43"/>
      <c r="AB43" s="75"/>
      <c r="AC43" s="75"/>
      <c r="AD43" s="75"/>
      <c r="AE43" s="85"/>
      <c r="AF43" s="85"/>
      <c r="AH43" s="85"/>
      <c r="AI43" s="85"/>
      <c r="AJ43" s="85"/>
      <c r="AK43" s="85"/>
      <c r="AL43" s="85"/>
      <c r="AM43" s="85"/>
      <c r="AO43" s="85"/>
      <c r="AP43" s="85"/>
      <c r="AQ43" s="85"/>
      <c r="AR43" s="85"/>
      <c r="AS43" s="85"/>
      <c r="AU43" s="85"/>
      <c r="AV43" s="85"/>
      <c r="AW43" s="85"/>
    </row>
    <row r="44" spans="2:49" x14ac:dyDescent="0.25">
      <c r="B44" s="78">
        <v>41883</v>
      </c>
      <c r="C44" s="9">
        <v>58</v>
      </c>
      <c r="D44" s="75"/>
      <c r="E44" s="75"/>
      <c r="F44" s="76"/>
      <c r="H44" s="75"/>
      <c r="I44" s="75"/>
      <c r="J44" s="75"/>
      <c r="K44" s="76"/>
      <c r="M44" s="75"/>
      <c r="N44" s="75"/>
      <c r="O44" s="75"/>
      <c r="P44" s="76"/>
      <c r="R44" s="75"/>
      <c r="S44" s="75"/>
      <c r="T44" s="75"/>
      <c r="U44" s="76"/>
      <c r="W44" s="75"/>
      <c r="X44" s="75"/>
      <c r="Y44" s="75"/>
      <c r="Z44" s="76"/>
      <c r="AA44" s="43"/>
      <c r="AB44" s="75"/>
      <c r="AC44" s="75"/>
      <c r="AD44" s="75"/>
      <c r="AE44" s="85"/>
      <c r="AF44" s="85"/>
      <c r="AH44" s="85"/>
      <c r="AI44" s="85"/>
      <c r="AJ44" s="85"/>
      <c r="AK44" s="85"/>
      <c r="AL44" s="85"/>
      <c r="AM44" s="85"/>
      <c r="AO44" s="85"/>
      <c r="AP44" s="85"/>
      <c r="AQ44" s="85"/>
      <c r="AR44" s="85"/>
      <c r="AS44" s="85"/>
      <c r="AU44" s="85"/>
      <c r="AV44" s="85"/>
      <c r="AW44" s="85"/>
    </row>
    <row r="45" spans="2:49" x14ac:dyDescent="0.25">
      <c r="B45" s="78">
        <v>41913</v>
      </c>
      <c r="C45" s="9">
        <v>58</v>
      </c>
      <c r="D45" s="75"/>
      <c r="E45" s="75"/>
      <c r="F45" s="76"/>
      <c r="H45" s="75"/>
      <c r="I45" s="75"/>
      <c r="J45" s="75"/>
      <c r="K45" s="76"/>
      <c r="M45" s="75"/>
      <c r="N45" s="75"/>
      <c r="O45" s="75"/>
      <c r="P45" s="76"/>
      <c r="R45" s="75"/>
      <c r="S45" s="75"/>
      <c r="T45" s="75"/>
      <c r="U45" s="76"/>
      <c r="W45" s="75"/>
      <c r="X45" s="75"/>
      <c r="Y45" s="75"/>
      <c r="Z45" s="76"/>
      <c r="AA45" s="43"/>
      <c r="AB45" s="75"/>
      <c r="AC45" s="75"/>
      <c r="AD45" s="75"/>
      <c r="AE45" s="85"/>
      <c r="AF45" s="85"/>
      <c r="AH45" s="85"/>
      <c r="AI45" s="85"/>
      <c r="AJ45" s="85"/>
      <c r="AK45" s="85"/>
      <c r="AL45" s="85"/>
      <c r="AM45" s="85"/>
      <c r="AO45" s="85"/>
      <c r="AP45" s="85"/>
      <c r="AQ45" s="85"/>
      <c r="AR45" s="85"/>
      <c r="AS45" s="85"/>
      <c r="AU45" s="85"/>
      <c r="AV45" s="85"/>
      <c r="AW45" s="85"/>
    </row>
    <row r="46" spans="2:49" x14ac:dyDescent="0.25">
      <c r="B46" s="78">
        <v>41944</v>
      </c>
      <c r="C46" s="9">
        <v>58</v>
      </c>
      <c r="D46" s="75"/>
      <c r="E46" s="75"/>
      <c r="F46" s="76"/>
      <c r="H46" s="75"/>
      <c r="I46" s="75"/>
      <c r="J46" s="75"/>
      <c r="K46" s="76"/>
      <c r="M46" s="75"/>
      <c r="N46" s="75"/>
      <c r="O46" s="75"/>
      <c r="P46" s="76"/>
      <c r="R46" s="75"/>
      <c r="S46" s="75"/>
      <c r="T46" s="75"/>
      <c r="U46" s="76"/>
      <c r="W46" s="75"/>
      <c r="X46" s="75"/>
      <c r="Y46" s="75"/>
      <c r="Z46" s="76"/>
      <c r="AA46" s="43"/>
      <c r="AB46" s="75"/>
      <c r="AC46" s="75"/>
      <c r="AD46" s="75"/>
      <c r="AE46" s="85"/>
      <c r="AF46" s="85"/>
      <c r="AH46" s="85"/>
      <c r="AI46" s="85"/>
      <c r="AJ46" s="85"/>
      <c r="AK46" s="85"/>
      <c r="AL46" s="85"/>
      <c r="AM46" s="85"/>
      <c r="AO46" s="85"/>
      <c r="AP46" s="85"/>
      <c r="AQ46" s="85"/>
      <c r="AR46" s="85"/>
      <c r="AS46" s="85"/>
      <c r="AU46" s="85"/>
      <c r="AV46" s="85"/>
      <c r="AW46" s="85"/>
    </row>
    <row r="47" spans="2:49" x14ac:dyDescent="0.25">
      <c r="B47" s="78">
        <v>41974</v>
      </c>
      <c r="C47" s="9">
        <v>58</v>
      </c>
      <c r="D47" s="75"/>
      <c r="E47" s="75"/>
      <c r="F47" s="76"/>
      <c r="H47" s="75"/>
      <c r="I47" s="75"/>
      <c r="J47" s="75"/>
      <c r="K47" s="76"/>
      <c r="M47" s="75"/>
      <c r="N47" s="75"/>
      <c r="O47" s="75"/>
      <c r="P47" s="76"/>
      <c r="R47" s="75"/>
      <c r="S47" s="75"/>
      <c r="T47" s="75"/>
      <c r="U47" s="76"/>
      <c r="W47" s="75"/>
      <c r="X47" s="75"/>
      <c r="Y47" s="75"/>
      <c r="Z47" s="76"/>
      <c r="AA47" s="43"/>
      <c r="AB47" s="75"/>
      <c r="AC47" s="75"/>
      <c r="AD47" s="75"/>
      <c r="AE47" s="85"/>
      <c r="AF47" s="85"/>
      <c r="AH47" s="85"/>
      <c r="AI47" s="85"/>
      <c r="AJ47" s="85"/>
      <c r="AK47" s="85"/>
      <c r="AL47" s="85"/>
      <c r="AM47" s="85"/>
      <c r="AO47" s="85"/>
      <c r="AP47" s="85"/>
      <c r="AQ47" s="85"/>
      <c r="AR47" s="85"/>
      <c r="AS47" s="85"/>
      <c r="AU47" s="85"/>
      <c r="AV47" s="85"/>
      <c r="AW47" s="85"/>
    </row>
    <row r="48" spans="2:49" x14ac:dyDescent="0.25">
      <c r="B48" s="78">
        <v>42005</v>
      </c>
      <c r="C48" s="9">
        <v>58</v>
      </c>
      <c r="D48" s="75"/>
      <c r="E48" s="75"/>
      <c r="F48" s="76"/>
      <c r="H48" s="75"/>
      <c r="I48" s="75"/>
      <c r="J48" s="75"/>
      <c r="K48" s="76"/>
      <c r="M48" s="75"/>
      <c r="N48" s="75"/>
      <c r="O48" s="75"/>
      <c r="P48" s="76"/>
      <c r="R48" s="75"/>
      <c r="S48" s="75"/>
      <c r="T48" s="75"/>
      <c r="U48" s="76"/>
      <c r="W48" s="75"/>
      <c r="X48" s="75"/>
      <c r="Y48" s="75"/>
      <c r="Z48" s="76"/>
      <c r="AA48" s="43"/>
      <c r="AB48" s="75"/>
      <c r="AC48" s="75"/>
      <c r="AD48" s="75"/>
      <c r="AE48" s="85"/>
      <c r="AF48" s="85"/>
      <c r="AH48" s="85"/>
      <c r="AI48" s="85"/>
      <c r="AJ48" s="85"/>
      <c r="AK48" s="85"/>
      <c r="AL48" s="85"/>
      <c r="AM48" s="85"/>
      <c r="AO48" s="85"/>
      <c r="AP48" s="85"/>
      <c r="AQ48" s="85"/>
      <c r="AR48" s="85"/>
      <c r="AS48" s="85"/>
      <c r="AU48" s="85"/>
      <c r="AV48" s="85"/>
      <c r="AW48" s="85"/>
    </row>
    <row r="49" spans="2:49" x14ac:dyDescent="0.25">
      <c r="B49" s="78">
        <v>42036</v>
      </c>
      <c r="C49" s="9">
        <v>58</v>
      </c>
      <c r="D49" s="75"/>
      <c r="E49" s="75"/>
      <c r="F49" s="76"/>
      <c r="H49" s="75"/>
      <c r="I49" s="75"/>
      <c r="J49" s="75"/>
      <c r="K49" s="76"/>
      <c r="M49" s="75"/>
      <c r="N49" s="75"/>
      <c r="O49" s="75"/>
      <c r="P49" s="76"/>
      <c r="R49" s="75"/>
      <c r="S49" s="75"/>
      <c r="T49" s="75"/>
      <c r="U49" s="76"/>
      <c r="W49" s="75"/>
      <c r="X49" s="75"/>
      <c r="Y49" s="75"/>
      <c r="Z49" s="76"/>
      <c r="AA49" s="43"/>
      <c r="AB49" s="75"/>
      <c r="AC49" s="75"/>
      <c r="AD49" s="75"/>
      <c r="AE49" s="85"/>
      <c r="AF49" s="85"/>
      <c r="AH49" s="85"/>
      <c r="AI49" s="85"/>
      <c r="AJ49" s="85"/>
      <c r="AK49" s="85"/>
      <c r="AL49" s="85"/>
      <c r="AM49" s="85"/>
      <c r="AO49" s="85"/>
      <c r="AP49" s="85"/>
      <c r="AQ49" s="85"/>
      <c r="AR49" s="85"/>
      <c r="AS49" s="85"/>
      <c r="AU49" s="85"/>
      <c r="AV49" s="85"/>
      <c r="AW49" s="85"/>
    </row>
    <row r="50" spans="2:49" x14ac:dyDescent="0.25">
      <c r="B50" s="78">
        <v>42064</v>
      </c>
      <c r="C50" s="9">
        <v>66</v>
      </c>
      <c r="D50" s="75"/>
      <c r="E50" s="75"/>
      <c r="F50" s="76"/>
      <c r="H50" s="75"/>
      <c r="I50" s="75"/>
      <c r="J50" s="75"/>
      <c r="K50" s="76"/>
      <c r="M50" s="75"/>
      <c r="N50" s="75"/>
      <c r="O50" s="75"/>
      <c r="P50" s="76"/>
      <c r="R50" s="75"/>
      <c r="S50" s="75"/>
      <c r="T50" s="75"/>
      <c r="U50" s="76"/>
      <c r="W50" s="75"/>
      <c r="X50" s="75"/>
      <c r="Y50" s="75"/>
      <c r="Z50" s="76"/>
      <c r="AA50" s="43"/>
      <c r="AB50" s="75"/>
      <c r="AC50" s="75"/>
      <c r="AD50" s="75"/>
      <c r="AE50" s="85"/>
      <c r="AF50" s="85"/>
      <c r="AH50" s="85"/>
      <c r="AI50" s="85"/>
      <c r="AJ50" s="85"/>
      <c r="AK50" s="85"/>
      <c r="AL50" s="85"/>
      <c r="AM50" s="85"/>
      <c r="AO50" s="85"/>
      <c r="AP50" s="85"/>
      <c r="AQ50" s="85"/>
      <c r="AR50" s="85"/>
      <c r="AS50" s="85"/>
      <c r="AU50" s="85"/>
      <c r="AV50" s="85"/>
      <c r="AW50" s="85"/>
    </row>
    <row r="51" spans="2:49" x14ac:dyDescent="0.25">
      <c r="B51" s="78">
        <v>42095</v>
      </c>
      <c r="C51" s="9">
        <v>66</v>
      </c>
      <c r="D51" s="75"/>
      <c r="E51" s="75"/>
      <c r="F51" s="76"/>
      <c r="H51" s="75"/>
      <c r="I51" s="75"/>
      <c r="J51" s="75"/>
      <c r="K51" s="76"/>
      <c r="M51" s="75"/>
      <c r="N51" s="75"/>
      <c r="O51" s="75"/>
      <c r="P51" s="76"/>
      <c r="R51" s="75"/>
      <c r="S51" s="75"/>
      <c r="T51" s="75"/>
      <c r="U51" s="76"/>
      <c r="W51" s="75"/>
      <c r="X51" s="75"/>
      <c r="Y51" s="75"/>
      <c r="Z51" s="76"/>
      <c r="AA51" s="43"/>
      <c r="AB51" s="75"/>
      <c r="AC51" s="75"/>
      <c r="AD51" s="75"/>
      <c r="AE51" s="85"/>
      <c r="AF51" s="85"/>
      <c r="AH51" s="85"/>
      <c r="AI51" s="85"/>
      <c r="AJ51" s="85"/>
      <c r="AK51" s="85"/>
      <c r="AL51" s="85"/>
      <c r="AM51" s="85"/>
      <c r="AO51" s="85"/>
      <c r="AP51" s="85"/>
      <c r="AQ51" s="85"/>
      <c r="AR51" s="85"/>
      <c r="AS51" s="85"/>
      <c r="AU51" s="85"/>
      <c r="AV51" s="85"/>
      <c r="AW51" s="85"/>
    </row>
    <row r="52" spans="2:49" x14ac:dyDescent="0.25">
      <c r="B52" s="78">
        <v>42125</v>
      </c>
      <c r="C52" s="9">
        <v>66</v>
      </c>
      <c r="D52" s="75"/>
      <c r="E52" s="75"/>
      <c r="F52" s="76"/>
      <c r="H52" s="75"/>
      <c r="I52" s="75"/>
      <c r="J52" s="75"/>
      <c r="K52" s="76"/>
      <c r="M52" s="75"/>
      <c r="N52" s="75"/>
      <c r="O52" s="75"/>
      <c r="P52" s="76"/>
      <c r="R52" s="75"/>
      <c r="S52" s="75"/>
      <c r="T52" s="75"/>
      <c r="U52" s="76"/>
      <c r="W52" s="75"/>
      <c r="X52" s="75"/>
      <c r="Y52" s="75"/>
      <c r="Z52" s="76"/>
      <c r="AA52" s="43"/>
      <c r="AB52" s="75"/>
      <c r="AC52" s="75"/>
      <c r="AD52" s="75"/>
      <c r="AE52" s="85"/>
      <c r="AF52" s="85"/>
      <c r="AH52" s="85"/>
      <c r="AI52" s="85"/>
      <c r="AJ52" s="85"/>
      <c r="AK52" s="85"/>
      <c r="AL52" s="85"/>
      <c r="AM52" s="85"/>
      <c r="AO52" s="85"/>
      <c r="AP52" s="85"/>
      <c r="AQ52" s="85"/>
      <c r="AR52" s="85"/>
      <c r="AS52" s="85"/>
      <c r="AU52" s="85"/>
      <c r="AV52" s="85"/>
      <c r="AW52" s="85"/>
    </row>
    <row r="53" spans="2:49" x14ac:dyDescent="0.25">
      <c r="B53" s="78">
        <v>42156</v>
      </c>
      <c r="C53" s="9">
        <v>66</v>
      </c>
      <c r="D53" s="75"/>
      <c r="E53" s="75"/>
      <c r="F53" s="76"/>
      <c r="H53" s="75"/>
      <c r="I53" s="75"/>
      <c r="J53" s="75"/>
      <c r="K53" s="76"/>
      <c r="M53" s="75"/>
      <c r="N53" s="75"/>
      <c r="O53" s="75"/>
      <c r="P53" s="76"/>
      <c r="R53" s="75"/>
      <c r="S53" s="75"/>
      <c r="T53" s="75"/>
      <c r="U53" s="76"/>
      <c r="W53" s="75"/>
      <c r="X53" s="75"/>
      <c r="Y53" s="75"/>
      <c r="Z53" s="76"/>
      <c r="AA53" s="43"/>
      <c r="AB53" s="75"/>
      <c r="AC53" s="75"/>
      <c r="AD53" s="75"/>
      <c r="AE53" s="85"/>
      <c r="AF53" s="85"/>
      <c r="AH53" s="85"/>
      <c r="AI53" s="85"/>
      <c r="AJ53" s="85"/>
      <c r="AK53" s="85"/>
      <c r="AL53" s="85"/>
      <c r="AM53" s="85"/>
      <c r="AO53" s="85"/>
      <c r="AP53" s="85"/>
      <c r="AQ53" s="85"/>
      <c r="AR53" s="85"/>
      <c r="AS53" s="85"/>
      <c r="AU53" s="85"/>
      <c r="AV53" s="85"/>
      <c r="AW53" s="85"/>
    </row>
    <row r="54" spans="2:49" x14ac:dyDescent="0.25">
      <c r="B54" s="78">
        <v>42186</v>
      </c>
      <c r="C54" s="9">
        <v>66</v>
      </c>
      <c r="D54" s="75"/>
      <c r="E54" s="75"/>
      <c r="F54" s="76"/>
      <c r="H54" s="75"/>
      <c r="I54" s="75"/>
      <c r="J54" s="75"/>
      <c r="K54" s="76"/>
      <c r="M54" s="75"/>
      <c r="N54" s="75"/>
      <c r="O54" s="75"/>
      <c r="P54" s="76"/>
      <c r="R54" s="75"/>
      <c r="S54" s="75"/>
      <c r="T54" s="75"/>
      <c r="U54" s="76"/>
      <c r="W54" s="75"/>
      <c r="X54" s="75"/>
      <c r="Y54" s="75"/>
      <c r="Z54" s="76"/>
      <c r="AA54" s="43"/>
      <c r="AB54" s="75"/>
      <c r="AC54" s="75"/>
      <c r="AD54" s="75"/>
      <c r="AE54" s="85"/>
      <c r="AF54" s="85"/>
      <c r="AH54" s="85"/>
      <c r="AI54" s="85"/>
      <c r="AJ54" s="85"/>
      <c r="AK54" s="85"/>
      <c r="AL54" s="85"/>
      <c r="AM54" s="85"/>
      <c r="AO54" s="85"/>
      <c r="AP54" s="85"/>
      <c r="AQ54" s="85"/>
      <c r="AR54" s="85"/>
      <c r="AS54" s="85"/>
      <c r="AU54" s="85"/>
      <c r="AV54" s="85"/>
      <c r="AW54" s="85"/>
    </row>
    <row r="55" spans="2:49" x14ac:dyDescent="0.25">
      <c r="B55" s="78">
        <v>42217</v>
      </c>
      <c r="C55" s="9">
        <v>66</v>
      </c>
      <c r="D55" s="75"/>
      <c r="E55" s="75"/>
      <c r="F55" s="76"/>
      <c r="H55" s="75"/>
      <c r="I55" s="75"/>
      <c r="J55" s="75"/>
      <c r="K55" s="76"/>
      <c r="M55" s="75"/>
      <c r="N55" s="75"/>
      <c r="O55" s="75"/>
      <c r="P55" s="76"/>
      <c r="R55" s="75"/>
      <c r="S55" s="75"/>
      <c r="T55" s="75"/>
      <c r="U55" s="76"/>
      <c r="W55" s="75"/>
      <c r="X55" s="75"/>
      <c r="Y55" s="75"/>
      <c r="Z55" s="76"/>
      <c r="AA55" s="43"/>
      <c r="AB55" s="75"/>
      <c r="AC55" s="75"/>
      <c r="AD55" s="75"/>
      <c r="AE55" s="85"/>
      <c r="AF55" s="85"/>
      <c r="AH55" s="85"/>
      <c r="AI55" s="85"/>
      <c r="AJ55" s="85"/>
      <c r="AK55" s="85"/>
      <c r="AL55" s="85"/>
      <c r="AM55" s="85"/>
      <c r="AO55" s="85"/>
      <c r="AP55" s="85"/>
      <c r="AQ55" s="85"/>
      <c r="AR55" s="85"/>
      <c r="AS55" s="85"/>
      <c r="AU55" s="85"/>
      <c r="AV55" s="85"/>
      <c r="AW55" s="85"/>
    </row>
    <row r="56" spans="2:49" x14ac:dyDescent="0.25">
      <c r="B56" s="78">
        <v>42248</v>
      </c>
      <c r="C56" s="9">
        <v>66</v>
      </c>
      <c r="D56" s="75"/>
      <c r="E56" s="75"/>
      <c r="F56" s="76"/>
      <c r="H56" s="75"/>
      <c r="I56" s="75"/>
      <c r="J56" s="75"/>
      <c r="K56" s="76"/>
      <c r="M56" s="75"/>
      <c r="N56" s="75"/>
      <c r="O56" s="75"/>
      <c r="P56" s="76"/>
      <c r="R56" s="75"/>
      <c r="S56" s="75"/>
      <c r="T56" s="75"/>
      <c r="U56" s="76"/>
      <c r="W56" s="75"/>
      <c r="X56" s="75"/>
      <c r="Y56" s="75"/>
      <c r="Z56" s="76"/>
      <c r="AA56" s="43"/>
      <c r="AB56" s="75"/>
      <c r="AC56" s="75"/>
      <c r="AD56" s="75"/>
      <c r="AE56" s="85"/>
      <c r="AF56" s="85"/>
      <c r="AH56" s="85"/>
      <c r="AI56" s="85"/>
      <c r="AJ56" s="85"/>
      <c r="AK56" s="85"/>
      <c r="AL56" s="85"/>
      <c r="AM56" s="85"/>
      <c r="AO56" s="85"/>
      <c r="AP56" s="85"/>
      <c r="AQ56" s="85"/>
      <c r="AR56" s="85"/>
      <c r="AS56" s="85"/>
      <c r="AU56" s="85"/>
      <c r="AV56" s="85"/>
      <c r="AW56" s="85"/>
    </row>
    <row r="57" spans="2:49" x14ac:dyDescent="0.25">
      <c r="B57" s="78">
        <v>42278</v>
      </c>
      <c r="C57" s="9">
        <v>74</v>
      </c>
      <c r="D57" s="75"/>
      <c r="E57" s="75"/>
      <c r="F57" s="76"/>
      <c r="H57" s="75"/>
      <c r="I57" s="75"/>
      <c r="J57" s="75"/>
      <c r="K57" s="76"/>
      <c r="M57" s="75"/>
      <c r="N57" s="75"/>
      <c r="O57" s="75"/>
      <c r="P57" s="76"/>
      <c r="R57" s="75"/>
      <c r="S57" s="75"/>
      <c r="T57" s="75"/>
      <c r="U57" s="76"/>
      <c r="W57" s="75"/>
      <c r="X57" s="75"/>
      <c r="Y57" s="75"/>
      <c r="Z57" s="76"/>
      <c r="AA57" s="43"/>
      <c r="AB57" s="75"/>
      <c r="AC57" s="75"/>
      <c r="AD57" s="75"/>
      <c r="AE57" s="85"/>
      <c r="AF57" s="85"/>
      <c r="AH57" s="85"/>
      <c r="AI57" s="85"/>
      <c r="AJ57" s="85"/>
      <c r="AK57" s="85"/>
      <c r="AL57" s="85"/>
      <c r="AM57" s="85"/>
      <c r="AO57" s="85"/>
      <c r="AP57" s="85"/>
      <c r="AQ57" s="85"/>
      <c r="AR57" s="85"/>
      <c r="AS57" s="85"/>
      <c r="AU57" s="85"/>
      <c r="AV57" s="85"/>
      <c r="AW57" s="85"/>
    </row>
    <row r="58" spans="2:49" x14ac:dyDescent="0.25">
      <c r="B58" s="78">
        <v>42309</v>
      </c>
      <c r="C58" s="9">
        <v>74</v>
      </c>
      <c r="D58" s="75"/>
      <c r="E58" s="75"/>
      <c r="F58" s="76"/>
      <c r="H58" s="75"/>
      <c r="I58" s="75"/>
      <c r="J58" s="75"/>
      <c r="K58" s="76"/>
      <c r="M58" s="75"/>
      <c r="N58" s="75"/>
      <c r="O58" s="75"/>
      <c r="P58" s="76"/>
      <c r="R58" s="75"/>
      <c r="S58" s="75"/>
      <c r="T58" s="75"/>
      <c r="U58" s="76"/>
      <c r="W58" s="75"/>
      <c r="X58" s="75"/>
      <c r="Y58" s="75"/>
      <c r="Z58" s="76"/>
      <c r="AA58" s="43"/>
      <c r="AB58" s="75"/>
      <c r="AC58" s="75"/>
      <c r="AD58" s="75"/>
      <c r="AE58" s="85"/>
      <c r="AF58" s="85"/>
      <c r="AH58" s="85"/>
      <c r="AI58" s="85"/>
      <c r="AJ58" s="85"/>
      <c r="AK58" s="85"/>
      <c r="AL58" s="85"/>
      <c r="AM58" s="85"/>
      <c r="AO58" s="85"/>
      <c r="AP58" s="85"/>
      <c r="AQ58" s="85"/>
      <c r="AR58" s="85"/>
      <c r="AS58" s="85"/>
      <c r="AU58" s="85"/>
      <c r="AV58" s="85"/>
      <c r="AW58" s="85"/>
    </row>
    <row r="59" spans="2:49" x14ac:dyDescent="0.25">
      <c r="B59" s="78">
        <v>42339</v>
      </c>
      <c r="C59" s="9">
        <v>74</v>
      </c>
      <c r="D59" s="75"/>
      <c r="E59" s="75"/>
      <c r="F59" s="76"/>
      <c r="H59" s="75"/>
      <c r="I59" s="75"/>
      <c r="J59" s="75"/>
      <c r="K59" s="76"/>
      <c r="M59" s="75"/>
      <c r="N59" s="75"/>
      <c r="O59" s="75"/>
      <c r="P59" s="76"/>
      <c r="R59" s="75"/>
      <c r="S59" s="75"/>
      <c r="T59" s="75"/>
      <c r="U59" s="76"/>
      <c r="W59" s="75"/>
      <c r="X59" s="75"/>
      <c r="Y59" s="75"/>
      <c r="Z59" s="76"/>
      <c r="AA59" s="43"/>
      <c r="AB59" s="75"/>
      <c r="AC59" s="75"/>
      <c r="AD59" s="75"/>
      <c r="AE59" s="85"/>
      <c r="AF59" s="85"/>
      <c r="AH59" s="85"/>
      <c r="AI59" s="85"/>
      <c r="AJ59" s="85"/>
      <c r="AK59" s="85"/>
      <c r="AL59" s="85"/>
      <c r="AM59" s="85"/>
      <c r="AO59" s="85"/>
      <c r="AP59" s="85"/>
      <c r="AQ59" s="85"/>
      <c r="AR59" s="85"/>
      <c r="AS59" s="85"/>
      <c r="AU59" s="85"/>
      <c r="AV59" s="85"/>
      <c r="AW59" s="85"/>
    </row>
    <row r="60" spans="2:49" x14ac:dyDescent="0.25">
      <c r="B60" s="78">
        <v>42370</v>
      </c>
      <c r="C60" s="9">
        <v>74</v>
      </c>
      <c r="D60" s="75"/>
      <c r="E60" s="75"/>
      <c r="F60" s="76"/>
      <c r="H60" s="75"/>
      <c r="I60" s="75"/>
      <c r="J60" s="75"/>
      <c r="K60" s="76"/>
      <c r="M60" s="75"/>
      <c r="N60" s="75"/>
      <c r="O60" s="75"/>
      <c r="P60" s="76"/>
      <c r="R60" s="75"/>
      <c r="S60" s="75"/>
      <c r="T60" s="75"/>
      <c r="U60" s="76"/>
      <c r="W60" s="75"/>
      <c r="X60" s="75"/>
      <c r="Y60" s="75"/>
      <c r="Z60" s="76"/>
      <c r="AA60" s="43"/>
      <c r="AB60" s="75"/>
      <c r="AC60" s="75"/>
      <c r="AD60" s="75"/>
      <c r="AE60" s="85"/>
      <c r="AF60" s="85"/>
      <c r="AH60" s="85"/>
      <c r="AI60" s="85"/>
      <c r="AJ60" s="85"/>
      <c r="AK60" s="85"/>
      <c r="AL60" s="85"/>
      <c r="AM60" s="85"/>
      <c r="AO60" s="85"/>
      <c r="AP60" s="85"/>
      <c r="AQ60" s="85"/>
      <c r="AR60" s="85"/>
      <c r="AS60" s="85"/>
      <c r="AU60" s="85"/>
      <c r="AV60" s="85"/>
      <c r="AW60" s="85"/>
    </row>
    <row r="61" spans="2:49" x14ac:dyDescent="0.25">
      <c r="B61" s="78">
        <v>42401</v>
      </c>
      <c r="C61" s="9">
        <v>74</v>
      </c>
      <c r="D61" s="75"/>
      <c r="E61" s="75"/>
      <c r="F61" s="76"/>
      <c r="H61" s="75"/>
      <c r="I61" s="75"/>
      <c r="J61" s="75"/>
      <c r="K61" s="76"/>
      <c r="M61" s="75"/>
      <c r="N61" s="75"/>
      <c r="O61" s="75"/>
      <c r="P61" s="76"/>
      <c r="R61" s="75"/>
      <c r="S61" s="75"/>
      <c r="T61" s="75"/>
      <c r="U61" s="76"/>
      <c r="W61" s="75"/>
      <c r="X61" s="75"/>
      <c r="Y61" s="75"/>
      <c r="Z61" s="76"/>
      <c r="AA61" s="43"/>
      <c r="AB61" s="75"/>
      <c r="AC61" s="75"/>
      <c r="AD61" s="75"/>
      <c r="AE61" s="85"/>
      <c r="AF61" s="85"/>
      <c r="AH61" s="85"/>
      <c r="AI61" s="85"/>
      <c r="AJ61" s="85"/>
      <c r="AK61" s="85"/>
      <c r="AL61" s="85"/>
      <c r="AM61" s="85"/>
      <c r="AO61" s="85"/>
      <c r="AP61" s="85"/>
      <c r="AQ61" s="85"/>
      <c r="AR61" s="85"/>
      <c r="AS61" s="85"/>
      <c r="AU61" s="85"/>
      <c r="AV61" s="85"/>
      <c r="AW61" s="85"/>
    </row>
    <row r="62" spans="2:49" x14ac:dyDescent="0.25">
      <c r="B62" s="78">
        <v>42430</v>
      </c>
      <c r="C62" s="9">
        <v>74</v>
      </c>
      <c r="D62" s="75"/>
      <c r="E62" s="75"/>
      <c r="F62" s="76"/>
      <c r="H62" s="75"/>
      <c r="I62" s="75"/>
      <c r="J62" s="75"/>
      <c r="K62" s="76"/>
      <c r="M62" s="75"/>
      <c r="N62" s="75"/>
      <c r="O62" s="75"/>
      <c r="P62" s="76"/>
      <c r="R62" s="75"/>
      <c r="S62" s="75"/>
      <c r="T62" s="75"/>
      <c r="U62" s="76"/>
      <c r="W62" s="75"/>
      <c r="X62" s="75"/>
      <c r="Y62" s="75"/>
      <c r="Z62" s="76"/>
      <c r="AA62" s="43"/>
      <c r="AB62" s="75"/>
      <c r="AC62" s="75"/>
      <c r="AD62" s="75"/>
      <c r="AE62" s="85"/>
      <c r="AF62" s="85"/>
      <c r="AH62" s="85"/>
      <c r="AI62" s="85"/>
      <c r="AJ62" s="85"/>
      <c r="AK62" s="85"/>
      <c r="AL62" s="85"/>
      <c r="AM62" s="85"/>
      <c r="AO62" s="85"/>
      <c r="AP62" s="85"/>
      <c r="AQ62" s="85"/>
      <c r="AR62" s="85"/>
      <c r="AS62" s="85"/>
      <c r="AU62" s="85"/>
      <c r="AV62" s="85"/>
      <c r="AW62" s="85"/>
    </row>
    <row r="63" spans="2:49" x14ac:dyDescent="0.25">
      <c r="B63" s="78">
        <v>42461</v>
      </c>
      <c r="C63">
        <v>72</v>
      </c>
      <c r="D63" s="75"/>
      <c r="E63" s="75"/>
      <c r="F63" s="76"/>
      <c r="H63" s="75"/>
      <c r="I63" s="75"/>
      <c r="J63" s="75"/>
      <c r="K63" s="76"/>
      <c r="M63" s="75"/>
      <c r="N63" s="75"/>
      <c r="O63" s="75"/>
      <c r="P63" s="76"/>
      <c r="R63" s="75"/>
      <c r="S63" s="75"/>
      <c r="T63" s="75"/>
      <c r="U63" s="76"/>
      <c r="W63" s="75"/>
      <c r="X63" s="75"/>
      <c r="Y63" s="75"/>
      <c r="Z63" s="76"/>
      <c r="AA63" s="43"/>
      <c r="AB63" s="90">
        <f>SUM(AC63:AD63)</f>
        <v>72</v>
      </c>
      <c r="AC63" s="90">
        <v>54</v>
      </c>
      <c r="AD63" s="90">
        <v>18</v>
      </c>
      <c r="AE63" s="85"/>
      <c r="AF63" s="91">
        <f>AD63/AC63</f>
        <v>0.33333333333333331</v>
      </c>
      <c r="AM63" s="84">
        <f>AD63/AC63</f>
        <v>0.33333333333333331</v>
      </c>
    </row>
    <row r="64" spans="2:49" x14ac:dyDescent="0.25">
      <c r="B64" s="78">
        <v>42491</v>
      </c>
      <c r="C64">
        <v>70</v>
      </c>
      <c r="D64" s="75"/>
      <c r="E64" s="75"/>
      <c r="F64" s="76"/>
      <c r="H64" s="75"/>
      <c r="I64" s="75"/>
      <c r="J64" s="75"/>
      <c r="K64" s="76"/>
      <c r="M64" s="75"/>
      <c r="N64" s="75"/>
      <c r="O64" s="75"/>
      <c r="P64" s="76"/>
      <c r="R64" s="75"/>
      <c r="S64" s="75"/>
      <c r="T64" s="75"/>
      <c r="U64" s="76"/>
      <c r="W64" s="75"/>
      <c r="X64" s="75"/>
      <c r="Y64" s="75"/>
      <c r="Z64" s="76"/>
      <c r="AA64" s="43"/>
      <c r="AB64" s="90">
        <f t="shared" ref="AB64:AB87" si="0">SUM(AC64:AD64)</f>
        <v>70</v>
      </c>
      <c r="AC64" s="90">
        <v>53</v>
      </c>
      <c r="AD64" s="90">
        <v>17</v>
      </c>
      <c r="AE64" s="85"/>
      <c r="AF64" s="91">
        <f t="shared" ref="AF64:AF107" si="1">AD64/AC64</f>
        <v>0.32075471698113206</v>
      </c>
      <c r="AM64" s="84">
        <f t="shared" ref="AM64:AM108" si="2">AD64/AC64</f>
        <v>0.32075471698113206</v>
      </c>
    </row>
    <row r="65" spans="2:39" x14ac:dyDescent="0.25">
      <c r="B65" s="78">
        <v>42522</v>
      </c>
      <c r="C65">
        <v>68</v>
      </c>
      <c r="D65" s="75"/>
      <c r="E65" s="75"/>
      <c r="F65" s="76"/>
      <c r="H65" s="75"/>
      <c r="I65" s="75"/>
      <c r="J65" s="75"/>
      <c r="K65" s="76"/>
      <c r="M65" s="75"/>
      <c r="N65" s="75"/>
      <c r="O65" s="75"/>
      <c r="P65" s="76"/>
      <c r="R65" s="75"/>
      <c r="S65" s="75"/>
      <c r="T65" s="75"/>
      <c r="U65" s="76"/>
      <c r="W65" s="75"/>
      <c r="X65" s="75"/>
      <c r="Y65" s="75"/>
      <c r="Z65" s="76"/>
      <c r="AA65" s="43"/>
      <c r="AB65" s="90">
        <f t="shared" si="0"/>
        <v>67</v>
      </c>
      <c r="AC65" s="90">
        <v>53</v>
      </c>
      <c r="AD65" s="90">
        <v>14</v>
      </c>
      <c r="AE65" s="85"/>
      <c r="AF65" s="91">
        <f t="shared" si="1"/>
        <v>0.26415094339622641</v>
      </c>
      <c r="AM65" s="84">
        <f t="shared" si="2"/>
        <v>0.26415094339622641</v>
      </c>
    </row>
    <row r="66" spans="2:39" x14ac:dyDescent="0.25">
      <c r="B66" s="78">
        <v>42552</v>
      </c>
      <c r="C66">
        <v>67</v>
      </c>
      <c r="D66" s="75"/>
      <c r="E66" s="75"/>
      <c r="F66" s="76"/>
      <c r="H66" s="75"/>
      <c r="I66" s="75"/>
      <c r="J66" s="75"/>
      <c r="K66" s="76"/>
      <c r="M66" s="75"/>
      <c r="N66" s="75"/>
      <c r="O66" s="75"/>
      <c r="P66" s="76"/>
      <c r="R66" s="75"/>
      <c r="S66" s="75"/>
      <c r="T66" s="75"/>
      <c r="U66" s="76"/>
      <c r="W66" s="75"/>
      <c r="X66" s="75"/>
      <c r="Y66" s="75"/>
      <c r="Z66" s="76"/>
      <c r="AA66" s="43"/>
      <c r="AB66" s="90">
        <f t="shared" si="0"/>
        <v>67</v>
      </c>
      <c r="AC66" s="90">
        <v>52</v>
      </c>
      <c r="AD66" s="90">
        <v>15</v>
      </c>
      <c r="AE66" s="85"/>
      <c r="AF66" s="91">
        <f t="shared" si="1"/>
        <v>0.28846153846153844</v>
      </c>
      <c r="AM66" s="84">
        <f t="shared" si="2"/>
        <v>0.28846153846153844</v>
      </c>
    </row>
    <row r="67" spans="2:39" x14ac:dyDescent="0.25">
      <c r="B67" s="78">
        <v>42583</v>
      </c>
      <c r="C67">
        <v>71</v>
      </c>
      <c r="D67" s="75"/>
      <c r="E67" s="75"/>
      <c r="F67" s="76"/>
      <c r="H67" s="75"/>
      <c r="I67" s="75"/>
      <c r="J67" s="75"/>
      <c r="K67" s="76"/>
      <c r="M67" s="75"/>
      <c r="N67" s="75"/>
      <c r="O67" s="75"/>
      <c r="P67" s="76"/>
      <c r="R67" s="75"/>
      <c r="S67" s="75"/>
      <c r="T67" s="75"/>
      <c r="U67" s="76"/>
      <c r="W67" s="75"/>
      <c r="X67" s="75"/>
      <c r="Y67" s="75"/>
      <c r="Z67" s="76"/>
      <c r="AA67" s="43"/>
      <c r="AB67" s="90">
        <f t="shared" si="0"/>
        <v>71</v>
      </c>
      <c r="AC67" s="90">
        <v>56</v>
      </c>
      <c r="AD67" s="90">
        <v>15</v>
      </c>
      <c r="AE67" s="85"/>
      <c r="AF67" s="91">
        <f t="shared" si="1"/>
        <v>0.26785714285714285</v>
      </c>
      <c r="AM67" s="84">
        <f t="shared" si="2"/>
        <v>0.26785714285714285</v>
      </c>
    </row>
    <row r="68" spans="2:39" x14ac:dyDescent="0.25">
      <c r="B68" s="78">
        <v>42614</v>
      </c>
      <c r="C68">
        <v>71</v>
      </c>
      <c r="D68" s="75"/>
      <c r="E68" s="75"/>
      <c r="F68" s="76"/>
      <c r="H68" s="75"/>
      <c r="I68" s="75"/>
      <c r="J68" s="75"/>
      <c r="K68" s="76"/>
      <c r="M68" s="75"/>
      <c r="N68" s="75"/>
      <c r="O68" s="75"/>
      <c r="P68" s="76"/>
      <c r="R68" s="75"/>
      <c r="S68" s="75"/>
      <c r="T68" s="75"/>
      <c r="U68" s="76"/>
      <c r="W68" s="75"/>
      <c r="X68" s="75"/>
      <c r="Y68" s="75"/>
      <c r="Z68" s="76"/>
      <c r="AA68" s="43"/>
      <c r="AB68" s="90">
        <f t="shared" si="0"/>
        <v>71</v>
      </c>
      <c r="AC68" s="90">
        <v>58</v>
      </c>
      <c r="AD68" s="90">
        <v>13</v>
      </c>
      <c r="AE68" s="85"/>
      <c r="AF68" s="91">
        <f t="shared" si="1"/>
        <v>0.22413793103448276</v>
      </c>
      <c r="AM68" s="84">
        <f t="shared" si="2"/>
        <v>0.22413793103448276</v>
      </c>
    </row>
    <row r="69" spans="2:39" x14ac:dyDescent="0.25">
      <c r="B69" s="78">
        <v>42644</v>
      </c>
      <c r="C69">
        <v>73</v>
      </c>
      <c r="D69" s="75"/>
      <c r="E69" s="75"/>
      <c r="F69" s="76"/>
      <c r="H69" s="75"/>
      <c r="I69" s="75"/>
      <c r="J69" s="75"/>
      <c r="K69" s="76"/>
      <c r="M69" s="75"/>
      <c r="N69" s="75"/>
      <c r="O69" s="75"/>
      <c r="P69" s="76"/>
      <c r="R69" s="75"/>
      <c r="S69" s="75"/>
      <c r="T69" s="75"/>
      <c r="U69" s="76"/>
      <c r="W69" s="75"/>
      <c r="X69" s="75"/>
      <c r="Y69" s="75"/>
      <c r="Z69" s="76"/>
      <c r="AA69" s="43"/>
      <c r="AB69" s="90">
        <f t="shared" si="0"/>
        <v>73</v>
      </c>
      <c r="AC69" s="90">
        <v>58</v>
      </c>
      <c r="AD69" s="90">
        <v>15</v>
      </c>
      <c r="AE69" s="85"/>
      <c r="AF69" s="91">
        <f t="shared" si="1"/>
        <v>0.25862068965517243</v>
      </c>
      <c r="AM69" s="84">
        <f t="shared" si="2"/>
        <v>0.25862068965517243</v>
      </c>
    </row>
    <row r="70" spans="2:39" x14ac:dyDescent="0.25">
      <c r="B70" s="78">
        <v>42675</v>
      </c>
      <c r="C70">
        <v>79</v>
      </c>
      <c r="D70" s="75"/>
      <c r="E70" s="75"/>
      <c r="F70" s="76"/>
      <c r="H70" s="75"/>
      <c r="I70" s="75"/>
      <c r="J70" s="75"/>
      <c r="K70" s="76"/>
      <c r="M70" s="75"/>
      <c r="N70" s="75"/>
      <c r="O70" s="75"/>
      <c r="P70" s="76"/>
      <c r="R70" s="75"/>
      <c r="S70" s="75"/>
      <c r="T70" s="75"/>
      <c r="U70" s="76"/>
      <c r="W70" s="75"/>
      <c r="X70" s="75"/>
      <c r="Y70" s="75"/>
      <c r="Z70" s="76"/>
      <c r="AA70" s="43"/>
      <c r="AB70" s="90">
        <f t="shared" si="0"/>
        <v>79</v>
      </c>
      <c r="AC70" s="90">
        <v>64</v>
      </c>
      <c r="AD70" s="90">
        <v>15</v>
      </c>
      <c r="AE70" s="85"/>
      <c r="AF70" s="91">
        <f t="shared" si="1"/>
        <v>0.234375</v>
      </c>
      <c r="AM70" s="84">
        <f t="shared" si="2"/>
        <v>0.234375</v>
      </c>
    </row>
    <row r="71" spans="2:39" x14ac:dyDescent="0.25">
      <c r="B71" s="78">
        <v>42705</v>
      </c>
      <c r="C71">
        <v>76</v>
      </c>
      <c r="D71" s="75"/>
      <c r="E71" s="75"/>
      <c r="F71" s="76"/>
      <c r="H71" s="75"/>
      <c r="I71" s="75"/>
      <c r="J71" s="75"/>
      <c r="K71" s="76"/>
      <c r="M71" s="75"/>
      <c r="N71" s="75"/>
      <c r="O71" s="75"/>
      <c r="P71" s="76"/>
      <c r="R71" s="75"/>
      <c r="S71" s="75"/>
      <c r="T71" s="75"/>
      <c r="U71" s="76"/>
      <c r="W71" s="75"/>
      <c r="X71" s="75"/>
      <c r="Y71" s="75"/>
      <c r="Z71" s="76"/>
      <c r="AA71" s="43"/>
      <c r="AB71" s="90">
        <f t="shared" si="0"/>
        <v>76</v>
      </c>
      <c r="AC71" s="90">
        <v>61</v>
      </c>
      <c r="AD71" s="90">
        <v>15</v>
      </c>
      <c r="AE71" s="85"/>
      <c r="AF71" s="91">
        <f t="shared" si="1"/>
        <v>0.24590163934426229</v>
      </c>
      <c r="AM71" s="84">
        <f t="shared" si="2"/>
        <v>0.24590163934426229</v>
      </c>
    </row>
    <row r="72" spans="2:39" x14ac:dyDescent="0.25">
      <c r="B72" s="78">
        <v>42736</v>
      </c>
      <c r="C72">
        <v>75</v>
      </c>
      <c r="D72" s="75"/>
      <c r="E72" s="75"/>
      <c r="F72" s="76"/>
      <c r="H72" s="75"/>
      <c r="I72" s="75"/>
      <c r="J72" s="75"/>
      <c r="K72" s="76"/>
      <c r="M72" s="75"/>
      <c r="N72" s="75"/>
      <c r="O72" s="75"/>
      <c r="P72" s="76"/>
      <c r="R72" s="75"/>
      <c r="S72" s="75"/>
      <c r="T72" s="75"/>
      <c r="U72" s="76"/>
      <c r="W72" s="75"/>
      <c r="X72" s="75"/>
      <c r="Y72" s="75"/>
      <c r="Z72" s="76"/>
      <c r="AA72" s="43"/>
      <c r="AB72" s="90">
        <f t="shared" si="0"/>
        <v>75</v>
      </c>
      <c r="AC72" s="90">
        <v>60</v>
      </c>
      <c r="AD72" s="90">
        <v>15</v>
      </c>
      <c r="AE72" s="85"/>
      <c r="AF72" s="91">
        <f t="shared" si="1"/>
        <v>0.25</v>
      </c>
      <c r="AM72" s="84">
        <f t="shared" si="2"/>
        <v>0.25</v>
      </c>
    </row>
    <row r="73" spans="2:39" x14ac:dyDescent="0.25">
      <c r="B73" s="78">
        <v>42767</v>
      </c>
      <c r="C73">
        <v>78</v>
      </c>
      <c r="D73" s="75"/>
      <c r="E73" s="75"/>
      <c r="F73" s="76"/>
      <c r="H73" s="75"/>
      <c r="I73" s="75"/>
      <c r="J73" s="75"/>
      <c r="K73" s="76"/>
      <c r="M73" s="75"/>
      <c r="N73" s="75"/>
      <c r="O73" s="75"/>
      <c r="P73" s="76"/>
      <c r="R73" s="75"/>
      <c r="S73" s="75"/>
      <c r="T73" s="75"/>
      <c r="U73" s="76"/>
      <c r="W73" s="75"/>
      <c r="X73" s="75"/>
      <c r="Y73" s="75"/>
      <c r="Z73" s="76"/>
      <c r="AA73" s="43"/>
      <c r="AB73" s="90">
        <f t="shared" si="0"/>
        <v>65</v>
      </c>
      <c r="AC73" s="90">
        <v>49</v>
      </c>
      <c r="AD73" s="90">
        <v>16</v>
      </c>
      <c r="AE73" s="85"/>
      <c r="AF73" s="91">
        <f t="shared" si="1"/>
        <v>0.32653061224489793</v>
      </c>
      <c r="AM73" s="84">
        <f t="shared" si="2"/>
        <v>0.32653061224489793</v>
      </c>
    </row>
    <row r="74" spans="2:39" x14ac:dyDescent="0.25">
      <c r="B74" s="78">
        <v>42795</v>
      </c>
      <c r="C74">
        <v>80</v>
      </c>
      <c r="D74" s="75"/>
      <c r="E74" s="75"/>
      <c r="F74" s="76"/>
      <c r="H74" s="75"/>
      <c r="I74" s="75"/>
      <c r="J74" s="75"/>
      <c r="K74" s="76"/>
      <c r="M74" s="75"/>
      <c r="N74" s="75"/>
      <c r="O74" s="75"/>
      <c r="P74" s="76"/>
      <c r="R74" s="75"/>
      <c r="S74" s="75"/>
      <c r="T74" s="75"/>
      <c r="U74" s="76"/>
      <c r="W74" s="75"/>
      <c r="X74" s="75"/>
      <c r="Y74" s="75"/>
      <c r="Z74" s="76"/>
      <c r="AA74" s="43"/>
      <c r="AB74" s="90">
        <f t="shared" si="0"/>
        <v>80</v>
      </c>
      <c r="AC74" s="90">
        <v>64</v>
      </c>
      <c r="AD74" s="90">
        <v>16</v>
      </c>
      <c r="AE74" s="85"/>
      <c r="AF74" s="91">
        <f t="shared" si="1"/>
        <v>0.25</v>
      </c>
      <c r="AM74" s="84">
        <f t="shared" si="2"/>
        <v>0.25</v>
      </c>
    </row>
    <row r="75" spans="2:39" x14ac:dyDescent="0.25">
      <c r="B75" s="78">
        <v>42826</v>
      </c>
      <c r="C75">
        <v>83</v>
      </c>
      <c r="D75" s="75"/>
      <c r="E75" s="75"/>
      <c r="F75" s="76"/>
      <c r="H75" s="75"/>
      <c r="I75" s="75"/>
      <c r="J75" s="75"/>
      <c r="K75" s="76"/>
      <c r="M75" s="75"/>
      <c r="N75" s="75"/>
      <c r="O75" s="75"/>
      <c r="P75" s="76"/>
      <c r="R75" s="75"/>
      <c r="S75" s="75"/>
      <c r="T75" s="75"/>
      <c r="U75" s="76"/>
      <c r="W75" s="75"/>
      <c r="X75" s="75"/>
      <c r="Y75" s="75"/>
      <c r="Z75" s="76"/>
      <c r="AA75" s="43"/>
      <c r="AB75" s="90">
        <f t="shared" si="0"/>
        <v>83</v>
      </c>
      <c r="AC75" s="89">
        <v>68</v>
      </c>
      <c r="AD75" s="89">
        <v>15</v>
      </c>
      <c r="AE75" s="85"/>
      <c r="AF75" s="91">
        <f t="shared" si="1"/>
        <v>0.22058823529411764</v>
      </c>
      <c r="AM75" s="84">
        <f t="shared" si="2"/>
        <v>0.22058823529411764</v>
      </c>
    </row>
    <row r="76" spans="2:39" x14ac:dyDescent="0.25">
      <c r="B76" s="78">
        <v>42856</v>
      </c>
      <c r="C76">
        <v>90</v>
      </c>
      <c r="D76" s="75"/>
      <c r="E76" s="75"/>
      <c r="F76" s="76"/>
      <c r="H76" s="75"/>
      <c r="I76" s="75"/>
      <c r="J76" s="75"/>
      <c r="K76" s="76"/>
      <c r="M76" s="75"/>
      <c r="N76" s="75"/>
      <c r="O76" s="75"/>
      <c r="P76" s="76"/>
      <c r="R76" s="75"/>
      <c r="S76" s="75"/>
      <c r="T76" s="75"/>
      <c r="U76" s="76"/>
      <c r="W76" s="75"/>
      <c r="X76" s="75"/>
      <c r="Y76" s="75"/>
      <c r="Z76" s="76"/>
      <c r="AA76" s="43"/>
      <c r="AB76" s="90">
        <f t="shared" si="0"/>
        <v>90</v>
      </c>
      <c r="AC76" s="89">
        <v>69</v>
      </c>
      <c r="AD76" s="89">
        <v>21</v>
      </c>
      <c r="AE76" s="85"/>
      <c r="AF76" s="91">
        <f t="shared" si="1"/>
        <v>0.30434782608695654</v>
      </c>
      <c r="AM76" s="84">
        <f t="shared" si="2"/>
        <v>0.30434782608695654</v>
      </c>
    </row>
    <row r="77" spans="2:39" x14ac:dyDescent="0.25">
      <c r="B77" s="78">
        <v>42887</v>
      </c>
      <c r="C77">
        <v>94</v>
      </c>
      <c r="D77" s="75"/>
      <c r="E77" s="75"/>
      <c r="F77" s="76"/>
      <c r="H77" s="75"/>
      <c r="I77" s="75"/>
      <c r="J77" s="75"/>
      <c r="K77" s="76"/>
      <c r="M77" s="75"/>
      <c r="N77" s="75"/>
      <c r="O77" s="75"/>
      <c r="P77" s="76"/>
      <c r="R77" s="75"/>
      <c r="S77" s="75"/>
      <c r="T77" s="75"/>
      <c r="U77" s="76"/>
      <c r="W77" s="75"/>
      <c r="X77" s="75"/>
      <c r="Y77" s="75"/>
      <c r="Z77" s="76"/>
      <c r="AA77" s="43"/>
      <c r="AB77" s="90">
        <f t="shared" si="0"/>
        <v>94</v>
      </c>
      <c r="AC77" s="89">
        <v>72</v>
      </c>
      <c r="AD77" s="89">
        <v>22</v>
      </c>
      <c r="AE77" s="85"/>
      <c r="AF77" s="91">
        <f t="shared" si="1"/>
        <v>0.30555555555555558</v>
      </c>
      <c r="AM77" s="84">
        <f t="shared" si="2"/>
        <v>0.30555555555555558</v>
      </c>
    </row>
    <row r="78" spans="2:39" x14ac:dyDescent="0.25">
      <c r="B78" s="78">
        <v>42917</v>
      </c>
      <c r="C78">
        <v>98</v>
      </c>
      <c r="D78" s="75"/>
      <c r="E78" s="75"/>
      <c r="F78" s="76"/>
      <c r="H78" s="75"/>
      <c r="I78" s="75"/>
      <c r="J78" s="75"/>
      <c r="K78" s="76"/>
      <c r="M78" s="75"/>
      <c r="N78" s="75"/>
      <c r="O78" s="75"/>
      <c r="P78" s="76"/>
      <c r="R78" s="75"/>
      <c r="S78" s="75"/>
      <c r="T78" s="75"/>
      <c r="U78" s="76"/>
      <c r="W78" s="75"/>
      <c r="X78" s="75"/>
      <c r="Y78" s="75"/>
      <c r="Z78" s="76"/>
      <c r="AA78" s="43"/>
      <c r="AB78" s="90">
        <f t="shared" si="0"/>
        <v>98</v>
      </c>
      <c r="AC78" s="89">
        <v>77</v>
      </c>
      <c r="AD78" s="89">
        <v>21</v>
      </c>
      <c r="AE78" s="85"/>
      <c r="AF78" s="91">
        <f t="shared" si="1"/>
        <v>0.27272727272727271</v>
      </c>
      <c r="AM78" s="84">
        <f t="shared" si="2"/>
        <v>0.27272727272727271</v>
      </c>
    </row>
    <row r="79" spans="2:39" x14ac:dyDescent="0.25">
      <c r="B79" s="78">
        <v>42948</v>
      </c>
      <c r="C79">
        <v>101</v>
      </c>
      <c r="D79" s="75"/>
      <c r="E79" s="75"/>
      <c r="F79" s="76"/>
      <c r="H79" s="75"/>
      <c r="I79" s="75"/>
      <c r="J79" s="75"/>
      <c r="K79" s="76"/>
      <c r="M79" s="75"/>
      <c r="N79" s="75"/>
      <c r="O79" s="75"/>
      <c r="P79" s="76"/>
      <c r="R79" s="75"/>
      <c r="S79" s="75"/>
      <c r="T79" s="75"/>
      <c r="U79" s="76"/>
      <c r="W79" s="75"/>
      <c r="X79" s="75"/>
      <c r="Y79" s="75"/>
      <c r="Z79" s="76"/>
      <c r="AA79" s="43"/>
      <c r="AB79" s="90">
        <f t="shared" si="0"/>
        <v>105</v>
      </c>
      <c r="AC79" s="89">
        <v>76</v>
      </c>
      <c r="AD79" s="89">
        <v>29</v>
      </c>
      <c r="AE79" s="85"/>
      <c r="AF79" s="91">
        <f t="shared" si="1"/>
        <v>0.38157894736842107</v>
      </c>
      <c r="AM79" s="84">
        <f t="shared" si="2"/>
        <v>0.38157894736842107</v>
      </c>
    </row>
    <row r="80" spans="2:39" x14ac:dyDescent="0.25">
      <c r="B80" s="78">
        <v>42979</v>
      </c>
      <c r="C80">
        <v>103</v>
      </c>
      <c r="D80" s="75"/>
      <c r="E80" s="75"/>
      <c r="F80" s="76"/>
      <c r="H80" s="75"/>
      <c r="I80" s="75"/>
      <c r="J80" s="75"/>
      <c r="K80" s="76"/>
      <c r="M80" s="75"/>
      <c r="N80" s="75"/>
      <c r="O80" s="75"/>
      <c r="P80" s="76"/>
      <c r="R80" s="75"/>
      <c r="S80" s="75"/>
      <c r="T80" s="75"/>
      <c r="U80" s="76"/>
      <c r="W80" s="75"/>
      <c r="X80" s="75"/>
      <c r="Y80" s="75"/>
      <c r="Z80" s="76"/>
      <c r="AA80" s="43"/>
      <c r="AB80" s="90">
        <f t="shared" si="0"/>
        <v>103</v>
      </c>
      <c r="AC80" s="89">
        <v>74</v>
      </c>
      <c r="AD80" s="89">
        <v>29</v>
      </c>
      <c r="AE80" s="85"/>
      <c r="AF80" s="91">
        <f t="shared" si="1"/>
        <v>0.39189189189189189</v>
      </c>
      <c r="AM80" s="84">
        <f t="shared" si="2"/>
        <v>0.39189189189189189</v>
      </c>
    </row>
    <row r="81" spans="2:49" x14ac:dyDescent="0.25">
      <c r="B81" s="78">
        <v>43009</v>
      </c>
      <c r="C81">
        <v>103</v>
      </c>
      <c r="D81" s="75"/>
      <c r="E81" s="75"/>
      <c r="F81" s="76"/>
      <c r="H81" s="75"/>
      <c r="I81" s="75"/>
      <c r="J81" s="75"/>
      <c r="K81" s="76"/>
      <c r="M81" s="75"/>
      <c r="N81" s="75"/>
      <c r="O81" s="75"/>
      <c r="P81" s="76"/>
      <c r="R81" s="75"/>
      <c r="S81" s="75"/>
      <c r="T81" s="75"/>
      <c r="U81" s="76"/>
      <c r="W81" s="75"/>
      <c r="X81" s="75"/>
      <c r="Y81" s="75"/>
      <c r="Z81" s="76"/>
      <c r="AA81" s="43"/>
      <c r="AB81" s="90">
        <f t="shared" si="0"/>
        <v>103</v>
      </c>
      <c r="AC81" s="89">
        <v>74</v>
      </c>
      <c r="AD81" s="89">
        <v>29</v>
      </c>
      <c r="AE81" s="85"/>
      <c r="AF81" s="91">
        <f t="shared" si="1"/>
        <v>0.39189189189189189</v>
      </c>
      <c r="AM81" s="84">
        <f t="shared" si="2"/>
        <v>0.39189189189189189</v>
      </c>
    </row>
    <row r="82" spans="2:49" x14ac:dyDescent="0.25">
      <c r="B82" s="78">
        <v>43040</v>
      </c>
      <c r="C82">
        <v>107</v>
      </c>
      <c r="D82" s="75"/>
      <c r="E82" s="75"/>
      <c r="F82" s="76"/>
      <c r="H82" s="75"/>
      <c r="I82" s="75"/>
      <c r="J82" s="75"/>
      <c r="K82" s="76"/>
      <c r="M82" s="75"/>
      <c r="N82" s="75"/>
      <c r="O82" s="75"/>
      <c r="P82" s="76"/>
      <c r="R82" s="75"/>
      <c r="S82" s="75"/>
      <c r="T82" s="75"/>
      <c r="U82" s="76"/>
      <c r="W82" s="75"/>
      <c r="X82" s="75"/>
      <c r="Y82" s="75"/>
      <c r="Z82" s="76"/>
      <c r="AA82" s="43"/>
      <c r="AB82" s="90">
        <f t="shared" si="0"/>
        <v>107</v>
      </c>
      <c r="AC82" s="89">
        <v>78</v>
      </c>
      <c r="AD82" s="89">
        <v>29</v>
      </c>
      <c r="AE82" s="85"/>
      <c r="AF82" s="91">
        <f t="shared" si="1"/>
        <v>0.37179487179487181</v>
      </c>
      <c r="AM82" s="84">
        <f t="shared" si="2"/>
        <v>0.37179487179487181</v>
      </c>
    </row>
    <row r="83" spans="2:49" x14ac:dyDescent="0.25">
      <c r="B83" s="78">
        <v>43070</v>
      </c>
      <c r="C83">
        <v>107</v>
      </c>
      <c r="D83" s="75"/>
      <c r="E83" s="75"/>
      <c r="F83" s="76"/>
      <c r="H83" s="75"/>
      <c r="I83" s="75"/>
      <c r="J83" s="75"/>
      <c r="K83" s="76"/>
      <c r="M83" s="75"/>
      <c r="N83" s="75"/>
      <c r="O83" s="75"/>
      <c r="P83" s="76"/>
      <c r="R83" s="75"/>
      <c r="S83" s="75"/>
      <c r="T83" s="75"/>
      <c r="U83" s="76"/>
      <c r="W83" s="75"/>
      <c r="X83" s="75"/>
      <c r="Y83" s="75"/>
      <c r="Z83" s="76"/>
      <c r="AA83" s="43"/>
      <c r="AB83" s="90">
        <f t="shared" si="0"/>
        <v>107</v>
      </c>
      <c r="AC83" s="89">
        <v>78</v>
      </c>
      <c r="AD83" s="89">
        <v>29</v>
      </c>
      <c r="AE83" s="85"/>
      <c r="AF83" s="91">
        <f t="shared" si="1"/>
        <v>0.37179487179487181</v>
      </c>
      <c r="AM83" s="84">
        <f t="shared" si="2"/>
        <v>0.37179487179487181</v>
      </c>
    </row>
    <row r="84" spans="2:49" x14ac:dyDescent="0.25">
      <c r="B84" s="78">
        <v>43101</v>
      </c>
      <c r="C84">
        <v>106</v>
      </c>
      <c r="D84" s="75"/>
      <c r="E84" s="75"/>
      <c r="F84" s="76"/>
      <c r="H84" s="75"/>
      <c r="I84" s="75"/>
      <c r="J84" s="75"/>
      <c r="K84" s="76"/>
      <c r="M84" s="75"/>
      <c r="N84" s="75"/>
      <c r="O84" s="75"/>
      <c r="P84" s="76"/>
      <c r="R84" s="75"/>
      <c r="S84" s="75"/>
      <c r="T84" s="75"/>
      <c r="U84" s="76"/>
      <c r="W84" s="75"/>
      <c r="X84" s="75"/>
      <c r="Y84" s="75"/>
      <c r="Z84" s="76"/>
      <c r="AA84" s="43"/>
      <c r="AB84" s="90">
        <f t="shared" si="0"/>
        <v>106</v>
      </c>
      <c r="AC84" s="89">
        <v>79</v>
      </c>
      <c r="AD84" s="89">
        <v>27</v>
      </c>
      <c r="AE84" s="85"/>
      <c r="AF84" s="91">
        <f t="shared" si="1"/>
        <v>0.34177215189873417</v>
      </c>
      <c r="AM84" s="84">
        <f>AD84/AC84</f>
        <v>0.34177215189873417</v>
      </c>
    </row>
    <row r="85" spans="2:49" x14ac:dyDescent="0.25">
      <c r="B85" s="78">
        <v>43132</v>
      </c>
      <c r="C85">
        <v>112</v>
      </c>
      <c r="D85" s="75"/>
      <c r="E85" s="75"/>
      <c r="F85" s="76"/>
      <c r="H85" s="75"/>
      <c r="I85" s="75"/>
      <c r="J85" s="75"/>
      <c r="K85" s="76"/>
      <c r="M85" s="75"/>
      <c r="N85" s="75"/>
      <c r="O85" s="75"/>
      <c r="P85" s="76"/>
      <c r="R85" s="75"/>
      <c r="S85" s="75"/>
      <c r="T85" s="75"/>
      <c r="U85" s="76"/>
      <c r="W85" s="75"/>
      <c r="X85" s="75"/>
      <c r="Y85" s="75"/>
      <c r="Z85" s="76"/>
      <c r="AA85" s="43"/>
      <c r="AB85" s="90">
        <f t="shared" si="0"/>
        <v>102</v>
      </c>
      <c r="AC85" s="89">
        <v>78</v>
      </c>
      <c r="AD85" s="89">
        <v>24</v>
      </c>
      <c r="AE85" s="85"/>
      <c r="AF85" s="91">
        <f t="shared" si="1"/>
        <v>0.30769230769230771</v>
      </c>
      <c r="AM85" s="84">
        <f t="shared" si="2"/>
        <v>0.30769230769230771</v>
      </c>
    </row>
    <row r="86" spans="2:49" x14ac:dyDescent="0.25">
      <c r="B86" s="78">
        <v>43160</v>
      </c>
      <c r="C86">
        <v>114</v>
      </c>
      <c r="D86" s="75"/>
      <c r="E86" s="75"/>
      <c r="F86" s="76"/>
      <c r="H86" s="75"/>
      <c r="I86" s="75"/>
      <c r="J86" s="75"/>
      <c r="K86" s="76"/>
      <c r="M86" s="75"/>
      <c r="N86" s="75"/>
      <c r="O86" s="75"/>
      <c r="P86" s="76"/>
      <c r="R86" s="75"/>
      <c r="S86" s="75"/>
      <c r="T86" s="75"/>
      <c r="U86" s="76"/>
      <c r="W86" s="75"/>
      <c r="X86" s="75"/>
      <c r="Y86" s="75"/>
      <c r="Z86" s="76"/>
      <c r="AA86" s="43"/>
      <c r="AB86" s="90">
        <f t="shared" si="0"/>
        <v>100</v>
      </c>
      <c r="AC86" s="89">
        <v>77</v>
      </c>
      <c r="AD86" s="89">
        <v>23</v>
      </c>
      <c r="AE86" s="85"/>
      <c r="AF86" s="91">
        <f t="shared" si="1"/>
        <v>0.29870129870129869</v>
      </c>
      <c r="AM86" s="84">
        <f t="shared" si="2"/>
        <v>0.29870129870129869</v>
      </c>
    </row>
    <row r="87" spans="2:49" x14ac:dyDescent="0.25">
      <c r="B87" s="78">
        <v>43191</v>
      </c>
      <c r="C87">
        <v>115</v>
      </c>
      <c r="D87" s="75"/>
      <c r="E87" s="75"/>
      <c r="F87" s="76"/>
      <c r="H87" s="75"/>
      <c r="I87" s="75"/>
      <c r="J87" s="75"/>
      <c r="K87" s="76"/>
      <c r="M87" s="75"/>
      <c r="N87" s="75"/>
      <c r="O87" s="75"/>
      <c r="P87" s="76"/>
      <c r="R87" s="75"/>
      <c r="S87" s="75"/>
      <c r="T87" s="75"/>
      <c r="U87" s="76"/>
      <c r="W87" s="75"/>
      <c r="X87" s="75"/>
      <c r="Y87" s="75"/>
      <c r="Z87" s="76"/>
      <c r="AA87" s="43"/>
      <c r="AB87" s="90">
        <f t="shared" si="0"/>
        <v>103</v>
      </c>
      <c r="AC87" s="90">
        <v>77</v>
      </c>
      <c r="AD87" s="90">
        <v>26</v>
      </c>
      <c r="AE87" s="85"/>
      <c r="AF87" s="91">
        <f t="shared" si="1"/>
        <v>0.33766233766233766</v>
      </c>
      <c r="AM87" s="84">
        <f t="shared" si="2"/>
        <v>0.33766233766233766</v>
      </c>
    </row>
    <row r="88" spans="2:49" x14ac:dyDescent="0.25">
      <c r="B88" s="78">
        <v>43221</v>
      </c>
      <c r="C88" s="77">
        <v>122</v>
      </c>
      <c r="D88" s="77">
        <f t="shared" ref="D88:D107" si="3">SUM(I88,N88,X88,S88)</f>
        <v>76</v>
      </c>
      <c r="E88" s="77">
        <v>38</v>
      </c>
      <c r="F88" s="77">
        <v>9</v>
      </c>
      <c r="H88" s="77">
        <v>13</v>
      </c>
      <c r="I88" s="77">
        <v>0</v>
      </c>
      <c r="J88" s="77">
        <v>13</v>
      </c>
      <c r="K88" s="77">
        <v>0</v>
      </c>
      <c r="M88" s="77">
        <v>43</v>
      </c>
      <c r="N88" s="77">
        <v>28</v>
      </c>
      <c r="O88" s="77">
        <v>11</v>
      </c>
      <c r="P88" s="77">
        <v>3</v>
      </c>
      <c r="R88" s="77">
        <v>66</v>
      </c>
      <c r="S88" s="77">
        <v>48</v>
      </c>
      <c r="T88" s="77">
        <v>14</v>
      </c>
      <c r="U88" s="77">
        <v>6</v>
      </c>
      <c r="W88" s="77"/>
      <c r="X88" s="77"/>
      <c r="Y88" s="77"/>
      <c r="Z88" s="77"/>
      <c r="AA88" s="88"/>
      <c r="AB88" s="86">
        <f>SUM(AC88:AE88)</f>
        <v>110</v>
      </c>
      <c r="AC88" s="86">
        <f>SUM(S88,N88,X88)</f>
        <v>76</v>
      </c>
      <c r="AD88" s="86">
        <f>SUM(Y88,T88,O88)</f>
        <v>25</v>
      </c>
      <c r="AE88" s="86">
        <f>SUM(U88,P88,Z88)</f>
        <v>9</v>
      </c>
      <c r="AF88" s="91">
        <f t="shared" si="1"/>
        <v>0.32894736842105265</v>
      </c>
      <c r="AH88" s="84">
        <f>J88/C88</f>
        <v>0.10655737704918032</v>
      </c>
      <c r="AI88" s="84">
        <f t="shared" ref="AI88:AI93" si="4">SUM(U88+P88+Z88)/D88</f>
        <v>0.11842105263157894</v>
      </c>
      <c r="AJ88" s="84">
        <f>SUM(Y88+T88+O88)/D88</f>
        <v>0.32894736842105265</v>
      </c>
      <c r="AK88" s="84">
        <f>T88/S88</f>
        <v>0.29166666666666669</v>
      </c>
      <c r="AL88" s="84">
        <f>O88/N88</f>
        <v>0.39285714285714285</v>
      </c>
      <c r="AM88" s="84">
        <f t="shared" si="2"/>
        <v>0.32894736842105265</v>
      </c>
      <c r="AO88" s="84">
        <f>SUM(E88:F88)/C88</f>
        <v>0.38524590163934425</v>
      </c>
      <c r="AP88" s="84">
        <f>J88/C88</f>
        <v>0.10655737704918032</v>
      </c>
      <c r="AQ88" s="84">
        <f>SUM(U88,P88)/C88</f>
        <v>7.3770491803278687E-2</v>
      </c>
      <c r="AR88" s="84">
        <f>SUM(O88:P88)/C88</f>
        <v>0.11475409836065574</v>
      </c>
      <c r="AS88" s="84">
        <f>SUM(T88:U88,Y88:Z88)/C88</f>
        <v>0.16393442622950818</v>
      </c>
      <c r="AU88" s="84">
        <f>J88/H88</f>
        <v>1</v>
      </c>
      <c r="AV88" s="84">
        <f>SUM(O88:P88)/M88</f>
        <v>0.32558139534883723</v>
      </c>
      <c r="AW88" s="84">
        <f>SUM(Y88:Z88,T88:U88)/SUM(W88,R88)</f>
        <v>0.30303030303030304</v>
      </c>
    </row>
    <row r="89" spans="2:49" x14ac:dyDescent="0.25">
      <c r="B89" s="78">
        <v>43252</v>
      </c>
      <c r="C89" s="77">
        <v>121</v>
      </c>
      <c r="D89" s="77">
        <f t="shared" si="3"/>
        <v>76</v>
      </c>
      <c r="E89" s="77">
        <v>37</v>
      </c>
      <c r="F89" s="77">
        <v>8</v>
      </c>
      <c r="H89" s="77">
        <v>13</v>
      </c>
      <c r="I89" s="77">
        <v>0</v>
      </c>
      <c r="J89" s="77">
        <v>13</v>
      </c>
      <c r="K89" s="77">
        <v>0</v>
      </c>
      <c r="M89" s="77">
        <v>39</v>
      </c>
      <c r="N89" s="77">
        <v>25</v>
      </c>
      <c r="O89" s="77">
        <v>11</v>
      </c>
      <c r="P89" s="77">
        <v>3</v>
      </c>
      <c r="R89" s="77">
        <v>69</v>
      </c>
      <c r="S89" s="77">
        <v>51</v>
      </c>
      <c r="T89" s="77">
        <v>13</v>
      </c>
      <c r="U89" s="77">
        <v>5</v>
      </c>
      <c r="W89" s="77"/>
      <c r="X89" s="77"/>
      <c r="Y89" s="77"/>
      <c r="Z89" s="77"/>
      <c r="AA89" s="88"/>
      <c r="AB89" s="86">
        <f t="shared" ref="AB89:AB108" si="5">SUM(AC89:AE89)</f>
        <v>108</v>
      </c>
      <c r="AC89" s="86">
        <f t="shared" ref="AC89:AC108" si="6">SUM(S89,N89,X89)</f>
        <v>76</v>
      </c>
      <c r="AD89" s="86">
        <f t="shared" ref="AD89:AD108" si="7">SUM(Y89,T89,O89)</f>
        <v>24</v>
      </c>
      <c r="AE89" s="86">
        <f t="shared" ref="AE89:AE108" si="8">SUM(U89,P89,Z89)</f>
        <v>8</v>
      </c>
      <c r="AF89" s="91">
        <f t="shared" si="1"/>
        <v>0.31578947368421051</v>
      </c>
      <c r="AH89" s="84">
        <f>J89/C89</f>
        <v>0.10743801652892562</v>
      </c>
      <c r="AI89" s="84">
        <f t="shared" si="4"/>
        <v>0.10526315789473684</v>
      </c>
      <c r="AJ89" s="84">
        <f t="shared" ref="AJ89:AJ108" si="9">SUM(Y89+T89+O89)/D89</f>
        <v>0.31578947368421051</v>
      </c>
      <c r="AK89" s="84">
        <f t="shared" ref="AK89:AK108" si="10">T89/S89</f>
        <v>0.25490196078431371</v>
      </c>
      <c r="AL89" s="84">
        <f t="shared" ref="AL89:AL108" si="11">O89/N89</f>
        <v>0.44</v>
      </c>
      <c r="AM89" s="84">
        <f t="shared" si="2"/>
        <v>0.31578947368421051</v>
      </c>
      <c r="AO89" s="84">
        <f t="shared" ref="AO89:AO108" si="12">SUM(E89:F89)/C89</f>
        <v>0.37190082644628097</v>
      </c>
      <c r="AP89" s="84">
        <f t="shared" ref="AP89:AP107" si="13">J89/C89</f>
        <v>0.10743801652892562</v>
      </c>
      <c r="AQ89" s="84">
        <f t="shared" ref="AQ89:AQ107" si="14">SUM(U89,P89)/C89</f>
        <v>6.6115702479338845E-2</v>
      </c>
      <c r="AR89" s="84">
        <f t="shared" ref="AR89:AR108" si="15">SUM(O89:P89)/C89</f>
        <v>0.11570247933884298</v>
      </c>
      <c r="AS89" s="84">
        <f t="shared" ref="AS89:AS108" si="16">SUM(T89:U89,Y89:Z89)/C89</f>
        <v>0.1487603305785124</v>
      </c>
      <c r="AU89" s="84">
        <f t="shared" ref="AU89:AU108" si="17">J89/H89</f>
        <v>1</v>
      </c>
      <c r="AV89" s="84">
        <f t="shared" ref="AV89:AV108" si="18">SUM(O89:P89)/M89</f>
        <v>0.35897435897435898</v>
      </c>
      <c r="AW89" s="84">
        <f t="shared" ref="AW89:AW108" si="19">SUM(Y89:Z89,T89:U89)/SUM(W89,R89)</f>
        <v>0.2608695652173913</v>
      </c>
    </row>
    <row r="90" spans="2:49" x14ac:dyDescent="0.25">
      <c r="B90" s="78">
        <v>43282</v>
      </c>
      <c r="C90" s="77">
        <v>121</v>
      </c>
      <c r="D90" s="77">
        <f t="shared" si="3"/>
        <v>77</v>
      </c>
      <c r="E90" s="77">
        <v>36</v>
      </c>
      <c r="F90" s="77">
        <v>8</v>
      </c>
      <c r="H90" s="77">
        <v>13</v>
      </c>
      <c r="I90" s="77">
        <v>0</v>
      </c>
      <c r="J90" s="77">
        <v>13</v>
      </c>
      <c r="K90" s="77">
        <v>0</v>
      </c>
      <c r="M90" s="77">
        <v>40</v>
      </c>
      <c r="N90" s="77">
        <v>27</v>
      </c>
      <c r="O90" s="77">
        <v>10</v>
      </c>
      <c r="P90" s="77">
        <v>3</v>
      </c>
      <c r="R90" s="77">
        <v>68</v>
      </c>
      <c r="S90" s="77">
        <v>50</v>
      </c>
      <c r="T90" s="77">
        <v>13</v>
      </c>
      <c r="U90" s="77">
        <v>5</v>
      </c>
      <c r="W90" s="77"/>
      <c r="X90" s="77"/>
      <c r="Y90" s="77"/>
      <c r="Z90" s="77"/>
      <c r="AA90" s="88"/>
      <c r="AB90" s="86">
        <f t="shared" si="5"/>
        <v>108</v>
      </c>
      <c r="AC90" s="86">
        <f t="shared" si="6"/>
        <v>77</v>
      </c>
      <c r="AD90" s="86">
        <f t="shared" si="7"/>
        <v>23</v>
      </c>
      <c r="AE90" s="86">
        <f t="shared" si="8"/>
        <v>8</v>
      </c>
      <c r="AF90" s="91">
        <f t="shared" si="1"/>
        <v>0.29870129870129869</v>
      </c>
      <c r="AH90" s="84">
        <f>J90/C90</f>
        <v>0.10743801652892562</v>
      </c>
      <c r="AI90" s="84">
        <f t="shared" si="4"/>
        <v>0.1038961038961039</v>
      </c>
      <c r="AJ90" s="84">
        <f t="shared" si="9"/>
        <v>0.29870129870129869</v>
      </c>
      <c r="AK90" s="84">
        <f t="shared" si="10"/>
        <v>0.26</v>
      </c>
      <c r="AL90" s="84">
        <f t="shared" si="11"/>
        <v>0.37037037037037035</v>
      </c>
      <c r="AM90" s="84">
        <f t="shared" si="2"/>
        <v>0.29870129870129869</v>
      </c>
      <c r="AO90" s="84">
        <f t="shared" si="12"/>
        <v>0.36363636363636365</v>
      </c>
      <c r="AP90" s="84">
        <f t="shared" si="13"/>
        <v>0.10743801652892562</v>
      </c>
      <c r="AQ90" s="84">
        <f t="shared" si="14"/>
        <v>6.6115702479338845E-2</v>
      </c>
      <c r="AR90" s="84">
        <f t="shared" si="15"/>
        <v>0.10743801652892562</v>
      </c>
      <c r="AS90" s="84">
        <f t="shared" si="16"/>
        <v>0.1487603305785124</v>
      </c>
      <c r="AU90" s="84">
        <f t="shared" si="17"/>
        <v>1</v>
      </c>
      <c r="AV90" s="84">
        <f t="shared" si="18"/>
        <v>0.32500000000000001</v>
      </c>
      <c r="AW90" s="84">
        <f t="shared" si="19"/>
        <v>0.26470588235294118</v>
      </c>
    </row>
    <row r="91" spans="2:49" x14ac:dyDescent="0.25">
      <c r="B91" s="78">
        <v>43313</v>
      </c>
      <c r="C91" s="77">
        <v>126</v>
      </c>
      <c r="D91" s="77">
        <f t="shared" si="3"/>
        <v>83</v>
      </c>
      <c r="E91" s="77">
        <v>34</v>
      </c>
      <c r="F91" s="77">
        <v>9</v>
      </c>
      <c r="H91" s="77">
        <v>13</v>
      </c>
      <c r="I91" s="77">
        <v>0</v>
      </c>
      <c r="J91" s="77">
        <v>13</v>
      </c>
      <c r="K91" s="77">
        <v>0</v>
      </c>
      <c r="M91" s="77">
        <v>41</v>
      </c>
      <c r="N91" s="77">
        <v>28</v>
      </c>
      <c r="O91" s="77">
        <v>10</v>
      </c>
      <c r="P91" s="77">
        <v>3</v>
      </c>
      <c r="R91" s="77">
        <v>72</v>
      </c>
      <c r="S91" s="77">
        <v>55</v>
      </c>
      <c r="T91" s="77">
        <v>11</v>
      </c>
      <c r="U91" s="77">
        <v>6</v>
      </c>
      <c r="W91" s="77"/>
      <c r="X91" s="77"/>
      <c r="Y91" s="77"/>
      <c r="Z91" s="77"/>
      <c r="AA91" s="88"/>
      <c r="AB91" s="86">
        <f t="shared" si="5"/>
        <v>113</v>
      </c>
      <c r="AC91" s="86">
        <f t="shared" si="6"/>
        <v>83</v>
      </c>
      <c r="AD91" s="86">
        <f t="shared" si="7"/>
        <v>21</v>
      </c>
      <c r="AE91" s="86">
        <f t="shared" si="8"/>
        <v>9</v>
      </c>
      <c r="AF91" s="91">
        <f t="shared" si="1"/>
        <v>0.25301204819277107</v>
      </c>
      <c r="AH91" s="84">
        <f>J91/C91</f>
        <v>0.10317460317460317</v>
      </c>
      <c r="AI91" s="84">
        <f t="shared" si="4"/>
        <v>0.10843373493975904</v>
      </c>
      <c r="AJ91" s="84">
        <f t="shared" si="9"/>
        <v>0.25301204819277107</v>
      </c>
      <c r="AK91" s="84">
        <f t="shared" si="10"/>
        <v>0.2</v>
      </c>
      <c r="AL91" s="84">
        <f t="shared" si="11"/>
        <v>0.35714285714285715</v>
      </c>
      <c r="AM91" s="84">
        <f t="shared" si="2"/>
        <v>0.25301204819277107</v>
      </c>
      <c r="AO91" s="84">
        <f t="shared" si="12"/>
        <v>0.34126984126984128</v>
      </c>
      <c r="AP91" s="84">
        <f t="shared" si="13"/>
        <v>0.10317460317460317</v>
      </c>
      <c r="AQ91" s="84">
        <f t="shared" si="14"/>
        <v>7.1428571428571425E-2</v>
      </c>
      <c r="AR91" s="84">
        <f t="shared" si="15"/>
        <v>0.10317460317460317</v>
      </c>
      <c r="AS91" s="84">
        <f t="shared" si="16"/>
        <v>0.13492063492063491</v>
      </c>
      <c r="AU91" s="84">
        <f t="shared" si="17"/>
        <v>1</v>
      </c>
      <c r="AV91" s="84">
        <f t="shared" si="18"/>
        <v>0.31707317073170732</v>
      </c>
      <c r="AW91" s="84">
        <f t="shared" si="19"/>
        <v>0.2361111111111111</v>
      </c>
    </row>
    <row r="92" spans="2:49" x14ac:dyDescent="0.25">
      <c r="B92" s="78">
        <v>43344</v>
      </c>
      <c r="C92" s="77">
        <v>128</v>
      </c>
      <c r="D92" s="77">
        <f t="shared" si="3"/>
        <v>85</v>
      </c>
      <c r="E92" s="77">
        <v>36</v>
      </c>
      <c r="F92" s="77">
        <v>7</v>
      </c>
      <c r="H92" s="77">
        <v>14</v>
      </c>
      <c r="I92" s="77">
        <v>0</v>
      </c>
      <c r="J92" s="77">
        <v>14</v>
      </c>
      <c r="K92" s="77">
        <v>0</v>
      </c>
      <c r="M92" s="77">
        <v>41</v>
      </c>
      <c r="N92" s="77">
        <v>28</v>
      </c>
      <c r="O92" s="77">
        <v>10</v>
      </c>
      <c r="P92" s="77">
        <v>3</v>
      </c>
      <c r="R92" s="77">
        <v>73</v>
      </c>
      <c r="S92" s="77">
        <v>57</v>
      </c>
      <c r="T92" s="77">
        <v>12</v>
      </c>
      <c r="U92" s="77">
        <v>4</v>
      </c>
      <c r="W92" s="77"/>
      <c r="X92" s="77"/>
      <c r="Y92" s="77"/>
      <c r="Z92" s="77"/>
      <c r="AA92" s="88"/>
      <c r="AB92" s="86">
        <f t="shared" si="5"/>
        <v>114</v>
      </c>
      <c r="AC92" s="86">
        <f t="shared" si="6"/>
        <v>85</v>
      </c>
      <c r="AD92" s="86">
        <f t="shared" si="7"/>
        <v>22</v>
      </c>
      <c r="AE92" s="86">
        <f t="shared" si="8"/>
        <v>7</v>
      </c>
      <c r="AF92" s="91">
        <f t="shared" si="1"/>
        <v>0.25882352941176473</v>
      </c>
      <c r="AH92" s="84">
        <f>J92/C92</f>
        <v>0.109375</v>
      </c>
      <c r="AI92" s="84">
        <f t="shared" si="4"/>
        <v>8.2352941176470587E-2</v>
      </c>
      <c r="AJ92" s="84">
        <f t="shared" si="9"/>
        <v>0.25882352941176473</v>
      </c>
      <c r="AK92" s="84">
        <f t="shared" si="10"/>
        <v>0.21052631578947367</v>
      </c>
      <c r="AL92" s="84">
        <f t="shared" si="11"/>
        <v>0.35714285714285715</v>
      </c>
      <c r="AM92" s="84">
        <f t="shared" si="2"/>
        <v>0.25882352941176473</v>
      </c>
      <c r="AO92" s="84">
        <f t="shared" si="12"/>
        <v>0.3359375</v>
      </c>
      <c r="AP92" s="84">
        <f t="shared" si="13"/>
        <v>0.109375</v>
      </c>
      <c r="AQ92" s="84">
        <f t="shared" si="14"/>
        <v>5.46875E-2</v>
      </c>
      <c r="AR92" s="84">
        <f t="shared" si="15"/>
        <v>0.1015625</v>
      </c>
      <c r="AS92" s="84">
        <f t="shared" si="16"/>
        <v>0.125</v>
      </c>
      <c r="AU92" s="84">
        <f t="shared" si="17"/>
        <v>1</v>
      </c>
      <c r="AV92" s="84">
        <f t="shared" si="18"/>
        <v>0.31707317073170732</v>
      </c>
      <c r="AW92" s="84">
        <f t="shared" si="19"/>
        <v>0.21917808219178081</v>
      </c>
    </row>
    <row r="93" spans="2:49" x14ac:dyDescent="0.25">
      <c r="B93" s="78">
        <v>43374</v>
      </c>
      <c r="C93" s="77">
        <v>127</v>
      </c>
      <c r="D93" s="77">
        <f t="shared" si="3"/>
        <v>83</v>
      </c>
      <c r="E93" s="77">
        <v>36</v>
      </c>
      <c r="F93" s="77">
        <v>8</v>
      </c>
      <c r="H93" s="77">
        <v>14</v>
      </c>
      <c r="I93" s="77">
        <v>0</v>
      </c>
      <c r="J93" s="77">
        <v>14</v>
      </c>
      <c r="K93" s="77">
        <v>0</v>
      </c>
      <c r="M93" s="77">
        <v>41</v>
      </c>
      <c r="N93" s="77">
        <v>28</v>
      </c>
      <c r="O93" s="77">
        <v>10</v>
      </c>
      <c r="P93" s="77">
        <v>3</v>
      </c>
      <c r="R93" s="77">
        <v>72</v>
      </c>
      <c r="S93" s="77">
        <v>55</v>
      </c>
      <c r="T93" s="77">
        <v>12</v>
      </c>
      <c r="U93" s="77">
        <v>5</v>
      </c>
      <c r="W93" s="77"/>
      <c r="X93" s="77"/>
      <c r="Y93" s="77"/>
      <c r="Z93" s="77"/>
      <c r="AA93" s="88"/>
      <c r="AB93" s="86">
        <f t="shared" si="5"/>
        <v>113</v>
      </c>
      <c r="AC93" s="86">
        <f t="shared" si="6"/>
        <v>83</v>
      </c>
      <c r="AD93" s="86">
        <f t="shared" si="7"/>
        <v>22</v>
      </c>
      <c r="AE93" s="86">
        <f t="shared" si="8"/>
        <v>8</v>
      </c>
      <c r="AF93" s="91">
        <f t="shared" si="1"/>
        <v>0.26506024096385544</v>
      </c>
      <c r="AH93" s="84">
        <f>J93/D93</f>
        <v>0.16867469879518071</v>
      </c>
      <c r="AI93" s="84">
        <f t="shared" si="4"/>
        <v>9.6385542168674704E-2</v>
      </c>
      <c r="AJ93" s="84">
        <f>SUM(Y93+T93+O93)/D93</f>
        <v>0.26506024096385544</v>
      </c>
      <c r="AK93" s="84">
        <f t="shared" si="10"/>
        <v>0.21818181818181817</v>
      </c>
      <c r="AL93" s="84">
        <f t="shared" si="11"/>
        <v>0.35714285714285715</v>
      </c>
      <c r="AM93" s="84">
        <f t="shared" si="2"/>
        <v>0.26506024096385544</v>
      </c>
      <c r="AO93" s="84">
        <f t="shared" si="12"/>
        <v>0.34645669291338582</v>
      </c>
      <c r="AP93" s="84">
        <f t="shared" si="13"/>
        <v>0.11023622047244094</v>
      </c>
      <c r="AQ93" s="84">
        <f t="shared" si="14"/>
        <v>6.2992125984251968E-2</v>
      </c>
      <c r="AR93" s="84">
        <f t="shared" si="15"/>
        <v>0.10236220472440945</v>
      </c>
      <c r="AS93" s="84">
        <f t="shared" si="16"/>
        <v>0.13385826771653545</v>
      </c>
      <c r="AU93" s="84">
        <f t="shared" si="17"/>
        <v>1</v>
      </c>
      <c r="AV93" s="84">
        <f t="shared" si="18"/>
        <v>0.31707317073170732</v>
      </c>
      <c r="AW93" s="84">
        <f t="shared" si="19"/>
        <v>0.2361111111111111</v>
      </c>
    </row>
    <row r="94" spans="2:49" x14ac:dyDescent="0.25">
      <c r="B94" s="78">
        <v>43405</v>
      </c>
      <c r="C94" s="77">
        <v>129</v>
      </c>
      <c r="D94" s="77">
        <f t="shared" si="3"/>
        <v>88</v>
      </c>
      <c r="E94" s="77">
        <v>38</v>
      </c>
      <c r="F94" s="77">
        <v>7</v>
      </c>
      <c r="H94" s="77">
        <v>15</v>
      </c>
      <c r="I94" s="77">
        <v>0</v>
      </c>
      <c r="J94" s="77">
        <v>15</v>
      </c>
      <c r="K94" s="77">
        <v>0</v>
      </c>
      <c r="M94" s="77">
        <v>41</v>
      </c>
      <c r="N94" s="77">
        <v>28</v>
      </c>
      <c r="O94" s="77">
        <v>10</v>
      </c>
      <c r="P94" s="77">
        <v>3</v>
      </c>
      <c r="R94" s="77">
        <v>73</v>
      </c>
      <c r="S94" s="77">
        <v>60</v>
      </c>
      <c r="T94" s="77">
        <v>13</v>
      </c>
      <c r="U94" s="77">
        <v>4</v>
      </c>
      <c r="W94" s="77"/>
      <c r="X94" s="77"/>
      <c r="Y94" s="77"/>
      <c r="Z94" s="77"/>
      <c r="AA94" s="88"/>
      <c r="AB94" s="86">
        <f t="shared" si="5"/>
        <v>118</v>
      </c>
      <c r="AC94" s="86">
        <f t="shared" si="6"/>
        <v>88</v>
      </c>
      <c r="AD94" s="86">
        <f t="shared" si="7"/>
        <v>23</v>
      </c>
      <c r="AE94" s="86">
        <f t="shared" si="8"/>
        <v>7</v>
      </c>
      <c r="AF94" s="91">
        <f t="shared" si="1"/>
        <v>0.26136363636363635</v>
      </c>
      <c r="AH94" s="84">
        <f t="shared" ref="AH94:AH108" si="20">J94/D94</f>
        <v>0.17045454545454544</v>
      </c>
      <c r="AI94" s="84">
        <f t="shared" ref="AI94:AI108" si="21">SUM(U94+P94+Z94)/D94</f>
        <v>7.9545454545454544E-2</v>
      </c>
      <c r="AJ94" s="84">
        <f t="shared" si="9"/>
        <v>0.26136363636363635</v>
      </c>
      <c r="AK94" s="84">
        <f t="shared" si="10"/>
        <v>0.21666666666666667</v>
      </c>
      <c r="AL94" s="84">
        <f t="shared" si="11"/>
        <v>0.35714285714285715</v>
      </c>
      <c r="AM94" s="84">
        <f t="shared" si="2"/>
        <v>0.26136363636363635</v>
      </c>
      <c r="AO94" s="84">
        <f t="shared" si="12"/>
        <v>0.34883720930232559</v>
      </c>
      <c r="AP94" s="84">
        <f t="shared" si="13"/>
        <v>0.11627906976744186</v>
      </c>
      <c r="AQ94" s="84">
        <f t="shared" si="14"/>
        <v>5.4263565891472867E-2</v>
      </c>
      <c r="AR94" s="84">
        <f t="shared" si="15"/>
        <v>0.10077519379844961</v>
      </c>
      <c r="AS94" s="84">
        <f t="shared" si="16"/>
        <v>0.13178294573643412</v>
      </c>
      <c r="AU94" s="84">
        <f t="shared" si="17"/>
        <v>1</v>
      </c>
      <c r="AV94" s="84">
        <f t="shared" si="18"/>
        <v>0.31707317073170732</v>
      </c>
      <c r="AW94" s="84">
        <f t="shared" si="19"/>
        <v>0.23287671232876711</v>
      </c>
    </row>
    <row r="95" spans="2:49" x14ac:dyDescent="0.25">
      <c r="B95" s="78">
        <v>43435</v>
      </c>
      <c r="C95" s="77">
        <v>135</v>
      </c>
      <c r="D95" s="77">
        <f t="shared" si="3"/>
        <v>91</v>
      </c>
      <c r="E95" s="77">
        <v>35</v>
      </c>
      <c r="F95" s="77">
        <v>9</v>
      </c>
      <c r="H95" s="77">
        <v>15</v>
      </c>
      <c r="I95" s="77">
        <v>0</v>
      </c>
      <c r="J95" s="77">
        <v>15</v>
      </c>
      <c r="K95" s="77">
        <v>0</v>
      </c>
      <c r="M95" s="77">
        <v>40</v>
      </c>
      <c r="N95" s="77">
        <v>27</v>
      </c>
      <c r="O95" s="77">
        <v>10</v>
      </c>
      <c r="P95" s="77">
        <v>3</v>
      </c>
      <c r="R95" s="77">
        <v>80</v>
      </c>
      <c r="S95" s="77">
        <v>64</v>
      </c>
      <c r="T95" s="77">
        <v>10</v>
      </c>
      <c r="U95" s="77">
        <v>6</v>
      </c>
      <c r="W95" s="77"/>
      <c r="X95" s="77"/>
      <c r="Y95" s="77"/>
      <c r="Z95" s="77"/>
      <c r="AA95" s="88"/>
      <c r="AB95" s="86">
        <f t="shared" si="5"/>
        <v>120</v>
      </c>
      <c r="AC95" s="86">
        <f t="shared" si="6"/>
        <v>91</v>
      </c>
      <c r="AD95" s="86">
        <f t="shared" si="7"/>
        <v>20</v>
      </c>
      <c r="AE95" s="86">
        <f t="shared" si="8"/>
        <v>9</v>
      </c>
      <c r="AF95" s="91">
        <f t="shared" si="1"/>
        <v>0.21978021978021978</v>
      </c>
      <c r="AH95" s="84">
        <f t="shared" si="20"/>
        <v>0.16483516483516483</v>
      </c>
      <c r="AI95" s="84">
        <f t="shared" si="21"/>
        <v>9.8901098901098897E-2</v>
      </c>
      <c r="AJ95" s="84">
        <f t="shared" si="9"/>
        <v>0.21978021978021978</v>
      </c>
      <c r="AK95" s="84">
        <f t="shared" si="10"/>
        <v>0.15625</v>
      </c>
      <c r="AL95" s="84">
        <f t="shared" si="11"/>
        <v>0.37037037037037035</v>
      </c>
      <c r="AM95" s="84">
        <f t="shared" si="2"/>
        <v>0.21978021978021978</v>
      </c>
      <c r="AO95" s="84">
        <f t="shared" si="12"/>
        <v>0.32592592592592595</v>
      </c>
      <c r="AP95" s="84">
        <f t="shared" si="13"/>
        <v>0.1111111111111111</v>
      </c>
      <c r="AQ95" s="84">
        <f t="shared" si="14"/>
        <v>6.6666666666666666E-2</v>
      </c>
      <c r="AR95" s="84">
        <f t="shared" si="15"/>
        <v>9.6296296296296297E-2</v>
      </c>
      <c r="AS95" s="84">
        <f t="shared" si="16"/>
        <v>0.11851851851851852</v>
      </c>
      <c r="AU95" s="84">
        <f t="shared" si="17"/>
        <v>1</v>
      </c>
      <c r="AV95" s="84">
        <f t="shared" si="18"/>
        <v>0.32500000000000001</v>
      </c>
      <c r="AW95" s="84">
        <f t="shared" si="19"/>
        <v>0.2</v>
      </c>
    </row>
    <row r="96" spans="2:49" x14ac:dyDescent="0.25">
      <c r="B96" s="78">
        <v>43466</v>
      </c>
      <c r="C96" s="77">
        <v>130</v>
      </c>
      <c r="D96" s="77">
        <f t="shared" si="3"/>
        <v>81</v>
      </c>
      <c r="E96" s="77">
        <v>40</v>
      </c>
      <c r="F96" s="77">
        <v>9</v>
      </c>
      <c r="H96" s="77">
        <v>14</v>
      </c>
      <c r="I96" s="77">
        <v>0</v>
      </c>
      <c r="J96" s="77">
        <v>14</v>
      </c>
      <c r="K96" s="77">
        <v>0</v>
      </c>
      <c r="M96" s="77">
        <v>39</v>
      </c>
      <c r="N96" s="77">
        <v>26</v>
      </c>
      <c r="O96" s="77">
        <v>10</v>
      </c>
      <c r="P96" s="77">
        <v>3</v>
      </c>
      <c r="R96" s="77">
        <v>77</v>
      </c>
      <c r="S96" s="77">
        <v>55</v>
      </c>
      <c r="T96" s="77">
        <v>16</v>
      </c>
      <c r="U96" s="77">
        <v>6</v>
      </c>
      <c r="W96" s="77"/>
      <c r="X96" s="77"/>
      <c r="Y96" s="77"/>
      <c r="Z96" s="77"/>
      <c r="AA96" s="88"/>
      <c r="AB96" s="86">
        <f t="shared" si="5"/>
        <v>116</v>
      </c>
      <c r="AC96" s="86">
        <f t="shared" si="6"/>
        <v>81</v>
      </c>
      <c r="AD96" s="86">
        <f t="shared" si="7"/>
        <v>26</v>
      </c>
      <c r="AE96" s="86">
        <f t="shared" si="8"/>
        <v>9</v>
      </c>
      <c r="AF96" s="91">
        <f t="shared" si="1"/>
        <v>0.32098765432098764</v>
      </c>
      <c r="AH96" s="84">
        <f t="shared" si="20"/>
        <v>0.1728395061728395</v>
      </c>
      <c r="AI96" s="84">
        <f t="shared" si="21"/>
        <v>0.1111111111111111</v>
      </c>
      <c r="AJ96" s="84">
        <f t="shared" si="9"/>
        <v>0.32098765432098764</v>
      </c>
      <c r="AK96" s="84">
        <f t="shared" si="10"/>
        <v>0.29090909090909089</v>
      </c>
      <c r="AL96" s="84">
        <f t="shared" si="11"/>
        <v>0.38461538461538464</v>
      </c>
      <c r="AM96" s="84">
        <f t="shared" si="2"/>
        <v>0.32098765432098764</v>
      </c>
      <c r="AO96" s="84">
        <f t="shared" si="12"/>
        <v>0.37692307692307692</v>
      </c>
      <c r="AP96" s="84">
        <f t="shared" si="13"/>
        <v>0.1076923076923077</v>
      </c>
      <c r="AQ96" s="84">
        <f t="shared" si="14"/>
        <v>6.9230769230769235E-2</v>
      </c>
      <c r="AR96" s="84">
        <f t="shared" si="15"/>
        <v>0.1</v>
      </c>
      <c r="AS96" s="84">
        <f t="shared" si="16"/>
        <v>0.16923076923076924</v>
      </c>
      <c r="AU96" s="84">
        <f t="shared" si="17"/>
        <v>1</v>
      </c>
      <c r="AV96" s="84">
        <f t="shared" si="18"/>
        <v>0.33333333333333331</v>
      </c>
      <c r="AW96" s="84">
        <f t="shared" si="19"/>
        <v>0.2857142857142857</v>
      </c>
    </row>
    <row r="97" spans="2:49" x14ac:dyDescent="0.25">
      <c r="B97" s="78">
        <v>43497</v>
      </c>
      <c r="C97" s="77">
        <v>128</v>
      </c>
      <c r="D97" s="77">
        <f t="shared" si="3"/>
        <v>88</v>
      </c>
      <c r="E97" s="77">
        <f>SUM(J97,O97,T97,Y97)</f>
        <v>32</v>
      </c>
      <c r="F97" s="77">
        <v>8</v>
      </c>
      <c r="H97" s="77">
        <v>13</v>
      </c>
      <c r="I97" s="77">
        <v>0</v>
      </c>
      <c r="J97" s="77">
        <v>13</v>
      </c>
      <c r="K97" s="77">
        <v>0</v>
      </c>
      <c r="M97" s="77">
        <v>39</v>
      </c>
      <c r="N97" s="77">
        <v>27</v>
      </c>
      <c r="O97" s="77">
        <v>9</v>
      </c>
      <c r="P97" s="77">
        <v>3</v>
      </c>
      <c r="R97" s="77">
        <v>76</v>
      </c>
      <c r="S97" s="77">
        <v>61</v>
      </c>
      <c r="T97" s="77">
        <v>10</v>
      </c>
      <c r="U97" s="77">
        <v>5</v>
      </c>
      <c r="W97" s="77"/>
      <c r="X97" s="77"/>
      <c r="Y97" s="77"/>
      <c r="Z97" s="77"/>
      <c r="AA97" s="88"/>
      <c r="AB97" s="86">
        <f t="shared" si="5"/>
        <v>115</v>
      </c>
      <c r="AC97" s="86">
        <f t="shared" si="6"/>
        <v>88</v>
      </c>
      <c r="AD97" s="86">
        <f t="shared" si="7"/>
        <v>19</v>
      </c>
      <c r="AE97" s="86">
        <f t="shared" si="8"/>
        <v>8</v>
      </c>
      <c r="AF97" s="91">
        <f t="shared" si="1"/>
        <v>0.21590909090909091</v>
      </c>
      <c r="AH97" s="84">
        <f t="shared" si="20"/>
        <v>0.14772727272727273</v>
      </c>
      <c r="AI97" s="84">
        <f t="shared" si="21"/>
        <v>9.0909090909090912E-2</v>
      </c>
      <c r="AJ97" s="84">
        <f t="shared" si="9"/>
        <v>0.21590909090909091</v>
      </c>
      <c r="AK97" s="84">
        <f t="shared" si="10"/>
        <v>0.16393442622950818</v>
      </c>
      <c r="AL97" s="84">
        <f t="shared" si="11"/>
        <v>0.33333333333333331</v>
      </c>
      <c r="AM97" s="84">
        <f t="shared" si="2"/>
        <v>0.21590909090909091</v>
      </c>
      <c r="AO97" s="84">
        <f t="shared" si="12"/>
        <v>0.3125</v>
      </c>
      <c r="AP97" s="84">
        <f t="shared" si="13"/>
        <v>0.1015625</v>
      </c>
      <c r="AQ97" s="84">
        <f t="shared" si="14"/>
        <v>6.25E-2</v>
      </c>
      <c r="AR97" s="84">
        <f t="shared" si="15"/>
        <v>9.375E-2</v>
      </c>
      <c r="AS97" s="84">
        <f t="shared" si="16"/>
        <v>0.1171875</v>
      </c>
      <c r="AU97" s="84">
        <f t="shared" si="17"/>
        <v>1</v>
      </c>
      <c r="AV97" s="84">
        <f t="shared" si="18"/>
        <v>0.30769230769230771</v>
      </c>
      <c r="AW97" s="84">
        <f t="shared" si="19"/>
        <v>0.19736842105263158</v>
      </c>
    </row>
    <row r="98" spans="2:49" x14ac:dyDescent="0.25">
      <c r="B98" s="78">
        <v>43525</v>
      </c>
      <c r="C98" s="77">
        <v>126</v>
      </c>
      <c r="D98" s="77">
        <f t="shared" si="3"/>
        <v>80</v>
      </c>
      <c r="E98" s="77">
        <f>SUM(J98,O98,T98,Y98)</f>
        <v>39</v>
      </c>
      <c r="F98" s="77">
        <v>8</v>
      </c>
      <c r="H98" s="77">
        <v>15</v>
      </c>
      <c r="I98" s="77">
        <v>0</v>
      </c>
      <c r="J98" s="77">
        <v>15</v>
      </c>
      <c r="K98" s="77">
        <v>0</v>
      </c>
      <c r="M98" s="77">
        <v>40</v>
      </c>
      <c r="N98" s="77">
        <v>26</v>
      </c>
      <c r="O98" s="77">
        <v>11</v>
      </c>
      <c r="P98" s="77">
        <v>3</v>
      </c>
      <c r="R98" s="77">
        <v>72</v>
      </c>
      <c r="S98" s="77">
        <v>54</v>
      </c>
      <c r="T98" s="77">
        <v>13</v>
      </c>
      <c r="U98" s="77">
        <v>5</v>
      </c>
      <c r="W98" s="77"/>
      <c r="X98" s="77"/>
      <c r="Y98" s="77"/>
      <c r="Z98" s="77"/>
      <c r="AA98" s="88"/>
      <c r="AB98" s="86">
        <f t="shared" si="5"/>
        <v>112</v>
      </c>
      <c r="AC98" s="86">
        <f t="shared" si="6"/>
        <v>80</v>
      </c>
      <c r="AD98" s="86">
        <f t="shared" si="7"/>
        <v>24</v>
      </c>
      <c r="AE98" s="86">
        <f t="shared" si="8"/>
        <v>8</v>
      </c>
      <c r="AF98" s="91">
        <f t="shared" si="1"/>
        <v>0.3</v>
      </c>
      <c r="AH98" s="84">
        <f t="shared" si="20"/>
        <v>0.1875</v>
      </c>
      <c r="AI98" s="84">
        <f t="shared" si="21"/>
        <v>0.1</v>
      </c>
      <c r="AJ98" s="84">
        <f t="shared" si="9"/>
        <v>0.3</v>
      </c>
      <c r="AK98" s="84">
        <f t="shared" si="10"/>
        <v>0.24074074074074073</v>
      </c>
      <c r="AL98" s="84">
        <f t="shared" si="11"/>
        <v>0.42307692307692307</v>
      </c>
      <c r="AM98" s="84">
        <f t="shared" si="2"/>
        <v>0.3</v>
      </c>
      <c r="AO98" s="84">
        <f t="shared" si="12"/>
        <v>0.37301587301587302</v>
      </c>
      <c r="AP98" s="84">
        <f t="shared" si="13"/>
        <v>0.11904761904761904</v>
      </c>
      <c r="AQ98" s="84">
        <f t="shared" si="14"/>
        <v>6.3492063492063489E-2</v>
      </c>
      <c r="AR98" s="84">
        <f t="shared" si="15"/>
        <v>0.1111111111111111</v>
      </c>
      <c r="AS98" s="84">
        <f t="shared" si="16"/>
        <v>0.14285714285714285</v>
      </c>
      <c r="AU98" s="84">
        <f>J98/H98</f>
        <v>1</v>
      </c>
      <c r="AV98" s="84">
        <f t="shared" si="18"/>
        <v>0.35</v>
      </c>
      <c r="AW98" s="84">
        <f t="shared" si="19"/>
        <v>0.25</v>
      </c>
    </row>
    <row r="99" spans="2:49" x14ac:dyDescent="0.25">
      <c r="B99" s="78">
        <v>43556</v>
      </c>
      <c r="C99" s="77">
        <v>127</v>
      </c>
      <c r="D99" s="77">
        <f t="shared" si="3"/>
        <v>81</v>
      </c>
      <c r="E99" s="77">
        <f>SUM(J99,O99,T99,Y99)</f>
        <v>39</v>
      </c>
      <c r="F99" s="77">
        <v>8</v>
      </c>
      <c r="H99" s="77">
        <v>14</v>
      </c>
      <c r="I99" s="77">
        <v>0</v>
      </c>
      <c r="J99" s="77">
        <v>14</v>
      </c>
      <c r="K99" s="77">
        <v>0</v>
      </c>
      <c r="M99" s="77">
        <v>40</v>
      </c>
      <c r="N99" s="77">
        <v>26</v>
      </c>
      <c r="O99" s="77">
        <v>11</v>
      </c>
      <c r="P99" s="77">
        <v>3</v>
      </c>
      <c r="R99" s="77">
        <v>73</v>
      </c>
      <c r="S99" s="77">
        <v>55</v>
      </c>
      <c r="T99" s="77">
        <v>14</v>
      </c>
      <c r="U99" s="77">
        <v>5</v>
      </c>
      <c r="W99" s="77"/>
      <c r="X99" s="77"/>
      <c r="Y99" s="77"/>
      <c r="Z99" s="77"/>
      <c r="AA99" s="88"/>
      <c r="AB99" s="86">
        <f t="shared" si="5"/>
        <v>114</v>
      </c>
      <c r="AC99" s="86">
        <f t="shared" si="6"/>
        <v>81</v>
      </c>
      <c r="AD99" s="86">
        <f t="shared" si="7"/>
        <v>25</v>
      </c>
      <c r="AE99" s="86">
        <f t="shared" si="8"/>
        <v>8</v>
      </c>
      <c r="AF99" s="91">
        <f t="shared" si="1"/>
        <v>0.30864197530864196</v>
      </c>
      <c r="AH99" s="84">
        <f t="shared" si="20"/>
        <v>0.1728395061728395</v>
      </c>
      <c r="AI99" s="84">
        <f t="shared" si="21"/>
        <v>9.8765432098765427E-2</v>
      </c>
      <c r="AJ99" s="84">
        <f t="shared" si="9"/>
        <v>0.30864197530864196</v>
      </c>
      <c r="AK99" s="84">
        <f t="shared" si="10"/>
        <v>0.25454545454545452</v>
      </c>
      <c r="AL99" s="84">
        <f t="shared" si="11"/>
        <v>0.42307692307692307</v>
      </c>
      <c r="AM99" s="84">
        <f t="shared" si="2"/>
        <v>0.30864197530864196</v>
      </c>
      <c r="AO99" s="84">
        <f t="shared" si="12"/>
        <v>0.37007874015748032</v>
      </c>
      <c r="AP99" s="84">
        <f t="shared" si="13"/>
        <v>0.11023622047244094</v>
      </c>
      <c r="AQ99" s="84">
        <f t="shared" si="14"/>
        <v>6.2992125984251968E-2</v>
      </c>
      <c r="AR99" s="84">
        <f t="shared" si="15"/>
        <v>0.11023622047244094</v>
      </c>
      <c r="AS99" s="84">
        <f t="shared" si="16"/>
        <v>0.14960629921259844</v>
      </c>
      <c r="AU99" s="84">
        <f t="shared" si="17"/>
        <v>1</v>
      </c>
      <c r="AV99" s="84">
        <f t="shared" si="18"/>
        <v>0.35</v>
      </c>
      <c r="AW99" s="84">
        <f t="shared" si="19"/>
        <v>0.26027397260273971</v>
      </c>
    </row>
    <row r="100" spans="2:49" x14ac:dyDescent="0.25">
      <c r="B100" s="78">
        <v>43586</v>
      </c>
      <c r="C100" s="77">
        <v>131</v>
      </c>
      <c r="D100" s="77">
        <f t="shared" si="3"/>
        <v>82</v>
      </c>
      <c r="E100" s="77">
        <f t="shared" ref="E100:E107" si="22">SUM(J100,O100,T100,Y100)</f>
        <v>41</v>
      </c>
      <c r="F100" s="77">
        <v>8</v>
      </c>
      <c r="H100" s="77">
        <v>17</v>
      </c>
      <c r="I100" s="77">
        <v>0</v>
      </c>
      <c r="J100" s="77">
        <v>17</v>
      </c>
      <c r="K100" s="77">
        <v>0</v>
      </c>
      <c r="M100" s="77">
        <v>42</v>
      </c>
      <c r="N100" s="77">
        <v>28</v>
      </c>
      <c r="O100" s="77">
        <v>11</v>
      </c>
      <c r="P100" s="77">
        <v>3</v>
      </c>
      <c r="R100" s="77">
        <v>72</v>
      </c>
      <c r="S100" s="77">
        <v>54</v>
      </c>
      <c r="T100" s="77">
        <v>13</v>
      </c>
      <c r="U100" s="77">
        <v>5</v>
      </c>
      <c r="W100" s="77"/>
      <c r="X100" s="77"/>
      <c r="Y100" s="77"/>
      <c r="Z100" s="77"/>
      <c r="AA100" s="88"/>
      <c r="AB100" s="86">
        <f t="shared" si="5"/>
        <v>114</v>
      </c>
      <c r="AC100" s="86">
        <f t="shared" si="6"/>
        <v>82</v>
      </c>
      <c r="AD100" s="86">
        <f>SUM(Y100,T100,O100)</f>
        <v>24</v>
      </c>
      <c r="AE100" s="86">
        <f t="shared" si="8"/>
        <v>8</v>
      </c>
      <c r="AF100" s="91">
        <f t="shared" si="1"/>
        <v>0.29268292682926828</v>
      </c>
      <c r="AH100" s="84">
        <f t="shared" si="20"/>
        <v>0.2073170731707317</v>
      </c>
      <c r="AI100" s="84">
        <f t="shared" si="21"/>
        <v>9.7560975609756101E-2</v>
      </c>
      <c r="AJ100" s="84">
        <f t="shared" si="9"/>
        <v>0.29268292682926828</v>
      </c>
      <c r="AK100" s="84">
        <f t="shared" si="10"/>
        <v>0.24074074074074073</v>
      </c>
      <c r="AL100" s="84">
        <f t="shared" si="11"/>
        <v>0.39285714285714285</v>
      </c>
      <c r="AM100" s="84">
        <f t="shared" si="2"/>
        <v>0.29268292682926828</v>
      </c>
      <c r="AO100" s="84">
        <f t="shared" si="12"/>
        <v>0.37404580152671757</v>
      </c>
      <c r="AP100" s="84">
        <f t="shared" si="13"/>
        <v>0.12977099236641221</v>
      </c>
      <c r="AQ100" s="84">
        <f t="shared" si="14"/>
        <v>6.1068702290076333E-2</v>
      </c>
      <c r="AR100" s="84">
        <f t="shared" si="15"/>
        <v>0.10687022900763359</v>
      </c>
      <c r="AS100" s="84">
        <f t="shared" si="16"/>
        <v>0.13740458015267176</v>
      </c>
      <c r="AU100" s="84">
        <f t="shared" si="17"/>
        <v>1</v>
      </c>
      <c r="AV100" s="84">
        <f t="shared" si="18"/>
        <v>0.33333333333333331</v>
      </c>
      <c r="AW100" s="84">
        <f t="shared" si="19"/>
        <v>0.25</v>
      </c>
    </row>
    <row r="101" spans="2:49" x14ac:dyDescent="0.25">
      <c r="B101" s="78">
        <v>43617</v>
      </c>
      <c r="C101" s="77">
        <v>131</v>
      </c>
      <c r="D101" s="77">
        <f t="shared" si="3"/>
        <v>84</v>
      </c>
      <c r="E101" s="77">
        <f t="shared" si="22"/>
        <v>39</v>
      </c>
      <c r="F101" s="77">
        <v>8</v>
      </c>
      <c r="H101" s="77">
        <v>17</v>
      </c>
      <c r="I101" s="77">
        <v>0</v>
      </c>
      <c r="J101" s="77">
        <v>17</v>
      </c>
      <c r="K101" s="77">
        <v>0</v>
      </c>
      <c r="M101" s="77">
        <v>42</v>
      </c>
      <c r="N101" s="77">
        <v>29</v>
      </c>
      <c r="O101" s="77">
        <v>10</v>
      </c>
      <c r="P101" s="77">
        <v>3</v>
      </c>
      <c r="R101" s="77">
        <v>72</v>
      </c>
      <c r="S101" s="77">
        <v>55</v>
      </c>
      <c r="T101" s="77">
        <v>12</v>
      </c>
      <c r="U101" s="77">
        <v>5</v>
      </c>
      <c r="W101" s="77"/>
      <c r="X101" s="77"/>
      <c r="Y101" s="77"/>
      <c r="Z101" s="77"/>
      <c r="AA101" s="88"/>
      <c r="AB101" s="86">
        <f t="shared" si="5"/>
        <v>114</v>
      </c>
      <c r="AC101" s="86">
        <f t="shared" si="6"/>
        <v>84</v>
      </c>
      <c r="AD101" s="86">
        <f t="shared" si="7"/>
        <v>22</v>
      </c>
      <c r="AE101" s="86">
        <f t="shared" si="8"/>
        <v>8</v>
      </c>
      <c r="AF101" s="91">
        <f t="shared" si="1"/>
        <v>0.26190476190476192</v>
      </c>
      <c r="AH101" s="84">
        <f t="shared" si="20"/>
        <v>0.20238095238095238</v>
      </c>
      <c r="AI101" s="84">
        <f t="shared" si="21"/>
        <v>9.5238095238095233E-2</v>
      </c>
      <c r="AJ101" s="84">
        <f t="shared" si="9"/>
        <v>0.26190476190476192</v>
      </c>
      <c r="AK101" s="84">
        <f t="shared" si="10"/>
        <v>0.21818181818181817</v>
      </c>
      <c r="AL101" s="84">
        <f t="shared" si="11"/>
        <v>0.34482758620689657</v>
      </c>
      <c r="AM101" s="84">
        <f t="shared" si="2"/>
        <v>0.26190476190476192</v>
      </c>
      <c r="AO101" s="84">
        <f t="shared" si="12"/>
        <v>0.35877862595419846</v>
      </c>
      <c r="AP101" s="84">
        <f t="shared" si="13"/>
        <v>0.12977099236641221</v>
      </c>
      <c r="AQ101" s="84">
        <f t="shared" si="14"/>
        <v>6.1068702290076333E-2</v>
      </c>
      <c r="AR101" s="84">
        <f t="shared" si="15"/>
        <v>9.9236641221374045E-2</v>
      </c>
      <c r="AS101" s="84">
        <f t="shared" si="16"/>
        <v>0.12977099236641221</v>
      </c>
      <c r="AU101" s="84">
        <f t="shared" si="17"/>
        <v>1</v>
      </c>
      <c r="AV101" s="84">
        <f t="shared" si="18"/>
        <v>0.30952380952380953</v>
      </c>
      <c r="AW101" s="84">
        <f t="shared" si="19"/>
        <v>0.2361111111111111</v>
      </c>
    </row>
    <row r="102" spans="2:49" s="39" customFormat="1" ht="15.75" thickBot="1" x14ac:dyDescent="0.3">
      <c r="B102" s="447">
        <v>43647</v>
      </c>
      <c r="C102" s="448">
        <v>133</v>
      </c>
      <c r="D102" s="448">
        <f t="shared" si="3"/>
        <v>79</v>
      </c>
      <c r="E102" s="448">
        <f t="shared" si="22"/>
        <v>45</v>
      </c>
      <c r="F102" s="448">
        <v>9</v>
      </c>
      <c r="H102" s="448">
        <v>16</v>
      </c>
      <c r="I102" s="448">
        <v>0</v>
      </c>
      <c r="J102" s="448">
        <v>16</v>
      </c>
      <c r="K102" s="448">
        <v>0</v>
      </c>
      <c r="M102" s="448">
        <v>47</v>
      </c>
      <c r="N102" s="448">
        <v>28</v>
      </c>
      <c r="O102" s="448">
        <v>16</v>
      </c>
      <c r="P102" s="448">
        <v>3</v>
      </c>
      <c r="R102" s="448">
        <v>70</v>
      </c>
      <c r="S102" s="448">
        <v>51</v>
      </c>
      <c r="T102" s="448">
        <v>13</v>
      </c>
      <c r="U102" s="448">
        <v>6</v>
      </c>
      <c r="W102" s="448"/>
      <c r="X102" s="448"/>
      <c r="Y102" s="448"/>
      <c r="Z102" s="448"/>
      <c r="AA102" s="449"/>
      <c r="AB102" s="450">
        <f t="shared" si="5"/>
        <v>117</v>
      </c>
      <c r="AC102" s="450">
        <f t="shared" si="6"/>
        <v>79</v>
      </c>
      <c r="AD102" s="450">
        <f>SUM(Y102,T102,O102)</f>
        <v>29</v>
      </c>
      <c r="AE102" s="450">
        <f t="shared" si="8"/>
        <v>9</v>
      </c>
      <c r="AF102" s="451">
        <f t="shared" si="1"/>
        <v>0.36708860759493672</v>
      </c>
      <c r="AH102" s="452">
        <f t="shared" si="20"/>
        <v>0.20253164556962025</v>
      </c>
      <c r="AI102" s="452">
        <f t="shared" si="21"/>
        <v>0.11392405063291139</v>
      </c>
      <c r="AJ102" s="452">
        <f t="shared" si="9"/>
        <v>0.36708860759493672</v>
      </c>
      <c r="AK102" s="452">
        <f t="shared" si="10"/>
        <v>0.25490196078431371</v>
      </c>
      <c r="AL102" s="452">
        <f t="shared" si="11"/>
        <v>0.5714285714285714</v>
      </c>
      <c r="AM102" s="452">
        <f t="shared" si="2"/>
        <v>0.36708860759493672</v>
      </c>
      <c r="AO102" s="452">
        <f t="shared" si="12"/>
        <v>0.40601503759398494</v>
      </c>
      <c r="AP102" s="452">
        <f t="shared" si="13"/>
        <v>0.12030075187969924</v>
      </c>
      <c r="AQ102" s="452">
        <f t="shared" si="14"/>
        <v>6.7669172932330823E-2</v>
      </c>
      <c r="AR102" s="452">
        <f t="shared" si="15"/>
        <v>0.14285714285714285</v>
      </c>
      <c r="AS102" s="452">
        <f t="shared" si="16"/>
        <v>0.14285714285714285</v>
      </c>
      <c r="AU102" s="452">
        <f t="shared" si="17"/>
        <v>1</v>
      </c>
      <c r="AV102" s="452">
        <f t="shared" si="18"/>
        <v>0.40425531914893614</v>
      </c>
      <c r="AW102" s="452">
        <f t="shared" si="19"/>
        <v>0.27142857142857141</v>
      </c>
    </row>
    <row r="103" spans="2:49" ht="15.75" thickTop="1" x14ac:dyDescent="0.25">
      <c r="B103" s="445">
        <v>43678</v>
      </c>
      <c r="C103" s="446">
        <v>132</v>
      </c>
      <c r="D103" s="446">
        <f t="shared" si="3"/>
        <v>77</v>
      </c>
      <c r="E103" s="446">
        <f t="shared" si="22"/>
        <v>46</v>
      </c>
      <c r="F103" s="446">
        <v>9</v>
      </c>
      <c r="H103" s="446">
        <v>16</v>
      </c>
      <c r="I103" s="446">
        <v>0</v>
      </c>
      <c r="J103" s="446">
        <v>16</v>
      </c>
      <c r="K103" s="446">
        <v>0</v>
      </c>
      <c r="M103" s="446">
        <v>45</v>
      </c>
      <c r="N103" s="446">
        <v>26</v>
      </c>
      <c r="O103" s="446">
        <v>16</v>
      </c>
      <c r="P103" s="446">
        <v>3</v>
      </c>
      <c r="R103" s="446">
        <v>44</v>
      </c>
      <c r="S103" s="446">
        <v>25</v>
      </c>
      <c r="T103" s="446">
        <v>13</v>
      </c>
      <c r="U103" s="446">
        <v>6</v>
      </c>
      <c r="W103" s="446">
        <v>27</v>
      </c>
      <c r="X103" s="446">
        <v>26</v>
      </c>
      <c r="Y103" s="446">
        <v>1</v>
      </c>
      <c r="Z103" s="446">
        <v>0</v>
      </c>
      <c r="AA103" s="88"/>
      <c r="AB103" s="86">
        <f t="shared" si="5"/>
        <v>116</v>
      </c>
      <c r="AC103" s="86">
        <f t="shared" si="6"/>
        <v>77</v>
      </c>
      <c r="AD103" s="86">
        <f t="shared" si="7"/>
        <v>30</v>
      </c>
      <c r="AE103" s="86">
        <f t="shared" si="8"/>
        <v>9</v>
      </c>
      <c r="AF103" s="91">
        <f t="shared" si="1"/>
        <v>0.38961038961038963</v>
      </c>
      <c r="AH103" s="84">
        <f t="shared" si="20"/>
        <v>0.20779220779220781</v>
      </c>
      <c r="AI103" s="84">
        <f t="shared" si="21"/>
        <v>0.11688311688311688</v>
      </c>
      <c r="AJ103" s="84">
        <f t="shared" si="9"/>
        <v>0.38961038961038963</v>
      </c>
      <c r="AK103" s="84">
        <f t="shared" si="10"/>
        <v>0.52</v>
      </c>
      <c r="AL103" s="84">
        <f t="shared" si="11"/>
        <v>0.61538461538461542</v>
      </c>
      <c r="AM103" s="84">
        <f>AD103/AC103</f>
        <v>0.38961038961038963</v>
      </c>
      <c r="AO103" s="84">
        <f t="shared" si="12"/>
        <v>0.41666666666666669</v>
      </c>
      <c r="AP103" s="84">
        <f t="shared" si="13"/>
        <v>0.12121212121212122</v>
      </c>
      <c r="AQ103" s="84">
        <f t="shared" si="14"/>
        <v>6.8181818181818177E-2</v>
      </c>
      <c r="AR103" s="84">
        <f t="shared" si="15"/>
        <v>0.14393939393939395</v>
      </c>
      <c r="AS103" s="84">
        <f t="shared" si="16"/>
        <v>0.15151515151515152</v>
      </c>
      <c r="AU103" s="84">
        <f t="shared" si="17"/>
        <v>1</v>
      </c>
      <c r="AV103" s="84">
        <f t="shared" si="18"/>
        <v>0.42222222222222222</v>
      </c>
      <c r="AW103" s="84">
        <f t="shared" si="19"/>
        <v>0.28169014084507044</v>
      </c>
    </row>
    <row r="104" spans="2:49" x14ac:dyDescent="0.25">
      <c r="B104" s="78">
        <v>43709</v>
      </c>
      <c r="C104" s="77">
        <v>128</v>
      </c>
      <c r="D104" s="77">
        <f t="shared" si="3"/>
        <v>73</v>
      </c>
      <c r="E104" s="77">
        <f t="shared" si="22"/>
        <v>47</v>
      </c>
      <c r="F104" s="77">
        <v>9</v>
      </c>
      <c r="H104" s="77">
        <v>16</v>
      </c>
      <c r="I104" s="77">
        <v>0</v>
      </c>
      <c r="J104" s="77">
        <v>16</v>
      </c>
      <c r="K104" s="77">
        <v>0</v>
      </c>
      <c r="M104" s="77">
        <v>44</v>
      </c>
      <c r="N104" s="77">
        <v>25</v>
      </c>
      <c r="O104" s="77">
        <v>16</v>
      </c>
      <c r="P104" s="77">
        <v>3</v>
      </c>
      <c r="R104" s="77">
        <v>41</v>
      </c>
      <c r="S104" s="77">
        <v>23</v>
      </c>
      <c r="T104" s="77">
        <v>13</v>
      </c>
      <c r="U104" s="77">
        <v>6</v>
      </c>
      <c r="W104" s="77">
        <v>27</v>
      </c>
      <c r="X104" s="77">
        <v>25</v>
      </c>
      <c r="Y104" s="77">
        <v>2</v>
      </c>
      <c r="Z104" s="77">
        <v>0</v>
      </c>
      <c r="AA104" s="88"/>
      <c r="AB104" s="86">
        <f t="shared" si="5"/>
        <v>113</v>
      </c>
      <c r="AC104" s="86">
        <f t="shared" si="6"/>
        <v>73</v>
      </c>
      <c r="AD104" s="86">
        <f t="shared" si="7"/>
        <v>31</v>
      </c>
      <c r="AE104" s="86">
        <f t="shared" si="8"/>
        <v>9</v>
      </c>
      <c r="AF104" s="91">
        <f t="shared" si="1"/>
        <v>0.42465753424657532</v>
      </c>
      <c r="AH104" s="84">
        <f t="shared" si="20"/>
        <v>0.21917808219178081</v>
      </c>
      <c r="AI104" s="84">
        <f t="shared" si="21"/>
        <v>0.12328767123287671</v>
      </c>
      <c r="AJ104" s="84">
        <f t="shared" si="9"/>
        <v>0.42465753424657532</v>
      </c>
      <c r="AK104" s="84">
        <f t="shared" si="10"/>
        <v>0.56521739130434778</v>
      </c>
      <c r="AL104" s="84">
        <f t="shared" si="11"/>
        <v>0.64</v>
      </c>
      <c r="AM104" s="84">
        <f t="shared" si="2"/>
        <v>0.42465753424657532</v>
      </c>
      <c r="AO104" s="84">
        <f t="shared" si="12"/>
        <v>0.4375</v>
      </c>
      <c r="AP104" s="84">
        <f t="shared" si="13"/>
        <v>0.125</v>
      </c>
      <c r="AQ104" s="84">
        <f t="shared" si="14"/>
        <v>7.03125E-2</v>
      </c>
      <c r="AR104" s="84">
        <f t="shared" si="15"/>
        <v>0.1484375</v>
      </c>
      <c r="AS104" s="84">
        <f t="shared" si="16"/>
        <v>0.1640625</v>
      </c>
      <c r="AU104" s="84">
        <f t="shared" si="17"/>
        <v>1</v>
      </c>
      <c r="AV104" s="84">
        <f t="shared" si="18"/>
        <v>0.43181818181818182</v>
      </c>
      <c r="AW104" s="84">
        <f>SUM(Y104:Z104,T104:U104)/SUM(W104,R104)</f>
        <v>0.30882352941176472</v>
      </c>
    </row>
    <row r="105" spans="2:49" x14ac:dyDescent="0.25">
      <c r="B105" s="78">
        <v>43739</v>
      </c>
      <c r="C105" s="77">
        <v>128</v>
      </c>
      <c r="D105" s="77">
        <f t="shared" si="3"/>
        <v>73</v>
      </c>
      <c r="E105" s="77">
        <f t="shared" si="22"/>
        <v>47</v>
      </c>
      <c r="F105" s="77">
        <v>8</v>
      </c>
      <c r="H105" s="77">
        <v>16</v>
      </c>
      <c r="I105" s="77">
        <v>0</v>
      </c>
      <c r="J105" s="77">
        <v>16</v>
      </c>
      <c r="K105" s="77">
        <v>0</v>
      </c>
      <c r="M105" s="77">
        <v>45</v>
      </c>
      <c r="N105" s="77">
        <v>26</v>
      </c>
      <c r="O105" s="77">
        <v>16</v>
      </c>
      <c r="P105" s="77">
        <v>3</v>
      </c>
      <c r="R105" s="77">
        <v>40</v>
      </c>
      <c r="S105" s="77">
        <v>22</v>
      </c>
      <c r="T105" s="77">
        <v>13</v>
      </c>
      <c r="U105" s="77">
        <v>5</v>
      </c>
      <c r="W105" s="77">
        <v>27</v>
      </c>
      <c r="X105" s="77">
        <v>25</v>
      </c>
      <c r="Y105" s="77">
        <v>2</v>
      </c>
      <c r="Z105" s="77">
        <v>0</v>
      </c>
      <c r="AA105" s="88"/>
      <c r="AB105" s="86">
        <f t="shared" si="5"/>
        <v>112</v>
      </c>
      <c r="AC105" s="86">
        <f t="shared" si="6"/>
        <v>73</v>
      </c>
      <c r="AD105" s="86">
        <f t="shared" si="7"/>
        <v>31</v>
      </c>
      <c r="AE105" s="86">
        <f t="shared" si="8"/>
        <v>8</v>
      </c>
      <c r="AF105" s="91">
        <f t="shared" si="1"/>
        <v>0.42465753424657532</v>
      </c>
      <c r="AH105" s="84">
        <f t="shared" si="20"/>
        <v>0.21917808219178081</v>
      </c>
      <c r="AI105" s="84">
        <f>SUM(+U105+P105+Z105)/D105</f>
        <v>0.1095890410958904</v>
      </c>
      <c r="AJ105" s="84">
        <f t="shared" si="9"/>
        <v>0.42465753424657532</v>
      </c>
      <c r="AK105" s="84">
        <f t="shared" si="10"/>
        <v>0.59090909090909094</v>
      </c>
      <c r="AL105" s="84">
        <f t="shared" si="11"/>
        <v>0.61538461538461542</v>
      </c>
      <c r="AM105" s="84">
        <f t="shared" si="2"/>
        <v>0.42465753424657532</v>
      </c>
      <c r="AO105" s="84">
        <f t="shared" si="12"/>
        <v>0.4296875</v>
      </c>
      <c r="AP105" s="84">
        <f t="shared" si="13"/>
        <v>0.125</v>
      </c>
      <c r="AQ105" s="84">
        <f t="shared" si="14"/>
        <v>6.25E-2</v>
      </c>
      <c r="AR105" s="84">
        <f t="shared" si="15"/>
        <v>0.1484375</v>
      </c>
      <c r="AS105" s="84">
        <f t="shared" si="16"/>
        <v>0.15625</v>
      </c>
      <c r="AU105" s="84">
        <f t="shared" si="17"/>
        <v>1</v>
      </c>
      <c r="AV105" s="84">
        <f t="shared" si="18"/>
        <v>0.42222222222222222</v>
      </c>
      <c r="AW105" s="84">
        <f t="shared" si="19"/>
        <v>0.29850746268656714</v>
      </c>
    </row>
    <row r="106" spans="2:49" x14ac:dyDescent="0.25">
      <c r="B106" s="80">
        <v>43770</v>
      </c>
      <c r="C106" s="77">
        <v>128</v>
      </c>
      <c r="D106" s="77">
        <f t="shared" si="3"/>
        <v>73</v>
      </c>
      <c r="E106" s="77">
        <f t="shared" si="22"/>
        <v>47</v>
      </c>
      <c r="F106" s="77">
        <v>8</v>
      </c>
      <c r="H106">
        <v>16</v>
      </c>
      <c r="I106">
        <v>0</v>
      </c>
      <c r="J106">
        <v>16</v>
      </c>
      <c r="K106">
        <v>0</v>
      </c>
      <c r="M106" s="77">
        <v>45</v>
      </c>
      <c r="N106" s="77">
        <v>26</v>
      </c>
      <c r="O106" s="77">
        <v>16</v>
      </c>
      <c r="P106" s="77">
        <v>3</v>
      </c>
      <c r="R106" s="77">
        <v>40</v>
      </c>
      <c r="S106" s="77">
        <v>22</v>
      </c>
      <c r="T106" s="77">
        <v>13</v>
      </c>
      <c r="U106" s="77">
        <v>5</v>
      </c>
      <c r="W106">
        <v>27</v>
      </c>
      <c r="X106">
        <v>25</v>
      </c>
      <c r="Y106">
        <v>2</v>
      </c>
      <c r="Z106">
        <v>0</v>
      </c>
      <c r="AB106" s="86">
        <f t="shared" si="5"/>
        <v>112</v>
      </c>
      <c r="AC106" s="86">
        <f t="shared" si="6"/>
        <v>73</v>
      </c>
      <c r="AD106" s="86">
        <f t="shared" si="7"/>
        <v>31</v>
      </c>
      <c r="AE106" s="86">
        <f t="shared" si="8"/>
        <v>8</v>
      </c>
      <c r="AF106" s="91">
        <f t="shared" si="1"/>
        <v>0.42465753424657532</v>
      </c>
      <c r="AH106" s="84">
        <f t="shared" si="20"/>
        <v>0.21917808219178081</v>
      </c>
      <c r="AI106" s="84">
        <f t="shared" si="21"/>
        <v>0.1095890410958904</v>
      </c>
      <c r="AJ106" s="84">
        <f t="shared" si="9"/>
        <v>0.42465753424657532</v>
      </c>
      <c r="AK106" s="84">
        <f t="shared" si="10"/>
        <v>0.59090909090909094</v>
      </c>
      <c r="AL106" s="84">
        <f t="shared" si="11"/>
        <v>0.61538461538461542</v>
      </c>
      <c r="AM106" s="84">
        <f t="shared" si="2"/>
        <v>0.42465753424657532</v>
      </c>
      <c r="AO106" s="84">
        <f t="shared" si="12"/>
        <v>0.4296875</v>
      </c>
      <c r="AP106" s="84">
        <f t="shared" si="13"/>
        <v>0.125</v>
      </c>
      <c r="AQ106" s="84">
        <f t="shared" si="14"/>
        <v>6.25E-2</v>
      </c>
      <c r="AR106" s="84">
        <f t="shared" si="15"/>
        <v>0.1484375</v>
      </c>
      <c r="AS106" s="84">
        <f t="shared" si="16"/>
        <v>0.15625</v>
      </c>
      <c r="AU106" s="84">
        <f t="shared" si="17"/>
        <v>1</v>
      </c>
      <c r="AV106" s="84">
        <f t="shared" si="18"/>
        <v>0.42222222222222222</v>
      </c>
      <c r="AW106" s="84">
        <f t="shared" si="19"/>
        <v>0.29850746268656714</v>
      </c>
    </row>
    <row r="107" spans="2:49" x14ac:dyDescent="0.25">
      <c r="B107" s="80">
        <v>43800</v>
      </c>
      <c r="C107">
        <v>124</v>
      </c>
      <c r="D107" s="77">
        <f t="shared" si="3"/>
        <v>69</v>
      </c>
      <c r="E107" s="77">
        <f t="shared" si="22"/>
        <v>48</v>
      </c>
      <c r="F107">
        <v>7</v>
      </c>
      <c r="H107">
        <v>16</v>
      </c>
      <c r="I107">
        <v>0</v>
      </c>
      <c r="J107">
        <v>16</v>
      </c>
      <c r="K107">
        <v>0</v>
      </c>
      <c r="M107" s="77">
        <v>41</v>
      </c>
      <c r="N107" s="77">
        <v>22</v>
      </c>
      <c r="O107" s="77">
        <v>17</v>
      </c>
      <c r="P107" s="77">
        <v>2</v>
      </c>
      <c r="R107" s="77">
        <v>40</v>
      </c>
      <c r="S107" s="77">
        <v>22</v>
      </c>
      <c r="T107" s="77">
        <v>13</v>
      </c>
      <c r="U107" s="77">
        <v>5</v>
      </c>
      <c r="W107">
        <v>27</v>
      </c>
      <c r="X107">
        <v>25</v>
      </c>
      <c r="Y107">
        <v>2</v>
      </c>
      <c r="Z107">
        <v>0</v>
      </c>
      <c r="AB107" s="86">
        <f t="shared" si="5"/>
        <v>108</v>
      </c>
      <c r="AC107" s="86">
        <f t="shared" si="6"/>
        <v>69</v>
      </c>
      <c r="AD107" s="86">
        <f t="shared" si="7"/>
        <v>32</v>
      </c>
      <c r="AE107" s="86">
        <f t="shared" si="8"/>
        <v>7</v>
      </c>
      <c r="AF107" s="91">
        <f t="shared" si="1"/>
        <v>0.46376811594202899</v>
      </c>
      <c r="AH107" s="84">
        <f t="shared" si="20"/>
        <v>0.2318840579710145</v>
      </c>
      <c r="AI107" s="84">
        <f t="shared" si="21"/>
        <v>0.10144927536231885</v>
      </c>
      <c r="AJ107" s="84">
        <f t="shared" si="9"/>
        <v>0.46376811594202899</v>
      </c>
      <c r="AK107" s="84">
        <f t="shared" si="10"/>
        <v>0.59090909090909094</v>
      </c>
      <c r="AL107" s="84">
        <f t="shared" si="11"/>
        <v>0.77272727272727271</v>
      </c>
      <c r="AM107" s="84">
        <f t="shared" si="2"/>
        <v>0.46376811594202899</v>
      </c>
      <c r="AO107" s="84">
        <f t="shared" si="12"/>
        <v>0.44354838709677419</v>
      </c>
      <c r="AP107" s="84">
        <f t="shared" si="13"/>
        <v>0.12903225806451613</v>
      </c>
      <c r="AQ107" s="84">
        <f t="shared" si="14"/>
        <v>5.6451612903225805E-2</v>
      </c>
      <c r="AR107" s="84">
        <f t="shared" si="15"/>
        <v>0.15322580645161291</v>
      </c>
      <c r="AS107" s="84">
        <f t="shared" si="16"/>
        <v>0.16129032258064516</v>
      </c>
      <c r="AU107" s="84">
        <f t="shared" si="17"/>
        <v>1</v>
      </c>
      <c r="AV107" s="84">
        <f t="shared" si="18"/>
        <v>0.46341463414634149</v>
      </c>
      <c r="AW107" s="84">
        <f t="shared" si="19"/>
        <v>0.29850746268656714</v>
      </c>
    </row>
    <row r="108" spans="2:49" x14ac:dyDescent="0.25">
      <c r="B108" s="80">
        <v>43831</v>
      </c>
      <c r="C108" s="77">
        <v>126</v>
      </c>
      <c r="D108" s="77">
        <f>SUM(I108,N108,X108,S108)</f>
        <v>68</v>
      </c>
      <c r="E108" s="77">
        <f>SUM(J108,O108,T108,Y108)</f>
        <v>50</v>
      </c>
      <c r="F108" s="77">
        <v>8</v>
      </c>
      <c r="H108" s="77">
        <v>16</v>
      </c>
      <c r="I108" s="77">
        <v>0</v>
      </c>
      <c r="J108" s="77">
        <v>16</v>
      </c>
      <c r="K108" s="77">
        <v>0</v>
      </c>
      <c r="M108" s="77">
        <v>42</v>
      </c>
      <c r="N108" s="77">
        <v>23</v>
      </c>
      <c r="O108" s="77">
        <v>17</v>
      </c>
      <c r="P108" s="77">
        <v>2</v>
      </c>
      <c r="R108" s="77">
        <v>41</v>
      </c>
      <c r="S108" s="77">
        <v>22</v>
      </c>
      <c r="T108" s="77">
        <v>13</v>
      </c>
      <c r="U108" s="77">
        <v>6</v>
      </c>
      <c r="W108" s="77">
        <v>27</v>
      </c>
      <c r="X108" s="77">
        <v>23</v>
      </c>
      <c r="Y108" s="77">
        <v>4</v>
      </c>
      <c r="Z108" s="77">
        <v>0</v>
      </c>
      <c r="AA108" s="88"/>
      <c r="AB108" s="86">
        <f t="shared" si="5"/>
        <v>110</v>
      </c>
      <c r="AC108" s="86">
        <f t="shared" si="6"/>
        <v>68</v>
      </c>
      <c r="AD108" s="86">
        <f t="shared" si="7"/>
        <v>34</v>
      </c>
      <c r="AE108" s="86">
        <f t="shared" si="8"/>
        <v>8</v>
      </c>
      <c r="AF108" s="91">
        <f t="shared" ref="AF108:AF113" si="23">AD108/AC108</f>
        <v>0.5</v>
      </c>
      <c r="AH108" s="84">
        <f t="shared" si="20"/>
        <v>0.23529411764705882</v>
      </c>
      <c r="AI108" s="84">
        <f t="shared" si="21"/>
        <v>0.11764705882352941</v>
      </c>
      <c r="AJ108" s="84">
        <f t="shared" si="9"/>
        <v>0.5</v>
      </c>
      <c r="AK108" s="84">
        <f t="shared" si="10"/>
        <v>0.59090909090909094</v>
      </c>
      <c r="AL108" s="84">
        <f t="shared" si="11"/>
        <v>0.73913043478260865</v>
      </c>
      <c r="AM108" s="84">
        <f t="shared" si="2"/>
        <v>0.5</v>
      </c>
      <c r="AO108" s="84">
        <f t="shared" si="12"/>
        <v>0.46031746031746029</v>
      </c>
      <c r="AP108" s="84">
        <f>J108/C108</f>
        <v>0.12698412698412698</v>
      </c>
      <c r="AQ108" s="84">
        <f t="shared" ref="AQ108:AQ122" si="24">SUM(U108,P108)/C108</f>
        <v>6.3492063492063489E-2</v>
      </c>
      <c r="AR108" s="84">
        <f t="shared" si="15"/>
        <v>0.15079365079365079</v>
      </c>
      <c r="AS108" s="84">
        <f t="shared" si="16"/>
        <v>0.18253968253968253</v>
      </c>
      <c r="AU108" s="84">
        <f t="shared" si="17"/>
        <v>1</v>
      </c>
      <c r="AV108" s="84">
        <f t="shared" si="18"/>
        <v>0.45238095238095238</v>
      </c>
      <c r="AW108" s="84">
        <f t="shared" si="19"/>
        <v>0.33823529411764708</v>
      </c>
    </row>
    <row r="109" spans="2:49" x14ac:dyDescent="0.25">
      <c r="B109" s="80">
        <v>43862</v>
      </c>
      <c r="C109" s="77">
        <v>121</v>
      </c>
      <c r="D109" s="77">
        <v>65</v>
      </c>
      <c r="E109" s="77">
        <v>51</v>
      </c>
      <c r="F109" s="77">
        <v>8</v>
      </c>
      <c r="H109" s="77">
        <v>16</v>
      </c>
      <c r="I109" s="77">
        <v>0</v>
      </c>
      <c r="J109" s="77">
        <v>16</v>
      </c>
      <c r="K109" s="77">
        <v>0</v>
      </c>
      <c r="M109" s="77">
        <v>39</v>
      </c>
      <c r="N109" s="77">
        <v>22</v>
      </c>
      <c r="O109" s="77">
        <v>15</v>
      </c>
      <c r="P109" s="77">
        <v>2</v>
      </c>
      <c r="R109" s="77">
        <v>40</v>
      </c>
      <c r="S109" s="77">
        <v>21</v>
      </c>
      <c r="T109" s="77">
        <v>13</v>
      </c>
      <c r="U109" s="77">
        <v>6</v>
      </c>
      <c r="W109" s="77">
        <v>26</v>
      </c>
      <c r="X109" s="77">
        <v>22</v>
      </c>
      <c r="Y109" s="77">
        <v>4</v>
      </c>
      <c r="Z109" s="77">
        <v>0</v>
      </c>
      <c r="AB109" s="86">
        <f t="shared" ref="AB109:AB118" si="25">SUM(AC109:AE109)</f>
        <v>105</v>
      </c>
      <c r="AC109" s="86">
        <f t="shared" ref="AC109:AC118" si="26">SUM(S109,N109,X109)</f>
        <v>65</v>
      </c>
      <c r="AD109" s="86">
        <f t="shared" ref="AD109:AD118" si="27">SUM(Y109,T109,O109)</f>
        <v>32</v>
      </c>
      <c r="AE109" s="86">
        <f>SUM(U109,P109,Z109)</f>
        <v>8</v>
      </c>
      <c r="AF109" s="91">
        <f t="shared" si="23"/>
        <v>0.49230769230769234</v>
      </c>
      <c r="AH109" s="84">
        <f>J109/D109</f>
        <v>0.24615384615384617</v>
      </c>
      <c r="AI109" s="84">
        <f>SUM(U109+P109+Z109)/D109</f>
        <v>0.12307692307692308</v>
      </c>
      <c r="AJ109" s="84">
        <f>SUM(Y109+T109+O109)/D109</f>
        <v>0.49230769230769234</v>
      </c>
      <c r="AK109" s="84">
        <f>T109/S109</f>
        <v>0.61904761904761907</v>
      </c>
      <c r="AL109" s="84">
        <f>O109/N109</f>
        <v>0.68181818181818177</v>
      </c>
      <c r="AM109" s="84">
        <f>AD109/AC109</f>
        <v>0.49230769230769234</v>
      </c>
      <c r="AO109" s="84">
        <f>SUM(E109:F109)/C109</f>
        <v>0.48760330578512395</v>
      </c>
      <c r="AP109" s="84">
        <f>J109/C109</f>
        <v>0.13223140495867769</v>
      </c>
      <c r="AQ109" s="84">
        <f t="shared" si="24"/>
        <v>6.6115702479338845E-2</v>
      </c>
      <c r="AR109" s="84">
        <f>SUM(O109:P109)/C109</f>
        <v>0.14049586776859505</v>
      </c>
      <c r="AS109" s="84">
        <f>SUM(T109:U109,Y109:Z109)/C109</f>
        <v>0.19008264462809918</v>
      </c>
      <c r="AU109" s="84">
        <f>J109/H109</f>
        <v>1</v>
      </c>
      <c r="AV109" s="84">
        <f>SUM(O109:P109)/M109</f>
        <v>0.4358974358974359</v>
      </c>
      <c r="AW109" s="84">
        <f>SUM(Y109:Z109,T109:U109)/SUM(W109,R109)</f>
        <v>0.34848484848484851</v>
      </c>
    </row>
    <row r="110" spans="2:49" x14ac:dyDescent="0.25">
      <c r="B110" s="80">
        <v>43891</v>
      </c>
      <c r="C110" s="77">
        <v>119</v>
      </c>
      <c r="D110" s="77">
        <v>64</v>
      </c>
      <c r="E110" s="77">
        <v>47</v>
      </c>
      <c r="F110" s="77">
        <v>8</v>
      </c>
      <c r="H110" s="77">
        <v>16</v>
      </c>
      <c r="I110" s="77">
        <v>0</v>
      </c>
      <c r="J110" s="77">
        <v>16</v>
      </c>
      <c r="K110" s="77">
        <v>0</v>
      </c>
      <c r="M110" s="77">
        <v>38</v>
      </c>
      <c r="N110" s="77">
        <v>22</v>
      </c>
      <c r="O110" s="77">
        <v>14</v>
      </c>
      <c r="P110" s="77">
        <v>2</v>
      </c>
      <c r="R110" s="77">
        <v>40</v>
      </c>
      <c r="S110" s="77">
        <v>21</v>
      </c>
      <c r="T110" s="77">
        <v>13</v>
      </c>
      <c r="U110" s="77">
        <v>6</v>
      </c>
      <c r="W110" s="77">
        <v>25</v>
      </c>
      <c r="X110" s="77">
        <v>21</v>
      </c>
      <c r="Y110" s="77">
        <v>4</v>
      </c>
      <c r="Z110" s="77">
        <v>0</v>
      </c>
      <c r="AB110" s="86">
        <f t="shared" si="25"/>
        <v>103</v>
      </c>
      <c r="AC110" s="86">
        <f t="shared" si="26"/>
        <v>64</v>
      </c>
      <c r="AD110" s="86">
        <f t="shared" si="27"/>
        <v>31</v>
      </c>
      <c r="AE110" s="86">
        <f>SUM(U110,P110,Z110)</f>
        <v>8</v>
      </c>
      <c r="AF110" s="91">
        <f t="shared" si="23"/>
        <v>0.484375</v>
      </c>
      <c r="AH110" s="84">
        <f>J110/D110</f>
        <v>0.25</v>
      </c>
      <c r="AI110" s="84">
        <f>SUM(U110+P110+Z110)/D110</f>
        <v>0.125</v>
      </c>
      <c r="AJ110" s="84">
        <f>SUM(Y110+T110+O110)/D110</f>
        <v>0.484375</v>
      </c>
      <c r="AK110" s="84">
        <f>T110/S110</f>
        <v>0.61904761904761907</v>
      </c>
      <c r="AL110" s="84">
        <f>O110/N110</f>
        <v>0.63636363636363635</v>
      </c>
      <c r="AM110" s="84">
        <f>AD110/AC110</f>
        <v>0.484375</v>
      </c>
      <c r="AO110" s="84">
        <f>SUM(E110:F110)/C110</f>
        <v>0.46218487394957986</v>
      </c>
      <c r="AP110" s="84">
        <f>J110/C110</f>
        <v>0.13445378151260504</v>
      </c>
      <c r="AQ110" s="84">
        <f t="shared" si="24"/>
        <v>6.7226890756302518E-2</v>
      </c>
      <c r="AR110" s="84">
        <f>SUM(O110:P110)/C110</f>
        <v>0.13445378151260504</v>
      </c>
      <c r="AS110" s="84">
        <f>SUM(T110:U110,Y110:Z110)/C110</f>
        <v>0.19327731092436976</v>
      </c>
      <c r="AU110" s="84">
        <f>J110/H110</f>
        <v>1</v>
      </c>
      <c r="AV110" s="84">
        <f>SUM(O110:P110)/M110</f>
        <v>0.42105263157894735</v>
      </c>
      <c r="AW110" s="84">
        <f>SUM(Y110:Z110,T110:U110)/SUM(W110,R110)</f>
        <v>0.35384615384615387</v>
      </c>
    </row>
    <row r="111" spans="2:49" x14ac:dyDescent="0.25">
      <c r="B111" s="80">
        <v>43922</v>
      </c>
      <c r="C111" s="77">
        <v>117</v>
      </c>
      <c r="D111" s="77">
        <v>62</v>
      </c>
      <c r="E111" s="77">
        <v>47</v>
      </c>
      <c r="F111" s="77">
        <v>8</v>
      </c>
      <c r="H111" s="77">
        <v>16</v>
      </c>
      <c r="I111" s="77">
        <v>0</v>
      </c>
      <c r="J111" s="77">
        <v>16</v>
      </c>
      <c r="K111" s="77">
        <v>0</v>
      </c>
      <c r="M111" s="77">
        <v>38</v>
      </c>
      <c r="N111" s="77">
        <v>22</v>
      </c>
      <c r="O111" s="77">
        <v>14</v>
      </c>
      <c r="P111" s="77">
        <v>2</v>
      </c>
      <c r="R111" s="77">
        <v>38</v>
      </c>
      <c r="S111" s="77">
        <v>19</v>
      </c>
      <c r="T111" s="77">
        <v>13</v>
      </c>
      <c r="U111" s="77">
        <v>6</v>
      </c>
      <c r="W111" s="77">
        <v>25</v>
      </c>
      <c r="X111" s="77">
        <v>21</v>
      </c>
      <c r="Y111" s="77">
        <v>4</v>
      </c>
      <c r="Z111" s="77">
        <v>0</v>
      </c>
      <c r="AB111" s="86">
        <f t="shared" si="25"/>
        <v>101</v>
      </c>
      <c r="AC111" s="86">
        <f t="shared" si="26"/>
        <v>62</v>
      </c>
      <c r="AD111" s="86">
        <f t="shared" si="27"/>
        <v>31</v>
      </c>
      <c r="AE111" s="86">
        <f>SUM(U111,P111,Z111)</f>
        <v>8</v>
      </c>
      <c r="AF111" s="91">
        <f t="shared" si="23"/>
        <v>0.5</v>
      </c>
      <c r="AH111" s="84">
        <f>J111/D111</f>
        <v>0.25806451612903225</v>
      </c>
      <c r="AI111" s="84">
        <f>SUM(U111+P111+Z111)/D111</f>
        <v>0.12903225806451613</v>
      </c>
      <c r="AJ111" s="84">
        <f>SUM(Y111+T111+O111)/D111</f>
        <v>0.5</v>
      </c>
      <c r="AK111" s="84">
        <f t="shared" ref="AK111:AK122" si="28">T111/S111</f>
        <v>0.68421052631578949</v>
      </c>
      <c r="AL111" s="84">
        <f t="shared" ref="AL111:AL122" si="29">O111/N111</f>
        <v>0.63636363636363635</v>
      </c>
      <c r="AM111" s="84">
        <f t="shared" ref="AM111:AM122" si="30">AD111/AC111</f>
        <v>0.5</v>
      </c>
      <c r="AO111" s="84">
        <f t="shared" ref="AO111:AO122" si="31">SUM(E111:F111)/C111</f>
        <v>0.47008547008547008</v>
      </c>
      <c r="AP111" s="84">
        <f>J111/C111</f>
        <v>0.13675213675213677</v>
      </c>
      <c r="AQ111" s="84">
        <f t="shared" si="24"/>
        <v>6.8376068376068383E-2</v>
      </c>
      <c r="AR111" s="84">
        <f t="shared" ref="AR111:AR122" si="32">SUM(O111:P111)/C111</f>
        <v>0.13675213675213677</v>
      </c>
      <c r="AS111" s="84">
        <f t="shared" ref="AS111:AS122" si="33">SUM(T111:U111,Y111:Z111)/C111</f>
        <v>0.19658119658119658</v>
      </c>
      <c r="AU111" s="84">
        <f>J111/H111</f>
        <v>1</v>
      </c>
      <c r="AV111" s="84">
        <f t="shared" ref="AV111:AV122" si="34">SUM(O111:P111)/M111</f>
        <v>0.42105263157894735</v>
      </c>
      <c r="AW111" s="84">
        <f t="shared" ref="AW111:AW122" si="35">SUM(Y111:Z111,T111:U111)/SUM(W111,R111)</f>
        <v>0.36507936507936506</v>
      </c>
    </row>
    <row r="112" spans="2:49" x14ac:dyDescent="0.25">
      <c r="B112" s="80">
        <v>43952</v>
      </c>
      <c r="C112" s="151">
        <v>118</v>
      </c>
      <c r="D112" s="152">
        <v>66</v>
      </c>
      <c r="E112" s="152">
        <v>44</v>
      </c>
      <c r="F112" s="153">
        <v>8</v>
      </c>
      <c r="H112" s="77">
        <v>16</v>
      </c>
      <c r="I112" s="77">
        <v>0</v>
      </c>
      <c r="J112" s="77">
        <v>16</v>
      </c>
      <c r="K112" s="77">
        <v>0</v>
      </c>
      <c r="M112" s="152">
        <v>38</v>
      </c>
      <c r="N112" s="152">
        <v>25</v>
      </c>
      <c r="O112" s="152">
        <v>11</v>
      </c>
      <c r="P112" s="152">
        <v>2</v>
      </c>
      <c r="R112" s="152">
        <v>39</v>
      </c>
      <c r="S112" s="152">
        <v>20</v>
      </c>
      <c r="T112" s="152">
        <v>13</v>
      </c>
      <c r="U112" s="152">
        <v>6</v>
      </c>
      <c r="W112" s="154">
        <v>25</v>
      </c>
      <c r="X112" s="154">
        <v>21</v>
      </c>
      <c r="Y112" s="154">
        <v>4</v>
      </c>
      <c r="Z112" s="154">
        <v>0</v>
      </c>
      <c r="AB112" s="154">
        <f t="shared" si="25"/>
        <v>102</v>
      </c>
      <c r="AC112" s="154">
        <f t="shared" si="26"/>
        <v>66</v>
      </c>
      <c r="AD112" s="154">
        <f t="shared" si="27"/>
        <v>28</v>
      </c>
      <c r="AE112" s="154">
        <f>SUM(U112,P112,Z112)</f>
        <v>8</v>
      </c>
      <c r="AF112" s="91">
        <f t="shared" si="23"/>
        <v>0.42424242424242425</v>
      </c>
      <c r="AH112" s="84">
        <f t="shared" ref="AH112:AH122" si="36">J112/D112</f>
        <v>0.24242424242424243</v>
      </c>
      <c r="AI112" s="84">
        <f t="shared" ref="AI112:AI122" si="37">SUM(U112+P112+Z112)/D112</f>
        <v>0.12121212121212122</v>
      </c>
      <c r="AJ112" s="84">
        <f t="shared" ref="AJ112:AJ122" si="38">SUM(Y112+T112+O112)/D112</f>
        <v>0.42424242424242425</v>
      </c>
      <c r="AK112" s="84">
        <f t="shared" si="28"/>
        <v>0.65</v>
      </c>
      <c r="AL112" s="84">
        <f t="shared" si="29"/>
        <v>0.44</v>
      </c>
      <c r="AM112" s="84">
        <f t="shared" si="30"/>
        <v>0.42424242424242425</v>
      </c>
      <c r="AO112" s="84">
        <f t="shared" si="31"/>
        <v>0.44067796610169491</v>
      </c>
      <c r="AP112" s="84">
        <f t="shared" ref="AP112:AP122" si="39">J112/C112</f>
        <v>0.13559322033898305</v>
      </c>
      <c r="AQ112" s="84">
        <f t="shared" si="24"/>
        <v>6.7796610169491525E-2</v>
      </c>
      <c r="AR112" s="84">
        <f t="shared" si="32"/>
        <v>0.11016949152542373</v>
      </c>
      <c r="AS112" s="84">
        <f t="shared" si="33"/>
        <v>0.19491525423728814</v>
      </c>
      <c r="AU112" s="84">
        <f t="shared" ref="AU112:AU122" si="40">J112/H112</f>
        <v>1</v>
      </c>
      <c r="AV112" s="84">
        <f t="shared" si="34"/>
        <v>0.34210526315789475</v>
      </c>
      <c r="AW112" s="84">
        <f t="shared" si="35"/>
        <v>0.359375</v>
      </c>
    </row>
    <row r="113" spans="2:49" x14ac:dyDescent="0.25">
      <c r="B113" s="80">
        <v>43983</v>
      </c>
      <c r="C113" s="151">
        <v>128</v>
      </c>
      <c r="D113" s="152">
        <v>77</v>
      </c>
      <c r="E113" s="152">
        <v>42</v>
      </c>
      <c r="F113" s="153">
        <v>9</v>
      </c>
      <c r="H113" s="77">
        <v>16</v>
      </c>
      <c r="I113" s="77">
        <v>0</v>
      </c>
      <c r="J113" s="77">
        <v>16</v>
      </c>
      <c r="K113" s="77">
        <v>0</v>
      </c>
      <c r="M113" s="152">
        <v>36</v>
      </c>
      <c r="N113" s="152">
        <v>24</v>
      </c>
      <c r="O113" s="152">
        <v>10</v>
      </c>
      <c r="P113" s="152">
        <v>2</v>
      </c>
      <c r="R113" s="152">
        <v>45</v>
      </c>
      <c r="S113" s="152">
        <v>26</v>
      </c>
      <c r="T113" s="152">
        <v>12</v>
      </c>
      <c r="U113" s="152">
        <v>7</v>
      </c>
      <c r="W113" s="154">
        <v>31</v>
      </c>
      <c r="X113" s="154">
        <v>27</v>
      </c>
      <c r="Y113" s="154">
        <v>4</v>
      </c>
      <c r="Z113" s="154">
        <v>0</v>
      </c>
      <c r="AB113" s="154">
        <f t="shared" si="25"/>
        <v>112</v>
      </c>
      <c r="AC113" s="154">
        <f t="shared" si="26"/>
        <v>77</v>
      </c>
      <c r="AD113" s="154">
        <f t="shared" si="27"/>
        <v>26</v>
      </c>
      <c r="AE113" s="154">
        <f>SUM(U113,P113,Z113)</f>
        <v>9</v>
      </c>
      <c r="AF113" s="91">
        <f t="shared" si="23"/>
        <v>0.33766233766233766</v>
      </c>
      <c r="AH113" s="84">
        <f t="shared" si="36"/>
        <v>0.20779220779220781</v>
      </c>
      <c r="AI113" s="84">
        <f t="shared" si="37"/>
        <v>0.11688311688311688</v>
      </c>
      <c r="AJ113" s="84">
        <f t="shared" si="38"/>
        <v>0.33766233766233766</v>
      </c>
      <c r="AK113" s="84">
        <f t="shared" si="28"/>
        <v>0.46153846153846156</v>
      </c>
      <c r="AL113" s="84">
        <f t="shared" si="29"/>
        <v>0.41666666666666669</v>
      </c>
      <c r="AM113" s="84">
        <f t="shared" si="30"/>
        <v>0.33766233766233766</v>
      </c>
      <c r="AO113" s="84">
        <f t="shared" si="31"/>
        <v>0.3984375</v>
      </c>
      <c r="AP113" s="84">
        <f t="shared" si="39"/>
        <v>0.125</v>
      </c>
      <c r="AQ113" s="84">
        <f t="shared" si="24"/>
        <v>7.03125E-2</v>
      </c>
      <c r="AR113" s="84">
        <f t="shared" si="32"/>
        <v>9.375E-2</v>
      </c>
      <c r="AS113" s="84">
        <f t="shared" si="33"/>
        <v>0.1796875</v>
      </c>
      <c r="AU113" s="84">
        <f t="shared" si="40"/>
        <v>1</v>
      </c>
      <c r="AV113" s="84">
        <f t="shared" si="34"/>
        <v>0.33333333333333331</v>
      </c>
      <c r="AW113" s="84">
        <f t="shared" si="35"/>
        <v>0.30263157894736842</v>
      </c>
    </row>
    <row r="114" spans="2:49" x14ac:dyDescent="0.25">
      <c r="B114" s="80">
        <v>44013</v>
      </c>
      <c r="C114" s="151">
        <v>135</v>
      </c>
      <c r="D114" s="152">
        <v>85</v>
      </c>
      <c r="E114" s="152">
        <v>42</v>
      </c>
      <c r="F114" s="153">
        <v>8</v>
      </c>
      <c r="H114" s="152">
        <v>16</v>
      </c>
      <c r="I114" s="152">
        <v>0</v>
      </c>
      <c r="J114" s="152">
        <v>16</v>
      </c>
      <c r="K114" s="152">
        <v>0</v>
      </c>
      <c r="M114" s="152">
        <v>38</v>
      </c>
      <c r="N114" s="152">
        <v>26</v>
      </c>
      <c r="O114" s="152">
        <v>10</v>
      </c>
      <c r="P114" s="152">
        <v>2</v>
      </c>
      <c r="R114" s="152">
        <v>48</v>
      </c>
      <c r="S114" s="152">
        <v>30</v>
      </c>
      <c r="T114" s="152">
        <v>12</v>
      </c>
      <c r="U114" s="152">
        <v>6</v>
      </c>
      <c r="W114" s="154">
        <v>33</v>
      </c>
      <c r="X114" s="154">
        <v>29</v>
      </c>
      <c r="Y114" s="154">
        <v>4</v>
      </c>
      <c r="Z114" s="154">
        <v>0</v>
      </c>
      <c r="AB114" s="154">
        <f t="shared" si="25"/>
        <v>119</v>
      </c>
      <c r="AC114" s="154">
        <f t="shared" si="26"/>
        <v>85</v>
      </c>
      <c r="AD114" s="154">
        <f t="shared" si="27"/>
        <v>26</v>
      </c>
      <c r="AE114" s="154">
        <f t="shared" ref="AE114:AE122" si="41">SUM(U114,P114,Z114)</f>
        <v>8</v>
      </c>
      <c r="AF114" s="91">
        <f t="shared" ref="AF114:AF122" si="42">AD114/AC114</f>
        <v>0.30588235294117649</v>
      </c>
      <c r="AH114" s="84">
        <f t="shared" si="36"/>
        <v>0.18823529411764706</v>
      </c>
      <c r="AI114" s="84">
        <f t="shared" si="37"/>
        <v>9.4117647058823528E-2</v>
      </c>
      <c r="AJ114" s="84">
        <f t="shared" si="38"/>
        <v>0.30588235294117649</v>
      </c>
      <c r="AK114" s="84">
        <f t="shared" si="28"/>
        <v>0.4</v>
      </c>
      <c r="AL114" s="84">
        <f t="shared" si="29"/>
        <v>0.38461538461538464</v>
      </c>
      <c r="AM114" s="84">
        <f t="shared" si="30"/>
        <v>0.30588235294117649</v>
      </c>
      <c r="AO114" s="84">
        <f t="shared" si="31"/>
        <v>0.37037037037037035</v>
      </c>
      <c r="AP114" s="84">
        <f t="shared" si="39"/>
        <v>0.11851851851851852</v>
      </c>
      <c r="AQ114" s="84">
        <f t="shared" si="24"/>
        <v>5.9259259259259262E-2</v>
      </c>
      <c r="AR114" s="84">
        <f t="shared" si="32"/>
        <v>8.8888888888888892E-2</v>
      </c>
      <c r="AS114" s="84">
        <f t="shared" si="33"/>
        <v>0.16296296296296298</v>
      </c>
      <c r="AU114" s="84">
        <f t="shared" si="40"/>
        <v>1</v>
      </c>
      <c r="AV114" s="84">
        <f t="shared" si="34"/>
        <v>0.31578947368421051</v>
      </c>
      <c r="AW114" s="84">
        <f t="shared" si="35"/>
        <v>0.27160493827160492</v>
      </c>
    </row>
    <row r="115" spans="2:49" x14ac:dyDescent="0.25">
      <c r="B115" s="80">
        <v>44044</v>
      </c>
      <c r="C115" s="151">
        <v>132</v>
      </c>
      <c r="D115" s="152">
        <v>83</v>
      </c>
      <c r="E115" s="152">
        <v>40</v>
      </c>
      <c r="F115" s="153">
        <v>9</v>
      </c>
      <c r="H115" s="152">
        <v>16</v>
      </c>
      <c r="I115" s="152">
        <v>0</v>
      </c>
      <c r="J115" s="152">
        <v>16</v>
      </c>
      <c r="K115" s="152">
        <v>0</v>
      </c>
      <c r="M115" s="152">
        <v>39</v>
      </c>
      <c r="N115" s="152">
        <v>27</v>
      </c>
      <c r="O115" s="152">
        <v>10</v>
      </c>
      <c r="P115" s="152">
        <v>2</v>
      </c>
      <c r="R115" s="152">
        <v>44</v>
      </c>
      <c r="S115" s="152">
        <v>27</v>
      </c>
      <c r="T115" s="152">
        <v>10</v>
      </c>
      <c r="U115" s="152">
        <v>7</v>
      </c>
      <c r="W115" s="154">
        <v>33</v>
      </c>
      <c r="X115" s="154">
        <v>29</v>
      </c>
      <c r="Y115" s="154">
        <v>4</v>
      </c>
      <c r="Z115" s="154">
        <v>0</v>
      </c>
      <c r="AB115" s="154">
        <f t="shared" si="25"/>
        <v>116</v>
      </c>
      <c r="AC115" s="154">
        <f t="shared" si="26"/>
        <v>83</v>
      </c>
      <c r="AD115" s="154">
        <f t="shared" si="27"/>
        <v>24</v>
      </c>
      <c r="AE115" s="154">
        <f t="shared" si="41"/>
        <v>9</v>
      </c>
      <c r="AF115" s="91">
        <f t="shared" si="42"/>
        <v>0.28915662650602408</v>
      </c>
      <c r="AH115" s="84">
        <f t="shared" si="36"/>
        <v>0.19277108433734941</v>
      </c>
      <c r="AI115" s="84">
        <f t="shared" si="37"/>
        <v>0.10843373493975904</v>
      </c>
      <c r="AJ115" s="84">
        <f t="shared" si="38"/>
        <v>0.28915662650602408</v>
      </c>
      <c r="AK115" s="84">
        <f t="shared" si="28"/>
        <v>0.37037037037037035</v>
      </c>
      <c r="AL115" s="84">
        <f t="shared" si="29"/>
        <v>0.37037037037037035</v>
      </c>
      <c r="AM115" s="84">
        <f t="shared" si="30"/>
        <v>0.28915662650602408</v>
      </c>
      <c r="AO115" s="84">
        <f t="shared" si="31"/>
        <v>0.37121212121212122</v>
      </c>
      <c r="AP115" s="84">
        <f t="shared" si="39"/>
        <v>0.12121212121212122</v>
      </c>
      <c r="AQ115" s="84">
        <f t="shared" si="24"/>
        <v>6.8181818181818177E-2</v>
      </c>
      <c r="AR115" s="84">
        <f t="shared" si="32"/>
        <v>9.0909090909090912E-2</v>
      </c>
      <c r="AS115" s="84">
        <f t="shared" si="33"/>
        <v>0.15909090909090909</v>
      </c>
      <c r="AU115" s="84">
        <f t="shared" si="40"/>
        <v>1</v>
      </c>
      <c r="AV115" s="84">
        <f t="shared" si="34"/>
        <v>0.30769230769230771</v>
      </c>
      <c r="AW115" s="84">
        <f t="shared" si="35"/>
        <v>0.27272727272727271</v>
      </c>
    </row>
    <row r="116" spans="2:49" x14ac:dyDescent="0.25">
      <c r="B116" s="80">
        <v>44075</v>
      </c>
      <c r="C116" s="151">
        <v>135</v>
      </c>
      <c r="D116" s="152">
        <v>83</v>
      </c>
      <c r="E116" s="152">
        <v>42</v>
      </c>
      <c r="F116" s="153">
        <v>10</v>
      </c>
      <c r="H116" s="152">
        <v>16</v>
      </c>
      <c r="I116" s="152">
        <v>0</v>
      </c>
      <c r="J116" s="152">
        <v>16</v>
      </c>
      <c r="K116" s="152">
        <v>0</v>
      </c>
      <c r="M116" s="152">
        <v>42</v>
      </c>
      <c r="N116" s="152">
        <v>29</v>
      </c>
      <c r="O116" s="152">
        <v>10</v>
      </c>
      <c r="P116" s="152">
        <v>3</v>
      </c>
      <c r="R116" s="152">
        <v>48</v>
      </c>
      <c r="S116" s="152">
        <v>29</v>
      </c>
      <c r="T116" s="152">
        <v>12</v>
      </c>
      <c r="U116" s="152">
        <v>7</v>
      </c>
      <c r="W116" s="154">
        <v>29</v>
      </c>
      <c r="X116" s="154">
        <v>25</v>
      </c>
      <c r="Y116" s="154">
        <v>4</v>
      </c>
      <c r="Z116" s="154">
        <v>0</v>
      </c>
      <c r="AB116" s="154">
        <f t="shared" si="25"/>
        <v>119</v>
      </c>
      <c r="AC116" s="154">
        <f t="shared" si="26"/>
        <v>83</v>
      </c>
      <c r="AD116" s="154">
        <f t="shared" si="27"/>
        <v>26</v>
      </c>
      <c r="AE116" s="154">
        <f t="shared" si="41"/>
        <v>10</v>
      </c>
      <c r="AF116" s="91">
        <f t="shared" si="42"/>
        <v>0.31325301204819278</v>
      </c>
      <c r="AH116" s="84">
        <f t="shared" si="36"/>
        <v>0.19277108433734941</v>
      </c>
      <c r="AI116" s="84">
        <f t="shared" si="37"/>
        <v>0.12048192771084337</v>
      </c>
      <c r="AJ116" s="84">
        <f t="shared" si="38"/>
        <v>0.31325301204819278</v>
      </c>
      <c r="AK116" s="84">
        <f t="shared" si="28"/>
        <v>0.41379310344827586</v>
      </c>
      <c r="AL116" s="84">
        <f t="shared" si="29"/>
        <v>0.34482758620689657</v>
      </c>
      <c r="AM116" s="84">
        <f t="shared" si="30"/>
        <v>0.31325301204819278</v>
      </c>
      <c r="AO116" s="84">
        <f t="shared" si="31"/>
        <v>0.38518518518518519</v>
      </c>
      <c r="AP116" s="84">
        <f t="shared" si="39"/>
        <v>0.11851851851851852</v>
      </c>
      <c r="AQ116" s="84">
        <f t="shared" si="24"/>
        <v>7.407407407407407E-2</v>
      </c>
      <c r="AR116" s="84">
        <f t="shared" si="32"/>
        <v>9.6296296296296297E-2</v>
      </c>
      <c r="AS116" s="84">
        <f t="shared" si="33"/>
        <v>0.17037037037037037</v>
      </c>
      <c r="AU116" s="84">
        <f t="shared" si="40"/>
        <v>1</v>
      </c>
      <c r="AV116" s="84">
        <f t="shared" si="34"/>
        <v>0.30952380952380953</v>
      </c>
      <c r="AW116" s="84">
        <f t="shared" si="35"/>
        <v>0.29870129870129869</v>
      </c>
    </row>
    <row r="117" spans="2:49" x14ac:dyDescent="0.25">
      <c r="B117" s="80">
        <v>44105</v>
      </c>
      <c r="C117" s="151">
        <v>141</v>
      </c>
      <c r="D117" s="152">
        <v>89</v>
      </c>
      <c r="E117" s="152">
        <v>43</v>
      </c>
      <c r="F117" s="153">
        <v>9</v>
      </c>
      <c r="H117" s="152">
        <v>16</v>
      </c>
      <c r="I117" s="152">
        <v>0</v>
      </c>
      <c r="J117" s="152">
        <v>16</v>
      </c>
      <c r="K117" s="152">
        <v>0</v>
      </c>
      <c r="M117" s="152">
        <v>44</v>
      </c>
      <c r="N117" s="152">
        <v>31</v>
      </c>
      <c r="O117" s="152">
        <v>10</v>
      </c>
      <c r="P117" s="152">
        <v>3</v>
      </c>
      <c r="R117" s="152">
        <v>51</v>
      </c>
      <c r="S117" s="152">
        <v>32</v>
      </c>
      <c r="T117" s="152">
        <v>13</v>
      </c>
      <c r="U117" s="152">
        <v>6</v>
      </c>
      <c r="W117" s="154">
        <v>30</v>
      </c>
      <c r="X117" s="154">
        <v>26</v>
      </c>
      <c r="Y117" s="154">
        <v>4</v>
      </c>
      <c r="Z117" s="154">
        <v>0</v>
      </c>
      <c r="AB117" s="154">
        <f t="shared" si="25"/>
        <v>125</v>
      </c>
      <c r="AC117" s="154">
        <f t="shared" si="26"/>
        <v>89</v>
      </c>
      <c r="AD117" s="154">
        <f t="shared" si="27"/>
        <v>27</v>
      </c>
      <c r="AE117" s="154">
        <f t="shared" si="41"/>
        <v>9</v>
      </c>
      <c r="AF117" s="91">
        <f t="shared" si="42"/>
        <v>0.30337078651685395</v>
      </c>
      <c r="AH117" s="84">
        <f t="shared" si="36"/>
        <v>0.1797752808988764</v>
      </c>
      <c r="AI117" s="84">
        <f t="shared" si="37"/>
        <v>0.10112359550561797</v>
      </c>
      <c r="AJ117" s="84">
        <f t="shared" si="38"/>
        <v>0.30337078651685395</v>
      </c>
      <c r="AK117" s="84">
        <f t="shared" si="28"/>
        <v>0.40625</v>
      </c>
      <c r="AL117" s="84">
        <f t="shared" si="29"/>
        <v>0.32258064516129031</v>
      </c>
      <c r="AM117" s="84">
        <f t="shared" si="30"/>
        <v>0.30337078651685395</v>
      </c>
      <c r="AO117" s="84">
        <f t="shared" si="31"/>
        <v>0.36879432624113473</v>
      </c>
      <c r="AP117" s="84">
        <f t="shared" si="39"/>
        <v>0.11347517730496454</v>
      </c>
      <c r="AQ117" s="84">
        <f t="shared" si="24"/>
        <v>6.3829787234042548E-2</v>
      </c>
      <c r="AR117" s="84">
        <f t="shared" si="32"/>
        <v>9.2198581560283682E-2</v>
      </c>
      <c r="AS117" s="84">
        <f t="shared" si="33"/>
        <v>0.16312056737588654</v>
      </c>
      <c r="AU117" s="84">
        <f t="shared" si="40"/>
        <v>1</v>
      </c>
      <c r="AV117" s="84">
        <f t="shared" si="34"/>
        <v>0.29545454545454547</v>
      </c>
      <c r="AW117" s="84">
        <f t="shared" si="35"/>
        <v>0.2839506172839506</v>
      </c>
    </row>
    <row r="118" spans="2:49" x14ac:dyDescent="0.25">
      <c r="B118" s="80">
        <v>44136</v>
      </c>
      <c r="C118" s="151">
        <v>141</v>
      </c>
      <c r="D118" s="152">
        <v>90</v>
      </c>
      <c r="E118" s="152">
        <v>42</v>
      </c>
      <c r="F118" s="153">
        <v>9</v>
      </c>
      <c r="H118" s="152">
        <v>16</v>
      </c>
      <c r="I118" s="152">
        <v>0</v>
      </c>
      <c r="J118" s="152">
        <v>16</v>
      </c>
      <c r="K118" s="152">
        <v>0</v>
      </c>
      <c r="M118" s="152">
        <v>44</v>
      </c>
      <c r="N118" s="152">
        <v>31</v>
      </c>
      <c r="O118" s="152">
        <v>10</v>
      </c>
      <c r="P118" s="152">
        <v>3</v>
      </c>
      <c r="R118" s="152">
        <v>52</v>
      </c>
      <c r="S118" s="152">
        <v>34</v>
      </c>
      <c r="T118" s="152">
        <v>12</v>
      </c>
      <c r="U118" s="152">
        <v>6</v>
      </c>
      <c r="W118" s="154">
        <v>29</v>
      </c>
      <c r="X118" s="154">
        <v>25</v>
      </c>
      <c r="Y118" s="154">
        <v>4</v>
      </c>
      <c r="Z118" s="154">
        <v>0</v>
      </c>
      <c r="AB118" s="154">
        <f t="shared" si="25"/>
        <v>125</v>
      </c>
      <c r="AC118" s="154">
        <f t="shared" si="26"/>
        <v>90</v>
      </c>
      <c r="AD118" s="154">
        <f t="shared" si="27"/>
        <v>26</v>
      </c>
      <c r="AE118" s="154">
        <f t="shared" si="41"/>
        <v>9</v>
      </c>
      <c r="AF118" s="91">
        <f t="shared" si="42"/>
        <v>0.28888888888888886</v>
      </c>
      <c r="AH118" s="84">
        <f t="shared" si="36"/>
        <v>0.17777777777777778</v>
      </c>
      <c r="AI118" s="84">
        <f t="shared" si="37"/>
        <v>0.1</v>
      </c>
      <c r="AJ118" s="84">
        <f t="shared" si="38"/>
        <v>0.28888888888888886</v>
      </c>
      <c r="AK118" s="84">
        <f t="shared" si="28"/>
        <v>0.35294117647058826</v>
      </c>
      <c r="AL118" s="84">
        <f t="shared" si="29"/>
        <v>0.32258064516129031</v>
      </c>
      <c r="AM118" s="84">
        <f t="shared" si="30"/>
        <v>0.28888888888888886</v>
      </c>
      <c r="AO118" s="84">
        <f t="shared" si="31"/>
        <v>0.36170212765957449</v>
      </c>
      <c r="AP118" s="84">
        <f t="shared" si="39"/>
        <v>0.11347517730496454</v>
      </c>
      <c r="AQ118" s="84">
        <f t="shared" si="24"/>
        <v>6.3829787234042548E-2</v>
      </c>
      <c r="AR118" s="84">
        <f t="shared" si="32"/>
        <v>9.2198581560283682E-2</v>
      </c>
      <c r="AS118" s="84">
        <f t="shared" si="33"/>
        <v>0.15602836879432624</v>
      </c>
      <c r="AU118" s="84">
        <f t="shared" si="40"/>
        <v>1</v>
      </c>
      <c r="AV118" s="84">
        <f t="shared" si="34"/>
        <v>0.29545454545454547</v>
      </c>
      <c r="AW118" s="84">
        <f t="shared" si="35"/>
        <v>0.27160493827160492</v>
      </c>
    </row>
    <row r="119" spans="2:49" x14ac:dyDescent="0.25">
      <c r="B119" s="80">
        <v>44166</v>
      </c>
      <c r="C119" s="151">
        <v>139</v>
      </c>
      <c r="D119" s="152">
        <v>87</v>
      </c>
      <c r="E119" s="152">
        <v>43</v>
      </c>
      <c r="F119" s="153">
        <v>9</v>
      </c>
      <c r="H119" s="152">
        <v>16</v>
      </c>
      <c r="I119" s="152">
        <v>0</v>
      </c>
      <c r="J119" s="152">
        <v>16</v>
      </c>
      <c r="K119" s="152">
        <v>0</v>
      </c>
      <c r="M119" s="152">
        <v>43</v>
      </c>
      <c r="N119" s="152">
        <v>29</v>
      </c>
      <c r="O119" s="152">
        <v>11</v>
      </c>
      <c r="P119" s="152">
        <v>3</v>
      </c>
      <c r="R119" s="152">
        <v>51</v>
      </c>
      <c r="S119" s="152">
        <v>33</v>
      </c>
      <c r="T119" s="152">
        <v>12</v>
      </c>
      <c r="U119" s="152">
        <v>6</v>
      </c>
      <c r="W119" s="154">
        <v>29</v>
      </c>
      <c r="X119" s="154">
        <v>25</v>
      </c>
      <c r="Y119" s="154">
        <v>4</v>
      </c>
      <c r="Z119" s="154">
        <v>0</v>
      </c>
      <c r="AB119" s="154">
        <f t="shared" ref="AB119:AB146" si="43">SUM(AC119:AE119)</f>
        <v>123</v>
      </c>
      <c r="AC119" s="154">
        <f t="shared" ref="AC119:AC146" si="44">SUM(S119,N119,X119)</f>
        <v>87</v>
      </c>
      <c r="AD119" s="154">
        <f t="shared" ref="AD119:AD146" si="45">SUM(Y119,T119,O119)</f>
        <v>27</v>
      </c>
      <c r="AE119" s="154">
        <f t="shared" si="41"/>
        <v>9</v>
      </c>
      <c r="AF119" s="91">
        <f t="shared" si="42"/>
        <v>0.31034482758620691</v>
      </c>
      <c r="AH119" s="84">
        <f t="shared" si="36"/>
        <v>0.18390804597701149</v>
      </c>
      <c r="AI119" s="84">
        <f t="shared" si="37"/>
        <v>0.10344827586206896</v>
      </c>
      <c r="AJ119" s="84">
        <f t="shared" si="38"/>
        <v>0.31034482758620691</v>
      </c>
      <c r="AK119" s="84">
        <f t="shared" si="28"/>
        <v>0.36363636363636365</v>
      </c>
      <c r="AL119" s="84">
        <f t="shared" si="29"/>
        <v>0.37931034482758619</v>
      </c>
      <c r="AM119" s="84">
        <f t="shared" si="30"/>
        <v>0.31034482758620691</v>
      </c>
      <c r="AO119" s="84">
        <f t="shared" si="31"/>
        <v>0.37410071942446044</v>
      </c>
      <c r="AP119" s="84">
        <f t="shared" si="39"/>
        <v>0.11510791366906475</v>
      </c>
      <c r="AQ119" s="84">
        <f t="shared" si="24"/>
        <v>6.4748201438848921E-2</v>
      </c>
      <c r="AR119" s="84">
        <f t="shared" si="32"/>
        <v>0.10071942446043165</v>
      </c>
      <c r="AS119" s="84">
        <f t="shared" si="33"/>
        <v>0.15827338129496402</v>
      </c>
      <c r="AU119" s="84">
        <f t="shared" si="40"/>
        <v>1</v>
      </c>
      <c r="AV119" s="84">
        <f t="shared" si="34"/>
        <v>0.32558139534883723</v>
      </c>
      <c r="AW119" s="84">
        <f t="shared" si="35"/>
        <v>0.27500000000000002</v>
      </c>
    </row>
    <row r="120" spans="2:49" x14ac:dyDescent="0.25">
      <c r="B120" s="80">
        <v>44197</v>
      </c>
      <c r="C120" s="151">
        <v>136</v>
      </c>
      <c r="D120" s="152">
        <v>82</v>
      </c>
      <c r="E120" s="152">
        <v>45</v>
      </c>
      <c r="F120" s="153">
        <v>9</v>
      </c>
      <c r="H120" s="152">
        <v>16</v>
      </c>
      <c r="I120" s="152">
        <v>0</v>
      </c>
      <c r="J120" s="152">
        <v>16</v>
      </c>
      <c r="K120" s="152">
        <v>0</v>
      </c>
      <c r="M120" s="152">
        <v>42</v>
      </c>
      <c r="N120" s="152">
        <v>28</v>
      </c>
      <c r="O120" s="152">
        <v>11</v>
      </c>
      <c r="P120" s="152">
        <v>3</v>
      </c>
      <c r="R120" s="152">
        <v>50</v>
      </c>
      <c r="S120" s="152">
        <v>30</v>
      </c>
      <c r="T120" s="152">
        <v>14</v>
      </c>
      <c r="U120" s="152">
        <v>6</v>
      </c>
      <c r="W120" s="154">
        <v>28</v>
      </c>
      <c r="X120" s="154">
        <v>24</v>
      </c>
      <c r="Y120" s="154">
        <v>4</v>
      </c>
      <c r="Z120" s="154">
        <v>0</v>
      </c>
      <c r="AB120" s="154">
        <f t="shared" si="43"/>
        <v>120</v>
      </c>
      <c r="AC120" s="154">
        <f t="shared" si="44"/>
        <v>82</v>
      </c>
      <c r="AD120" s="154">
        <f t="shared" si="45"/>
        <v>29</v>
      </c>
      <c r="AE120" s="154">
        <f t="shared" si="41"/>
        <v>9</v>
      </c>
      <c r="AF120" s="91">
        <f t="shared" si="42"/>
        <v>0.35365853658536583</v>
      </c>
      <c r="AH120" s="84">
        <f t="shared" si="36"/>
        <v>0.1951219512195122</v>
      </c>
      <c r="AI120" s="84">
        <f t="shared" si="37"/>
        <v>0.10975609756097561</v>
      </c>
      <c r="AJ120" s="84">
        <f t="shared" si="38"/>
        <v>0.35365853658536583</v>
      </c>
      <c r="AK120" s="84">
        <f t="shared" si="28"/>
        <v>0.46666666666666667</v>
      </c>
      <c r="AL120" s="84">
        <f t="shared" si="29"/>
        <v>0.39285714285714285</v>
      </c>
      <c r="AM120" s="84">
        <f t="shared" si="30"/>
        <v>0.35365853658536583</v>
      </c>
      <c r="AO120" s="84">
        <f t="shared" si="31"/>
        <v>0.39705882352941174</v>
      </c>
      <c r="AP120" s="84">
        <f t="shared" si="39"/>
        <v>0.11764705882352941</v>
      </c>
      <c r="AQ120" s="84">
        <f t="shared" si="24"/>
        <v>6.6176470588235295E-2</v>
      </c>
      <c r="AR120" s="84">
        <f t="shared" si="32"/>
        <v>0.10294117647058823</v>
      </c>
      <c r="AS120" s="84">
        <f t="shared" si="33"/>
        <v>0.17647058823529413</v>
      </c>
      <c r="AU120" s="84">
        <f t="shared" si="40"/>
        <v>1</v>
      </c>
      <c r="AV120" s="84">
        <f t="shared" si="34"/>
        <v>0.33333333333333331</v>
      </c>
      <c r="AW120" s="84">
        <f t="shared" si="35"/>
        <v>0.30769230769230771</v>
      </c>
    </row>
    <row r="121" spans="2:49" x14ac:dyDescent="0.25">
      <c r="B121" s="80">
        <v>44228</v>
      </c>
      <c r="C121" s="151">
        <v>132</v>
      </c>
      <c r="D121" s="152">
        <v>78</v>
      </c>
      <c r="E121" s="152">
        <v>45</v>
      </c>
      <c r="F121" s="153">
        <v>9</v>
      </c>
      <c r="H121" s="152">
        <v>16</v>
      </c>
      <c r="I121" s="152">
        <v>0</v>
      </c>
      <c r="J121" s="152">
        <v>16</v>
      </c>
      <c r="K121" s="152">
        <v>0</v>
      </c>
      <c r="M121" s="152">
        <v>40</v>
      </c>
      <c r="N121" s="152">
        <v>26</v>
      </c>
      <c r="O121" s="152">
        <v>11</v>
      </c>
      <c r="P121" s="152">
        <v>3</v>
      </c>
      <c r="R121" s="152">
        <v>51</v>
      </c>
      <c r="S121" s="152">
        <v>32</v>
      </c>
      <c r="T121" s="152">
        <v>13</v>
      </c>
      <c r="U121" s="152">
        <v>6</v>
      </c>
      <c r="W121" s="154">
        <v>25</v>
      </c>
      <c r="X121" s="154">
        <v>20</v>
      </c>
      <c r="Y121" s="154">
        <v>5</v>
      </c>
      <c r="Z121" s="154">
        <v>0</v>
      </c>
      <c r="AB121" s="154">
        <f t="shared" si="43"/>
        <v>116</v>
      </c>
      <c r="AC121" s="154">
        <f t="shared" si="44"/>
        <v>78</v>
      </c>
      <c r="AD121" s="154">
        <f t="shared" si="45"/>
        <v>29</v>
      </c>
      <c r="AE121" s="154">
        <f t="shared" si="41"/>
        <v>9</v>
      </c>
      <c r="AF121" s="91">
        <f t="shared" si="42"/>
        <v>0.37179487179487181</v>
      </c>
      <c r="AH121" s="84">
        <f t="shared" si="36"/>
        <v>0.20512820512820512</v>
      </c>
      <c r="AI121" s="84">
        <f t="shared" si="37"/>
        <v>0.11538461538461539</v>
      </c>
      <c r="AJ121" s="84">
        <f t="shared" si="38"/>
        <v>0.37179487179487181</v>
      </c>
      <c r="AK121" s="84">
        <f t="shared" si="28"/>
        <v>0.40625</v>
      </c>
      <c r="AL121" s="84">
        <f t="shared" si="29"/>
        <v>0.42307692307692307</v>
      </c>
      <c r="AM121" s="84">
        <f t="shared" si="30"/>
        <v>0.37179487179487181</v>
      </c>
      <c r="AO121" s="84">
        <f t="shared" si="31"/>
        <v>0.40909090909090912</v>
      </c>
      <c r="AP121" s="84">
        <f t="shared" si="39"/>
        <v>0.12121212121212122</v>
      </c>
      <c r="AQ121" s="84">
        <f t="shared" si="24"/>
        <v>6.8181818181818177E-2</v>
      </c>
      <c r="AR121" s="84">
        <f t="shared" si="32"/>
        <v>0.10606060606060606</v>
      </c>
      <c r="AS121" s="84">
        <f t="shared" si="33"/>
        <v>0.18181818181818182</v>
      </c>
      <c r="AU121" s="84">
        <f t="shared" si="40"/>
        <v>1</v>
      </c>
      <c r="AV121" s="84">
        <f t="shared" si="34"/>
        <v>0.35</v>
      </c>
      <c r="AW121" s="84">
        <f t="shared" si="35"/>
        <v>0.31578947368421051</v>
      </c>
    </row>
    <row r="122" spans="2:49" x14ac:dyDescent="0.25">
      <c r="B122" s="80">
        <v>44256</v>
      </c>
      <c r="C122" s="151">
        <v>138</v>
      </c>
      <c r="D122" s="152">
        <v>89</v>
      </c>
      <c r="E122" s="152">
        <v>41</v>
      </c>
      <c r="F122" s="153">
        <v>8</v>
      </c>
      <c r="H122" s="152">
        <v>16</v>
      </c>
      <c r="I122" s="152">
        <v>0</v>
      </c>
      <c r="J122" s="152">
        <v>16</v>
      </c>
      <c r="K122" s="152">
        <v>0</v>
      </c>
      <c r="M122" s="152">
        <v>39</v>
      </c>
      <c r="N122" s="152">
        <v>31</v>
      </c>
      <c r="O122" s="152">
        <v>6</v>
      </c>
      <c r="P122" s="152">
        <v>2</v>
      </c>
      <c r="R122" s="152">
        <v>54</v>
      </c>
      <c r="S122" s="152">
        <v>35</v>
      </c>
      <c r="T122" s="152">
        <v>13</v>
      </c>
      <c r="U122" s="152">
        <v>6</v>
      </c>
      <c r="W122" s="154">
        <v>29</v>
      </c>
      <c r="X122" s="154">
        <v>23</v>
      </c>
      <c r="Y122" s="154">
        <v>6</v>
      </c>
      <c r="Z122" s="154">
        <v>0</v>
      </c>
      <c r="AB122" s="154">
        <f t="shared" si="43"/>
        <v>122</v>
      </c>
      <c r="AC122" s="154">
        <f t="shared" si="44"/>
        <v>89</v>
      </c>
      <c r="AD122" s="154">
        <f t="shared" si="45"/>
        <v>25</v>
      </c>
      <c r="AE122" s="154">
        <f t="shared" si="41"/>
        <v>8</v>
      </c>
      <c r="AF122" s="91">
        <f t="shared" si="42"/>
        <v>0.2808988764044944</v>
      </c>
      <c r="AH122" s="84">
        <f t="shared" si="36"/>
        <v>0.1797752808988764</v>
      </c>
      <c r="AI122" s="84">
        <f t="shared" si="37"/>
        <v>8.98876404494382E-2</v>
      </c>
      <c r="AJ122" s="84">
        <f t="shared" si="38"/>
        <v>0.2808988764044944</v>
      </c>
      <c r="AK122" s="84">
        <f t="shared" si="28"/>
        <v>0.37142857142857144</v>
      </c>
      <c r="AL122" s="84">
        <f t="shared" si="29"/>
        <v>0.19354838709677419</v>
      </c>
      <c r="AM122" s="84">
        <f t="shared" si="30"/>
        <v>0.2808988764044944</v>
      </c>
      <c r="AO122" s="84">
        <f t="shared" si="31"/>
        <v>0.35507246376811596</v>
      </c>
      <c r="AP122" s="84">
        <f t="shared" si="39"/>
        <v>0.11594202898550725</v>
      </c>
      <c r="AQ122" s="84">
        <f t="shared" si="24"/>
        <v>5.7971014492753624E-2</v>
      </c>
      <c r="AR122" s="84">
        <f t="shared" si="32"/>
        <v>5.7971014492753624E-2</v>
      </c>
      <c r="AS122" s="84">
        <f t="shared" si="33"/>
        <v>0.18115942028985507</v>
      </c>
      <c r="AU122" s="84">
        <f t="shared" si="40"/>
        <v>1</v>
      </c>
      <c r="AV122" s="84">
        <f t="shared" si="34"/>
        <v>0.20512820512820512</v>
      </c>
      <c r="AW122" s="84">
        <f t="shared" si="35"/>
        <v>0.30120481927710846</v>
      </c>
    </row>
    <row r="123" spans="2:49" x14ac:dyDescent="0.25">
      <c r="B123" s="80">
        <v>44287</v>
      </c>
      <c r="C123" s="154">
        <v>136</v>
      </c>
      <c r="D123" s="154">
        <v>87</v>
      </c>
      <c r="E123" s="154">
        <v>41</v>
      </c>
      <c r="F123" s="154">
        <v>8</v>
      </c>
      <c r="H123" s="154">
        <v>17</v>
      </c>
      <c r="I123" s="154">
        <v>0</v>
      </c>
      <c r="J123" s="154">
        <v>17</v>
      </c>
      <c r="K123" s="154">
        <v>0</v>
      </c>
      <c r="M123" s="154">
        <v>38</v>
      </c>
      <c r="N123" s="154">
        <v>30</v>
      </c>
      <c r="O123" s="154">
        <v>6</v>
      </c>
      <c r="P123" s="154">
        <v>2</v>
      </c>
      <c r="R123" s="154">
        <v>54</v>
      </c>
      <c r="S123" s="154">
        <v>35</v>
      </c>
      <c r="T123" s="154">
        <v>13</v>
      </c>
      <c r="U123" s="154">
        <v>6</v>
      </c>
      <c r="W123" s="154">
        <v>27</v>
      </c>
      <c r="X123" s="154">
        <v>22</v>
      </c>
      <c r="Y123" s="154">
        <v>5</v>
      </c>
      <c r="Z123" s="154">
        <v>0</v>
      </c>
      <c r="AB123" s="154">
        <f t="shared" si="43"/>
        <v>119</v>
      </c>
      <c r="AC123" s="154">
        <f t="shared" si="44"/>
        <v>87</v>
      </c>
      <c r="AD123" s="154">
        <f t="shared" si="45"/>
        <v>24</v>
      </c>
      <c r="AE123" s="154">
        <f t="shared" ref="AE123:AE146" si="46">SUM(U123,P123,Z123)</f>
        <v>8</v>
      </c>
      <c r="AF123" s="91">
        <f t="shared" ref="AF123:AF146" si="47">AD123/AC123</f>
        <v>0.27586206896551724</v>
      </c>
      <c r="AH123" s="84">
        <f t="shared" ref="AH123:AH146" si="48">J123/D123</f>
        <v>0.19540229885057472</v>
      </c>
      <c r="AI123" s="84">
        <f>SUM(U123+P123+Z123)/D123</f>
        <v>9.1954022988505746E-2</v>
      </c>
      <c r="AJ123" s="84">
        <f>SUM(Y123+T123+O123)/D123</f>
        <v>0.27586206896551724</v>
      </c>
      <c r="AK123" s="84">
        <f t="shared" ref="AK123:AK144" si="49">T123/S123</f>
        <v>0.37142857142857144</v>
      </c>
      <c r="AL123" s="84">
        <f t="shared" ref="AL123:AL146" si="50">O123/N123</f>
        <v>0.2</v>
      </c>
      <c r="AM123" s="84">
        <f t="shared" ref="AM123:AM146" si="51">AD123/AC123</f>
        <v>0.27586206896551724</v>
      </c>
      <c r="AO123" s="84">
        <f t="shared" ref="AO123:AO145" si="52">SUM(E123:F123)/C123</f>
        <v>0.36029411764705882</v>
      </c>
      <c r="AP123" s="84">
        <f t="shared" ref="AP123:AP146" si="53">J123/C123</f>
        <v>0.125</v>
      </c>
      <c r="AQ123" s="84">
        <f t="shared" ref="AQ123:AQ146" si="54">SUM(U123,P123)/C123</f>
        <v>5.8823529411764705E-2</v>
      </c>
      <c r="AR123" s="84">
        <f t="shared" ref="AR123:AR146" si="55">SUM(O123:P123)/C123</f>
        <v>5.8823529411764705E-2</v>
      </c>
      <c r="AS123" s="84">
        <f t="shared" ref="AS123:AS146" si="56">SUM(T123:U123,Y123:Z123)/C123</f>
        <v>0.17647058823529413</v>
      </c>
      <c r="AU123" s="84">
        <f t="shared" ref="AU123:AU146" si="57">J123/H123</f>
        <v>1</v>
      </c>
      <c r="AV123" s="84">
        <f t="shared" ref="AV123:AV146" si="58">SUM(O123:P123)/M123</f>
        <v>0.21052631578947367</v>
      </c>
      <c r="AW123" s="84">
        <f t="shared" ref="AW123:AW146" si="59">SUM(Y123:Z123,T123:U123)/SUM(W123,R123)</f>
        <v>0.29629629629629628</v>
      </c>
    </row>
    <row r="124" spans="2:49" x14ac:dyDescent="0.25">
      <c r="B124" s="80">
        <v>44317</v>
      </c>
      <c r="C124" s="154">
        <v>140</v>
      </c>
      <c r="D124" s="154">
        <v>89</v>
      </c>
      <c r="E124" s="154">
        <v>42</v>
      </c>
      <c r="F124" s="154">
        <v>9</v>
      </c>
      <c r="H124" s="154">
        <v>18</v>
      </c>
      <c r="I124" s="154">
        <v>0</v>
      </c>
      <c r="J124" s="154">
        <v>18</v>
      </c>
      <c r="K124" s="154">
        <v>0</v>
      </c>
      <c r="M124" s="154">
        <v>38</v>
      </c>
      <c r="N124" s="154">
        <v>29</v>
      </c>
      <c r="O124" s="154">
        <v>6</v>
      </c>
      <c r="P124" s="154">
        <v>3</v>
      </c>
      <c r="R124" s="154">
        <v>57</v>
      </c>
      <c r="S124" s="154">
        <v>38</v>
      </c>
      <c r="T124" s="154">
        <v>13</v>
      </c>
      <c r="U124" s="154">
        <v>6</v>
      </c>
      <c r="V124" s="154"/>
      <c r="W124" s="154">
        <v>27</v>
      </c>
      <c r="X124" s="154">
        <v>22</v>
      </c>
      <c r="Y124" s="154">
        <v>5</v>
      </c>
      <c r="Z124" s="154">
        <v>0</v>
      </c>
      <c r="AB124" s="154">
        <f t="shared" si="43"/>
        <v>122</v>
      </c>
      <c r="AC124" s="154">
        <f t="shared" si="44"/>
        <v>89</v>
      </c>
      <c r="AD124" s="154">
        <f t="shared" si="45"/>
        <v>24</v>
      </c>
      <c r="AE124" s="154">
        <f t="shared" si="46"/>
        <v>9</v>
      </c>
      <c r="AF124" s="91">
        <f t="shared" si="47"/>
        <v>0.2696629213483146</v>
      </c>
      <c r="AH124" s="84">
        <f t="shared" si="48"/>
        <v>0.20224719101123595</v>
      </c>
      <c r="AI124" s="84">
        <f>SUM(U124+P124+Z124)/D124</f>
        <v>0.10112359550561797</v>
      </c>
      <c r="AJ124" s="84">
        <f>SUM(Y124+T124+O124)/D124</f>
        <v>0.2696629213483146</v>
      </c>
      <c r="AK124" s="84">
        <f t="shared" si="49"/>
        <v>0.34210526315789475</v>
      </c>
      <c r="AL124" s="84">
        <f t="shared" si="50"/>
        <v>0.20689655172413793</v>
      </c>
      <c r="AM124" s="84">
        <f t="shared" si="51"/>
        <v>0.2696629213483146</v>
      </c>
      <c r="AO124" s="84">
        <f t="shared" si="52"/>
        <v>0.36428571428571427</v>
      </c>
      <c r="AP124" s="84">
        <f t="shared" si="53"/>
        <v>0.12857142857142856</v>
      </c>
      <c r="AQ124" s="84">
        <f t="shared" si="54"/>
        <v>6.4285714285714279E-2</v>
      </c>
      <c r="AR124" s="84">
        <f t="shared" si="55"/>
        <v>6.4285714285714279E-2</v>
      </c>
      <c r="AS124" s="84">
        <f t="shared" si="56"/>
        <v>0.17142857142857143</v>
      </c>
      <c r="AU124" s="84">
        <f t="shared" si="57"/>
        <v>1</v>
      </c>
      <c r="AV124" s="84">
        <f t="shared" si="58"/>
        <v>0.23684210526315788</v>
      </c>
      <c r="AW124" s="84">
        <f t="shared" si="59"/>
        <v>0.2857142857142857</v>
      </c>
    </row>
    <row r="125" spans="2:49" x14ac:dyDescent="0.25">
      <c r="B125" s="80">
        <v>44348</v>
      </c>
      <c r="C125" s="154">
        <v>138</v>
      </c>
      <c r="D125" s="154">
        <v>86</v>
      </c>
      <c r="E125" s="154">
        <v>44</v>
      </c>
      <c r="F125" s="154">
        <v>8</v>
      </c>
      <c r="H125" s="154">
        <v>18</v>
      </c>
      <c r="I125" s="154">
        <v>0</v>
      </c>
      <c r="J125" s="154">
        <v>18</v>
      </c>
      <c r="K125" s="154">
        <v>0</v>
      </c>
      <c r="M125" s="154">
        <v>35</v>
      </c>
      <c r="N125" s="154">
        <v>25</v>
      </c>
      <c r="O125" s="154">
        <v>8</v>
      </c>
      <c r="P125" s="154">
        <v>2</v>
      </c>
      <c r="R125" s="154">
        <v>58</v>
      </c>
      <c r="S125" s="154">
        <v>39</v>
      </c>
      <c r="T125" s="154">
        <v>13</v>
      </c>
      <c r="U125" s="154">
        <v>6</v>
      </c>
      <c r="W125" s="154">
        <v>27</v>
      </c>
      <c r="X125" s="154">
        <v>22</v>
      </c>
      <c r="Y125" s="154">
        <v>5</v>
      </c>
      <c r="Z125" s="154">
        <v>0</v>
      </c>
      <c r="AB125" s="154">
        <f t="shared" si="43"/>
        <v>120</v>
      </c>
      <c r="AC125" s="154">
        <f t="shared" si="44"/>
        <v>86</v>
      </c>
      <c r="AD125" s="154">
        <f t="shared" si="45"/>
        <v>26</v>
      </c>
      <c r="AE125" s="154">
        <f t="shared" si="46"/>
        <v>8</v>
      </c>
      <c r="AF125" s="91">
        <f t="shared" si="47"/>
        <v>0.30232558139534882</v>
      </c>
      <c r="AH125" s="84">
        <f t="shared" si="48"/>
        <v>0.20930232558139536</v>
      </c>
      <c r="AI125" s="84">
        <f>SUM(U125+P125+Z125)/D125</f>
        <v>9.3023255813953487E-2</v>
      </c>
      <c r="AJ125" s="84">
        <f>SUM(Y125+T125+O125)/D125</f>
        <v>0.30232558139534882</v>
      </c>
      <c r="AK125" s="84">
        <f t="shared" si="49"/>
        <v>0.33333333333333331</v>
      </c>
      <c r="AL125" s="84">
        <f t="shared" si="50"/>
        <v>0.32</v>
      </c>
      <c r="AM125" s="84">
        <f t="shared" si="51"/>
        <v>0.30232558139534882</v>
      </c>
      <c r="AO125" s="84">
        <f t="shared" si="52"/>
        <v>0.37681159420289856</v>
      </c>
      <c r="AP125" s="84">
        <f t="shared" si="53"/>
        <v>0.13043478260869565</v>
      </c>
      <c r="AQ125" s="84">
        <f t="shared" si="54"/>
        <v>5.7971014492753624E-2</v>
      </c>
      <c r="AR125" s="84">
        <f t="shared" si="55"/>
        <v>7.2463768115942032E-2</v>
      </c>
      <c r="AS125" s="84">
        <f t="shared" si="56"/>
        <v>0.17391304347826086</v>
      </c>
      <c r="AU125" s="84">
        <f t="shared" si="57"/>
        <v>1</v>
      </c>
      <c r="AV125" s="84">
        <f t="shared" si="58"/>
        <v>0.2857142857142857</v>
      </c>
      <c r="AW125" s="84">
        <f t="shared" si="59"/>
        <v>0.28235294117647058</v>
      </c>
    </row>
    <row r="126" spans="2:49" x14ac:dyDescent="0.25">
      <c r="B126" s="80">
        <v>44378</v>
      </c>
      <c r="C126" s="154">
        <v>147</v>
      </c>
      <c r="D126" s="154">
        <v>95</v>
      </c>
      <c r="E126" s="154">
        <v>45</v>
      </c>
      <c r="F126" s="154">
        <v>7</v>
      </c>
      <c r="H126" s="154">
        <v>18</v>
      </c>
      <c r="I126" s="154">
        <v>0</v>
      </c>
      <c r="J126" s="154">
        <v>18</v>
      </c>
      <c r="K126" s="154">
        <v>0</v>
      </c>
      <c r="M126" s="154">
        <v>41</v>
      </c>
      <c r="N126" s="154">
        <v>31</v>
      </c>
      <c r="O126" s="154">
        <v>8</v>
      </c>
      <c r="P126" s="154">
        <v>2</v>
      </c>
      <c r="R126" s="154">
        <v>57</v>
      </c>
      <c r="S126" s="154">
        <v>38</v>
      </c>
      <c r="T126" s="154">
        <v>14</v>
      </c>
      <c r="U126" s="154">
        <v>5</v>
      </c>
      <c r="W126" s="154">
        <v>31</v>
      </c>
      <c r="X126" s="154">
        <v>26</v>
      </c>
      <c r="Y126" s="154">
        <v>5</v>
      </c>
      <c r="Z126" s="154">
        <v>0</v>
      </c>
      <c r="AB126" s="154">
        <f t="shared" si="43"/>
        <v>129</v>
      </c>
      <c r="AC126" s="154">
        <f t="shared" si="44"/>
        <v>95</v>
      </c>
      <c r="AD126" s="154">
        <f t="shared" si="45"/>
        <v>27</v>
      </c>
      <c r="AE126" s="154">
        <f t="shared" si="46"/>
        <v>7</v>
      </c>
      <c r="AF126" s="91">
        <f t="shared" si="47"/>
        <v>0.28421052631578947</v>
      </c>
      <c r="AH126" s="84">
        <f t="shared" si="48"/>
        <v>0.18947368421052632</v>
      </c>
      <c r="AI126" s="84">
        <f t="shared" ref="AI126:AI146" si="60">SUM(U126+P126+Z126)/D126</f>
        <v>7.3684210526315783E-2</v>
      </c>
      <c r="AJ126" s="84">
        <f t="shared" ref="AJ126:AJ146" si="61">SUM(Y126+T126+O126)/D126</f>
        <v>0.28421052631578947</v>
      </c>
      <c r="AK126" s="84">
        <f t="shared" si="49"/>
        <v>0.36842105263157893</v>
      </c>
      <c r="AL126" s="84">
        <f t="shared" si="50"/>
        <v>0.25806451612903225</v>
      </c>
      <c r="AM126" s="84">
        <f t="shared" si="51"/>
        <v>0.28421052631578947</v>
      </c>
      <c r="AO126" s="84">
        <f t="shared" si="52"/>
        <v>0.35374149659863946</v>
      </c>
      <c r="AP126" s="84">
        <f t="shared" si="53"/>
        <v>0.12244897959183673</v>
      </c>
      <c r="AQ126" s="84">
        <f t="shared" si="54"/>
        <v>4.7619047619047616E-2</v>
      </c>
      <c r="AR126" s="84">
        <f t="shared" si="55"/>
        <v>6.8027210884353748E-2</v>
      </c>
      <c r="AS126" s="84">
        <f t="shared" si="56"/>
        <v>0.16326530612244897</v>
      </c>
      <c r="AU126" s="84">
        <f t="shared" si="57"/>
        <v>1</v>
      </c>
      <c r="AV126" s="84">
        <f t="shared" si="58"/>
        <v>0.24390243902439024</v>
      </c>
      <c r="AW126" s="84">
        <f t="shared" si="59"/>
        <v>0.27272727272727271</v>
      </c>
    </row>
    <row r="127" spans="2:49" x14ac:dyDescent="0.25">
      <c r="B127" s="80">
        <v>44409</v>
      </c>
      <c r="C127" s="154">
        <v>152</v>
      </c>
      <c r="D127" s="154">
        <v>98</v>
      </c>
      <c r="E127" s="154">
        <v>44</v>
      </c>
      <c r="F127" s="154">
        <v>7</v>
      </c>
      <c r="H127" s="154">
        <v>18</v>
      </c>
      <c r="I127" s="154">
        <v>0</v>
      </c>
      <c r="J127" s="154">
        <v>18</v>
      </c>
      <c r="K127" s="154">
        <v>0</v>
      </c>
      <c r="M127" s="154">
        <v>43</v>
      </c>
      <c r="N127" s="154">
        <v>32</v>
      </c>
      <c r="O127" s="154">
        <v>8</v>
      </c>
      <c r="P127" s="154">
        <v>3</v>
      </c>
      <c r="R127" s="154">
        <v>52</v>
      </c>
      <c r="S127" s="154">
        <v>33</v>
      </c>
      <c r="T127" s="154">
        <v>12</v>
      </c>
      <c r="U127" s="154">
        <v>7</v>
      </c>
      <c r="W127" s="154">
        <v>39</v>
      </c>
      <c r="X127" s="154">
        <v>33</v>
      </c>
      <c r="Y127" s="154">
        <v>6</v>
      </c>
      <c r="Z127" s="154">
        <v>0</v>
      </c>
      <c r="AB127" s="154">
        <f t="shared" si="43"/>
        <v>134</v>
      </c>
      <c r="AC127" s="154">
        <f t="shared" si="44"/>
        <v>98</v>
      </c>
      <c r="AD127" s="154">
        <f t="shared" si="45"/>
        <v>26</v>
      </c>
      <c r="AE127" s="154">
        <f t="shared" si="46"/>
        <v>10</v>
      </c>
      <c r="AF127" s="91">
        <f t="shared" si="47"/>
        <v>0.26530612244897961</v>
      </c>
      <c r="AH127" s="84">
        <f t="shared" si="48"/>
        <v>0.18367346938775511</v>
      </c>
      <c r="AI127" s="84">
        <f t="shared" si="60"/>
        <v>0.10204081632653061</v>
      </c>
      <c r="AJ127" s="84">
        <f t="shared" si="61"/>
        <v>0.26530612244897961</v>
      </c>
      <c r="AK127" s="84">
        <f t="shared" si="49"/>
        <v>0.36363636363636365</v>
      </c>
      <c r="AL127" s="84">
        <f t="shared" si="50"/>
        <v>0.25</v>
      </c>
      <c r="AM127" s="84">
        <f t="shared" si="51"/>
        <v>0.26530612244897961</v>
      </c>
      <c r="AO127" s="84">
        <f t="shared" si="52"/>
        <v>0.33552631578947367</v>
      </c>
      <c r="AP127" s="84">
        <f t="shared" si="53"/>
        <v>0.11842105263157894</v>
      </c>
      <c r="AQ127" s="84">
        <f t="shared" si="54"/>
        <v>6.5789473684210523E-2</v>
      </c>
      <c r="AR127" s="84">
        <f t="shared" si="55"/>
        <v>7.2368421052631582E-2</v>
      </c>
      <c r="AS127" s="84">
        <f t="shared" si="56"/>
        <v>0.16447368421052633</v>
      </c>
      <c r="AU127" s="84">
        <f t="shared" si="57"/>
        <v>1</v>
      </c>
      <c r="AV127" s="84">
        <f t="shared" si="58"/>
        <v>0.2558139534883721</v>
      </c>
      <c r="AW127" s="84">
        <f t="shared" si="59"/>
        <v>0.27472527472527475</v>
      </c>
    </row>
    <row r="128" spans="2:49" x14ac:dyDescent="0.25">
      <c r="B128" s="80">
        <v>44440</v>
      </c>
      <c r="C128" s="154">
        <v>154</v>
      </c>
      <c r="D128" s="154">
        <v>101</v>
      </c>
      <c r="E128" s="154">
        <v>43</v>
      </c>
      <c r="F128" s="154">
        <v>10</v>
      </c>
      <c r="H128" s="154">
        <v>18</v>
      </c>
      <c r="I128" s="154">
        <v>0</v>
      </c>
      <c r="J128" s="154">
        <v>18</v>
      </c>
      <c r="K128" s="154">
        <v>0</v>
      </c>
      <c r="M128" s="154">
        <v>45</v>
      </c>
      <c r="N128" s="154">
        <v>34</v>
      </c>
      <c r="O128" s="154">
        <v>8</v>
      </c>
      <c r="P128" s="154">
        <v>3</v>
      </c>
      <c r="R128" s="154">
        <v>47</v>
      </c>
      <c r="S128" s="154">
        <v>29</v>
      </c>
      <c r="T128" s="154">
        <v>11</v>
      </c>
      <c r="U128" s="154">
        <v>7</v>
      </c>
      <c r="W128" s="154">
        <v>44</v>
      </c>
      <c r="X128" s="154">
        <v>38</v>
      </c>
      <c r="Y128" s="154">
        <v>6</v>
      </c>
      <c r="Z128" s="154">
        <v>0</v>
      </c>
      <c r="AB128" s="154">
        <f t="shared" si="43"/>
        <v>136</v>
      </c>
      <c r="AC128" s="154">
        <f t="shared" si="44"/>
        <v>101</v>
      </c>
      <c r="AD128" s="154">
        <f t="shared" si="45"/>
        <v>25</v>
      </c>
      <c r="AE128" s="154">
        <f t="shared" si="46"/>
        <v>10</v>
      </c>
      <c r="AF128" s="91">
        <f t="shared" si="47"/>
        <v>0.24752475247524752</v>
      </c>
      <c r="AH128" s="84">
        <f t="shared" si="48"/>
        <v>0.17821782178217821</v>
      </c>
      <c r="AI128" s="84">
        <f t="shared" si="60"/>
        <v>9.9009900990099015E-2</v>
      </c>
      <c r="AJ128" s="84">
        <f t="shared" si="61"/>
        <v>0.24752475247524752</v>
      </c>
      <c r="AK128" s="84">
        <f t="shared" si="49"/>
        <v>0.37931034482758619</v>
      </c>
      <c r="AL128" s="84">
        <f t="shared" si="50"/>
        <v>0.23529411764705882</v>
      </c>
      <c r="AM128" s="84">
        <f t="shared" si="51"/>
        <v>0.24752475247524752</v>
      </c>
      <c r="AO128" s="84">
        <f t="shared" si="52"/>
        <v>0.34415584415584416</v>
      </c>
      <c r="AP128" s="84">
        <f t="shared" si="53"/>
        <v>0.11688311688311688</v>
      </c>
      <c r="AQ128" s="84">
        <f t="shared" si="54"/>
        <v>6.4935064935064929E-2</v>
      </c>
      <c r="AR128" s="84">
        <f t="shared" si="55"/>
        <v>7.1428571428571425E-2</v>
      </c>
      <c r="AS128" s="84">
        <f t="shared" si="56"/>
        <v>0.15584415584415584</v>
      </c>
      <c r="AU128" s="84">
        <f t="shared" si="57"/>
        <v>1</v>
      </c>
      <c r="AV128" s="84">
        <f t="shared" si="58"/>
        <v>0.24444444444444444</v>
      </c>
      <c r="AW128" s="84">
        <f t="shared" si="59"/>
        <v>0.26373626373626374</v>
      </c>
    </row>
    <row r="129" spans="2:49" x14ac:dyDescent="0.25">
      <c r="B129" s="80">
        <v>44470</v>
      </c>
      <c r="C129" s="154">
        <v>173</v>
      </c>
      <c r="D129" s="154">
        <v>111</v>
      </c>
      <c r="E129" s="154">
        <v>47</v>
      </c>
      <c r="F129" s="154">
        <v>10</v>
      </c>
      <c r="H129" s="154">
        <v>18</v>
      </c>
      <c r="I129" s="154">
        <v>0</v>
      </c>
      <c r="J129" s="154">
        <v>18</v>
      </c>
      <c r="K129" s="154">
        <v>0</v>
      </c>
      <c r="M129" s="154">
        <v>50</v>
      </c>
      <c r="N129" s="154">
        <v>39</v>
      </c>
      <c r="O129" s="154">
        <v>8</v>
      </c>
      <c r="P129" s="154">
        <v>3</v>
      </c>
      <c r="R129" s="154">
        <v>55</v>
      </c>
      <c r="S129" s="154">
        <v>35</v>
      </c>
      <c r="T129" s="154">
        <v>13</v>
      </c>
      <c r="U129" s="154">
        <v>7</v>
      </c>
      <c r="W129" s="154">
        <v>50</v>
      </c>
      <c r="X129" s="154">
        <v>42</v>
      </c>
      <c r="Y129" s="154">
        <v>8</v>
      </c>
      <c r="Z129" s="154">
        <v>0</v>
      </c>
      <c r="AB129" s="154">
        <f t="shared" si="43"/>
        <v>155</v>
      </c>
      <c r="AC129" s="154">
        <f t="shared" si="44"/>
        <v>116</v>
      </c>
      <c r="AD129" s="154">
        <f t="shared" si="45"/>
        <v>29</v>
      </c>
      <c r="AE129" s="154">
        <f t="shared" si="46"/>
        <v>10</v>
      </c>
      <c r="AF129" s="91">
        <f t="shared" si="47"/>
        <v>0.25</v>
      </c>
      <c r="AH129" s="84">
        <f t="shared" si="48"/>
        <v>0.16216216216216217</v>
      </c>
      <c r="AI129" s="84">
        <f t="shared" si="60"/>
        <v>9.0090090090090086E-2</v>
      </c>
      <c r="AJ129" s="84">
        <f t="shared" si="61"/>
        <v>0.26126126126126126</v>
      </c>
      <c r="AK129" s="84">
        <f t="shared" si="49"/>
        <v>0.37142857142857144</v>
      </c>
      <c r="AL129" s="84">
        <f t="shared" si="50"/>
        <v>0.20512820512820512</v>
      </c>
      <c r="AM129" s="84">
        <f t="shared" si="51"/>
        <v>0.25</v>
      </c>
      <c r="AO129" s="84">
        <f t="shared" si="52"/>
        <v>0.32947976878612717</v>
      </c>
      <c r="AP129" s="84">
        <f t="shared" si="53"/>
        <v>0.10404624277456648</v>
      </c>
      <c r="AQ129" s="84">
        <f t="shared" si="54"/>
        <v>5.7803468208092484E-2</v>
      </c>
      <c r="AR129" s="84">
        <f t="shared" si="55"/>
        <v>6.358381502890173E-2</v>
      </c>
      <c r="AS129" s="84">
        <f t="shared" si="56"/>
        <v>0.16184971098265896</v>
      </c>
      <c r="AU129" s="84">
        <f t="shared" si="57"/>
        <v>1</v>
      </c>
      <c r="AV129" s="84">
        <f t="shared" si="58"/>
        <v>0.22</v>
      </c>
      <c r="AW129" s="84">
        <f t="shared" si="59"/>
        <v>0.26666666666666666</v>
      </c>
    </row>
    <row r="130" spans="2:49" x14ac:dyDescent="0.25">
      <c r="B130" s="80">
        <v>44501</v>
      </c>
      <c r="C130" s="154">
        <v>185</v>
      </c>
      <c r="D130" s="154">
        <v>128</v>
      </c>
      <c r="E130" s="154">
        <v>47</v>
      </c>
      <c r="F130" s="154">
        <v>10</v>
      </c>
      <c r="H130" s="154">
        <v>19</v>
      </c>
      <c r="I130" s="154">
        <v>0</v>
      </c>
      <c r="J130" s="154">
        <v>19</v>
      </c>
      <c r="K130" s="154">
        <v>0</v>
      </c>
      <c r="M130" s="154">
        <v>52</v>
      </c>
      <c r="N130" s="154">
        <v>41</v>
      </c>
      <c r="O130" s="154">
        <v>8</v>
      </c>
      <c r="P130" s="154">
        <v>3</v>
      </c>
      <c r="R130" s="154">
        <v>59</v>
      </c>
      <c r="S130" s="154">
        <v>39</v>
      </c>
      <c r="T130" s="154">
        <v>13</v>
      </c>
      <c r="U130" s="154">
        <v>7</v>
      </c>
      <c r="W130" s="154">
        <v>56</v>
      </c>
      <c r="X130" s="154">
        <v>48</v>
      </c>
      <c r="Y130" s="154">
        <v>8</v>
      </c>
      <c r="Z130" s="154">
        <v>0</v>
      </c>
      <c r="AB130" s="154">
        <f t="shared" si="43"/>
        <v>167</v>
      </c>
      <c r="AC130" s="154">
        <f t="shared" si="44"/>
        <v>128</v>
      </c>
      <c r="AD130" s="154">
        <f t="shared" si="45"/>
        <v>29</v>
      </c>
      <c r="AE130" s="154">
        <f t="shared" si="46"/>
        <v>10</v>
      </c>
      <c r="AF130" s="91">
        <f t="shared" si="47"/>
        <v>0.2265625</v>
      </c>
      <c r="AH130" s="84">
        <f t="shared" si="48"/>
        <v>0.1484375</v>
      </c>
      <c r="AI130" s="84">
        <f t="shared" si="60"/>
        <v>7.8125E-2</v>
      </c>
      <c r="AJ130" s="84">
        <f t="shared" si="61"/>
        <v>0.2265625</v>
      </c>
      <c r="AK130" s="84">
        <f t="shared" si="49"/>
        <v>0.33333333333333331</v>
      </c>
      <c r="AL130" s="84">
        <f t="shared" si="50"/>
        <v>0.1951219512195122</v>
      </c>
      <c r="AM130" s="84">
        <f t="shared" si="51"/>
        <v>0.2265625</v>
      </c>
      <c r="AO130" s="84">
        <f t="shared" si="52"/>
        <v>0.30810810810810813</v>
      </c>
      <c r="AP130" s="84">
        <f t="shared" si="53"/>
        <v>0.10270270270270271</v>
      </c>
      <c r="AQ130" s="84">
        <f t="shared" si="54"/>
        <v>5.4054054054054057E-2</v>
      </c>
      <c r="AR130" s="84">
        <f t="shared" si="55"/>
        <v>5.9459459459459463E-2</v>
      </c>
      <c r="AS130" s="84">
        <f t="shared" si="56"/>
        <v>0.15135135135135136</v>
      </c>
      <c r="AU130" s="84">
        <f t="shared" si="57"/>
        <v>1</v>
      </c>
      <c r="AV130" s="84">
        <f t="shared" si="58"/>
        <v>0.21153846153846154</v>
      </c>
      <c r="AW130" s="84">
        <f t="shared" si="59"/>
        <v>0.24347826086956523</v>
      </c>
    </row>
    <row r="131" spans="2:49" x14ac:dyDescent="0.25">
      <c r="B131" s="80">
        <v>44531</v>
      </c>
      <c r="C131" s="154">
        <v>191</v>
      </c>
      <c r="D131" s="154">
        <v>131</v>
      </c>
      <c r="E131" s="154">
        <v>50</v>
      </c>
      <c r="F131" s="154">
        <v>10</v>
      </c>
      <c r="H131" s="154">
        <v>19</v>
      </c>
      <c r="I131" s="154">
        <v>0</v>
      </c>
      <c r="J131" s="154">
        <v>19</v>
      </c>
      <c r="K131" s="154">
        <v>0</v>
      </c>
      <c r="M131" s="154">
        <v>52</v>
      </c>
      <c r="N131" s="154">
        <v>41</v>
      </c>
      <c r="O131" s="154">
        <v>8</v>
      </c>
      <c r="P131" s="154">
        <v>3</v>
      </c>
      <c r="R131" s="154">
        <v>62</v>
      </c>
      <c r="S131" s="154">
        <v>42</v>
      </c>
      <c r="T131" s="154">
        <v>13</v>
      </c>
      <c r="U131" s="154">
        <v>7</v>
      </c>
      <c r="W131" s="154">
        <v>58</v>
      </c>
      <c r="X131" s="154">
        <v>48</v>
      </c>
      <c r="Y131" s="154">
        <v>10</v>
      </c>
      <c r="Z131" s="154">
        <v>0</v>
      </c>
      <c r="AB131" s="154">
        <f t="shared" si="43"/>
        <v>172</v>
      </c>
      <c r="AC131" s="154">
        <f t="shared" si="44"/>
        <v>131</v>
      </c>
      <c r="AD131" s="154">
        <f t="shared" si="45"/>
        <v>31</v>
      </c>
      <c r="AE131" s="154">
        <f t="shared" si="46"/>
        <v>10</v>
      </c>
      <c r="AF131" s="91">
        <f t="shared" si="47"/>
        <v>0.23664122137404581</v>
      </c>
      <c r="AH131" s="84">
        <f t="shared" si="48"/>
        <v>0.14503816793893129</v>
      </c>
      <c r="AI131" s="84">
        <f t="shared" si="60"/>
        <v>7.6335877862595422E-2</v>
      </c>
      <c r="AJ131" s="84">
        <f t="shared" si="61"/>
        <v>0.23664122137404581</v>
      </c>
      <c r="AK131" s="84">
        <f t="shared" si="49"/>
        <v>0.30952380952380953</v>
      </c>
      <c r="AL131" s="84">
        <f t="shared" si="50"/>
        <v>0.1951219512195122</v>
      </c>
      <c r="AM131" s="84">
        <f t="shared" si="51"/>
        <v>0.23664122137404581</v>
      </c>
      <c r="AO131" s="84">
        <f t="shared" si="52"/>
        <v>0.31413612565445026</v>
      </c>
      <c r="AP131" s="84">
        <f t="shared" si="53"/>
        <v>9.947643979057591E-2</v>
      </c>
      <c r="AQ131" s="84">
        <f t="shared" si="54"/>
        <v>5.2356020942408377E-2</v>
      </c>
      <c r="AR131" s="84">
        <f t="shared" si="55"/>
        <v>5.7591623036649213E-2</v>
      </c>
      <c r="AS131" s="84">
        <f t="shared" si="56"/>
        <v>0.15706806282722513</v>
      </c>
      <c r="AU131" s="84">
        <f t="shared" si="57"/>
        <v>1</v>
      </c>
      <c r="AV131" s="84">
        <f t="shared" si="58"/>
        <v>0.21153846153846154</v>
      </c>
      <c r="AW131" s="84">
        <f t="shared" si="59"/>
        <v>0.25</v>
      </c>
    </row>
    <row r="132" spans="2:49" x14ac:dyDescent="0.25">
      <c r="B132" s="80">
        <v>44562</v>
      </c>
      <c r="C132" s="154">
        <v>200</v>
      </c>
      <c r="D132" s="154">
        <v>139</v>
      </c>
      <c r="E132" s="154">
        <v>52</v>
      </c>
      <c r="F132" s="154">
        <v>9</v>
      </c>
      <c r="H132" s="154">
        <v>20</v>
      </c>
      <c r="I132" s="154">
        <v>0</v>
      </c>
      <c r="J132" s="154">
        <v>20</v>
      </c>
      <c r="K132" s="154">
        <v>0</v>
      </c>
      <c r="M132" s="154">
        <v>53</v>
      </c>
      <c r="N132" s="154">
        <v>43</v>
      </c>
      <c r="O132" s="154">
        <v>7</v>
      </c>
      <c r="P132" s="154">
        <v>3</v>
      </c>
      <c r="R132" s="154">
        <v>66</v>
      </c>
      <c r="S132" s="154">
        <v>46</v>
      </c>
      <c r="T132" s="154">
        <v>14</v>
      </c>
      <c r="U132" s="154">
        <v>6</v>
      </c>
      <c r="W132" s="154">
        <v>61</v>
      </c>
      <c r="X132" s="154">
        <v>50</v>
      </c>
      <c r="Y132" s="154">
        <v>11</v>
      </c>
      <c r="Z132" s="154">
        <v>0</v>
      </c>
      <c r="AB132" s="154">
        <f t="shared" si="43"/>
        <v>180</v>
      </c>
      <c r="AC132" s="154">
        <f t="shared" si="44"/>
        <v>139</v>
      </c>
      <c r="AD132" s="154">
        <f t="shared" si="45"/>
        <v>32</v>
      </c>
      <c r="AE132" s="154">
        <f t="shared" si="46"/>
        <v>9</v>
      </c>
      <c r="AF132" s="91">
        <f t="shared" si="47"/>
        <v>0.23021582733812951</v>
      </c>
      <c r="AH132" s="84">
        <f t="shared" si="48"/>
        <v>0.14388489208633093</v>
      </c>
      <c r="AI132" s="84">
        <f t="shared" si="60"/>
        <v>6.4748201438848921E-2</v>
      </c>
      <c r="AJ132" s="84">
        <f t="shared" si="61"/>
        <v>0.23021582733812951</v>
      </c>
      <c r="AK132" s="84">
        <f t="shared" si="49"/>
        <v>0.30434782608695654</v>
      </c>
      <c r="AL132" s="84">
        <f t="shared" si="50"/>
        <v>0.16279069767441862</v>
      </c>
      <c r="AM132" s="84">
        <f t="shared" si="51"/>
        <v>0.23021582733812951</v>
      </c>
      <c r="AO132" s="84">
        <f t="shared" si="52"/>
        <v>0.30499999999999999</v>
      </c>
      <c r="AP132" s="84">
        <f t="shared" si="53"/>
        <v>0.1</v>
      </c>
      <c r="AQ132" s="84">
        <f t="shared" si="54"/>
        <v>4.4999999999999998E-2</v>
      </c>
      <c r="AR132" s="84">
        <f t="shared" si="55"/>
        <v>0.05</v>
      </c>
      <c r="AS132" s="84">
        <f t="shared" si="56"/>
        <v>0.155</v>
      </c>
      <c r="AU132" s="84">
        <f t="shared" si="57"/>
        <v>1</v>
      </c>
      <c r="AV132" s="84">
        <f t="shared" si="58"/>
        <v>0.18867924528301888</v>
      </c>
      <c r="AW132" s="84">
        <f t="shared" si="59"/>
        <v>0.24409448818897639</v>
      </c>
    </row>
    <row r="133" spans="2:49" x14ac:dyDescent="0.25">
      <c r="B133" s="80">
        <v>44593</v>
      </c>
      <c r="C133" s="154">
        <v>199</v>
      </c>
      <c r="D133" s="154">
        <v>135</v>
      </c>
      <c r="E133" s="154">
        <v>54</v>
      </c>
      <c r="F133" s="154">
        <v>10</v>
      </c>
      <c r="H133" s="154">
        <v>21</v>
      </c>
      <c r="I133" s="154">
        <v>0</v>
      </c>
      <c r="J133" s="154">
        <v>21</v>
      </c>
      <c r="K133" s="154">
        <v>0</v>
      </c>
      <c r="M133" s="154">
        <v>57</v>
      </c>
      <c r="N133" s="154">
        <v>45</v>
      </c>
      <c r="O133" s="154">
        <v>8</v>
      </c>
      <c r="P133" s="154">
        <v>4</v>
      </c>
      <c r="R133" s="154">
        <v>67</v>
      </c>
      <c r="S133" s="154">
        <v>46</v>
      </c>
      <c r="T133" s="154">
        <v>14</v>
      </c>
      <c r="U133" s="154">
        <v>6</v>
      </c>
      <c r="W133" s="154">
        <v>55</v>
      </c>
      <c r="X133" s="154">
        <v>44</v>
      </c>
      <c r="Y133" s="154">
        <v>11</v>
      </c>
      <c r="Z133" s="154">
        <v>0</v>
      </c>
      <c r="AB133" s="154">
        <f t="shared" si="43"/>
        <v>178</v>
      </c>
      <c r="AC133" s="154">
        <f t="shared" si="44"/>
        <v>135</v>
      </c>
      <c r="AD133" s="154">
        <f t="shared" si="45"/>
        <v>33</v>
      </c>
      <c r="AE133" s="154">
        <f t="shared" si="46"/>
        <v>10</v>
      </c>
      <c r="AF133" s="91">
        <f t="shared" si="47"/>
        <v>0.24444444444444444</v>
      </c>
      <c r="AH133" s="84">
        <f t="shared" si="48"/>
        <v>0.15555555555555556</v>
      </c>
      <c r="AI133" s="84">
        <f t="shared" si="60"/>
        <v>7.407407407407407E-2</v>
      </c>
      <c r="AJ133" s="84">
        <f t="shared" si="61"/>
        <v>0.24444444444444444</v>
      </c>
      <c r="AK133" s="84">
        <f t="shared" si="49"/>
        <v>0.30434782608695654</v>
      </c>
      <c r="AL133" s="84">
        <f t="shared" si="50"/>
        <v>0.17777777777777778</v>
      </c>
      <c r="AM133" s="84">
        <f t="shared" si="51"/>
        <v>0.24444444444444444</v>
      </c>
      <c r="AO133" s="84">
        <f t="shared" si="52"/>
        <v>0.32160804020100503</v>
      </c>
      <c r="AP133" s="84">
        <f t="shared" si="53"/>
        <v>0.10552763819095477</v>
      </c>
      <c r="AQ133" s="84">
        <f t="shared" si="54"/>
        <v>5.0251256281407038E-2</v>
      </c>
      <c r="AR133" s="84">
        <f t="shared" si="55"/>
        <v>6.030150753768844E-2</v>
      </c>
      <c r="AS133" s="84">
        <f t="shared" si="56"/>
        <v>0.15577889447236182</v>
      </c>
      <c r="AU133" s="84">
        <f t="shared" si="57"/>
        <v>1</v>
      </c>
      <c r="AV133" s="84">
        <f t="shared" si="58"/>
        <v>0.21052631578947367</v>
      </c>
      <c r="AW133" s="84">
        <f t="shared" si="59"/>
        <v>0.25409836065573771</v>
      </c>
    </row>
    <row r="134" spans="2:49" x14ac:dyDescent="0.25">
      <c r="B134" s="80">
        <v>44621</v>
      </c>
      <c r="C134" s="154">
        <v>193</v>
      </c>
      <c r="D134" s="154">
        <v>128</v>
      </c>
      <c r="E134" s="154">
        <v>56</v>
      </c>
      <c r="F134" s="154">
        <v>9</v>
      </c>
      <c r="H134" s="154">
        <v>21</v>
      </c>
      <c r="I134" s="154">
        <v>0</v>
      </c>
      <c r="J134" s="154">
        <v>21</v>
      </c>
      <c r="K134" s="154">
        <v>0</v>
      </c>
      <c r="M134" s="154">
        <v>58</v>
      </c>
      <c r="N134" s="154">
        <v>45</v>
      </c>
      <c r="O134" s="154">
        <v>10</v>
      </c>
      <c r="P134" s="154">
        <v>3</v>
      </c>
      <c r="R134" s="154">
        <v>63</v>
      </c>
      <c r="S134" s="154">
        <v>43</v>
      </c>
      <c r="T134" s="154">
        <v>14</v>
      </c>
      <c r="U134" s="154">
        <v>6</v>
      </c>
      <c r="W134" s="154">
        <v>51</v>
      </c>
      <c r="X134" s="154">
        <v>40</v>
      </c>
      <c r="Y134" s="154">
        <v>11</v>
      </c>
      <c r="Z134" s="154">
        <v>0</v>
      </c>
      <c r="AB134" s="154">
        <f t="shared" si="43"/>
        <v>172</v>
      </c>
      <c r="AC134" s="154">
        <f t="shared" si="44"/>
        <v>128</v>
      </c>
      <c r="AD134" s="154">
        <f t="shared" si="45"/>
        <v>35</v>
      </c>
      <c r="AE134" s="154">
        <f t="shared" si="46"/>
        <v>9</v>
      </c>
      <c r="AF134" s="91">
        <f t="shared" si="47"/>
        <v>0.2734375</v>
      </c>
      <c r="AH134" s="84">
        <f t="shared" si="48"/>
        <v>0.1640625</v>
      </c>
      <c r="AI134" s="84">
        <f t="shared" si="60"/>
        <v>7.03125E-2</v>
      </c>
      <c r="AJ134" s="84">
        <f t="shared" si="61"/>
        <v>0.2734375</v>
      </c>
      <c r="AK134" s="84">
        <f t="shared" si="49"/>
        <v>0.32558139534883723</v>
      </c>
      <c r="AL134" s="84">
        <f t="shared" si="50"/>
        <v>0.22222222222222221</v>
      </c>
      <c r="AM134" s="84">
        <f t="shared" si="51"/>
        <v>0.2734375</v>
      </c>
      <c r="AO134" s="84">
        <f t="shared" si="52"/>
        <v>0.33678756476683935</v>
      </c>
      <c r="AP134" s="84">
        <f t="shared" si="53"/>
        <v>0.10880829015544041</v>
      </c>
      <c r="AQ134" s="84">
        <f t="shared" si="54"/>
        <v>4.6632124352331605E-2</v>
      </c>
      <c r="AR134" s="84">
        <f t="shared" si="55"/>
        <v>6.7357512953367879E-2</v>
      </c>
      <c r="AS134" s="84">
        <f t="shared" si="56"/>
        <v>0.16062176165803108</v>
      </c>
      <c r="AU134" s="84">
        <f t="shared" si="57"/>
        <v>1</v>
      </c>
      <c r="AV134" s="84">
        <f t="shared" si="58"/>
        <v>0.22413793103448276</v>
      </c>
      <c r="AW134" s="84">
        <f t="shared" si="59"/>
        <v>0.27192982456140352</v>
      </c>
    </row>
    <row r="135" spans="2:49" x14ac:dyDescent="0.25">
      <c r="B135" s="80">
        <v>44652</v>
      </c>
      <c r="C135" s="154">
        <v>183</v>
      </c>
      <c r="D135" s="154">
        <v>120</v>
      </c>
      <c r="E135" s="154">
        <v>55</v>
      </c>
      <c r="F135" s="154">
        <v>8</v>
      </c>
      <c r="H135" s="154">
        <v>21</v>
      </c>
      <c r="I135" s="154">
        <v>0</v>
      </c>
      <c r="J135" s="154">
        <v>21</v>
      </c>
      <c r="K135" s="154">
        <v>0</v>
      </c>
      <c r="M135" s="154">
        <v>56</v>
      </c>
      <c r="N135" s="154">
        <v>42</v>
      </c>
      <c r="O135" s="154">
        <v>11</v>
      </c>
      <c r="P135" s="154">
        <v>3</v>
      </c>
      <c r="R135" s="154">
        <v>59</v>
      </c>
      <c r="S135" s="154">
        <v>42</v>
      </c>
      <c r="T135" s="154">
        <v>12</v>
      </c>
      <c r="U135" s="154">
        <v>5</v>
      </c>
      <c r="W135" s="154">
        <v>47</v>
      </c>
      <c r="X135" s="154">
        <v>36</v>
      </c>
      <c r="Y135" s="154">
        <v>11</v>
      </c>
      <c r="Z135" s="154">
        <v>0</v>
      </c>
      <c r="AB135" s="154">
        <f t="shared" si="43"/>
        <v>162</v>
      </c>
      <c r="AC135" s="154">
        <f t="shared" si="44"/>
        <v>120</v>
      </c>
      <c r="AD135" s="154">
        <f t="shared" si="45"/>
        <v>34</v>
      </c>
      <c r="AE135" s="154">
        <f t="shared" si="46"/>
        <v>8</v>
      </c>
      <c r="AF135" s="91">
        <f t="shared" si="47"/>
        <v>0.28333333333333333</v>
      </c>
      <c r="AH135" s="84">
        <f t="shared" si="48"/>
        <v>0.17499999999999999</v>
      </c>
      <c r="AI135" s="84">
        <f t="shared" si="60"/>
        <v>6.6666666666666666E-2</v>
      </c>
      <c r="AJ135" s="84">
        <f t="shared" si="61"/>
        <v>0.28333333333333333</v>
      </c>
      <c r="AK135" s="84">
        <f t="shared" si="49"/>
        <v>0.2857142857142857</v>
      </c>
      <c r="AL135" s="84">
        <f t="shared" si="50"/>
        <v>0.26190476190476192</v>
      </c>
      <c r="AM135" s="84">
        <f t="shared" si="51"/>
        <v>0.28333333333333333</v>
      </c>
      <c r="AO135" s="84">
        <f t="shared" si="52"/>
        <v>0.34426229508196721</v>
      </c>
      <c r="AP135" s="84">
        <f t="shared" si="53"/>
        <v>0.11475409836065574</v>
      </c>
      <c r="AQ135" s="84">
        <f t="shared" si="54"/>
        <v>4.3715846994535519E-2</v>
      </c>
      <c r="AR135" s="84">
        <f t="shared" si="55"/>
        <v>7.650273224043716E-2</v>
      </c>
      <c r="AS135" s="84">
        <f t="shared" si="56"/>
        <v>0.15300546448087432</v>
      </c>
      <c r="AU135" s="84">
        <f t="shared" si="57"/>
        <v>1</v>
      </c>
      <c r="AV135" s="84">
        <f t="shared" si="58"/>
        <v>0.25</v>
      </c>
      <c r="AW135" s="84">
        <f t="shared" si="59"/>
        <v>0.26415094339622641</v>
      </c>
    </row>
    <row r="136" spans="2:49" x14ac:dyDescent="0.25">
      <c r="B136" s="80">
        <v>44682</v>
      </c>
      <c r="C136" s="154">
        <v>187</v>
      </c>
      <c r="D136" s="154">
        <v>123</v>
      </c>
      <c r="E136" s="154">
        <v>56</v>
      </c>
      <c r="F136" s="154">
        <v>8</v>
      </c>
      <c r="H136" s="154">
        <v>21</v>
      </c>
      <c r="I136" s="154">
        <v>0</v>
      </c>
      <c r="J136" s="154">
        <v>21</v>
      </c>
      <c r="K136" s="154">
        <v>0</v>
      </c>
      <c r="M136" s="154">
        <v>58</v>
      </c>
      <c r="N136" s="154">
        <v>42</v>
      </c>
      <c r="O136" s="154">
        <v>13</v>
      </c>
      <c r="P136" s="154">
        <v>3</v>
      </c>
      <c r="R136" s="154">
        <v>60</v>
      </c>
      <c r="S136" s="154">
        <v>44</v>
      </c>
      <c r="T136" s="154">
        <v>11</v>
      </c>
      <c r="U136" s="154">
        <v>5</v>
      </c>
      <c r="W136" s="154">
        <v>48</v>
      </c>
      <c r="X136" s="154">
        <v>37</v>
      </c>
      <c r="Y136" s="154">
        <v>11</v>
      </c>
      <c r="Z136" s="154">
        <v>0</v>
      </c>
      <c r="AB136" s="154">
        <f t="shared" si="43"/>
        <v>166</v>
      </c>
      <c r="AC136" s="154">
        <f t="shared" si="44"/>
        <v>123</v>
      </c>
      <c r="AD136" s="154">
        <f t="shared" si="45"/>
        <v>35</v>
      </c>
      <c r="AE136" s="154">
        <f t="shared" si="46"/>
        <v>8</v>
      </c>
      <c r="AF136" s="91">
        <f t="shared" si="47"/>
        <v>0.28455284552845528</v>
      </c>
      <c r="AH136" s="84">
        <f t="shared" si="48"/>
        <v>0.17073170731707318</v>
      </c>
      <c r="AI136" s="84">
        <f t="shared" si="60"/>
        <v>6.5040650406504072E-2</v>
      </c>
      <c r="AJ136" s="84">
        <f t="shared" si="61"/>
        <v>0.28455284552845528</v>
      </c>
      <c r="AK136" s="84">
        <f t="shared" si="49"/>
        <v>0.25</v>
      </c>
      <c r="AL136" s="84">
        <f t="shared" si="50"/>
        <v>0.30952380952380953</v>
      </c>
      <c r="AM136" s="84">
        <f t="shared" si="51"/>
        <v>0.28455284552845528</v>
      </c>
      <c r="AO136" s="84">
        <f t="shared" si="52"/>
        <v>0.34224598930481281</v>
      </c>
      <c r="AP136" s="84">
        <f t="shared" si="53"/>
        <v>0.11229946524064172</v>
      </c>
      <c r="AQ136" s="84">
        <f t="shared" si="54"/>
        <v>4.2780748663101602E-2</v>
      </c>
      <c r="AR136" s="84">
        <f t="shared" si="55"/>
        <v>8.5561497326203204E-2</v>
      </c>
      <c r="AS136" s="84">
        <f t="shared" si="56"/>
        <v>0.14438502673796791</v>
      </c>
      <c r="AU136" s="84">
        <f t="shared" si="57"/>
        <v>1</v>
      </c>
      <c r="AV136" s="84">
        <f t="shared" si="58"/>
        <v>0.27586206896551724</v>
      </c>
      <c r="AW136" s="84">
        <f t="shared" si="59"/>
        <v>0.25</v>
      </c>
    </row>
    <row r="137" spans="2:49" x14ac:dyDescent="0.25">
      <c r="B137" s="80">
        <v>44713</v>
      </c>
      <c r="C137" s="154">
        <v>180</v>
      </c>
      <c r="D137" s="154">
        <v>110</v>
      </c>
      <c r="E137" s="154">
        <v>58</v>
      </c>
      <c r="F137" s="154">
        <v>12</v>
      </c>
      <c r="H137" s="154">
        <v>21</v>
      </c>
      <c r="I137" s="154">
        <v>0</v>
      </c>
      <c r="J137" s="154">
        <v>21</v>
      </c>
      <c r="K137" s="154">
        <v>0</v>
      </c>
      <c r="M137" s="154">
        <v>56</v>
      </c>
      <c r="N137" s="154">
        <v>40</v>
      </c>
      <c r="O137" s="154">
        <v>14</v>
      </c>
      <c r="P137" s="154">
        <v>2</v>
      </c>
      <c r="R137" s="154">
        <v>55</v>
      </c>
      <c r="S137" s="154">
        <v>34</v>
      </c>
      <c r="T137" s="154">
        <v>11</v>
      </c>
      <c r="U137" s="154">
        <v>10</v>
      </c>
      <c r="W137" s="154">
        <v>48</v>
      </c>
      <c r="X137" s="154">
        <v>36</v>
      </c>
      <c r="Y137" s="154">
        <v>12</v>
      </c>
      <c r="Z137" s="154">
        <v>0</v>
      </c>
      <c r="AB137" s="154">
        <f t="shared" si="43"/>
        <v>159</v>
      </c>
      <c r="AC137" s="154">
        <f t="shared" si="44"/>
        <v>110</v>
      </c>
      <c r="AD137" s="154">
        <f t="shared" si="45"/>
        <v>37</v>
      </c>
      <c r="AE137" s="154">
        <f t="shared" si="46"/>
        <v>12</v>
      </c>
      <c r="AF137" s="91">
        <f t="shared" si="47"/>
        <v>0.33636363636363636</v>
      </c>
      <c r="AH137" s="84">
        <f t="shared" si="48"/>
        <v>0.19090909090909092</v>
      </c>
      <c r="AI137" s="84">
        <f t="shared" si="60"/>
        <v>0.10909090909090909</v>
      </c>
      <c r="AJ137" s="84">
        <f t="shared" si="61"/>
        <v>0.33636363636363636</v>
      </c>
      <c r="AK137" s="84">
        <f t="shared" si="49"/>
        <v>0.3235294117647059</v>
      </c>
      <c r="AL137" s="84">
        <f t="shared" si="50"/>
        <v>0.35</v>
      </c>
      <c r="AM137" s="84">
        <f t="shared" si="51"/>
        <v>0.33636363636363636</v>
      </c>
      <c r="AO137" s="84">
        <f t="shared" si="52"/>
        <v>0.3888888888888889</v>
      </c>
      <c r="AP137" s="84">
        <f t="shared" si="53"/>
        <v>0.11666666666666667</v>
      </c>
      <c r="AQ137" s="84">
        <f t="shared" si="54"/>
        <v>6.6666666666666666E-2</v>
      </c>
      <c r="AR137" s="84">
        <f t="shared" si="55"/>
        <v>8.8888888888888892E-2</v>
      </c>
      <c r="AS137" s="84">
        <f t="shared" si="56"/>
        <v>0.18333333333333332</v>
      </c>
      <c r="AU137" s="84">
        <f t="shared" si="57"/>
        <v>1</v>
      </c>
      <c r="AV137" s="84">
        <f t="shared" si="58"/>
        <v>0.2857142857142857</v>
      </c>
      <c r="AW137" s="84">
        <f t="shared" si="59"/>
        <v>0.32038834951456313</v>
      </c>
    </row>
    <row r="138" spans="2:49" x14ac:dyDescent="0.25">
      <c r="B138" s="80">
        <v>44743</v>
      </c>
      <c r="C138" s="154">
        <v>187</v>
      </c>
      <c r="D138" s="154">
        <v>116</v>
      </c>
      <c r="E138" s="154">
        <v>59</v>
      </c>
      <c r="F138" s="154">
        <v>13</v>
      </c>
      <c r="H138" s="154">
        <v>21</v>
      </c>
      <c r="I138" s="154">
        <v>0</v>
      </c>
      <c r="J138" s="154">
        <v>21</v>
      </c>
      <c r="K138" s="154">
        <v>0</v>
      </c>
      <c r="M138" s="154">
        <v>61</v>
      </c>
      <c r="N138" s="154">
        <v>43</v>
      </c>
      <c r="O138" s="154">
        <v>15</v>
      </c>
      <c r="P138" s="154">
        <v>3</v>
      </c>
      <c r="R138" s="154">
        <v>56</v>
      </c>
      <c r="S138" s="154">
        <v>34</v>
      </c>
      <c r="T138" s="154">
        <v>12</v>
      </c>
      <c r="U138" s="154">
        <v>10</v>
      </c>
      <c r="W138" s="154">
        <v>49</v>
      </c>
      <c r="X138" s="154">
        <v>38</v>
      </c>
      <c r="Y138" s="154">
        <v>11</v>
      </c>
      <c r="Z138" s="154">
        <v>0</v>
      </c>
      <c r="AB138" s="154">
        <f t="shared" si="43"/>
        <v>166</v>
      </c>
      <c r="AC138" s="154">
        <f t="shared" si="44"/>
        <v>115</v>
      </c>
      <c r="AD138" s="154">
        <f t="shared" si="45"/>
        <v>38</v>
      </c>
      <c r="AE138" s="154">
        <f t="shared" si="46"/>
        <v>13</v>
      </c>
      <c r="AF138" s="91">
        <f t="shared" si="47"/>
        <v>0.33043478260869563</v>
      </c>
      <c r="AH138" s="84">
        <f t="shared" si="48"/>
        <v>0.18103448275862069</v>
      </c>
      <c r="AI138" s="84">
        <f t="shared" si="60"/>
        <v>0.11206896551724138</v>
      </c>
      <c r="AJ138" s="84">
        <f t="shared" si="61"/>
        <v>0.32758620689655171</v>
      </c>
      <c r="AK138" s="84">
        <f t="shared" si="49"/>
        <v>0.35294117647058826</v>
      </c>
      <c r="AL138" s="84">
        <f t="shared" si="50"/>
        <v>0.34883720930232559</v>
      </c>
      <c r="AM138" s="84">
        <f t="shared" si="51"/>
        <v>0.33043478260869563</v>
      </c>
      <c r="AO138" s="84">
        <f t="shared" si="52"/>
        <v>0.38502673796791442</v>
      </c>
      <c r="AP138" s="84">
        <f t="shared" si="53"/>
        <v>0.11229946524064172</v>
      </c>
      <c r="AQ138" s="84">
        <f t="shared" si="54"/>
        <v>6.9518716577540107E-2</v>
      </c>
      <c r="AR138" s="84">
        <f t="shared" si="55"/>
        <v>9.6256684491978606E-2</v>
      </c>
      <c r="AS138" s="84">
        <f t="shared" si="56"/>
        <v>0.17647058823529413</v>
      </c>
      <c r="AU138" s="84">
        <f t="shared" si="57"/>
        <v>1</v>
      </c>
      <c r="AV138" s="84">
        <f t="shared" si="58"/>
        <v>0.29508196721311475</v>
      </c>
      <c r="AW138" s="84">
        <f t="shared" si="59"/>
        <v>0.31428571428571428</v>
      </c>
    </row>
    <row r="139" spans="2:49" x14ac:dyDescent="0.25">
      <c r="B139" s="80">
        <v>44774</v>
      </c>
      <c r="C139" s="154">
        <v>191</v>
      </c>
      <c r="D139" s="154">
        <v>117</v>
      </c>
      <c r="E139" s="154">
        <v>59</v>
      </c>
      <c r="F139" s="154">
        <v>15</v>
      </c>
      <c r="H139" s="154">
        <v>21</v>
      </c>
      <c r="I139" s="154">
        <v>0</v>
      </c>
      <c r="J139" s="154">
        <v>21</v>
      </c>
      <c r="K139" s="154">
        <v>0</v>
      </c>
      <c r="M139" s="154">
        <v>60</v>
      </c>
      <c r="N139" s="154">
        <v>43</v>
      </c>
      <c r="O139" s="154">
        <v>14</v>
      </c>
      <c r="P139" s="154">
        <v>3</v>
      </c>
      <c r="R139" s="154">
        <v>57</v>
      </c>
      <c r="S139" s="154">
        <v>32</v>
      </c>
      <c r="T139" s="154">
        <v>13</v>
      </c>
      <c r="U139" s="154">
        <v>12</v>
      </c>
      <c r="W139" s="154">
        <v>53</v>
      </c>
      <c r="X139" s="154">
        <v>42</v>
      </c>
      <c r="Y139" s="154">
        <v>11</v>
      </c>
      <c r="Z139" s="154">
        <v>0</v>
      </c>
      <c r="AB139" s="154">
        <f t="shared" si="43"/>
        <v>170</v>
      </c>
      <c r="AC139" s="154">
        <f t="shared" si="44"/>
        <v>117</v>
      </c>
      <c r="AD139" s="154">
        <f t="shared" si="45"/>
        <v>38</v>
      </c>
      <c r="AE139" s="154">
        <f t="shared" si="46"/>
        <v>15</v>
      </c>
      <c r="AF139" s="91">
        <f t="shared" si="47"/>
        <v>0.3247863247863248</v>
      </c>
      <c r="AH139" s="84">
        <f t="shared" si="48"/>
        <v>0.17948717948717949</v>
      </c>
      <c r="AI139" s="84">
        <f t="shared" si="60"/>
        <v>0.12820512820512819</v>
      </c>
      <c r="AJ139" s="84">
        <f t="shared" si="61"/>
        <v>0.3247863247863248</v>
      </c>
      <c r="AK139" s="84">
        <f t="shared" si="49"/>
        <v>0.40625</v>
      </c>
      <c r="AL139" s="84">
        <f t="shared" si="50"/>
        <v>0.32558139534883723</v>
      </c>
      <c r="AM139" s="84">
        <f t="shared" si="51"/>
        <v>0.3247863247863248</v>
      </c>
      <c r="AO139" s="84">
        <f t="shared" si="52"/>
        <v>0.38743455497382201</v>
      </c>
      <c r="AP139" s="84">
        <f t="shared" si="53"/>
        <v>0.1099476439790576</v>
      </c>
      <c r="AQ139" s="84">
        <f t="shared" si="54"/>
        <v>7.8534031413612565E-2</v>
      </c>
      <c r="AR139" s="84">
        <f t="shared" si="55"/>
        <v>8.9005235602094238E-2</v>
      </c>
      <c r="AS139" s="84">
        <f t="shared" si="56"/>
        <v>0.18848167539267016</v>
      </c>
      <c r="AU139" s="84">
        <f t="shared" si="57"/>
        <v>1</v>
      </c>
      <c r="AV139" s="84">
        <f t="shared" si="58"/>
        <v>0.28333333333333333</v>
      </c>
      <c r="AW139" s="84">
        <f t="shared" si="59"/>
        <v>0.32727272727272727</v>
      </c>
    </row>
    <row r="140" spans="2:49" x14ac:dyDescent="0.25">
      <c r="B140" s="80">
        <v>44805</v>
      </c>
      <c r="C140" s="154">
        <v>199</v>
      </c>
      <c r="D140" s="154">
        <v>126</v>
      </c>
      <c r="E140" s="154">
        <v>61</v>
      </c>
      <c r="F140" s="154">
        <v>12</v>
      </c>
      <c r="H140" s="154">
        <v>24</v>
      </c>
      <c r="I140" s="154">
        <v>0</v>
      </c>
      <c r="J140" s="154">
        <v>24</v>
      </c>
      <c r="K140" s="154">
        <v>0</v>
      </c>
      <c r="M140" s="154">
        <v>63</v>
      </c>
      <c r="N140" s="154">
        <v>47</v>
      </c>
      <c r="O140" s="154">
        <v>13</v>
      </c>
      <c r="P140" s="154">
        <v>3</v>
      </c>
      <c r="R140" s="154">
        <v>56</v>
      </c>
      <c r="S140" s="154">
        <v>34</v>
      </c>
      <c r="T140" s="154">
        <v>13</v>
      </c>
      <c r="U140" s="154">
        <v>9</v>
      </c>
      <c r="W140" s="154">
        <v>56</v>
      </c>
      <c r="X140" s="154">
        <v>45</v>
      </c>
      <c r="Y140" s="154">
        <v>11</v>
      </c>
      <c r="Z140" s="154">
        <v>0</v>
      </c>
      <c r="AB140" s="154">
        <f t="shared" si="43"/>
        <v>175</v>
      </c>
      <c r="AC140" s="154">
        <f t="shared" si="44"/>
        <v>126</v>
      </c>
      <c r="AD140" s="154">
        <f t="shared" si="45"/>
        <v>37</v>
      </c>
      <c r="AE140" s="154">
        <f t="shared" si="46"/>
        <v>12</v>
      </c>
      <c r="AF140" s="91">
        <f t="shared" si="47"/>
        <v>0.29365079365079366</v>
      </c>
      <c r="AH140" s="84">
        <f t="shared" si="48"/>
        <v>0.19047619047619047</v>
      </c>
      <c r="AI140" s="84">
        <f t="shared" si="60"/>
        <v>9.5238095238095233E-2</v>
      </c>
      <c r="AJ140" s="84">
        <f t="shared" si="61"/>
        <v>0.29365079365079366</v>
      </c>
      <c r="AK140" s="84">
        <f t="shared" si="49"/>
        <v>0.38235294117647056</v>
      </c>
      <c r="AL140" s="84">
        <f t="shared" si="50"/>
        <v>0.27659574468085107</v>
      </c>
      <c r="AM140" s="84">
        <f t="shared" si="51"/>
        <v>0.29365079365079366</v>
      </c>
      <c r="AO140" s="84">
        <f t="shared" si="52"/>
        <v>0.36683417085427134</v>
      </c>
      <c r="AP140" s="84">
        <f t="shared" si="53"/>
        <v>0.12060301507537688</v>
      </c>
      <c r="AQ140" s="84">
        <f t="shared" si="54"/>
        <v>6.030150753768844E-2</v>
      </c>
      <c r="AR140" s="84">
        <f t="shared" si="55"/>
        <v>8.0402010050251257E-2</v>
      </c>
      <c r="AS140" s="84">
        <f t="shared" si="56"/>
        <v>0.16582914572864321</v>
      </c>
      <c r="AU140" s="84">
        <f t="shared" si="57"/>
        <v>1</v>
      </c>
      <c r="AV140" s="84">
        <f t="shared" si="58"/>
        <v>0.25396825396825395</v>
      </c>
      <c r="AW140" s="84">
        <f t="shared" si="59"/>
        <v>0.29464285714285715</v>
      </c>
    </row>
    <row r="141" spans="2:49" x14ac:dyDescent="0.25">
      <c r="B141" s="80">
        <v>44835</v>
      </c>
      <c r="C141" s="154">
        <v>199</v>
      </c>
      <c r="D141" s="154">
        <v>123</v>
      </c>
      <c r="E141" s="154">
        <v>65</v>
      </c>
      <c r="F141" s="154">
        <v>11</v>
      </c>
      <c r="H141" s="154">
        <v>24</v>
      </c>
      <c r="I141" s="154">
        <v>0</v>
      </c>
      <c r="J141" s="154">
        <v>24</v>
      </c>
      <c r="K141" s="154">
        <v>0</v>
      </c>
      <c r="M141" s="154">
        <v>65</v>
      </c>
      <c r="N141" s="154">
        <v>46</v>
      </c>
      <c r="O141" s="154">
        <v>16</v>
      </c>
      <c r="P141" s="154">
        <v>3</v>
      </c>
      <c r="R141" s="154">
        <v>54</v>
      </c>
      <c r="S141" s="154">
        <v>33</v>
      </c>
      <c r="T141" s="154">
        <v>13</v>
      </c>
      <c r="U141" s="154">
        <v>8</v>
      </c>
      <c r="W141" s="154">
        <v>56</v>
      </c>
      <c r="X141" s="154">
        <v>45</v>
      </c>
      <c r="Y141" s="154">
        <v>12</v>
      </c>
      <c r="Z141" s="154">
        <v>0</v>
      </c>
      <c r="AB141" s="154">
        <f t="shared" si="43"/>
        <v>176</v>
      </c>
      <c r="AC141" s="154">
        <f t="shared" si="44"/>
        <v>124</v>
      </c>
      <c r="AD141" s="154">
        <f t="shared" si="45"/>
        <v>41</v>
      </c>
      <c r="AE141" s="154">
        <f t="shared" si="46"/>
        <v>11</v>
      </c>
      <c r="AF141" s="91">
        <f t="shared" si="47"/>
        <v>0.33064516129032256</v>
      </c>
      <c r="AH141" s="84">
        <f t="shared" si="48"/>
        <v>0.1951219512195122</v>
      </c>
      <c r="AI141" s="84">
        <f t="shared" si="60"/>
        <v>8.943089430894309E-2</v>
      </c>
      <c r="AJ141" s="84">
        <f t="shared" si="61"/>
        <v>0.33333333333333331</v>
      </c>
      <c r="AK141" s="84">
        <f t="shared" si="49"/>
        <v>0.39393939393939392</v>
      </c>
      <c r="AL141" s="84">
        <f t="shared" si="50"/>
        <v>0.34782608695652173</v>
      </c>
      <c r="AM141" s="84">
        <f t="shared" si="51"/>
        <v>0.33064516129032256</v>
      </c>
      <c r="AO141" s="84">
        <f t="shared" si="52"/>
        <v>0.38190954773869346</v>
      </c>
      <c r="AP141" s="84">
        <f t="shared" si="53"/>
        <v>0.12060301507537688</v>
      </c>
      <c r="AQ141" s="84">
        <f t="shared" si="54"/>
        <v>5.5276381909547742E-2</v>
      </c>
      <c r="AR141" s="84">
        <f t="shared" si="55"/>
        <v>9.5477386934673364E-2</v>
      </c>
      <c r="AS141" s="84">
        <f t="shared" si="56"/>
        <v>0.16582914572864321</v>
      </c>
      <c r="AU141" s="84">
        <f t="shared" si="57"/>
        <v>1</v>
      </c>
      <c r="AV141" s="84">
        <f t="shared" si="58"/>
        <v>0.29230769230769232</v>
      </c>
      <c r="AW141" s="84">
        <f t="shared" si="59"/>
        <v>0.3</v>
      </c>
    </row>
    <row r="142" spans="2:49" x14ac:dyDescent="0.25">
      <c r="B142" s="80">
        <v>44866</v>
      </c>
      <c r="C142" s="154">
        <v>169</v>
      </c>
      <c r="D142" s="154">
        <v>101</v>
      </c>
      <c r="E142" s="154">
        <v>57</v>
      </c>
      <c r="F142" s="154">
        <v>11</v>
      </c>
      <c r="H142" s="154">
        <v>24</v>
      </c>
      <c r="I142" s="154">
        <v>0</v>
      </c>
      <c r="J142" s="154">
        <v>24</v>
      </c>
      <c r="K142" s="154">
        <v>0</v>
      </c>
      <c r="M142" s="154">
        <v>50</v>
      </c>
      <c r="N142" s="154">
        <v>37</v>
      </c>
      <c r="O142" s="154">
        <v>10</v>
      </c>
      <c r="P142" s="154">
        <v>3</v>
      </c>
      <c r="R142" s="154">
        <v>49</v>
      </c>
      <c r="S142" s="154">
        <v>26</v>
      </c>
      <c r="T142" s="154">
        <v>15</v>
      </c>
      <c r="U142" s="154">
        <v>8</v>
      </c>
      <c r="W142" s="154">
        <v>46</v>
      </c>
      <c r="X142" s="154">
        <v>38</v>
      </c>
      <c r="Y142" s="154">
        <v>8</v>
      </c>
      <c r="Z142" s="154">
        <v>0</v>
      </c>
      <c r="AB142" s="154">
        <f t="shared" si="43"/>
        <v>145</v>
      </c>
      <c r="AC142" s="154">
        <f t="shared" si="44"/>
        <v>101</v>
      </c>
      <c r="AD142" s="154">
        <f t="shared" si="45"/>
        <v>33</v>
      </c>
      <c r="AE142" s="154">
        <f t="shared" si="46"/>
        <v>11</v>
      </c>
      <c r="AF142" s="91">
        <f t="shared" si="47"/>
        <v>0.32673267326732675</v>
      </c>
      <c r="AH142" s="84">
        <f t="shared" si="48"/>
        <v>0.23762376237623761</v>
      </c>
      <c r="AI142" s="84">
        <f t="shared" si="60"/>
        <v>0.10891089108910891</v>
      </c>
      <c r="AJ142" s="84">
        <f t="shared" si="61"/>
        <v>0.32673267326732675</v>
      </c>
      <c r="AK142" s="84">
        <f t="shared" si="49"/>
        <v>0.57692307692307687</v>
      </c>
      <c r="AL142" s="84">
        <f t="shared" si="50"/>
        <v>0.27027027027027029</v>
      </c>
      <c r="AM142" s="84">
        <f t="shared" si="51"/>
        <v>0.32673267326732675</v>
      </c>
      <c r="AO142" s="84">
        <f t="shared" si="52"/>
        <v>0.40236686390532544</v>
      </c>
      <c r="AP142" s="84">
        <f t="shared" si="53"/>
        <v>0.14201183431952663</v>
      </c>
      <c r="AQ142" s="84">
        <f t="shared" si="54"/>
        <v>6.5088757396449703E-2</v>
      </c>
      <c r="AR142" s="84">
        <f t="shared" si="55"/>
        <v>7.6923076923076927E-2</v>
      </c>
      <c r="AS142" s="84">
        <f t="shared" si="56"/>
        <v>0.18343195266272189</v>
      </c>
      <c r="AU142" s="84">
        <f t="shared" si="57"/>
        <v>1</v>
      </c>
      <c r="AV142" s="84">
        <f t="shared" si="58"/>
        <v>0.26</v>
      </c>
      <c r="AW142" s="84">
        <f t="shared" si="59"/>
        <v>0.32631578947368423</v>
      </c>
    </row>
    <row r="143" spans="2:49" x14ac:dyDescent="0.25">
      <c r="B143" s="80">
        <v>44896</v>
      </c>
      <c r="C143" s="154">
        <v>153</v>
      </c>
      <c r="D143" s="154">
        <v>91</v>
      </c>
      <c r="E143" s="154">
        <v>54</v>
      </c>
      <c r="F143" s="154">
        <v>8</v>
      </c>
      <c r="H143" s="154">
        <v>23</v>
      </c>
      <c r="I143" s="154">
        <v>0</v>
      </c>
      <c r="J143" s="154">
        <v>23</v>
      </c>
      <c r="K143" s="154">
        <v>0</v>
      </c>
      <c r="M143" s="154">
        <v>44</v>
      </c>
      <c r="N143" s="154">
        <v>33</v>
      </c>
      <c r="O143" s="154">
        <v>9</v>
      </c>
      <c r="P143" s="154">
        <v>2</v>
      </c>
      <c r="R143" s="154">
        <v>43</v>
      </c>
      <c r="S143" s="154">
        <v>23</v>
      </c>
      <c r="T143" s="154">
        <v>14</v>
      </c>
      <c r="U143" s="154">
        <v>6</v>
      </c>
      <c r="W143" s="154">
        <v>43</v>
      </c>
      <c r="X143" s="154">
        <v>35</v>
      </c>
      <c r="Y143" s="154">
        <v>8</v>
      </c>
      <c r="Z143" s="154">
        <v>0</v>
      </c>
      <c r="AB143" s="154">
        <f t="shared" si="43"/>
        <v>130</v>
      </c>
      <c r="AC143" s="154">
        <f t="shared" si="44"/>
        <v>91</v>
      </c>
      <c r="AD143" s="154">
        <f t="shared" si="45"/>
        <v>31</v>
      </c>
      <c r="AE143" s="154">
        <f t="shared" si="46"/>
        <v>8</v>
      </c>
      <c r="AF143" s="91">
        <f t="shared" si="47"/>
        <v>0.34065934065934067</v>
      </c>
      <c r="AH143" s="84">
        <f t="shared" si="48"/>
        <v>0.25274725274725274</v>
      </c>
      <c r="AI143" s="84">
        <f t="shared" si="60"/>
        <v>8.7912087912087919E-2</v>
      </c>
      <c r="AJ143" s="84">
        <f t="shared" si="61"/>
        <v>0.34065934065934067</v>
      </c>
      <c r="AK143" s="84">
        <f t="shared" si="49"/>
        <v>0.60869565217391308</v>
      </c>
      <c r="AL143" s="84">
        <f t="shared" si="50"/>
        <v>0.27272727272727271</v>
      </c>
      <c r="AM143" s="84">
        <f t="shared" si="51"/>
        <v>0.34065934065934067</v>
      </c>
      <c r="AO143" s="84">
        <f t="shared" si="52"/>
        <v>0.40522875816993464</v>
      </c>
      <c r="AP143" s="84">
        <f t="shared" si="53"/>
        <v>0.15032679738562091</v>
      </c>
      <c r="AQ143" s="84">
        <f t="shared" si="54"/>
        <v>5.2287581699346407E-2</v>
      </c>
      <c r="AR143" s="84">
        <f t="shared" si="55"/>
        <v>7.1895424836601302E-2</v>
      </c>
      <c r="AS143" s="84">
        <f t="shared" si="56"/>
        <v>0.18300653594771241</v>
      </c>
      <c r="AU143" s="84">
        <f t="shared" si="57"/>
        <v>1</v>
      </c>
      <c r="AV143" s="84">
        <f t="shared" si="58"/>
        <v>0.25</v>
      </c>
      <c r="AW143" s="84">
        <f t="shared" si="59"/>
        <v>0.32558139534883723</v>
      </c>
    </row>
    <row r="144" spans="2:49" x14ac:dyDescent="0.25">
      <c r="B144" s="80">
        <v>44927</v>
      </c>
      <c r="C144" s="154">
        <v>147</v>
      </c>
      <c r="D144" s="154">
        <v>87</v>
      </c>
      <c r="E144" s="154">
        <v>54</v>
      </c>
      <c r="F144" s="154">
        <v>6</v>
      </c>
      <c r="H144" s="154">
        <v>23</v>
      </c>
      <c r="I144" s="154">
        <v>0</v>
      </c>
      <c r="J144" s="154">
        <v>23</v>
      </c>
      <c r="K144" s="154">
        <v>0</v>
      </c>
      <c r="M144" s="154">
        <v>43</v>
      </c>
      <c r="N144" s="154">
        <v>32</v>
      </c>
      <c r="O144" s="154">
        <v>9</v>
      </c>
      <c r="P144" s="154">
        <v>2</v>
      </c>
      <c r="R144" s="154">
        <v>39</v>
      </c>
      <c r="S144" s="154">
        <v>21</v>
      </c>
      <c r="T144" s="154">
        <v>14</v>
      </c>
      <c r="U144" s="154">
        <v>4</v>
      </c>
      <c r="W144" s="154">
        <v>42</v>
      </c>
      <c r="X144" s="154">
        <v>34</v>
      </c>
      <c r="Y144" s="154">
        <v>8</v>
      </c>
      <c r="Z144" s="154">
        <v>0</v>
      </c>
      <c r="AB144" s="154">
        <f t="shared" si="43"/>
        <v>124</v>
      </c>
      <c r="AC144" s="154">
        <f t="shared" si="44"/>
        <v>87</v>
      </c>
      <c r="AD144" s="154">
        <f t="shared" si="45"/>
        <v>31</v>
      </c>
      <c r="AE144" s="154">
        <f t="shared" si="46"/>
        <v>6</v>
      </c>
      <c r="AF144" s="91">
        <f t="shared" si="47"/>
        <v>0.35632183908045978</v>
      </c>
      <c r="AH144" s="84">
        <f t="shared" si="48"/>
        <v>0.26436781609195403</v>
      </c>
      <c r="AI144" s="84">
        <f t="shared" si="60"/>
        <v>6.8965517241379309E-2</v>
      </c>
      <c r="AJ144" s="84">
        <f t="shared" si="61"/>
        <v>0.35632183908045978</v>
      </c>
      <c r="AK144" s="84">
        <f t="shared" si="49"/>
        <v>0.66666666666666663</v>
      </c>
      <c r="AL144" s="84">
        <f t="shared" si="50"/>
        <v>0.28125</v>
      </c>
      <c r="AM144" s="84">
        <f t="shared" si="51"/>
        <v>0.35632183908045978</v>
      </c>
      <c r="AO144" s="84">
        <f t="shared" si="52"/>
        <v>0.40816326530612246</v>
      </c>
      <c r="AP144" s="84">
        <f t="shared" si="53"/>
        <v>0.15646258503401361</v>
      </c>
      <c r="AQ144" s="84">
        <f t="shared" si="54"/>
        <v>4.0816326530612242E-2</v>
      </c>
      <c r="AR144" s="84">
        <f t="shared" si="55"/>
        <v>7.4829931972789115E-2</v>
      </c>
      <c r="AS144" s="84">
        <f t="shared" si="56"/>
        <v>0.17687074829931973</v>
      </c>
      <c r="AU144" s="84">
        <f t="shared" si="57"/>
        <v>1</v>
      </c>
      <c r="AV144" s="84">
        <f t="shared" si="58"/>
        <v>0.2558139534883721</v>
      </c>
      <c r="AW144" s="84">
        <f t="shared" si="59"/>
        <v>0.32098765432098764</v>
      </c>
    </row>
    <row r="145" spans="2:49" x14ac:dyDescent="0.25">
      <c r="B145" s="80">
        <v>44958</v>
      </c>
      <c r="C145" s="154">
        <v>142</v>
      </c>
      <c r="D145" s="154">
        <v>88</v>
      </c>
      <c r="E145" s="154">
        <v>48</v>
      </c>
      <c r="F145" s="154">
        <v>6</v>
      </c>
      <c r="H145" s="154">
        <v>22</v>
      </c>
      <c r="I145" s="154">
        <v>0</v>
      </c>
      <c r="J145" s="154">
        <v>22</v>
      </c>
      <c r="K145" s="154">
        <v>0</v>
      </c>
      <c r="M145" s="154">
        <v>45</v>
      </c>
      <c r="N145" s="154">
        <v>36</v>
      </c>
      <c r="O145" s="154">
        <v>7</v>
      </c>
      <c r="P145" s="154">
        <v>2</v>
      </c>
      <c r="R145" s="154">
        <v>48</v>
      </c>
      <c r="S145" s="154">
        <v>31</v>
      </c>
      <c r="T145" s="154">
        <v>13</v>
      </c>
      <c r="U145" s="154">
        <v>4</v>
      </c>
      <c r="W145" s="154">
        <v>27</v>
      </c>
      <c r="X145" s="154">
        <v>21</v>
      </c>
      <c r="Y145" s="154">
        <v>6</v>
      </c>
      <c r="Z145" s="154">
        <v>0</v>
      </c>
      <c r="AB145" s="154">
        <f t="shared" si="43"/>
        <v>120</v>
      </c>
      <c r="AC145" s="154">
        <f t="shared" si="44"/>
        <v>88</v>
      </c>
      <c r="AD145" s="154">
        <f t="shared" si="45"/>
        <v>26</v>
      </c>
      <c r="AE145" s="154">
        <f t="shared" si="46"/>
        <v>6</v>
      </c>
      <c r="AF145" s="91">
        <f t="shared" si="47"/>
        <v>0.29545454545454547</v>
      </c>
      <c r="AH145" s="84">
        <f t="shared" si="48"/>
        <v>0.25</v>
      </c>
      <c r="AI145" s="84">
        <f t="shared" si="60"/>
        <v>6.8181818181818177E-2</v>
      </c>
      <c r="AJ145" s="84">
        <f t="shared" si="61"/>
        <v>0.29545454545454547</v>
      </c>
      <c r="AK145" s="84">
        <f>T145/S145</f>
        <v>0.41935483870967744</v>
      </c>
      <c r="AL145" s="84">
        <f t="shared" si="50"/>
        <v>0.19444444444444445</v>
      </c>
      <c r="AM145" s="84">
        <f t="shared" si="51"/>
        <v>0.29545454545454547</v>
      </c>
      <c r="AO145" s="84">
        <f t="shared" si="52"/>
        <v>0.38028169014084506</v>
      </c>
      <c r="AP145" s="84">
        <f t="shared" si="53"/>
        <v>0.15492957746478872</v>
      </c>
      <c r="AQ145" s="84">
        <f t="shared" si="54"/>
        <v>4.2253521126760563E-2</v>
      </c>
      <c r="AR145" s="84">
        <f t="shared" si="55"/>
        <v>6.3380281690140844E-2</v>
      </c>
      <c r="AS145" s="84">
        <f t="shared" si="56"/>
        <v>0.1619718309859155</v>
      </c>
      <c r="AU145" s="84">
        <f t="shared" si="57"/>
        <v>1</v>
      </c>
      <c r="AV145" s="84">
        <f t="shared" si="58"/>
        <v>0.2</v>
      </c>
      <c r="AW145" s="84">
        <f t="shared" si="59"/>
        <v>0.30666666666666664</v>
      </c>
    </row>
    <row r="146" spans="2:49" x14ac:dyDescent="0.25">
      <c r="B146" s="80">
        <v>44986</v>
      </c>
      <c r="C146">
        <v>137</v>
      </c>
      <c r="D146" s="154">
        <v>70</v>
      </c>
      <c r="E146" s="154">
        <v>55</v>
      </c>
      <c r="F146" s="154">
        <v>12</v>
      </c>
      <c r="H146" s="154">
        <v>22</v>
      </c>
      <c r="I146" s="154">
        <v>0</v>
      </c>
      <c r="J146" s="154">
        <v>22</v>
      </c>
      <c r="K146" s="154">
        <v>0</v>
      </c>
      <c r="M146" s="154">
        <v>42</v>
      </c>
      <c r="N146" s="154">
        <v>32</v>
      </c>
      <c r="O146" s="154">
        <v>8</v>
      </c>
      <c r="P146" s="154">
        <v>2</v>
      </c>
      <c r="R146" s="154">
        <v>48</v>
      </c>
      <c r="S146" s="154">
        <v>27</v>
      </c>
      <c r="T146" s="154">
        <v>11</v>
      </c>
      <c r="U146" s="154">
        <v>10</v>
      </c>
      <c r="W146" s="154">
        <v>25</v>
      </c>
      <c r="X146" s="154">
        <v>20</v>
      </c>
      <c r="Y146" s="154">
        <v>5</v>
      </c>
      <c r="Z146" s="154">
        <v>0</v>
      </c>
      <c r="AB146" s="154">
        <f t="shared" si="43"/>
        <v>115</v>
      </c>
      <c r="AC146" s="154">
        <f t="shared" si="44"/>
        <v>79</v>
      </c>
      <c r="AD146" s="154">
        <f t="shared" si="45"/>
        <v>24</v>
      </c>
      <c r="AE146" s="154">
        <f t="shared" si="46"/>
        <v>12</v>
      </c>
      <c r="AF146" s="91">
        <f t="shared" si="47"/>
        <v>0.30379746835443039</v>
      </c>
      <c r="AH146" s="84">
        <f t="shared" si="48"/>
        <v>0.31428571428571428</v>
      </c>
      <c r="AI146" s="84">
        <f t="shared" si="60"/>
        <v>0.17142857142857143</v>
      </c>
      <c r="AJ146" s="84">
        <f t="shared" si="61"/>
        <v>0.34285714285714286</v>
      </c>
      <c r="AK146" s="84">
        <f>T146/S146</f>
        <v>0.40740740740740738</v>
      </c>
      <c r="AL146" s="84">
        <f t="shared" si="50"/>
        <v>0.25</v>
      </c>
      <c r="AM146" s="84">
        <f t="shared" si="51"/>
        <v>0.30379746835443039</v>
      </c>
      <c r="AP146" s="84">
        <f t="shared" si="53"/>
        <v>0.16058394160583941</v>
      </c>
      <c r="AQ146" s="84">
        <f t="shared" si="54"/>
        <v>8.7591240875912413E-2</v>
      </c>
      <c r="AR146" s="84">
        <f t="shared" si="55"/>
        <v>7.2992700729927001E-2</v>
      </c>
      <c r="AS146" s="84">
        <f t="shared" si="56"/>
        <v>0.18978102189781021</v>
      </c>
      <c r="AU146" s="84">
        <f t="shared" si="57"/>
        <v>1</v>
      </c>
      <c r="AV146" s="84">
        <f t="shared" si="58"/>
        <v>0.23809523809523808</v>
      </c>
      <c r="AW146" s="84">
        <f t="shared" si="59"/>
        <v>0.35616438356164382</v>
      </c>
    </row>
  </sheetData>
  <mergeCells count="7">
    <mergeCell ref="AO19:AS19"/>
    <mergeCell ref="AU19:AW19"/>
    <mergeCell ref="H19:K19"/>
    <mergeCell ref="M19:P19"/>
    <mergeCell ref="R19:U19"/>
    <mergeCell ref="W19:Z19"/>
    <mergeCell ref="AB19:AF19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1A0F7-3E72-4E9B-9746-B42551F98649}">
  <sheetPr>
    <tabColor rgb="FFFFC000"/>
  </sheetPr>
  <dimension ref="A1:A12"/>
  <sheetViews>
    <sheetView workbookViewId="0">
      <selection activeCell="A14" sqref="A14"/>
    </sheetView>
  </sheetViews>
  <sheetFormatPr defaultRowHeight="15" x14ac:dyDescent="0.25"/>
  <sheetData>
    <row r="1" spans="1:1" x14ac:dyDescent="0.25">
      <c r="A1" s="35" t="s">
        <v>719</v>
      </c>
    </row>
    <row r="2" spans="1:1" x14ac:dyDescent="0.25">
      <c r="A2" t="s">
        <v>720</v>
      </c>
    </row>
    <row r="4" spans="1:1" x14ac:dyDescent="0.25">
      <c r="A4" t="s">
        <v>721</v>
      </c>
    </row>
    <row r="5" spans="1:1" x14ac:dyDescent="0.25">
      <c r="A5" t="s">
        <v>722</v>
      </c>
    </row>
    <row r="6" spans="1:1" x14ac:dyDescent="0.25">
      <c r="A6" t="s">
        <v>723</v>
      </c>
    </row>
    <row r="7" spans="1:1" x14ac:dyDescent="0.25">
      <c r="A7" t="s">
        <v>724</v>
      </c>
    </row>
    <row r="9" spans="1:1" x14ac:dyDescent="0.25">
      <c r="A9" s="35" t="s">
        <v>113</v>
      </c>
    </row>
    <row r="10" spans="1:1" x14ac:dyDescent="0.25">
      <c r="A10" t="s">
        <v>725</v>
      </c>
    </row>
    <row r="11" spans="1:1" x14ac:dyDescent="0.25">
      <c r="A11" t="s">
        <v>726</v>
      </c>
    </row>
    <row r="12" spans="1:1" x14ac:dyDescent="0.25">
      <c r="A12" t="s">
        <v>727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CF78-2FF6-4222-A9D4-8CD5CED4B025}">
  <sheetPr>
    <tabColor rgb="FFFFC000"/>
  </sheetPr>
  <dimension ref="A1:Q3"/>
  <sheetViews>
    <sheetView workbookViewId="0">
      <selection activeCell="F8" sqref="F8"/>
    </sheetView>
  </sheetViews>
  <sheetFormatPr defaultRowHeight="15" x14ac:dyDescent="0.25"/>
  <cols>
    <col min="1" max="1" width="9.140625" style="49"/>
    <col min="2" max="4" width="13.140625" style="43" customWidth="1"/>
    <col min="5" max="5" width="13.140625" style="81" customWidth="1"/>
    <col min="6" max="8" width="13.140625" style="43" customWidth="1"/>
    <col min="9" max="9" width="13.140625" style="81" customWidth="1"/>
    <col min="10" max="12" width="13.140625" style="43" customWidth="1"/>
    <col min="13" max="13" width="13.140625" style="81" customWidth="1"/>
    <col min="14" max="16" width="13.140625" style="43" customWidth="1"/>
    <col min="17" max="17" width="13.5703125" style="49" customWidth="1"/>
  </cols>
  <sheetData>
    <row r="1" spans="1:17" x14ac:dyDescent="0.25">
      <c r="B1" s="1749">
        <v>220</v>
      </c>
      <c r="C1" s="1749"/>
      <c r="D1" s="1749"/>
      <c r="E1" s="1749"/>
      <c r="F1" s="1749">
        <v>221</v>
      </c>
      <c r="G1" s="1749"/>
      <c r="H1" s="1749"/>
      <c r="I1" s="1749"/>
      <c r="J1" s="1749">
        <v>222</v>
      </c>
      <c r="K1" s="1749"/>
      <c r="L1" s="1749"/>
      <c r="M1" s="1749"/>
      <c r="N1" s="1749" t="s">
        <v>728</v>
      </c>
      <c r="O1" s="1749"/>
      <c r="P1" s="1749"/>
      <c r="Q1" s="1749"/>
    </row>
    <row r="2" spans="1:17" x14ac:dyDescent="0.25">
      <c r="A2" s="82" t="s">
        <v>22</v>
      </c>
      <c r="B2" s="193" t="s">
        <v>729</v>
      </c>
      <c r="C2" s="193" t="s">
        <v>730</v>
      </c>
      <c r="D2" s="193" t="s">
        <v>731</v>
      </c>
      <c r="E2" s="194" t="s">
        <v>719</v>
      </c>
      <c r="F2" s="193" t="s">
        <v>729</v>
      </c>
      <c r="G2" s="193" t="s">
        <v>730</v>
      </c>
      <c r="H2" s="193" t="s">
        <v>731</v>
      </c>
      <c r="I2" s="194" t="s">
        <v>719</v>
      </c>
      <c r="J2" s="193" t="s">
        <v>729</v>
      </c>
      <c r="K2" s="193" t="s">
        <v>730</v>
      </c>
      <c r="L2" s="193" t="s">
        <v>731</v>
      </c>
      <c r="M2" s="194" t="s">
        <v>719</v>
      </c>
      <c r="N2" s="193" t="s">
        <v>729</v>
      </c>
      <c r="O2" s="193" t="s">
        <v>730</v>
      </c>
      <c r="P2" s="193" t="s">
        <v>731</v>
      </c>
      <c r="Q2" s="194" t="s">
        <v>719</v>
      </c>
    </row>
    <row r="3" spans="1:17" x14ac:dyDescent="0.25">
      <c r="E3" s="81">
        <f>B3*C3*D3</f>
        <v>0</v>
      </c>
      <c r="I3" s="81">
        <f>F3*G3*H3</f>
        <v>0</v>
      </c>
      <c r="M3" s="81">
        <f>J3*K3*L3</f>
        <v>0</v>
      </c>
      <c r="Q3" s="81">
        <f>N3*O3*P3</f>
        <v>0</v>
      </c>
    </row>
  </sheetData>
  <mergeCells count="4">
    <mergeCell ref="N1:Q1"/>
    <mergeCell ref="J1:M1"/>
    <mergeCell ref="F1:I1"/>
    <mergeCell ref="B1:E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5B493-7C0B-411E-8FDF-6D4E8F88CDB1}">
  <dimension ref="A3:N42"/>
  <sheetViews>
    <sheetView showGridLines="0" zoomScale="85" zoomScaleNormal="85" workbookViewId="0">
      <selection activeCell="J28" sqref="J28"/>
    </sheetView>
  </sheetViews>
  <sheetFormatPr defaultRowHeight="15" x14ac:dyDescent="0.25"/>
  <cols>
    <col min="2" max="2" width="11.5703125" bestFit="1" customWidth="1"/>
    <col min="3" max="5" width="11.5703125" customWidth="1"/>
    <col min="6" max="6" width="12.140625" customWidth="1"/>
    <col min="7" max="7" width="22.42578125" bestFit="1" customWidth="1"/>
    <col min="8" max="8" width="10.42578125" customWidth="1"/>
    <col min="9" max="9" width="22.85546875" bestFit="1" customWidth="1"/>
    <col min="10" max="10" width="11.85546875" bestFit="1" customWidth="1"/>
    <col min="11" max="11" width="22.85546875" bestFit="1" customWidth="1"/>
    <col min="12" max="12" width="14.5703125" bestFit="1" customWidth="1"/>
    <col min="13" max="13" width="22.5703125" bestFit="1" customWidth="1"/>
    <col min="14" max="14" width="22.5703125" customWidth="1"/>
  </cols>
  <sheetData>
    <row r="3" spans="1:14" x14ac:dyDescent="0.25">
      <c r="B3" s="61" t="s">
        <v>732</v>
      </c>
      <c r="C3" s="61"/>
      <c r="D3" s="61" t="s">
        <v>733</v>
      </c>
      <c r="E3" s="649"/>
      <c r="F3" s="1614" t="s">
        <v>734</v>
      </c>
      <c r="G3" s="1616"/>
      <c r="H3" s="1614" t="s">
        <v>735</v>
      </c>
      <c r="I3" s="1616"/>
      <c r="J3" s="1614" t="s">
        <v>736</v>
      </c>
      <c r="K3" s="1615"/>
      <c r="L3" s="1615"/>
      <c r="M3" s="1614" t="s">
        <v>737</v>
      </c>
      <c r="N3" s="1616"/>
    </row>
    <row r="4" spans="1:14" x14ac:dyDescent="0.25">
      <c r="A4" s="119" t="s">
        <v>22</v>
      </c>
      <c r="B4" s="1289" t="s">
        <v>738</v>
      </c>
      <c r="C4" s="1307" t="s">
        <v>739</v>
      </c>
      <c r="D4" s="1290" t="s">
        <v>738</v>
      </c>
      <c r="E4" s="1307" t="s">
        <v>739</v>
      </c>
      <c r="F4" s="849" t="s">
        <v>738</v>
      </c>
      <c r="G4" s="1307" t="s">
        <v>739</v>
      </c>
      <c r="H4" s="849" t="s">
        <v>738</v>
      </c>
      <c r="I4" s="1307" t="s">
        <v>739</v>
      </c>
      <c r="J4" s="849" t="s">
        <v>738</v>
      </c>
      <c r="K4" s="1307" t="s">
        <v>739</v>
      </c>
      <c r="L4" s="1290" t="s">
        <v>740</v>
      </c>
      <c r="M4" s="849" t="s">
        <v>738</v>
      </c>
      <c r="N4" s="1307" t="s">
        <v>739</v>
      </c>
    </row>
    <row r="5" spans="1:14" x14ac:dyDescent="0.25">
      <c r="A5" s="9">
        <v>2011</v>
      </c>
      <c r="B5" s="1300">
        <v>358763</v>
      </c>
      <c r="C5" s="1304"/>
      <c r="D5" s="244">
        <v>248497</v>
      </c>
      <c r="E5" s="1304"/>
      <c r="F5" s="1303">
        <v>229218</v>
      </c>
      <c r="G5" s="1304"/>
      <c r="H5" s="1303">
        <v>76739</v>
      </c>
      <c r="I5" s="1304"/>
      <c r="J5" s="105">
        <f t="shared" ref="J5:J16" si="0">F5+H5</f>
        <v>305957</v>
      </c>
      <c r="K5" s="1304"/>
      <c r="L5" s="104">
        <f t="shared" ref="L5:L16" si="1">J5/B5</f>
        <v>0.85281090859425301</v>
      </c>
      <c r="M5" s="1305">
        <f t="shared" ref="M5:M16" si="2">J5+D5+B5</f>
        <v>913217</v>
      </c>
      <c r="N5" s="178"/>
    </row>
    <row r="6" spans="1:14" x14ac:dyDescent="0.25">
      <c r="A6" s="9">
        <v>2012</v>
      </c>
      <c r="B6" s="1300">
        <v>384012</v>
      </c>
      <c r="C6" s="241">
        <f t="shared" ref="C6:C16" si="3">B6/B5-1</f>
        <v>7.0377937524215062E-2</v>
      </c>
      <c r="D6" s="244">
        <v>272622</v>
      </c>
      <c r="E6" s="241">
        <f t="shared" ref="E6:G16" si="4">D6/D5-1</f>
        <v>9.7083667006040208E-2</v>
      </c>
      <c r="F6" s="1303">
        <v>266846</v>
      </c>
      <c r="G6" s="241">
        <f t="shared" si="4"/>
        <v>0.16415813766807141</v>
      </c>
      <c r="H6" s="1303">
        <v>75046</v>
      </c>
      <c r="I6" s="241">
        <f>H6/H5-1</f>
        <v>-2.2061793872737434E-2</v>
      </c>
      <c r="J6" s="105">
        <f t="shared" si="0"/>
        <v>341892</v>
      </c>
      <c r="K6" s="241">
        <f>J6/J5-1</f>
        <v>0.11745114509555266</v>
      </c>
      <c r="L6" s="104">
        <f t="shared" si="1"/>
        <v>0.89031592762726164</v>
      </c>
      <c r="M6" s="1305">
        <f t="shared" si="2"/>
        <v>998526</v>
      </c>
      <c r="N6" s="241">
        <f>M6/M5-1</f>
        <v>9.3415913194782929E-2</v>
      </c>
    </row>
    <row r="7" spans="1:14" x14ac:dyDescent="0.25">
      <c r="A7" s="9">
        <v>2013</v>
      </c>
      <c r="B7" s="1300">
        <v>353449</v>
      </c>
      <c r="C7" s="241">
        <f t="shared" si="3"/>
        <v>-7.9588658687749336E-2</v>
      </c>
      <c r="D7" s="244">
        <v>212978</v>
      </c>
      <c r="E7" s="241">
        <f t="shared" si="4"/>
        <v>-0.21877911540521311</v>
      </c>
      <c r="F7" s="1303">
        <v>227725</v>
      </c>
      <c r="G7" s="241">
        <f t="shared" si="4"/>
        <v>-0.14660515803122398</v>
      </c>
      <c r="H7" s="1303">
        <v>77758</v>
      </c>
      <c r="I7" s="241">
        <f t="shared" ref="I7:K13" si="5">H7/H6-1</f>
        <v>3.61378354609172E-2</v>
      </c>
      <c r="J7" s="105">
        <f t="shared" si="0"/>
        <v>305483</v>
      </c>
      <c r="K7" s="241">
        <f t="shared" si="5"/>
        <v>-0.10649269359914826</v>
      </c>
      <c r="L7" s="104">
        <f t="shared" si="1"/>
        <v>0.86429159510990272</v>
      </c>
      <c r="M7" s="1305">
        <f t="shared" si="2"/>
        <v>871910</v>
      </c>
      <c r="N7" s="241">
        <f t="shared" ref="N7:N15" si="6">M7/M6-1</f>
        <v>-0.12680290748563383</v>
      </c>
    </row>
    <row r="8" spans="1:14" x14ac:dyDescent="0.25">
      <c r="A8" s="9">
        <v>2014</v>
      </c>
      <c r="B8" s="1300">
        <v>419193</v>
      </c>
      <c r="C8" s="241">
        <f t="shared" si="3"/>
        <v>0.18600703354656534</v>
      </c>
      <c r="D8" s="244">
        <v>238798</v>
      </c>
      <c r="E8" s="241">
        <f t="shared" si="4"/>
        <v>0.12123317901379482</v>
      </c>
      <c r="F8" s="1303">
        <v>242205</v>
      </c>
      <c r="G8" s="241">
        <f t="shared" si="4"/>
        <v>6.3585464924799551E-2</v>
      </c>
      <c r="H8" s="1303">
        <v>105447</v>
      </c>
      <c r="I8" s="241">
        <f t="shared" si="5"/>
        <v>0.35609197767432299</v>
      </c>
      <c r="J8" s="105">
        <f t="shared" si="0"/>
        <v>347652</v>
      </c>
      <c r="K8" s="241">
        <f t="shared" si="5"/>
        <v>0.13804041468756045</v>
      </c>
      <c r="L8" s="104">
        <f t="shared" si="1"/>
        <v>0.82933636773514829</v>
      </c>
      <c r="M8" s="1305">
        <f t="shared" si="2"/>
        <v>1005643</v>
      </c>
      <c r="N8" s="241">
        <f t="shared" si="6"/>
        <v>0.15337936254888684</v>
      </c>
    </row>
    <row r="9" spans="1:14" x14ac:dyDescent="0.25">
      <c r="A9" s="9">
        <v>2015</v>
      </c>
      <c r="B9" s="1300">
        <v>385171</v>
      </c>
      <c r="C9" s="241">
        <f t="shared" si="3"/>
        <v>-8.1160706404925675E-2</v>
      </c>
      <c r="D9" s="244">
        <v>241027</v>
      </c>
      <c r="E9" s="241">
        <f t="shared" si="4"/>
        <v>9.3342490305614589E-3</v>
      </c>
      <c r="F9" s="1303">
        <v>219271</v>
      </c>
      <c r="G9" s="241">
        <f t="shared" si="4"/>
        <v>-9.4688383807105536E-2</v>
      </c>
      <c r="H9" s="1303">
        <v>110046</v>
      </c>
      <c r="I9" s="241">
        <f t="shared" si="5"/>
        <v>4.3614327576886991E-2</v>
      </c>
      <c r="J9" s="105">
        <f t="shared" si="0"/>
        <v>329317</v>
      </c>
      <c r="K9" s="241">
        <f t="shared" si="5"/>
        <v>-5.2739521130325762E-2</v>
      </c>
      <c r="L9" s="104">
        <f t="shared" si="1"/>
        <v>0.85498908277102892</v>
      </c>
      <c r="M9" s="1305">
        <f t="shared" si="2"/>
        <v>955515</v>
      </c>
      <c r="N9" s="241">
        <f t="shared" si="6"/>
        <v>-4.9846714987326513E-2</v>
      </c>
    </row>
    <row r="10" spans="1:14" x14ac:dyDescent="0.25">
      <c r="A10" s="9">
        <v>2016</v>
      </c>
      <c r="B10" s="1300">
        <v>359977</v>
      </c>
      <c r="C10" s="241">
        <f t="shared" si="3"/>
        <v>-6.5409908845681541E-2</v>
      </c>
      <c r="D10" s="244">
        <v>182787</v>
      </c>
      <c r="E10" s="241">
        <f t="shared" si="4"/>
        <v>-0.24163268015616512</v>
      </c>
      <c r="F10" s="1303">
        <v>185079</v>
      </c>
      <c r="G10" s="241">
        <f t="shared" si="4"/>
        <v>-0.15593489335114996</v>
      </c>
      <c r="H10" s="1303">
        <v>101987</v>
      </c>
      <c r="I10" s="241">
        <f t="shared" si="5"/>
        <v>-7.3233011649673774E-2</v>
      </c>
      <c r="J10" s="105">
        <f t="shared" si="0"/>
        <v>287066</v>
      </c>
      <c r="K10" s="241">
        <f t="shared" si="5"/>
        <v>-0.12829887312224997</v>
      </c>
      <c r="L10" s="104">
        <f t="shared" si="1"/>
        <v>0.79745650416554392</v>
      </c>
      <c r="M10" s="1305">
        <f t="shared" si="2"/>
        <v>829830</v>
      </c>
      <c r="N10" s="241">
        <f t="shared" si="6"/>
        <v>-0.13153639660287908</v>
      </c>
    </row>
    <row r="11" spans="1:14" x14ac:dyDescent="0.25">
      <c r="A11" s="9">
        <v>2017</v>
      </c>
      <c r="B11" s="1300">
        <v>497741</v>
      </c>
      <c r="C11" s="241">
        <f t="shared" si="3"/>
        <v>0.38270222819791266</v>
      </c>
      <c r="D11" s="244">
        <v>193688</v>
      </c>
      <c r="E11" s="241">
        <f t="shared" si="4"/>
        <v>5.9637720406812367E-2</v>
      </c>
      <c r="F11" s="1303">
        <v>228526</v>
      </c>
      <c r="G11" s="241">
        <f t="shared" si="4"/>
        <v>0.23474840473527525</v>
      </c>
      <c r="H11" s="1303">
        <v>157184</v>
      </c>
      <c r="I11" s="241">
        <f t="shared" si="5"/>
        <v>0.54121603733809209</v>
      </c>
      <c r="J11" s="105">
        <f t="shared" si="0"/>
        <v>385710</v>
      </c>
      <c r="K11" s="241">
        <f t="shared" si="5"/>
        <v>0.34362829453853827</v>
      </c>
      <c r="L11" s="104">
        <f t="shared" si="1"/>
        <v>0.77492109350043492</v>
      </c>
      <c r="M11" s="1305">
        <f t="shared" si="2"/>
        <v>1077139</v>
      </c>
      <c r="N11" s="241">
        <f t="shared" si="6"/>
        <v>0.29802369159948428</v>
      </c>
    </row>
    <row r="12" spans="1:14" x14ac:dyDescent="0.25">
      <c r="A12" s="9">
        <v>2018</v>
      </c>
      <c r="B12" s="1300">
        <v>504948</v>
      </c>
      <c r="C12" s="241">
        <f t="shared" si="3"/>
        <v>1.4479418010571843E-2</v>
      </c>
      <c r="D12" s="244">
        <v>192989</v>
      </c>
      <c r="E12" s="241">
        <f t="shared" si="4"/>
        <v>-3.6088967824542406E-3</v>
      </c>
      <c r="F12" s="1303">
        <v>227467</v>
      </c>
      <c r="G12" s="241">
        <f t="shared" si="4"/>
        <v>-4.6340460166458541E-3</v>
      </c>
      <c r="H12" s="1303">
        <v>158968</v>
      </c>
      <c r="I12" s="241">
        <f t="shared" si="5"/>
        <v>1.1349755700325703E-2</v>
      </c>
      <c r="J12" s="105">
        <f t="shared" si="0"/>
        <v>386435</v>
      </c>
      <c r="K12" s="241">
        <f t="shared" si="5"/>
        <v>1.8796505146354558E-3</v>
      </c>
      <c r="L12" s="104">
        <f t="shared" si="1"/>
        <v>0.76529662460292947</v>
      </c>
      <c r="M12" s="1305">
        <f t="shared" si="2"/>
        <v>1084372</v>
      </c>
      <c r="N12" s="241">
        <f t="shared" si="6"/>
        <v>6.7150107831950301E-3</v>
      </c>
    </row>
    <row r="13" spans="1:14" x14ac:dyDescent="0.25">
      <c r="A13" s="9">
        <v>2019</v>
      </c>
      <c r="B13" s="1300">
        <v>526558</v>
      </c>
      <c r="C13" s="241">
        <f t="shared" si="3"/>
        <v>4.2796485974793352E-2</v>
      </c>
      <c r="D13" s="244">
        <v>199971</v>
      </c>
      <c r="E13" s="241">
        <f t="shared" si="4"/>
        <v>3.6178227774640082E-2</v>
      </c>
      <c r="F13" s="1303">
        <v>235190</v>
      </c>
      <c r="G13" s="241">
        <f t="shared" si="4"/>
        <v>3.3952177678520323E-2</v>
      </c>
      <c r="H13" s="1303">
        <v>172569</v>
      </c>
      <c r="I13" s="241">
        <f t="shared" si="5"/>
        <v>8.5558099743344496E-2</v>
      </c>
      <c r="J13" s="105">
        <f t="shared" si="0"/>
        <v>407759</v>
      </c>
      <c r="K13" s="241">
        <f t="shared" si="5"/>
        <v>5.5181337094207361E-2</v>
      </c>
      <c r="L13" s="104">
        <f t="shared" si="1"/>
        <v>0.77438572768811798</v>
      </c>
      <c r="M13" s="1305">
        <f t="shared" si="2"/>
        <v>1134288</v>
      </c>
      <c r="N13" s="241">
        <f t="shared" si="6"/>
        <v>4.6032173460768044E-2</v>
      </c>
    </row>
    <row r="14" spans="1:14" x14ac:dyDescent="0.25">
      <c r="A14" s="9">
        <v>2020</v>
      </c>
      <c r="B14" s="1301">
        <f>'Units made'!X30</f>
        <v>569504</v>
      </c>
      <c r="C14" s="241">
        <f t="shared" si="3"/>
        <v>8.1559866149597982E-2</v>
      </c>
      <c r="D14" s="244">
        <f>'Units made'!X45</f>
        <v>231938</v>
      </c>
      <c r="E14" s="241">
        <f t="shared" si="4"/>
        <v>0.15985817943601832</v>
      </c>
      <c r="F14" s="1305">
        <f>'Units made'!X60</f>
        <v>253717</v>
      </c>
      <c r="G14" s="241">
        <f t="shared" si="4"/>
        <v>7.8774607763935522E-2</v>
      </c>
      <c r="H14" s="1305">
        <f>'Units made'!X75</f>
        <v>195073</v>
      </c>
      <c r="I14" s="241">
        <f>H14/H13-1</f>
        <v>0.13040580869101626</v>
      </c>
      <c r="J14" s="105">
        <f t="shared" si="0"/>
        <v>448790</v>
      </c>
      <c r="K14" s="241">
        <f>J14/J13-1</f>
        <v>0.10062561464002018</v>
      </c>
      <c r="L14" s="104">
        <f t="shared" si="1"/>
        <v>0.788036607293364</v>
      </c>
      <c r="M14" s="1305">
        <f t="shared" si="2"/>
        <v>1250232</v>
      </c>
      <c r="N14" s="241">
        <f t="shared" si="6"/>
        <v>0.10221742626211339</v>
      </c>
    </row>
    <row r="15" spans="1:14" x14ac:dyDescent="0.25">
      <c r="A15" s="9">
        <v>2021</v>
      </c>
      <c r="B15" s="1301">
        <f>'Units made'!Y30</f>
        <v>703003</v>
      </c>
      <c r="C15" s="241">
        <f>B15/B14-1</f>
        <v>0.23441275214923873</v>
      </c>
      <c r="D15" s="244">
        <f>'Units made'!Y45</f>
        <v>268264</v>
      </c>
      <c r="E15" s="241">
        <f t="shared" si="4"/>
        <v>0.15661944140244377</v>
      </c>
      <c r="F15" s="1305">
        <f>'Units made'!Y60</f>
        <v>317893</v>
      </c>
      <c r="G15" s="241">
        <f t="shared" si="4"/>
        <v>0.25294323990903256</v>
      </c>
      <c r="H15" s="1305">
        <f>'Units made'!Y75</f>
        <v>269301</v>
      </c>
      <c r="I15" s="241">
        <f>H15/H14-1</f>
        <v>0.38051396144007632</v>
      </c>
      <c r="J15" s="105">
        <f t="shared" si="0"/>
        <v>587194</v>
      </c>
      <c r="K15" s="241">
        <f>J15/J14-1</f>
        <v>0.30839368078611384</v>
      </c>
      <c r="L15" s="104">
        <f t="shared" si="1"/>
        <v>0.83526528336294437</v>
      </c>
      <c r="M15" s="1305">
        <f t="shared" si="2"/>
        <v>1558461</v>
      </c>
      <c r="N15" s="241">
        <f t="shared" si="6"/>
        <v>0.24653744265064415</v>
      </c>
    </row>
    <row r="16" spans="1:14" x14ac:dyDescent="0.25">
      <c r="A16" s="663">
        <v>2022</v>
      </c>
      <c r="B16" s="1302">
        <f>'Units made'!Z30</f>
        <v>750179</v>
      </c>
      <c r="C16" s="243">
        <f t="shared" si="3"/>
        <v>6.7106399261454008E-2</v>
      </c>
      <c r="D16" s="247">
        <f>'Units made'!Z45</f>
        <v>214043</v>
      </c>
      <c r="E16" s="243">
        <f t="shared" si="4"/>
        <v>-0.20211806280380518</v>
      </c>
      <c r="F16" s="323">
        <f>'Units made'!Z60</f>
        <v>285210</v>
      </c>
      <c r="G16" s="243">
        <f t="shared" si="4"/>
        <v>-0.10281132330689891</v>
      </c>
      <c r="H16" s="323">
        <f>'Units made'!Z75</f>
        <v>322105</v>
      </c>
      <c r="I16" s="243">
        <f>H16/H15-1</f>
        <v>0.19607799451171748</v>
      </c>
      <c r="J16" s="1306">
        <f t="shared" si="0"/>
        <v>607315</v>
      </c>
      <c r="K16" s="243">
        <f>J16/J15-1</f>
        <v>3.4266358307475819E-2</v>
      </c>
      <c r="L16" s="1292">
        <f t="shared" si="1"/>
        <v>0.809560118318428</v>
      </c>
      <c r="M16" s="323">
        <f t="shared" si="2"/>
        <v>1571537</v>
      </c>
      <c r="N16" s="243">
        <f>M16/M15-1</f>
        <v>8.3903286639832597E-3</v>
      </c>
    </row>
    <row r="17" spans="1:8" x14ac:dyDescent="0.25">
      <c r="B17" s="93"/>
      <c r="C17" s="93"/>
      <c r="D17" s="93"/>
      <c r="E17" s="93"/>
      <c r="F17" s="93"/>
      <c r="G17" s="93"/>
      <c r="H17" s="93"/>
    </row>
    <row r="18" spans="1:8" x14ac:dyDescent="0.25">
      <c r="B18" s="93"/>
      <c r="C18" s="93"/>
      <c r="D18" s="93"/>
      <c r="E18" s="93"/>
      <c r="F18" s="93"/>
      <c r="G18" s="93"/>
      <c r="H18" s="93"/>
    </row>
    <row r="19" spans="1:8" x14ac:dyDescent="0.25">
      <c r="B19" s="93"/>
      <c r="C19" s="93"/>
      <c r="D19" s="93"/>
      <c r="E19" s="93"/>
      <c r="F19" s="93"/>
      <c r="G19" s="93"/>
      <c r="H19" s="93"/>
    </row>
    <row r="20" spans="1:8" x14ac:dyDescent="0.25">
      <c r="B20" s="93"/>
      <c r="C20" s="93"/>
      <c r="D20" s="93"/>
      <c r="E20" s="93"/>
      <c r="F20" s="93"/>
      <c r="G20" s="93"/>
      <c r="H20" s="93"/>
    </row>
    <row r="21" spans="1:8" x14ac:dyDescent="0.25">
      <c r="B21" s="93"/>
      <c r="C21" s="93"/>
      <c r="D21" s="93"/>
      <c r="E21" s="93"/>
      <c r="F21" s="93"/>
      <c r="G21" s="93"/>
      <c r="H21" s="93"/>
    </row>
    <row r="22" spans="1:8" x14ac:dyDescent="0.25">
      <c r="B22" s="93"/>
      <c r="C22" s="93"/>
      <c r="D22" s="93"/>
      <c r="E22" s="93"/>
      <c r="F22" s="93"/>
      <c r="G22" s="93"/>
      <c r="H22" s="93"/>
    </row>
    <row r="23" spans="1:8" x14ac:dyDescent="0.25">
      <c r="B23" s="93"/>
      <c r="C23" s="93"/>
      <c r="D23" s="93"/>
      <c r="E23" s="93"/>
      <c r="F23" s="93"/>
      <c r="G23" s="93"/>
      <c r="H23" s="93"/>
    </row>
    <row r="24" spans="1:8" x14ac:dyDescent="0.25">
      <c r="B24" s="93"/>
      <c r="C24" s="93"/>
      <c r="D24" s="93"/>
      <c r="E24" s="93"/>
      <c r="F24" s="93"/>
      <c r="G24" s="93"/>
      <c r="H24" s="93"/>
    </row>
    <row r="25" spans="1:8" x14ac:dyDescent="0.25">
      <c r="B25" s="93"/>
      <c r="C25" s="93"/>
      <c r="D25" s="93"/>
      <c r="E25" s="93"/>
      <c r="F25" s="93"/>
      <c r="G25" s="93"/>
      <c r="H25" s="93"/>
    </row>
    <row r="26" spans="1:8" x14ac:dyDescent="0.25">
      <c r="B26" s="93"/>
      <c r="C26" s="93"/>
      <c r="D26" s="93"/>
      <c r="E26" s="93"/>
      <c r="F26" s="93"/>
      <c r="G26" s="93"/>
      <c r="H26" s="93"/>
    </row>
    <row r="27" spans="1:8" x14ac:dyDescent="0.25">
      <c r="B27" s="93"/>
      <c r="C27" s="93"/>
      <c r="D27" s="93"/>
      <c r="E27" s="93"/>
      <c r="F27" s="93"/>
      <c r="G27" s="93"/>
      <c r="H27" s="93"/>
    </row>
    <row r="28" spans="1:8" x14ac:dyDescent="0.25">
      <c r="B28" s="93"/>
      <c r="C28" s="93"/>
      <c r="D28" s="93"/>
      <c r="E28" s="93"/>
      <c r="F28" s="93"/>
      <c r="G28" s="93"/>
      <c r="H28" s="93"/>
    </row>
    <row r="29" spans="1:8" x14ac:dyDescent="0.25">
      <c r="B29" s="93"/>
      <c r="C29" s="93"/>
      <c r="D29" s="93"/>
      <c r="E29" s="93"/>
      <c r="F29" s="93"/>
      <c r="G29" s="93"/>
      <c r="H29" s="93"/>
    </row>
    <row r="32" spans="1:8" x14ac:dyDescent="0.25">
      <c r="A32" t="s">
        <v>22</v>
      </c>
      <c r="B32" s="95" t="s">
        <v>739</v>
      </c>
      <c r="C32" s="95"/>
      <c r="D32" s="95"/>
      <c r="E32" s="95"/>
    </row>
    <row r="33" spans="1:5" x14ac:dyDescent="0.25">
      <c r="A33">
        <v>2012</v>
      </c>
      <c r="B33" s="106">
        <v>0.16415813766807141</v>
      </c>
      <c r="C33" s="106"/>
      <c r="D33" s="106"/>
      <c r="E33" s="106"/>
    </row>
    <row r="34" spans="1:5" x14ac:dyDescent="0.25">
      <c r="A34">
        <v>2013</v>
      </c>
      <c r="B34" s="106">
        <v>-0.14660515803122398</v>
      </c>
      <c r="C34" s="106"/>
      <c r="D34" s="106"/>
      <c r="E34" s="106"/>
    </row>
    <row r="35" spans="1:5" x14ac:dyDescent="0.25">
      <c r="A35">
        <v>2014</v>
      </c>
      <c r="B35" s="106">
        <v>6.3585464924799551E-2</v>
      </c>
      <c r="C35" s="106"/>
      <c r="D35" s="106"/>
      <c r="E35" s="106"/>
    </row>
    <row r="36" spans="1:5" x14ac:dyDescent="0.25">
      <c r="A36">
        <v>2015</v>
      </c>
      <c r="B36" s="106">
        <v>-9.4688383807105536E-2</v>
      </c>
      <c r="C36" s="106"/>
      <c r="D36" s="106"/>
      <c r="E36" s="106"/>
    </row>
    <row r="37" spans="1:5" x14ac:dyDescent="0.25">
      <c r="A37">
        <v>2016</v>
      </c>
      <c r="B37" s="106">
        <v>-0.15593489335114996</v>
      </c>
      <c r="C37" s="106"/>
      <c r="D37" s="106"/>
      <c r="E37" s="106"/>
    </row>
    <row r="38" spans="1:5" x14ac:dyDescent="0.25">
      <c r="A38">
        <v>2017</v>
      </c>
      <c r="B38" s="106">
        <v>0.23474840473527525</v>
      </c>
      <c r="C38" s="106"/>
      <c r="D38" s="106"/>
      <c r="E38" s="106"/>
    </row>
    <row r="39" spans="1:5" x14ac:dyDescent="0.25">
      <c r="A39">
        <v>2018</v>
      </c>
      <c r="B39" s="106">
        <v>-4.6340460166458541E-3</v>
      </c>
      <c r="C39" s="106"/>
      <c r="D39" s="106"/>
      <c r="E39" s="106"/>
    </row>
    <row r="40" spans="1:5" x14ac:dyDescent="0.25">
      <c r="A40">
        <v>2019</v>
      </c>
      <c r="B40" s="106">
        <v>3.3952177678520302E-2</v>
      </c>
      <c r="C40" s="106"/>
      <c r="D40" s="106"/>
      <c r="E40" s="106"/>
    </row>
    <row r="41" spans="1:5" x14ac:dyDescent="0.25">
      <c r="A41">
        <v>2019</v>
      </c>
      <c r="B41" s="106">
        <v>3.3952177678520323E-2</v>
      </c>
      <c r="C41" s="106"/>
      <c r="D41" s="106"/>
      <c r="E41" s="106"/>
    </row>
    <row r="42" spans="1:5" x14ac:dyDescent="0.25">
      <c r="A42">
        <v>2019</v>
      </c>
      <c r="B42" s="106">
        <v>3.3952177678520323E-2</v>
      </c>
      <c r="C42" s="106"/>
      <c r="D42" s="106"/>
      <c r="E42" s="106"/>
    </row>
  </sheetData>
  <mergeCells count="4">
    <mergeCell ref="F3:G3"/>
    <mergeCell ref="H3:I3"/>
    <mergeCell ref="J3:L3"/>
    <mergeCell ref="M3:N3"/>
  </mergeCells>
  <pageMargins left="0.7" right="0.7" top="0.75" bottom="0.75" header="0.3" footer="0.3"/>
  <ignoredErrors>
    <ignoredError sqref="H14:H16" formula="1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81F85-27DE-46A3-A2C9-B033E78DF69C}">
  <dimension ref="A1:AD136"/>
  <sheetViews>
    <sheetView showGridLines="0" topLeftCell="S1" zoomScaleNormal="100" workbookViewId="0">
      <selection activeCell="L19" sqref="L19:L28"/>
    </sheetView>
  </sheetViews>
  <sheetFormatPr defaultRowHeight="15" x14ac:dyDescent="0.25"/>
  <cols>
    <col min="1" max="14" width="9.7109375" customWidth="1"/>
    <col min="15" max="15" width="7" bestFit="1" customWidth="1"/>
    <col min="16" max="16" width="10.5703125" bestFit="1" customWidth="1"/>
    <col min="17" max="17" width="9.7109375" customWidth="1"/>
    <col min="18" max="18" width="10.5703125" bestFit="1" customWidth="1"/>
    <col min="19" max="20" width="9.7109375" customWidth="1"/>
    <col min="21" max="25" width="10.5703125" bestFit="1" customWidth="1"/>
    <col min="26" max="26" width="10.42578125" bestFit="1" customWidth="1"/>
    <col min="27" max="27" width="10.5703125" bestFit="1" customWidth="1"/>
    <col min="28" max="28" width="3.28515625" customWidth="1"/>
    <col min="29" max="31" width="9.42578125" bestFit="1" customWidth="1"/>
    <col min="32" max="32" width="9.42578125" customWidth="1"/>
    <col min="33" max="33" width="9.140625" bestFit="1" customWidth="1"/>
    <col min="35" max="35" width="6.85546875" bestFit="1" customWidth="1"/>
    <col min="36" max="45" width="9.42578125" bestFit="1" customWidth="1"/>
    <col min="46" max="46" width="9.42578125" customWidth="1"/>
    <col min="47" max="47" width="8.42578125" bestFit="1" customWidth="1"/>
    <col min="49" max="49" width="6.85546875" bestFit="1" customWidth="1"/>
    <col min="50" max="51" width="8.42578125" bestFit="1" customWidth="1"/>
    <col min="52" max="59" width="9.42578125" bestFit="1" customWidth="1"/>
    <col min="60" max="60" width="9.42578125" customWidth="1"/>
    <col min="61" max="61" width="8.42578125" bestFit="1" customWidth="1"/>
    <col min="63" max="63" width="6.85546875" bestFit="1" customWidth="1"/>
    <col min="64" max="73" width="9.42578125" bestFit="1" customWidth="1"/>
    <col min="74" max="74" width="8.42578125" bestFit="1" customWidth="1"/>
  </cols>
  <sheetData>
    <row r="1" spans="1:30" x14ac:dyDescent="0.25">
      <c r="AD1" t="s">
        <v>741</v>
      </c>
    </row>
    <row r="2" spans="1:30" x14ac:dyDescent="0.25">
      <c r="A2" s="1557" t="s">
        <v>742</v>
      </c>
      <c r="B2" s="1557"/>
      <c r="C2" s="1557"/>
      <c r="D2" s="1557"/>
      <c r="E2" s="1557"/>
      <c r="F2" s="1557"/>
      <c r="G2" s="1557"/>
      <c r="H2" s="1557"/>
      <c r="O2" s="1557" t="s">
        <v>743</v>
      </c>
      <c r="P2" s="1557"/>
      <c r="Q2" s="1557"/>
      <c r="R2" s="1557"/>
      <c r="S2" s="1557"/>
      <c r="T2" s="1557"/>
      <c r="U2" s="1557"/>
      <c r="V2" s="1557"/>
    </row>
    <row r="3" spans="1:30" x14ac:dyDescent="0.25">
      <c r="A3" s="649" t="s">
        <v>744</v>
      </c>
      <c r="B3" s="1293">
        <v>2012</v>
      </c>
      <c r="C3" s="1293">
        <v>2013</v>
      </c>
      <c r="D3" s="1293">
        <v>2014</v>
      </c>
      <c r="E3" s="1293">
        <v>2015</v>
      </c>
      <c r="F3" s="1293">
        <v>2016</v>
      </c>
      <c r="G3" s="1293">
        <v>2017</v>
      </c>
      <c r="H3" s="1293">
        <v>2018</v>
      </c>
      <c r="I3" s="1293">
        <v>2019</v>
      </c>
      <c r="J3" s="1293">
        <v>2020</v>
      </c>
      <c r="K3" s="1293">
        <v>2021</v>
      </c>
      <c r="L3" s="1293">
        <v>2022</v>
      </c>
      <c r="M3" s="1294" t="s">
        <v>745</v>
      </c>
      <c r="O3" s="649" t="s">
        <v>744</v>
      </c>
      <c r="P3" s="1293">
        <v>2012</v>
      </c>
      <c r="Q3" s="1293">
        <v>2013</v>
      </c>
      <c r="R3" s="1293">
        <v>2014</v>
      </c>
      <c r="S3" s="1293">
        <v>2015</v>
      </c>
      <c r="T3" s="1293">
        <v>2016</v>
      </c>
      <c r="U3" s="1293">
        <v>2017</v>
      </c>
      <c r="V3" s="1293">
        <v>2018</v>
      </c>
      <c r="W3" s="1293">
        <v>2019</v>
      </c>
      <c r="X3" s="1293">
        <v>2020</v>
      </c>
      <c r="Y3" s="1293">
        <v>2021</v>
      </c>
      <c r="Z3" s="1293">
        <v>2022</v>
      </c>
      <c r="AA3" s="1294" t="s">
        <v>745</v>
      </c>
    </row>
    <row r="4" spans="1:30" x14ac:dyDescent="0.25">
      <c r="A4" s="9" t="s">
        <v>424</v>
      </c>
      <c r="B4" s="584">
        <f>'Group Totals'!K6+'Group Totals'!AC6+'Group Totals'!AD6</f>
        <v>68531</v>
      </c>
      <c r="C4" s="584">
        <f>'Group Totals'!K18+'Group Totals'!AC18+'Group Totals'!AD18</f>
        <v>53575</v>
      </c>
      <c r="D4" s="584">
        <f>'Group Totals'!K30+'Group Totals'!AC30+'Group Totals'!AD30</f>
        <v>67262</v>
      </c>
      <c r="E4" s="584">
        <f>'Group Totals'!AC42+'Group Totals'!AD42+'Group Totals'!K42</f>
        <v>38245</v>
      </c>
      <c r="F4" s="584">
        <f>'Group Totals'!K54+'Group Totals'!AC54+'Group Totals'!AD54</f>
        <v>58260</v>
      </c>
      <c r="G4" s="584">
        <f>'Group Totals'!K66+'Group Totals'!AC66+'Group Totals'!AD66</f>
        <v>75280</v>
      </c>
      <c r="H4" s="584">
        <f>'Group Totals'!K78+'Group Totals'!AC78+'Group Totals'!AD78</f>
        <v>82343</v>
      </c>
      <c r="I4" s="584">
        <f>'Group Totals'!K90+'Group Totals'!AC90+'Group Totals'!AD90</f>
        <v>81100</v>
      </c>
      <c r="J4" s="1295">
        <f>'Group Totals'!K102+'Group Totals'!AC102+'Group Totals'!AD102</f>
        <v>105560</v>
      </c>
      <c r="K4" s="1295">
        <f>'Group Totals'!AD114+'Group Totals'!AC114+'Group Totals'!K114</f>
        <v>89102</v>
      </c>
      <c r="L4" s="1295">
        <f>'Group Totals'!K126+'Group Totals'!AC126+'Group Totals'!AD126</f>
        <v>120788</v>
      </c>
      <c r="M4" s="1296">
        <f t="shared" ref="M4:M9" si="0">L4-K4</f>
        <v>31686</v>
      </c>
      <c r="O4" s="9" t="s">
        <v>424</v>
      </c>
      <c r="P4" s="584">
        <f t="shared" ref="P4:Z4" si="1">B4</f>
        <v>68531</v>
      </c>
      <c r="Q4" s="584">
        <f t="shared" si="1"/>
        <v>53575</v>
      </c>
      <c r="R4" s="584">
        <f t="shared" si="1"/>
        <v>67262</v>
      </c>
      <c r="S4" s="584">
        <f t="shared" si="1"/>
        <v>38245</v>
      </c>
      <c r="T4" s="584">
        <f t="shared" si="1"/>
        <v>58260</v>
      </c>
      <c r="U4" s="584">
        <f t="shared" si="1"/>
        <v>75280</v>
      </c>
      <c r="V4" s="584">
        <f t="shared" si="1"/>
        <v>82343</v>
      </c>
      <c r="W4" s="584">
        <f t="shared" si="1"/>
        <v>81100</v>
      </c>
      <c r="X4" s="584">
        <f t="shared" si="1"/>
        <v>105560</v>
      </c>
      <c r="Y4" s="584">
        <f t="shared" si="1"/>
        <v>89102</v>
      </c>
      <c r="Z4" s="584">
        <f t="shared" si="1"/>
        <v>120788</v>
      </c>
      <c r="AA4" s="1296">
        <f>Z4-Y4</f>
        <v>31686</v>
      </c>
    </row>
    <row r="5" spans="1:30" x14ac:dyDescent="0.25">
      <c r="A5" s="9" t="s">
        <v>327</v>
      </c>
      <c r="B5" s="584">
        <f>'Group Totals'!K7+'Group Totals'!AC7+'Group Totals'!AD7</f>
        <v>86891</v>
      </c>
      <c r="C5" s="584">
        <f>'Group Totals'!K19+'Group Totals'!AC19+'Group Totals'!AD19</f>
        <v>75588</v>
      </c>
      <c r="D5" s="584">
        <f>'Group Totals'!K31+'Group Totals'!AC31+'Group Totals'!AD31</f>
        <v>70669</v>
      </c>
      <c r="E5" s="584">
        <f>'Group Totals'!AC43+'Group Totals'!AD43+'Group Totals'!K43</f>
        <v>69867</v>
      </c>
      <c r="F5" s="584">
        <f>'Group Totals'!K55+'Group Totals'!AC55+'Group Totals'!AD55</f>
        <v>82454</v>
      </c>
      <c r="G5" s="584">
        <f>'Group Totals'!K67+'Group Totals'!AC67+'Group Totals'!AD67</f>
        <v>79995</v>
      </c>
      <c r="H5" s="584">
        <f>'Group Totals'!K79+'Group Totals'!AC79+'Group Totals'!AD79</f>
        <v>85251</v>
      </c>
      <c r="I5" s="584">
        <f>'Group Totals'!K91+'Group Totals'!AC91+'Group Totals'!AD91</f>
        <v>87472</v>
      </c>
      <c r="J5" s="1295">
        <f>'Group Totals'!K103+'Group Totals'!AC103+'Group Totals'!AD103</f>
        <v>93055</v>
      </c>
      <c r="K5" s="1295">
        <f>'Group Totals'!AD115+'Group Totals'!AC115+'Group Totals'!K115</f>
        <v>91025</v>
      </c>
      <c r="L5" s="1295">
        <f>'Group Totals'!K127+'Group Totals'!AC127+'Group Totals'!AD127</f>
        <v>138724</v>
      </c>
      <c r="M5" s="1296">
        <f t="shared" si="0"/>
        <v>47699</v>
      </c>
      <c r="O5" s="9" t="s">
        <v>327</v>
      </c>
      <c r="P5" s="584">
        <f t="shared" ref="P5:Z5" si="2">SUM(B4:B5)</f>
        <v>155422</v>
      </c>
      <c r="Q5" s="584">
        <f t="shared" si="2"/>
        <v>129163</v>
      </c>
      <c r="R5" s="584">
        <f t="shared" si="2"/>
        <v>137931</v>
      </c>
      <c r="S5" s="584">
        <f t="shared" si="2"/>
        <v>108112</v>
      </c>
      <c r="T5" s="584">
        <f t="shared" si="2"/>
        <v>140714</v>
      </c>
      <c r="U5" s="584">
        <f t="shared" si="2"/>
        <v>155275</v>
      </c>
      <c r="V5" s="584">
        <f t="shared" si="2"/>
        <v>167594</v>
      </c>
      <c r="W5" s="584">
        <f t="shared" si="2"/>
        <v>168572</v>
      </c>
      <c r="X5" s="584">
        <f t="shared" si="2"/>
        <v>198615</v>
      </c>
      <c r="Y5" s="584">
        <f t="shared" si="2"/>
        <v>180127</v>
      </c>
      <c r="Z5" s="584">
        <f t="shared" si="2"/>
        <v>259512</v>
      </c>
      <c r="AA5" s="1296">
        <f t="shared" ref="AA5:AA15" si="3">Z5-Y5</f>
        <v>79385</v>
      </c>
    </row>
    <row r="6" spans="1:30" x14ac:dyDescent="0.25">
      <c r="A6" s="9" t="s">
        <v>425</v>
      </c>
      <c r="B6" s="584">
        <f>'Group Totals'!K8+'Group Totals'!AC8+'Group Totals'!AD8</f>
        <v>102887</v>
      </c>
      <c r="C6" s="584">
        <f>'Group Totals'!K20+'Group Totals'!AC20+'Group Totals'!AD20</f>
        <v>86145</v>
      </c>
      <c r="D6" s="584">
        <f>'Group Totals'!K32+'Group Totals'!AC32+'Group Totals'!AD32</f>
        <v>97642</v>
      </c>
      <c r="E6" s="584">
        <f>'Group Totals'!AC44+'Group Totals'!AD44+'Group Totals'!K44</f>
        <v>93929</v>
      </c>
      <c r="F6" s="584">
        <f>'Group Totals'!K56+'Group Totals'!AC56+'Group Totals'!AD56</f>
        <v>67635</v>
      </c>
      <c r="G6" s="584">
        <f>'Group Totals'!K68+'Group Totals'!AC68+'Group Totals'!AD68</f>
        <v>81942</v>
      </c>
      <c r="H6" s="584">
        <f>'Group Totals'!K80+'Group Totals'!AC80+'Group Totals'!AD80</f>
        <v>102456</v>
      </c>
      <c r="I6" s="584">
        <f>'Group Totals'!K92+'Group Totals'!AC92+'Group Totals'!AD92</f>
        <v>92596</v>
      </c>
      <c r="J6" s="1295">
        <f>'Group Totals'!K104+'Group Totals'!AC104+'Group Totals'!AD104</f>
        <v>105959</v>
      </c>
      <c r="K6" s="1295">
        <f>'Group Totals'!AD116+'Group Totals'!AC116+'Group Totals'!K116</f>
        <v>132596</v>
      </c>
      <c r="L6" s="1295">
        <f>'Group Totals'!K128+'Group Totals'!AC128+'Group Totals'!AD128</f>
        <v>173388</v>
      </c>
      <c r="M6" s="1296">
        <f t="shared" si="0"/>
        <v>40792</v>
      </c>
      <c r="O6" s="9" t="s">
        <v>425</v>
      </c>
      <c r="P6" s="584">
        <f t="shared" ref="P6:Z6" si="4">SUM(B4:B6)</f>
        <v>258309</v>
      </c>
      <c r="Q6" s="584">
        <f t="shared" si="4"/>
        <v>215308</v>
      </c>
      <c r="R6" s="584">
        <f t="shared" si="4"/>
        <v>235573</v>
      </c>
      <c r="S6" s="584">
        <f t="shared" si="4"/>
        <v>202041</v>
      </c>
      <c r="T6" s="584">
        <f t="shared" si="4"/>
        <v>208349</v>
      </c>
      <c r="U6" s="584">
        <f t="shared" si="4"/>
        <v>237217</v>
      </c>
      <c r="V6" s="584">
        <f t="shared" si="4"/>
        <v>270050</v>
      </c>
      <c r="W6" s="584">
        <f t="shared" si="4"/>
        <v>261168</v>
      </c>
      <c r="X6" s="584">
        <f t="shared" si="4"/>
        <v>304574</v>
      </c>
      <c r="Y6" s="584">
        <f t="shared" si="4"/>
        <v>312723</v>
      </c>
      <c r="Z6" s="584">
        <f t="shared" si="4"/>
        <v>432900</v>
      </c>
      <c r="AA6" s="1296">
        <f t="shared" si="3"/>
        <v>120177</v>
      </c>
    </row>
    <row r="7" spans="1:30" x14ac:dyDescent="0.25">
      <c r="A7" s="9" t="s">
        <v>328</v>
      </c>
      <c r="B7" s="584">
        <f>'Group Totals'!K9+'Group Totals'!AC9+'Group Totals'!AD9</f>
        <v>100564</v>
      </c>
      <c r="C7" s="584">
        <f>'Group Totals'!K21+'Group Totals'!AC21+'Group Totals'!AD21</f>
        <v>90474</v>
      </c>
      <c r="D7" s="584">
        <f>'Group Totals'!K33+'Group Totals'!AC33+'Group Totals'!AD33</f>
        <v>67086</v>
      </c>
      <c r="E7" s="584">
        <f>'Group Totals'!AC45+'Group Totals'!AD45+'Group Totals'!K45</f>
        <v>73245</v>
      </c>
      <c r="F7" s="584">
        <f>'Group Totals'!K57+'Group Totals'!AC57+'Group Totals'!AD57</f>
        <v>61013</v>
      </c>
      <c r="G7" s="584">
        <f>'Group Totals'!K69+'Group Totals'!AC69+'Group Totals'!AD69</f>
        <v>65805</v>
      </c>
      <c r="H7" s="584">
        <f>'Group Totals'!K81+'Group Totals'!AC81+'Group Totals'!AD81</f>
        <v>96895</v>
      </c>
      <c r="I7" s="584">
        <f>'Group Totals'!K93+'Group Totals'!AC93+'Group Totals'!AD93</f>
        <v>76788</v>
      </c>
      <c r="J7" s="1295">
        <f>'Group Totals'!K105+'Group Totals'!AC105+'Group Totals'!AD105</f>
        <v>19473</v>
      </c>
      <c r="K7" s="1295">
        <f>'Group Totals'!AD117+'Group Totals'!AC117+'Group Totals'!K117</f>
        <v>98719</v>
      </c>
      <c r="L7" s="1295">
        <f>'Group Totals'!K129+'Group Totals'!AC129+'Group Totals'!AD129</f>
        <v>142901</v>
      </c>
      <c r="M7" s="1296">
        <f t="shared" si="0"/>
        <v>44182</v>
      </c>
      <c r="O7" s="9" t="s">
        <v>328</v>
      </c>
      <c r="P7" s="584">
        <f t="shared" ref="P7:Z7" si="5">SUM(B4:B7)</f>
        <v>358873</v>
      </c>
      <c r="Q7" s="584">
        <f t="shared" si="5"/>
        <v>305782</v>
      </c>
      <c r="R7" s="584">
        <f t="shared" si="5"/>
        <v>302659</v>
      </c>
      <c r="S7" s="584">
        <f t="shared" si="5"/>
        <v>275286</v>
      </c>
      <c r="T7" s="584">
        <f t="shared" si="5"/>
        <v>269362</v>
      </c>
      <c r="U7" s="584">
        <f t="shared" si="5"/>
        <v>303022</v>
      </c>
      <c r="V7" s="584">
        <f t="shared" si="5"/>
        <v>366945</v>
      </c>
      <c r="W7" s="584">
        <f t="shared" si="5"/>
        <v>337956</v>
      </c>
      <c r="X7" s="584">
        <f t="shared" si="5"/>
        <v>324047</v>
      </c>
      <c r="Y7" s="584">
        <f t="shared" si="5"/>
        <v>411442</v>
      </c>
      <c r="Z7" s="584">
        <f t="shared" si="5"/>
        <v>575801</v>
      </c>
      <c r="AA7" s="1296">
        <f t="shared" si="3"/>
        <v>164359</v>
      </c>
    </row>
    <row r="8" spans="1:30" x14ac:dyDescent="0.25">
      <c r="A8" s="9" t="s">
        <v>428</v>
      </c>
      <c r="B8" s="584">
        <f>'Group Totals'!K10+'Group Totals'!AC10+'Group Totals'!AD10</f>
        <v>94371</v>
      </c>
      <c r="C8" s="584">
        <f>'Group Totals'!K22+'Group Totals'!AC22+'Group Totals'!AD22</f>
        <v>89230</v>
      </c>
      <c r="D8" s="584">
        <f>'Group Totals'!K34+'Group Totals'!AC34+'Group Totals'!AD34</f>
        <v>82093</v>
      </c>
      <c r="E8" s="584">
        <f>'Group Totals'!AC46+'Group Totals'!AD46+'Group Totals'!K46</f>
        <v>72242</v>
      </c>
      <c r="F8" s="584">
        <f>'Group Totals'!K58+'Group Totals'!AC58+'Group Totals'!AD58</f>
        <v>66608</v>
      </c>
      <c r="G8" s="584">
        <f>'Group Totals'!K70+'Group Totals'!AC70+'Group Totals'!AD70</f>
        <v>102403</v>
      </c>
      <c r="H8" s="584">
        <f>'Group Totals'!K82+'Group Totals'!AC82+'Group Totals'!AD82</f>
        <v>87246</v>
      </c>
      <c r="I8" s="584">
        <f>'Group Totals'!K94+'Group Totals'!AC94+'Group Totals'!AD94</f>
        <v>98922</v>
      </c>
      <c r="J8" s="1295">
        <f>'Group Totals'!K106+'Group Totals'!AC106+'Group Totals'!AD106</f>
        <v>102190</v>
      </c>
      <c r="K8" s="1295">
        <f>'Group Totals'!AD118+'Group Totals'!AC118+'Group Totals'!K118</f>
        <v>123603</v>
      </c>
      <c r="L8" s="1295">
        <f>'Group Totals'!K130+'Group Totals'!AC130+'Group Totals'!AD130</f>
        <v>150912</v>
      </c>
      <c r="M8" s="1296">
        <f t="shared" si="0"/>
        <v>27309</v>
      </c>
      <c r="O8" s="9" t="s">
        <v>428</v>
      </c>
      <c r="P8" s="584">
        <f t="shared" ref="P8:Z8" si="6">SUM(B4:B8)</f>
        <v>453244</v>
      </c>
      <c r="Q8" s="584">
        <f t="shared" si="6"/>
        <v>395012</v>
      </c>
      <c r="R8" s="584">
        <f t="shared" si="6"/>
        <v>384752</v>
      </c>
      <c r="S8" s="584">
        <f t="shared" si="6"/>
        <v>347528</v>
      </c>
      <c r="T8" s="584">
        <f t="shared" si="6"/>
        <v>335970</v>
      </c>
      <c r="U8" s="584">
        <f t="shared" si="6"/>
        <v>405425</v>
      </c>
      <c r="V8" s="584">
        <f t="shared" si="6"/>
        <v>454191</v>
      </c>
      <c r="W8" s="584">
        <f t="shared" si="6"/>
        <v>436878</v>
      </c>
      <c r="X8" s="584">
        <f t="shared" si="6"/>
        <v>426237</v>
      </c>
      <c r="Y8" s="584">
        <f t="shared" si="6"/>
        <v>535045</v>
      </c>
      <c r="Z8" s="584">
        <f t="shared" si="6"/>
        <v>726713</v>
      </c>
      <c r="AA8" s="1296">
        <f t="shared" si="3"/>
        <v>191668</v>
      </c>
    </row>
    <row r="9" spans="1:30" x14ac:dyDescent="0.25">
      <c r="A9" s="9" t="s">
        <v>746</v>
      </c>
      <c r="B9" s="584">
        <f>'Group Totals'!K11+'Group Totals'!AC11+'Group Totals'!AD11</f>
        <v>84094</v>
      </c>
      <c r="C9" s="584">
        <f>'Group Totals'!K23+'Group Totals'!AC23+'Group Totals'!AD23</f>
        <v>67565</v>
      </c>
      <c r="D9" s="584">
        <f>'Group Totals'!K35+'Group Totals'!AC35+'Group Totals'!AD35</f>
        <v>86651</v>
      </c>
      <c r="E9" s="584">
        <f>'Group Totals'!AC47+'Group Totals'!AD47+'Group Totals'!K47</f>
        <v>90381</v>
      </c>
      <c r="F9" s="584">
        <f>'Group Totals'!K59+'Group Totals'!AC59+'Group Totals'!AD59</f>
        <v>59337</v>
      </c>
      <c r="G9" s="584">
        <f>'Group Totals'!K71+'Group Totals'!AC71+'Group Totals'!AD71</f>
        <v>91799</v>
      </c>
      <c r="H9" s="584">
        <f>'Group Totals'!K83+'Group Totals'!AC83+'Group Totals'!AD83</f>
        <v>71824</v>
      </c>
      <c r="I9" s="584">
        <f>'Group Totals'!K95+'Group Totals'!AC95+'Group Totals'!AD95</f>
        <v>91053</v>
      </c>
      <c r="J9" s="1295">
        <f>'Group Totals'!K107+'Group Totals'!AC107+'Group Totals'!AD107</f>
        <v>130314</v>
      </c>
      <c r="K9" s="1295">
        <f>'Group Totals'!AD119+'Group Totals'!AC119+'Group Totals'!K119</f>
        <v>108727</v>
      </c>
      <c r="L9" s="1295">
        <f>'Group Totals'!K131+'Group Totals'!AC131+'Group Totals'!AD131</f>
        <v>151642</v>
      </c>
      <c r="M9" s="1296">
        <f t="shared" si="0"/>
        <v>42915</v>
      </c>
      <c r="O9" s="9" t="s">
        <v>746</v>
      </c>
      <c r="P9" s="584">
        <f t="shared" ref="P9:Z9" si="7">SUM(B4:B9)</f>
        <v>537338</v>
      </c>
      <c r="Q9" s="584">
        <f t="shared" si="7"/>
        <v>462577</v>
      </c>
      <c r="R9" s="584">
        <f t="shared" si="7"/>
        <v>471403</v>
      </c>
      <c r="S9" s="584">
        <f t="shared" si="7"/>
        <v>437909</v>
      </c>
      <c r="T9" s="584">
        <f t="shared" si="7"/>
        <v>395307</v>
      </c>
      <c r="U9" s="584">
        <f t="shared" si="7"/>
        <v>497224</v>
      </c>
      <c r="V9" s="584">
        <f t="shared" si="7"/>
        <v>526015</v>
      </c>
      <c r="W9" s="584">
        <f t="shared" si="7"/>
        <v>527931</v>
      </c>
      <c r="X9" s="584">
        <f t="shared" si="7"/>
        <v>556551</v>
      </c>
      <c r="Y9" s="584">
        <f t="shared" si="7"/>
        <v>643772</v>
      </c>
      <c r="Z9" s="584">
        <f t="shared" si="7"/>
        <v>878355</v>
      </c>
      <c r="AA9" s="1296">
        <f t="shared" si="3"/>
        <v>234583</v>
      </c>
    </row>
    <row r="10" spans="1:30" x14ac:dyDescent="0.25">
      <c r="A10" s="9" t="s">
        <v>329</v>
      </c>
      <c r="B10" s="584">
        <f>'Group Totals'!K12+'Group Totals'!AC12+'Group Totals'!AD12</f>
        <v>95083</v>
      </c>
      <c r="C10" s="584">
        <f>'Group Totals'!K24+'Group Totals'!AC24+'Group Totals'!AD24</f>
        <v>85063</v>
      </c>
      <c r="D10" s="584">
        <f>'Group Totals'!K36+'Group Totals'!AC36+'Group Totals'!AD36</f>
        <v>85573</v>
      </c>
      <c r="E10" s="584">
        <f>'Group Totals'!AC48+'Group Totals'!AD48+'Group Totals'!K48</f>
        <v>95437</v>
      </c>
      <c r="F10" s="584">
        <f>'Group Totals'!K60+'Group Totals'!AC60+'Group Totals'!AD60</f>
        <v>64311</v>
      </c>
      <c r="G10" s="584">
        <f>'Group Totals'!K72+'Group Totals'!AC72+'Group Totals'!AD72</f>
        <v>121832</v>
      </c>
      <c r="H10" s="584">
        <f>'Group Totals'!K84+'Group Totals'!AC84+'Group Totals'!AD84</f>
        <v>99436</v>
      </c>
      <c r="I10" s="584">
        <f>'Group Totals'!K96+'Group Totals'!AC96+'Group Totals'!AD96</f>
        <v>121565</v>
      </c>
      <c r="J10" s="1295">
        <f>'Group Totals'!K108+'Group Totals'!AC108+'Group Totals'!AD108</f>
        <v>116152</v>
      </c>
      <c r="K10" s="1295">
        <f>'Group Totals'!AD120+'Group Totals'!AC120+'Group Totals'!K120</f>
        <v>113967</v>
      </c>
      <c r="L10" s="1295">
        <f>'Group Totals'!K132+'Group Totals'!AC132+'Group Totals'!AD132</f>
        <v>123899</v>
      </c>
      <c r="M10" s="1296">
        <f>L10-K10</f>
        <v>9932</v>
      </c>
      <c r="N10" s="95"/>
      <c r="O10" s="9" t="s">
        <v>329</v>
      </c>
      <c r="P10" s="584">
        <f t="shared" ref="P10:Z10" si="8">SUM(B4:B10)</f>
        <v>632421</v>
      </c>
      <c r="Q10" s="584">
        <f t="shared" si="8"/>
        <v>547640</v>
      </c>
      <c r="R10" s="584">
        <f t="shared" si="8"/>
        <v>556976</v>
      </c>
      <c r="S10" s="584">
        <f t="shared" si="8"/>
        <v>533346</v>
      </c>
      <c r="T10" s="584">
        <f t="shared" si="8"/>
        <v>459618</v>
      </c>
      <c r="U10" s="584">
        <f t="shared" si="8"/>
        <v>619056</v>
      </c>
      <c r="V10" s="584">
        <f t="shared" si="8"/>
        <v>625451</v>
      </c>
      <c r="W10" s="584">
        <f t="shared" si="8"/>
        <v>649496</v>
      </c>
      <c r="X10" s="584">
        <f t="shared" si="8"/>
        <v>672703</v>
      </c>
      <c r="Y10" s="584">
        <f t="shared" si="8"/>
        <v>757739</v>
      </c>
      <c r="Z10" s="584">
        <f t="shared" si="8"/>
        <v>1002254</v>
      </c>
      <c r="AA10" s="1296">
        <f t="shared" si="3"/>
        <v>244515</v>
      </c>
    </row>
    <row r="11" spans="1:30" x14ac:dyDescent="0.25">
      <c r="A11" s="9" t="s">
        <v>427</v>
      </c>
      <c r="B11" s="584">
        <f>'Group Totals'!K13+'Group Totals'!AC13+'Group Totals'!AD13</f>
        <v>72960</v>
      </c>
      <c r="C11" s="584">
        <f>'Group Totals'!K25+'Group Totals'!AC25+'Group Totals'!AD25</f>
        <v>59539</v>
      </c>
      <c r="D11" s="584">
        <f>'Group Totals'!K37+'Group Totals'!AC37+'Group Totals'!AD37</f>
        <v>88772</v>
      </c>
      <c r="E11" s="584">
        <f>'Group Totals'!AC49+'Group Totals'!AD49+'Group Totals'!K49</f>
        <v>99992</v>
      </c>
      <c r="F11" s="584">
        <f>'Group Totals'!K61+'Group Totals'!AC61+'Group Totals'!AD61</f>
        <v>71480</v>
      </c>
      <c r="G11" s="584">
        <f>'Group Totals'!K73+'Group Totals'!AC73+'Group Totals'!AD73</f>
        <v>102894</v>
      </c>
      <c r="H11" s="584">
        <f>'Group Totals'!K85+'Group Totals'!AC85+'Group Totals'!AD85</f>
        <v>93521</v>
      </c>
      <c r="I11" s="584">
        <f>'Group Totals'!K97+'Group Totals'!AC97+'Group Totals'!AD97</f>
        <v>102473</v>
      </c>
      <c r="J11" s="1295">
        <f>'Group Totals'!K109+'Group Totals'!AC109+'Group Totals'!AD109</f>
        <v>124096</v>
      </c>
      <c r="K11" s="1295">
        <f>'Group Totals'!AD121+'Group Totals'!AC121+'Group Totals'!K121</f>
        <v>148531</v>
      </c>
      <c r="L11" s="1295">
        <f>'Group Totals'!K133+'Group Totals'!AC133+'Group Totals'!AD133</f>
        <v>130178</v>
      </c>
      <c r="M11" s="1296">
        <f t="shared" ref="M11:M15" si="9">L11-K11</f>
        <v>-18353</v>
      </c>
      <c r="N11" s="95"/>
      <c r="O11" s="9" t="s">
        <v>427</v>
      </c>
      <c r="P11" s="584">
        <f t="shared" ref="P11:Z11" si="10">SUM(B4:B11)</f>
        <v>705381</v>
      </c>
      <c r="Q11" s="584">
        <f t="shared" si="10"/>
        <v>607179</v>
      </c>
      <c r="R11" s="584">
        <f t="shared" si="10"/>
        <v>645748</v>
      </c>
      <c r="S11" s="584">
        <f t="shared" si="10"/>
        <v>633338</v>
      </c>
      <c r="T11" s="584">
        <f t="shared" si="10"/>
        <v>531098</v>
      </c>
      <c r="U11" s="584">
        <f t="shared" si="10"/>
        <v>721950</v>
      </c>
      <c r="V11" s="584">
        <f t="shared" si="10"/>
        <v>718972</v>
      </c>
      <c r="W11" s="584">
        <f t="shared" si="10"/>
        <v>751969</v>
      </c>
      <c r="X11" s="584">
        <f t="shared" si="10"/>
        <v>796799</v>
      </c>
      <c r="Y11" s="584">
        <f t="shared" si="10"/>
        <v>906270</v>
      </c>
      <c r="Z11" s="584">
        <f t="shared" si="10"/>
        <v>1132432</v>
      </c>
      <c r="AA11" s="1296">
        <f t="shared" si="3"/>
        <v>226162</v>
      </c>
    </row>
    <row r="12" spans="1:30" x14ac:dyDescent="0.25">
      <c r="A12" s="9" t="s">
        <v>431</v>
      </c>
      <c r="B12" s="584">
        <f>'Group Totals'!K14+'Group Totals'!AC14+'Group Totals'!AD14</f>
        <v>75105</v>
      </c>
      <c r="C12" s="584">
        <f>'Group Totals'!K26+'Group Totals'!AC26+'Group Totals'!AD26</f>
        <v>65819</v>
      </c>
      <c r="D12" s="584">
        <f>'Group Totals'!K38+'Group Totals'!AC38+'Group Totals'!AD38</f>
        <v>108614</v>
      </c>
      <c r="E12" s="584">
        <f>'Group Totals'!AC50+'Group Totals'!AD50+'Group Totals'!K50</f>
        <v>84820</v>
      </c>
      <c r="F12" s="584">
        <f>'Group Totals'!K62+'Group Totals'!AC62+'Group Totals'!AD62</f>
        <v>67761</v>
      </c>
      <c r="G12" s="584">
        <f>'Group Totals'!K74+'Group Totals'!AC74+'Group Totals'!AD74</f>
        <v>103461</v>
      </c>
      <c r="H12" s="584">
        <f>'Group Totals'!K86+'Group Totals'!AC86+'Group Totals'!AD86</f>
        <v>99640</v>
      </c>
      <c r="I12" s="584">
        <f>'Group Totals'!K98+'Group Totals'!AC98+'Group Totals'!AD98</f>
        <v>110602</v>
      </c>
      <c r="J12" s="1295">
        <f>'Group Totals'!K110+'Group Totals'!AC110+'Group Totals'!AD110</f>
        <v>114748</v>
      </c>
      <c r="K12" s="1295">
        <f>'Group Totals'!AD122+'Group Totals'!AC122+'Group Totals'!K122</f>
        <v>164248</v>
      </c>
      <c r="L12" s="1295">
        <f>'Group Totals'!K134+'Group Totals'!AC134+'Group Totals'!AD134</f>
        <v>133165</v>
      </c>
      <c r="M12" s="1296">
        <f t="shared" si="9"/>
        <v>-31083</v>
      </c>
      <c r="N12" s="95"/>
      <c r="O12" s="9" t="s">
        <v>431</v>
      </c>
      <c r="P12" s="584">
        <f t="shared" ref="P12:Z12" si="11">SUM(B4:B12)</f>
        <v>780486</v>
      </c>
      <c r="Q12" s="584">
        <f t="shared" si="11"/>
        <v>672998</v>
      </c>
      <c r="R12" s="584">
        <f t="shared" si="11"/>
        <v>754362</v>
      </c>
      <c r="S12" s="584">
        <f t="shared" si="11"/>
        <v>718158</v>
      </c>
      <c r="T12" s="584">
        <f t="shared" si="11"/>
        <v>598859</v>
      </c>
      <c r="U12" s="584">
        <f t="shared" si="11"/>
        <v>825411</v>
      </c>
      <c r="V12" s="584">
        <f t="shared" si="11"/>
        <v>818612</v>
      </c>
      <c r="W12" s="584">
        <f t="shared" si="11"/>
        <v>862571</v>
      </c>
      <c r="X12" s="584">
        <f t="shared" si="11"/>
        <v>911547</v>
      </c>
      <c r="Y12" s="584">
        <f t="shared" si="11"/>
        <v>1070518</v>
      </c>
      <c r="Z12" s="584">
        <f t="shared" si="11"/>
        <v>1265597</v>
      </c>
      <c r="AA12" s="1296">
        <f t="shared" si="3"/>
        <v>195079</v>
      </c>
    </row>
    <row r="13" spans="1:30" x14ac:dyDescent="0.25">
      <c r="A13" s="9" t="s">
        <v>423</v>
      </c>
      <c r="B13" s="584">
        <f>'Group Totals'!K15+'Group Totals'!AC15+'Group Totals'!AD15</f>
        <v>87889</v>
      </c>
      <c r="C13" s="584">
        <f>'Group Totals'!K27+'Group Totals'!AC27+'Group Totals'!AD27</f>
        <v>71446</v>
      </c>
      <c r="D13" s="584">
        <f>'Group Totals'!K39+'Group Totals'!AC39+'Group Totals'!AD39</f>
        <v>89469</v>
      </c>
      <c r="E13" s="584">
        <f>'Group Totals'!AC51+'Group Totals'!AD51+'Group Totals'!K51</f>
        <v>83478</v>
      </c>
      <c r="F13" s="584">
        <f>'Group Totals'!K63+'Group Totals'!AC63+'Group Totals'!AD63</f>
        <v>91050</v>
      </c>
      <c r="G13" s="584">
        <f>'Group Totals'!K75+'Group Totals'!AC75+'Group Totals'!AD75</f>
        <v>119884</v>
      </c>
      <c r="H13" s="584">
        <f>'Group Totals'!K87+'Group Totals'!AC87+'Group Totals'!AD87</f>
        <v>120319</v>
      </c>
      <c r="I13" s="584">
        <f>'Group Totals'!K99+'Group Totals'!AC99+'Group Totals'!AD99</f>
        <v>107831</v>
      </c>
      <c r="J13" s="1295">
        <f>'Group Totals'!K111+'Group Totals'!AC111+'Group Totals'!AD111</f>
        <v>117489</v>
      </c>
      <c r="K13" s="1295">
        <f>'Group Totals'!AD123+'Group Totals'!AC123+'Group Totals'!K123</f>
        <v>161312</v>
      </c>
      <c r="L13" s="1295">
        <f>'Group Totals'!K135+'Group Totals'!AC135+'Group Totals'!AD135</f>
        <v>128370</v>
      </c>
      <c r="M13" s="1296">
        <f t="shared" si="9"/>
        <v>-32942</v>
      </c>
      <c r="N13" s="95"/>
      <c r="O13" s="9" t="s">
        <v>423</v>
      </c>
      <c r="P13" s="584">
        <f t="shared" ref="P13:Z13" si="12">SUM(B4:B13)</f>
        <v>868375</v>
      </c>
      <c r="Q13" s="584">
        <f t="shared" si="12"/>
        <v>744444</v>
      </c>
      <c r="R13" s="584">
        <f t="shared" si="12"/>
        <v>843831</v>
      </c>
      <c r="S13" s="584">
        <f t="shared" si="12"/>
        <v>801636</v>
      </c>
      <c r="T13" s="584">
        <f t="shared" si="12"/>
        <v>689909</v>
      </c>
      <c r="U13" s="584">
        <f t="shared" si="12"/>
        <v>945295</v>
      </c>
      <c r="V13" s="584">
        <f t="shared" si="12"/>
        <v>938931</v>
      </c>
      <c r="W13" s="584">
        <f t="shared" si="12"/>
        <v>970402</v>
      </c>
      <c r="X13" s="584">
        <f t="shared" si="12"/>
        <v>1029036</v>
      </c>
      <c r="Y13" s="584">
        <f t="shared" si="12"/>
        <v>1231830</v>
      </c>
      <c r="Z13" s="584">
        <f t="shared" si="12"/>
        <v>1393967</v>
      </c>
      <c r="AA13" s="1296">
        <f t="shared" si="3"/>
        <v>162137</v>
      </c>
    </row>
    <row r="14" spans="1:30" x14ac:dyDescent="0.25">
      <c r="A14" s="9" t="s">
        <v>426</v>
      </c>
      <c r="B14" s="584">
        <f>'Group Totals'!K16+'Group Totals'!AC16+'Group Totals'!AD16</f>
        <v>79886</v>
      </c>
      <c r="C14" s="584">
        <f>'Group Totals'!K28+'Group Totals'!AC28+'Group Totals'!AD28</f>
        <v>74615</v>
      </c>
      <c r="D14" s="584">
        <f>'Group Totals'!K40+'Group Totals'!AC40+'Group Totals'!AD40</f>
        <v>90482</v>
      </c>
      <c r="E14" s="584">
        <f>'Group Totals'!AC52+'Group Totals'!AD52+'Group Totals'!K52</f>
        <v>97988</v>
      </c>
      <c r="F14" s="584">
        <f>'Group Totals'!K64+'Group Totals'!AC64+'Group Totals'!AD64</f>
        <v>80594</v>
      </c>
      <c r="G14" s="584">
        <f>'Group Totals'!K76+'Group Totals'!AC76+'Group Totals'!AD76</f>
        <v>105079</v>
      </c>
      <c r="H14" s="584">
        <f>'Group Totals'!K88+'Group Totals'!AC88+'Group Totals'!AD88</f>
        <v>109354</v>
      </c>
      <c r="I14" s="584">
        <f>'Group Totals'!K100+'Group Totals'!AC100+'Group Totals'!AD100</f>
        <v>93031</v>
      </c>
      <c r="J14" s="1295">
        <f>'Group Totals'!K112+'Group Totals'!AC112+'Group Totals'!AD112</f>
        <v>144138</v>
      </c>
      <c r="K14" s="1295">
        <f>'Group Totals'!AD124+'Group Totals'!AC124+'Group Totals'!K124</f>
        <v>181774</v>
      </c>
      <c r="L14" s="1295">
        <f>'Group Totals'!K136+'Group Totals'!AC136+'Group Totals'!AD136</f>
        <v>104637</v>
      </c>
      <c r="M14" s="1296">
        <f t="shared" si="9"/>
        <v>-77137</v>
      </c>
      <c r="O14" s="9" t="s">
        <v>426</v>
      </c>
      <c r="P14" s="584">
        <f t="shared" ref="P14:Z14" si="13">SUM(B4:B14)</f>
        <v>948261</v>
      </c>
      <c r="Q14" s="584">
        <f t="shared" si="13"/>
        <v>819059</v>
      </c>
      <c r="R14" s="584">
        <f t="shared" si="13"/>
        <v>934313</v>
      </c>
      <c r="S14" s="584">
        <f t="shared" si="13"/>
        <v>899624</v>
      </c>
      <c r="T14" s="584">
        <f t="shared" si="13"/>
        <v>770503</v>
      </c>
      <c r="U14" s="584">
        <f t="shared" si="13"/>
        <v>1050374</v>
      </c>
      <c r="V14" s="584">
        <f t="shared" si="13"/>
        <v>1048285</v>
      </c>
      <c r="W14" s="584">
        <f t="shared" si="13"/>
        <v>1063433</v>
      </c>
      <c r="X14" s="584">
        <f t="shared" si="13"/>
        <v>1173174</v>
      </c>
      <c r="Y14" s="584">
        <f t="shared" si="13"/>
        <v>1413604</v>
      </c>
      <c r="Z14" s="584">
        <f t="shared" si="13"/>
        <v>1498604</v>
      </c>
      <c r="AA14" s="1296">
        <f t="shared" si="3"/>
        <v>85000</v>
      </c>
    </row>
    <row r="15" spans="1:30" x14ac:dyDescent="0.25">
      <c r="A15" s="663" t="s">
        <v>432</v>
      </c>
      <c r="B15" s="1297">
        <f>'Group Totals'!K17+'Group Totals'!AC17+'Group Totals'!AD17</f>
        <v>62801</v>
      </c>
      <c r="C15" s="1297">
        <f>'Group Totals'!K29+'Group Totals'!AC29+'Group Totals'!AD29</f>
        <v>60210</v>
      </c>
      <c r="D15" s="1297">
        <f>'Group Totals'!K41+'Group Totals'!AC41+'Group Totals'!AD41</f>
        <v>81235</v>
      </c>
      <c r="E15" s="1297">
        <f>'Group Totals'!AC53+'Group Totals'!AD53+'Group Totals'!K53</f>
        <v>61040</v>
      </c>
      <c r="F15" s="1297">
        <f>'Group Totals'!K65+'Group Totals'!AC65+'Group Totals'!AD65</f>
        <v>66270</v>
      </c>
      <c r="G15" s="1297">
        <f>'Group Totals'!K77+'Group Totals'!AC77+'Group Totals'!AD77</f>
        <v>70760</v>
      </c>
      <c r="H15" s="1297">
        <f>'Group Totals'!K89+'Group Totals'!AC89+'Group Totals'!AD89</f>
        <v>72216</v>
      </c>
      <c r="I15" s="1297">
        <f>'Group Totals'!K101+'Group Totals'!AC101+'Group Totals'!AD101</f>
        <v>85250</v>
      </c>
      <c r="J15" s="1298">
        <f>'Group Totals'!K113+'Group Totals'!AC113+'Group Totals'!AD113</f>
        <v>77058</v>
      </c>
      <c r="K15" s="1298">
        <f>'Group Totals'!AD125+'Group Totals'!AC125+'Group Totals'!K125</f>
        <v>144857</v>
      </c>
      <c r="L15" s="1298">
        <f>'Group Totals'!K137+'Group Totals'!AC137+'Group Totals'!AD137</f>
        <v>72933</v>
      </c>
      <c r="M15" s="1299">
        <f t="shared" si="9"/>
        <v>-71924</v>
      </c>
      <c r="O15" s="663" t="s">
        <v>432</v>
      </c>
      <c r="P15" s="1297">
        <f t="shared" ref="P15:Z15" si="14">SUM(B4:B15)</f>
        <v>1011062</v>
      </c>
      <c r="Q15" s="1297">
        <f t="shared" si="14"/>
        <v>879269</v>
      </c>
      <c r="R15" s="1297">
        <f t="shared" si="14"/>
        <v>1015548</v>
      </c>
      <c r="S15" s="1297">
        <f t="shared" si="14"/>
        <v>960664</v>
      </c>
      <c r="T15" s="1297">
        <f t="shared" si="14"/>
        <v>836773</v>
      </c>
      <c r="U15" s="1297">
        <f t="shared" si="14"/>
        <v>1121134</v>
      </c>
      <c r="V15" s="1297">
        <f t="shared" si="14"/>
        <v>1120501</v>
      </c>
      <c r="W15" s="1297">
        <f t="shared" si="14"/>
        <v>1148683</v>
      </c>
      <c r="X15" s="1297">
        <f t="shared" si="14"/>
        <v>1250232</v>
      </c>
      <c r="Y15" s="1297">
        <f t="shared" si="14"/>
        <v>1558461</v>
      </c>
      <c r="Z15" s="1297">
        <f t="shared" si="14"/>
        <v>1571537</v>
      </c>
      <c r="AA15" s="1299">
        <f t="shared" si="3"/>
        <v>13076</v>
      </c>
    </row>
    <row r="17" spans="1:27" x14ac:dyDescent="0.25">
      <c r="A17" s="1557" t="s">
        <v>747</v>
      </c>
      <c r="B17" s="1557"/>
      <c r="C17" s="1557"/>
      <c r="D17" s="1557"/>
      <c r="E17" s="1557"/>
      <c r="F17" s="1557"/>
      <c r="G17" s="1557"/>
      <c r="H17" s="1557"/>
      <c r="I17" s="1557"/>
      <c r="O17" s="1557" t="s">
        <v>748</v>
      </c>
      <c r="P17" s="1557"/>
      <c r="Q17" s="1557"/>
      <c r="R17" s="1557"/>
      <c r="S17" s="1557"/>
      <c r="T17" s="1557"/>
      <c r="U17" s="1557"/>
      <c r="V17" s="1557"/>
      <c r="W17" s="1557"/>
    </row>
    <row r="18" spans="1:27" x14ac:dyDescent="0.25">
      <c r="A18" s="649" t="s">
        <v>744</v>
      </c>
      <c r="B18" s="1293">
        <v>2012</v>
      </c>
      <c r="C18" s="1293">
        <v>2013</v>
      </c>
      <c r="D18" s="1293">
        <v>2014</v>
      </c>
      <c r="E18" s="1293">
        <v>2015</v>
      </c>
      <c r="F18" s="1293">
        <v>2016</v>
      </c>
      <c r="G18" s="1293">
        <v>2017</v>
      </c>
      <c r="H18" s="1293">
        <v>2018</v>
      </c>
      <c r="I18" s="1293">
        <v>2019</v>
      </c>
      <c r="J18" s="1293">
        <v>2020</v>
      </c>
      <c r="K18" s="1293">
        <v>2021</v>
      </c>
      <c r="L18" s="1293">
        <v>2022</v>
      </c>
      <c r="M18" s="1294" t="s">
        <v>745</v>
      </c>
      <c r="O18" s="649" t="s">
        <v>744</v>
      </c>
      <c r="P18" s="1293">
        <v>2012</v>
      </c>
      <c r="Q18" s="1293">
        <v>2013</v>
      </c>
      <c r="R18" s="1293">
        <v>2014</v>
      </c>
      <c r="S18" s="1293">
        <v>2015</v>
      </c>
      <c r="T18" s="1293">
        <v>2016</v>
      </c>
      <c r="U18" s="1293">
        <v>2017</v>
      </c>
      <c r="V18" s="1293">
        <v>2018</v>
      </c>
      <c r="W18" s="1293">
        <v>2019</v>
      </c>
      <c r="X18" s="1293">
        <v>2020</v>
      </c>
      <c r="Y18" s="1293">
        <v>2021</v>
      </c>
      <c r="Z18" s="1293">
        <v>2022</v>
      </c>
      <c r="AA18" s="1294" t="s">
        <v>749</v>
      </c>
    </row>
    <row r="19" spans="1:27" x14ac:dyDescent="0.25">
      <c r="A19" s="9" t="s">
        <v>424</v>
      </c>
      <c r="B19" s="584">
        <f>'Group Totals'!AC6</f>
        <v>31484</v>
      </c>
      <c r="C19" s="584">
        <f>'Group Totals'!AC18</f>
        <v>17710</v>
      </c>
      <c r="D19" s="584">
        <f>'Group Totals'!AC30</f>
        <v>28779</v>
      </c>
      <c r="E19" s="584">
        <f>'Group Totals'!AC42</f>
        <v>12695</v>
      </c>
      <c r="F19" s="584">
        <f>'Group Totals'!AC54</f>
        <v>22716</v>
      </c>
      <c r="G19" s="584">
        <f>'Group Totals'!AC66</f>
        <v>38897</v>
      </c>
      <c r="H19" s="584">
        <f>'Group Totals'!AC78</f>
        <v>39857</v>
      </c>
      <c r="I19" s="584">
        <f>'Group Totals'!AC90</f>
        <v>32500</v>
      </c>
      <c r="J19" s="1295">
        <f>'Group Totals'!AC102</f>
        <v>50058</v>
      </c>
      <c r="K19" s="1295">
        <f>'Group Totals'!AC114</f>
        <v>34378</v>
      </c>
      <c r="L19" s="1295">
        <f>'Group Totals'!AC126</f>
        <v>56660</v>
      </c>
      <c r="M19" s="1296">
        <f>L19-K19</f>
        <v>22282</v>
      </c>
      <c r="N19" s="95"/>
      <c r="O19" s="9" t="s">
        <v>424</v>
      </c>
      <c r="P19" s="584">
        <f t="shared" ref="P19:Z19" si="15">B19</f>
        <v>31484</v>
      </c>
      <c r="Q19" s="584">
        <f t="shared" si="15"/>
        <v>17710</v>
      </c>
      <c r="R19" s="584">
        <f t="shared" si="15"/>
        <v>28779</v>
      </c>
      <c r="S19" s="584">
        <f t="shared" si="15"/>
        <v>12695</v>
      </c>
      <c r="T19" s="584">
        <f t="shared" si="15"/>
        <v>22716</v>
      </c>
      <c r="U19" s="584">
        <f t="shared" si="15"/>
        <v>38897</v>
      </c>
      <c r="V19" s="584">
        <f t="shared" si="15"/>
        <v>39857</v>
      </c>
      <c r="W19" s="584">
        <f t="shared" si="15"/>
        <v>32500</v>
      </c>
      <c r="X19" s="584">
        <f t="shared" si="15"/>
        <v>50058</v>
      </c>
      <c r="Y19" s="584">
        <f t="shared" si="15"/>
        <v>34378</v>
      </c>
      <c r="Z19" s="584">
        <f t="shared" si="15"/>
        <v>56660</v>
      </c>
      <c r="AA19" s="1296">
        <f>Z19-Y19</f>
        <v>22282</v>
      </c>
    </row>
    <row r="20" spans="1:27" x14ac:dyDescent="0.25">
      <c r="A20" s="9" t="s">
        <v>327</v>
      </c>
      <c r="B20" s="584">
        <f>'Group Totals'!AC7</f>
        <v>32651</v>
      </c>
      <c r="C20" s="584">
        <f>'Group Totals'!AC19</f>
        <v>29768</v>
      </c>
      <c r="D20" s="584">
        <f>'Group Totals'!AC31</f>
        <v>27233</v>
      </c>
      <c r="E20" s="584">
        <f>'Group Totals'!AC43</f>
        <v>24534</v>
      </c>
      <c r="F20" s="584">
        <f>'Group Totals'!AC55</f>
        <v>39204</v>
      </c>
      <c r="G20" s="584">
        <f>'Group Totals'!AC67</f>
        <v>34499</v>
      </c>
      <c r="H20" s="584">
        <f>'Group Totals'!AC79</f>
        <v>38455</v>
      </c>
      <c r="I20" s="584">
        <f>'Group Totals'!AC91</f>
        <v>33054</v>
      </c>
      <c r="J20" s="1295">
        <f>'Group Totals'!AC103</f>
        <v>46023</v>
      </c>
      <c r="K20" s="1295">
        <f>'Group Totals'!AC115</f>
        <v>40800</v>
      </c>
      <c r="L20" s="1295">
        <f>'Group Totals'!AC127</f>
        <v>58263</v>
      </c>
      <c r="M20" s="1296">
        <f t="shared" ref="M20:M24" si="16">L20-K20</f>
        <v>17463</v>
      </c>
      <c r="N20" s="95"/>
      <c r="O20" s="9" t="s">
        <v>327</v>
      </c>
      <c r="P20" s="584">
        <f t="shared" ref="P20:Z20" si="17">SUM(B19:B20)</f>
        <v>64135</v>
      </c>
      <c r="Q20" s="584">
        <f t="shared" si="17"/>
        <v>47478</v>
      </c>
      <c r="R20" s="584">
        <f t="shared" si="17"/>
        <v>56012</v>
      </c>
      <c r="S20" s="584">
        <f t="shared" si="17"/>
        <v>37229</v>
      </c>
      <c r="T20" s="584">
        <f t="shared" si="17"/>
        <v>61920</v>
      </c>
      <c r="U20" s="584">
        <f t="shared" si="17"/>
        <v>73396</v>
      </c>
      <c r="V20" s="584">
        <f t="shared" si="17"/>
        <v>78312</v>
      </c>
      <c r="W20" s="584">
        <f t="shared" si="17"/>
        <v>65554</v>
      </c>
      <c r="X20" s="584">
        <f t="shared" si="17"/>
        <v>96081</v>
      </c>
      <c r="Y20" s="584">
        <f t="shared" si="17"/>
        <v>75178</v>
      </c>
      <c r="Z20" s="584">
        <f t="shared" si="17"/>
        <v>114923</v>
      </c>
      <c r="AA20" s="1296">
        <f t="shared" ref="AA20:AA30" si="18">Z20-Y20</f>
        <v>39745</v>
      </c>
    </row>
    <row r="21" spans="1:27" x14ac:dyDescent="0.25">
      <c r="A21" s="9" t="s">
        <v>425</v>
      </c>
      <c r="B21" s="584">
        <f>'Group Totals'!AC8</f>
        <v>36444</v>
      </c>
      <c r="C21" s="584">
        <f>'Group Totals'!AC20</f>
        <v>35856</v>
      </c>
      <c r="D21" s="584">
        <f>'Group Totals'!AC32</f>
        <v>39842</v>
      </c>
      <c r="E21" s="584">
        <f>'Group Totals'!AC44</f>
        <v>35818</v>
      </c>
      <c r="F21" s="584">
        <f>'Group Totals'!AC56</f>
        <v>27354</v>
      </c>
      <c r="G21" s="584">
        <f>'Group Totals'!AC68</f>
        <v>31159</v>
      </c>
      <c r="H21" s="584">
        <f>'Group Totals'!AC80</f>
        <v>42566</v>
      </c>
      <c r="I21" s="584">
        <f>'Group Totals'!AC92</f>
        <v>40036</v>
      </c>
      <c r="J21" s="1295">
        <f>'Group Totals'!AC104</f>
        <v>54126</v>
      </c>
      <c r="K21" s="1295">
        <f>'Group Totals'!AC116</f>
        <v>56926</v>
      </c>
      <c r="L21" s="1295">
        <f>'Group Totals'!AC128</f>
        <v>75368</v>
      </c>
      <c r="M21" s="1296">
        <f t="shared" si="16"/>
        <v>18442</v>
      </c>
      <c r="N21" s="95"/>
      <c r="O21" s="9" t="s">
        <v>425</v>
      </c>
      <c r="P21" s="584">
        <f t="shared" ref="P21:Z21" si="19">SUM(B19:B21)</f>
        <v>100579</v>
      </c>
      <c r="Q21" s="584">
        <f t="shared" si="19"/>
        <v>83334</v>
      </c>
      <c r="R21" s="584">
        <f t="shared" si="19"/>
        <v>95854</v>
      </c>
      <c r="S21" s="584">
        <f t="shared" si="19"/>
        <v>73047</v>
      </c>
      <c r="T21" s="584">
        <f t="shared" si="19"/>
        <v>89274</v>
      </c>
      <c r="U21" s="584">
        <f t="shared" si="19"/>
        <v>104555</v>
      </c>
      <c r="V21" s="584">
        <f t="shared" si="19"/>
        <v>120878</v>
      </c>
      <c r="W21" s="584">
        <f t="shared" si="19"/>
        <v>105590</v>
      </c>
      <c r="X21" s="584">
        <f t="shared" si="19"/>
        <v>150207</v>
      </c>
      <c r="Y21" s="584">
        <f t="shared" si="19"/>
        <v>132104</v>
      </c>
      <c r="Z21" s="584">
        <f t="shared" si="19"/>
        <v>190291</v>
      </c>
      <c r="AA21" s="1296">
        <f t="shared" si="18"/>
        <v>58187</v>
      </c>
    </row>
    <row r="22" spans="1:27" x14ac:dyDescent="0.25">
      <c r="A22" s="9" t="s">
        <v>328</v>
      </c>
      <c r="B22" s="584">
        <f>'Group Totals'!AC9</f>
        <v>36853</v>
      </c>
      <c r="C22" s="584">
        <f>'Group Totals'!AC21</f>
        <v>37309</v>
      </c>
      <c r="D22" s="584">
        <f>'Group Totals'!AC33</f>
        <v>24245</v>
      </c>
      <c r="E22" s="584">
        <f>'Group Totals'!AC45</f>
        <v>27206</v>
      </c>
      <c r="F22" s="584">
        <f>'Group Totals'!AC57</f>
        <v>24138</v>
      </c>
      <c r="G22" s="584">
        <f>'Group Totals'!AC69</f>
        <v>28229</v>
      </c>
      <c r="H22" s="584">
        <f>'Group Totals'!AC81</f>
        <v>43329</v>
      </c>
      <c r="I22" s="584">
        <f>'Group Totals'!AC93</f>
        <v>31642</v>
      </c>
      <c r="J22" s="1295">
        <f>'Group Totals'!AC105</f>
        <v>7734</v>
      </c>
      <c r="K22" s="1295">
        <f>'Group Totals'!AC117</f>
        <v>44560</v>
      </c>
      <c r="L22" s="1295">
        <f>'Group Totals'!AC129</f>
        <v>64025</v>
      </c>
      <c r="M22" s="1296">
        <f t="shared" si="16"/>
        <v>19465</v>
      </c>
      <c r="N22" s="95"/>
      <c r="O22" s="9" t="s">
        <v>328</v>
      </c>
      <c r="P22" s="584">
        <f t="shared" ref="P22:Z22" si="20">SUM(B19:B22)</f>
        <v>137432</v>
      </c>
      <c r="Q22" s="584">
        <f t="shared" si="20"/>
        <v>120643</v>
      </c>
      <c r="R22" s="584">
        <f t="shared" si="20"/>
        <v>120099</v>
      </c>
      <c r="S22" s="584">
        <f t="shared" si="20"/>
        <v>100253</v>
      </c>
      <c r="T22" s="584">
        <f t="shared" si="20"/>
        <v>113412</v>
      </c>
      <c r="U22" s="584">
        <f t="shared" si="20"/>
        <v>132784</v>
      </c>
      <c r="V22" s="584">
        <f t="shared" si="20"/>
        <v>164207</v>
      </c>
      <c r="W22" s="584">
        <f t="shared" si="20"/>
        <v>137232</v>
      </c>
      <c r="X22" s="584">
        <f t="shared" si="20"/>
        <v>157941</v>
      </c>
      <c r="Y22" s="584">
        <f t="shared" si="20"/>
        <v>176664</v>
      </c>
      <c r="Z22" s="584">
        <f t="shared" si="20"/>
        <v>254316</v>
      </c>
      <c r="AA22" s="1296">
        <f t="shared" si="18"/>
        <v>77652</v>
      </c>
    </row>
    <row r="23" spans="1:27" x14ac:dyDescent="0.25">
      <c r="A23" s="9" t="s">
        <v>428</v>
      </c>
      <c r="B23" s="584">
        <f>'Group Totals'!AC10</f>
        <v>33983</v>
      </c>
      <c r="C23" s="584">
        <f>'Group Totals'!AC22</f>
        <v>34075</v>
      </c>
      <c r="D23" s="584">
        <f>'Group Totals'!AC34</f>
        <v>34148</v>
      </c>
      <c r="E23" s="584">
        <f>'Group Totals'!AC46</f>
        <v>26719</v>
      </c>
      <c r="F23" s="584">
        <f>'Group Totals'!AC58</f>
        <v>27123</v>
      </c>
      <c r="G23" s="584">
        <f>'Group Totals'!AC70</f>
        <v>45914</v>
      </c>
      <c r="H23" s="584">
        <f>'Group Totals'!AC82</f>
        <v>36292</v>
      </c>
      <c r="I23" s="584">
        <f>'Group Totals'!AC94</f>
        <v>42571</v>
      </c>
      <c r="J23" s="1295">
        <f>'Group Totals'!AC106</f>
        <v>46990</v>
      </c>
      <c r="K23" s="1295">
        <f>'Group Totals'!AC118</f>
        <v>49588</v>
      </c>
      <c r="L23" s="1295">
        <f>'Group Totals'!AC130</f>
        <v>74483</v>
      </c>
      <c r="M23" s="1296">
        <f t="shared" si="16"/>
        <v>24895</v>
      </c>
      <c r="N23" s="95"/>
      <c r="O23" s="9" t="s">
        <v>428</v>
      </c>
      <c r="P23" s="584">
        <f t="shared" ref="P23:Z23" si="21">SUM(B19:B23)</f>
        <v>171415</v>
      </c>
      <c r="Q23" s="584">
        <f t="shared" si="21"/>
        <v>154718</v>
      </c>
      <c r="R23" s="584">
        <f t="shared" si="21"/>
        <v>154247</v>
      </c>
      <c r="S23" s="584">
        <f t="shared" si="21"/>
        <v>126972</v>
      </c>
      <c r="T23" s="584">
        <f t="shared" si="21"/>
        <v>140535</v>
      </c>
      <c r="U23" s="584">
        <f t="shared" si="21"/>
        <v>178698</v>
      </c>
      <c r="V23" s="584">
        <f t="shared" si="21"/>
        <v>200499</v>
      </c>
      <c r="W23" s="584">
        <f t="shared" si="21"/>
        <v>179803</v>
      </c>
      <c r="X23" s="584">
        <f t="shared" si="21"/>
        <v>204931</v>
      </c>
      <c r="Y23" s="584">
        <f t="shared" si="21"/>
        <v>226252</v>
      </c>
      <c r="Z23" s="584">
        <f t="shared" si="21"/>
        <v>328799</v>
      </c>
      <c r="AA23" s="1296">
        <f t="shared" si="18"/>
        <v>102547</v>
      </c>
    </row>
    <row r="24" spans="1:27" x14ac:dyDescent="0.25">
      <c r="A24" s="9" t="s">
        <v>746</v>
      </c>
      <c r="B24" s="584">
        <f>'Group Totals'!AC11</f>
        <v>29250</v>
      </c>
      <c r="C24" s="584">
        <f>'Group Totals'!AC23</f>
        <v>30584</v>
      </c>
      <c r="D24" s="584">
        <f>'Group Totals'!AC35</f>
        <v>39607</v>
      </c>
      <c r="E24" s="584">
        <f>'Group Totals'!AC47</f>
        <v>39952</v>
      </c>
      <c r="F24" s="584">
        <f>'Group Totals'!AC59</f>
        <v>25646</v>
      </c>
      <c r="G24" s="584">
        <f>'Group Totals'!AC71</f>
        <v>42676</v>
      </c>
      <c r="H24" s="584">
        <f>'Group Totals'!AC83</f>
        <v>31555</v>
      </c>
      <c r="I24" s="584">
        <f>'Group Totals'!AC95</f>
        <v>42661</v>
      </c>
      <c r="J24" s="1295">
        <f>'Group Totals'!AC107</f>
        <v>61357</v>
      </c>
      <c r="K24" s="1295">
        <f>'Group Totals'!AC119</f>
        <v>48437</v>
      </c>
      <c r="L24" s="1295">
        <f>'Group Totals'!AC131</f>
        <v>73221</v>
      </c>
      <c r="M24" s="1296">
        <f t="shared" si="16"/>
        <v>24784</v>
      </c>
      <c r="N24" s="95"/>
      <c r="O24" s="9" t="s">
        <v>746</v>
      </c>
      <c r="P24" s="584">
        <f t="shared" ref="P24:Z24" si="22">SUM(B19:B24)</f>
        <v>200665</v>
      </c>
      <c r="Q24" s="584">
        <f t="shared" si="22"/>
        <v>185302</v>
      </c>
      <c r="R24" s="584">
        <f t="shared" si="22"/>
        <v>193854</v>
      </c>
      <c r="S24" s="584">
        <f t="shared" si="22"/>
        <v>166924</v>
      </c>
      <c r="T24" s="584">
        <f t="shared" si="22"/>
        <v>166181</v>
      </c>
      <c r="U24" s="584">
        <f t="shared" si="22"/>
        <v>221374</v>
      </c>
      <c r="V24" s="584">
        <f t="shared" si="22"/>
        <v>232054</v>
      </c>
      <c r="W24" s="584">
        <f t="shared" si="22"/>
        <v>222464</v>
      </c>
      <c r="X24" s="584">
        <f t="shared" si="22"/>
        <v>266288</v>
      </c>
      <c r="Y24" s="584">
        <f t="shared" si="22"/>
        <v>274689</v>
      </c>
      <c r="Z24" s="584">
        <f t="shared" si="22"/>
        <v>402020</v>
      </c>
      <c r="AA24" s="1296">
        <f t="shared" si="18"/>
        <v>127331</v>
      </c>
    </row>
    <row r="25" spans="1:27" x14ac:dyDescent="0.25">
      <c r="A25" s="9" t="s">
        <v>329</v>
      </c>
      <c r="B25" s="584">
        <f>'Group Totals'!AC12</f>
        <v>36694</v>
      </c>
      <c r="C25" s="584">
        <f>'Group Totals'!AC24</f>
        <v>33525</v>
      </c>
      <c r="D25" s="584">
        <f>'Group Totals'!AC36</f>
        <v>31017</v>
      </c>
      <c r="E25" s="584">
        <f>'Group Totals'!AC48</f>
        <v>34863</v>
      </c>
      <c r="F25" s="584">
        <f>'Group Totals'!AC60</f>
        <v>27047</v>
      </c>
      <c r="G25" s="584">
        <f>'Group Totals'!AC72</f>
        <v>56141</v>
      </c>
      <c r="H25" s="584">
        <f>'Group Totals'!AC84</f>
        <v>48803</v>
      </c>
      <c r="I25" s="584">
        <f>'Group Totals'!AC96</f>
        <v>62701</v>
      </c>
      <c r="J25" s="1295">
        <f>'Group Totals'!AC108</f>
        <v>52884</v>
      </c>
      <c r="K25" s="1295">
        <f>'Group Totals'!AC120</f>
        <v>47168</v>
      </c>
      <c r="L25" s="1295">
        <f>'Group Totals'!AC132</f>
        <v>62066</v>
      </c>
      <c r="M25" s="1296">
        <f>L25-K25</f>
        <v>14898</v>
      </c>
      <c r="N25" s="95"/>
      <c r="O25" s="9" t="s">
        <v>329</v>
      </c>
      <c r="P25" s="584">
        <f t="shared" ref="P25:Z25" si="23">SUM(B19:B25)</f>
        <v>237359</v>
      </c>
      <c r="Q25" s="584">
        <f t="shared" si="23"/>
        <v>218827</v>
      </c>
      <c r="R25" s="584">
        <f t="shared" si="23"/>
        <v>224871</v>
      </c>
      <c r="S25" s="584">
        <f t="shared" si="23"/>
        <v>201787</v>
      </c>
      <c r="T25" s="584">
        <f t="shared" si="23"/>
        <v>193228</v>
      </c>
      <c r="U25" s="584">
        <f t="shared" si="23"/>
        <v>277515</v>
      </c>
      <c r="V25" s="584">
        <f t="shared" si="23"/>
        <v>280857</v>
      </c>
      <c r="W25" s="584">
        <f t="shared" si="23"/>
        <v>285165</v>
      </c>
      <c r="X25" s="584">
        <f t="shared" si="23"/>
        <v>319172</v>
      </c>
      <c r="Y25" s="584">
        <f t="shared" si="23"/>
        <v>321857</v>
      </c>
      <c r="Z25" s="584">
        <f t="shared" si="23"/>
        <v>464086</v>
      </c>
      <c r="AA25" s="1296">
        <f>Z25-Y25</f>
        <v>142229</v>
      </c>
    </row>
    <row r="26" spans="1:27" x14ac:dyDescent="0.25">
      <c r="A26" s="9" t="s">
        <v>427</v>
      </c>
      <c r="B26" s="584">
        <f>'Group Totals'!AC13</f>
        <v>28996</v>
      </c>
      <c r="C26" s="584">
        <f>'Group Totals'!AC25</f>
        <v>22249</v>
      </c>
      <c r="D26" s="584">
        <f>'Group Totals'!AC37</f>
        <v>35217</v>
      </c>
      <c r="E26" s="584">
        <f>'Group Totals'!AC49</f>
        <v>42626</v>
      </c>
      <c r="F26" s="584">
        <f>'Group Totals'!AC61</f>
        <v>29459</v>
      </c>
      <c r="G26" s="584">
        <f>'Group Totals'!AC73</f>
        <v>43361</v>
      </c>
      <c r="H26" s="584">
        <f>'Group Totals'!AC85</f>
        <v>47529</v>
      </c>
      <c r="I26" s="584">
        <f>'Group Totals'!AC97</f>
        <v>47148</v>
      </c>
      <c r="J26" s="1295">
        <f>'Group Totals'!AC109</f>
        <v>55544</v>
      </c>
      <c r="K26" s="1295">
        <f>'Group Totals'!AC121</f>
        <v>76959</v>
      </c>
      <c r="L26" s="1295">
        <f>'Group Totals'!AC133</f>
        <v>66539</v>
      </c>
      <c r="M26" s="1296">
        <f t="shared" ref="M26:M30" si="24">L26-K26</f>
        <v>-10420</v>
      </c>
      <c r="N26" s="95"/>
      <c r="O26" s="9" t="s">
        <v>427</v>
      </c>
      <c r="P26" s="584">
        <f t="shared" ref="P26:Z26" si="25">SUM(B19:B26)</f>
        <v>266355</v>
      </c>
      <c r="Q26" s="584">
        <f t="shared" si="25"/>
        <v>241076</v>
      </c>
      <c r="R26" s="584">
        <f t="shared" si="25"/>
        <v>260088</v>
      </c>
      <c r="S26" s="584">
        <f t="shared" si="25"/>
        <v>244413</v>
      </c>
      <c r="T26" s="584">
        <f t="shared" si="25"/>
        <v>222687</v>
      </c>
      <c r="U26" s="584">
        <f t="shared" si="25"/>
        <v>320876</v>
      </c>
      <c r="V26" s="584">
        <f t="shared" si="25"/>
        <v>328386</v>
      </c>
      <c r="W26" s="584">
        <f t="shared" si="25"/>
        <v>332313</v>
      </c>
      <c r="X26" s="584">
        <f t="shared" si="25"/>
        <v>374716</v>
      </c>
      <c r="Y26" s="584">
        <f t="shared" si="25"/>
        <v>398816</v>
      </c>
      <c r="Z26" s="584">
        <f t="shared" si="25"/>
        <v>530625</v>
      </c>
      <c r="AA26" s="1296">
        <f t="shared" si="18"/>
        <v>131809</v>
      </c>
    </row>
    <row r="27" spans="1:27" x14ac:dyDescent="0.25">
      <c r="A27" s="9" t="s">
        <v>431</v>
      </c>
      <c r="B27" s="584">
        <f>'Group Totals'!AC14</f>
        <v>32303</v>
      </c>
      <c r="C27" s="584">
        <f>'Group Totals'!AC26</f>
        <v>25564</v>
      </c>
      <c r="D27" s="584">
        <f>'Group Totals'!AC38</f>
        <v>47299</v>
      </c>
      <c r="E27" s="584">
        <f>'Group Totals'!AC50</f>
        <v>34417</v>
      </c>
      <c r="F27" s="584">
        <f>'Group Totals'!AC62</f>
        <v>31209</v>
      </c>
      <c r="G27" s="584">
        <f>'Group Totals'!AC74</f>
        <v>44947</v>
      </c>
      <c r="H27" s="584">
        <f>'Group Totals'!AC86</f>
        <v>46660</v>
      </c>
      <c r="I27" s="584">
        <f>'Group Totals'!AC98</f>
        <v>52455</v>
      </c>
      <c r="J27" s="1295">
        <f>'Group Totals'!AC110</f>
        <v>45106</v>
      </c>
      <c r="K27" s="1295">
        <f>'Group Totals'!AC122</f>
        <v>79466</v>
      </c>
      <c r="L27" s="1295">
        <f>'Group Totals'!AC134</f>
        <v>55611</v>
      </c>
      <c r="M27" s="1296">
        <f t="shared" si="24"/>
        <v>-23855</v>
      </c>
      <c r="N27" s="95"/>
      <c r="O27" s="9" t="s">
        <v>431</v>
      </c>
      <c r="P27" s="584">
        <f t="shared" ref="P27:Z27" si="26">SUM(B19:B27)</f>
        <v>298658</v>
      </c>
      <c r="Q27" s="584">
        <f t="shared" si="26"/>
        <v>266640</v>
      </c>
      <c r="R27" s="584">
        <f t="shared" si="26"/>
        <v>307387</v>
      </c>
      <c r="S27" s="584">
        <f t="shared" si="26"/>
        <v>278830</v>
      </c>
      <c r="T27" s="584">
        <f t="shared" si="26"/>
        <v>253896</v>
      </c>
      <c r="U27" s="584">
        <f t="shared" si="26"/>
        <v>365823</v>
      </c>
      <c r="V27" s="584">
        <f t="shared" si="26"/>
        <v>375046</v>
      </c>
      <c r="W27" s="584">
        <f t="shared" si="26"/>
        <v>384768</v>
      </c>
      <c r="X27" s="584">
        <f t="shared" si="26"/>
        <v>419822</v>
      </c>
      <c r="Y27" s="584">
        <f t="shared" si="26"/>
        <v>478282</v>
      </c>
      <c r="Z27" s="584">
        <f t="shared" si="26"/>
        <v>586236</v>
      </c>
      <c r="AA27" s="1296">
        <f t="shared" si="18"/>
        <v>107954</v>
      </c>
    </row>
    <row r="28" spans="1:27" x14ac:dyDescent="0.25">
      <c r="A28" s="9" t="s">
        <v>423</v>
      </c>
      <c r="B28" s="584">
        <f>'Group Totals'!AC15</f>
        <v>30241</v>
      </c>
      <c r="C28" s="584">
        <f>'Group Totals'!AC27</f>
        <v>30297</v>
      </c>
      <c r="D28" s="584">
        <f>'Group Totals'!AC39</f>
        <v>38249</v>
      </c>
      <c r="E28" s="584">
        <f>'Group Totals'!AC51</f>
        <v>35287</v>
      </c>
      <c r="F28" s="584">
        <f>'Group Totals'!AC63</f>
        <v>43022</v>
      </c>
      <c r="G28" s="584">
        <f>'Group Totals'!AC75</f>
        <v>58413</v>
      </c>
      <c r="H28" s="584">
        <f>'Group Totals'!AC87</f>
        <v>56609</v>
      </c>
      <c r="I28" s="584">
        <f>'Group Totals'!AC99</f>
        <v>55404</v>
      </c>
      <c r="J28" s="1295">
        <f>'Group Totals'!AC111</f>
        <v>51740</v>
      </c>
      <c r="K28" s="1295">
        <f>'Group Totals'!AC123</f>
        <v>75159</v>
      </c>
      <c r="L28" s="1295">
        <f>'Group Totals'!AC135</f>
        <v>62739</v>
      </c>
      <c r="M28" s="1296">
        <f t="shared" si="24"/>
        <v>-12420</v>
      </c>
      <c r="N28" s="95"/>
      <c r="O28" s="9" t="s">
        <v>423</v>
      </c>
      <c r="P28" s="584">
        <f t="shared" ref="P28:Z28" si="27">SUM(B19:B28)</f>
        <v>328899</v>
      </c>
      <c r="Q28" s="584">
        <f t="shared" si="27"/>
        <v>296937</v>
      </c>
      <c r="R28" s="584">
        <f t="shared" si="27"/>
        <v>345636</v>
      </c>
      <c r="S28" s="584">
        <f t="shared" si="27"/>
        <v>314117</v>
      </c>
      <c r="T28" s="584">
        <f t="shared" si="27"/>
        <v>296918</v>
      </c>
      <c r="U28" s="584">
        <f t="shared" si="27"/>
        <v>424236</v>
      </c>
      <c r="V28" s="584">
        <f t="shared" si="27"/>
        <v>431655</v>
      </c>
      <c r="W28" s="584">
        <f t="shared" si="27"/>
        <v>440172</v>
      </c>
      <c r="X28" s="584">
        <f t="shared" si="27"/>
        <v>471562</v>
      </c>
      <c r="Y28" s="584">
        <f t="shared" si="27"/>
        <v>553441</v>
      </c>
      <c r="Z28" s="584">
        <f t="shared" si="27"/>
        <v>648975</v>
      </c>
      <c r="AA28" s="1296">
        <f t="shared" si="18"/>
        <v>95534</v>
      </c>
    </row>
    <row r="29" spans="1:27" x14ac:dyDescent="0.25">
      <c r="A29" s="9" t="s">
        <v>426</v>
      </c>
      <c r="B29" s="584">
        <f>'Group Totals'!AC16</f>
        <v>32527</v>
      </c>
      <c r="C29" s="584">
        <f>'Group Totals'!AC28</f>
        <v>31605</v>
      </c>
      <c r="D29" s="584">
        <f>'Group Totals'!AC40</f>
        <v>36920</v>
      </c>
      <c r="E29" s="584">
        <f>'Group Totals'!AC52</f>
        <v>43002</v>
      </c>
      <c r="F29" s="584">
        <f>'Group Totals'!AC64</f>
        <v>33259</v>
      </c>
      <c r="G29" s="584">
        <f>'Group Totals'!AC76</f>
        <v>46531</v>
      </c>
      <c r="H29" s="584">
        <f>'Group Totals'!AC88</f>
        <v>44085</v>
      </c>
      <c r="I29" s="584">
        <f>'Group Totals'!AC100</f>
        <v>44484</v>
      </c>
      <c r="J29" s="1295">
        <f>'Group Totals'!AC112</f>
        <v>65536</v>
      </c>
      <c r="K29" s="1295">
        <f>'Group Totals'!AC124</f>
        <v>84812</v>
      </c>
      <c r="L29" s="1295">
        <f>'Group Totals'!AC136</f>
        <v>60004</v>
      </c>
      <c r="M29" s="1296">
        <f t="shared" si="24"/>
        <v>-24808</v>
      </c>
      <c r="N29" s="95"/>
      <c r="O29" s="9" t="s">
        <v>426</v>
      </c>
      <c r="P29" s="584">
        <f t="shared" ref="P29:Z29" si="28">SUM(B19:B29)</f>
        <v>361426</v>
      </c>
      <c r="Q29" s="584">
        <f t="shared" si="28"/>
        <v>328542</v>
      </c>
      <c r="R29" s="584">
        <f t="shared" si="28"/>
        <v>382556</v>
      </c>
      <c r="S29" s="584">
        <f t="shared" si="28"/>
        <v>357119</v>
      </c>
      <c r="T29" s="584">
        <f t="shared" si="28"/>
        <v>330177</v>
      </c>
      <c r="U29" s="584">
        <f t="shared" si="28"/>
        <v>470767</v>
      </c>
      <c r="V29" s="584">
        <f t="shared" si="28"/>
        <v>475740</v>
      </c>
      <c r="W29" s="584">
        <f t="shared" si="28"/>
        <v>484656</v>
      </c>
      <c r="X29" s="584">
        <f t="shared" si="28"/>
        <v>537098</v>
      </c>
      <c r="Y29" s="584">
        <f t="shared" si="28"/>
        <v>638253</v>
      </c>
      <c r="Z29" s="584">
        <f t="shared" si="28"/>
        <v>708979</v>
      </c>
      <c r="AA29" s="1296">
        <f t="shared" si="18"/>
        <v>70726</v>
      </c>
    </row>
    <row r="30" spans="1:27" x14ac:dyDescent="0.25">
      <c r="A30" s="663" t="s">
        <v>432</v>
      </c>
      <c r="B30" s="1297">
        <f>'Group Totals'!AC17</f>
        <v>22586</v>
      </c>
      <c r="C30" s="1297">
        <f>'Group Totals'!AC29</f>
        <v>24957</v>
      </c>
      <c r="D30" s="1297">
        <f>'Group Totals'!AC41</f>
        <v>36740</v>
      </c>
      <c r="E30" s="1297">
        <f>'Group Totals'!AC53</f>
        <v>28170</v>
      </c>
      <c r="F30" s="1297">
        <f>'Group Totals'!AC65</f>
        <v>29928</v>
      </c>
      <c r="G30" s="1297">
        <f>'Group Totals'!AC77</f>
        <v>28444</v>
      </c>
      <c r="H30" s="1297">
        <f>'Group Totals'!AC89</f>
        <v>29618</v>
      </c>
      <c r="I30" s="1297">
        <f>'Group Totals'!AC101</f>
        <v>42262</v>
      </c>
      <c r="J30" s="1298">
        <f>'Group Totals'!AC113</f>
        <v>32406</v>
      </c>
      <c r="K30" s="1298">
        <f>'Group Totals'!AC125</f>
        <v>64750</v>
      </c>
      <c r="L30" s="1298">
        <f>'Group Totals'!AC137</f>
        <v>41200</v>
      </c>
      <c r="M30" s="1299">
        <f t="shared" si="24"/>
        <v>-23550</v>
      </c>
      <c r="N30" s="95"/>
      <c r="O30" s="663" t="s">
        <v>432</v>
      </c>
      <c r="P30" s="1297">
        <f t="shared" ref="P30:Z30" si="29">SUM(B19:B30)</f>
        <v>384012</v>
      </c>
      <c r="Q30" s="1297">
        <f t="shared" si="29"/>
        <v>353499</v>
      </c>
      <c r="R30" s="1297">
        <f t="shared" si="29"/>
        <v>419296</v>
      </c>
      <c r="S30" s="1297">
        <f t="shared" si="29"/>
        <v>385289</v>
      </c>
      <c r="T30" s="1297">
        <f t="shared" si="29"/>
        <v>360105</v>
      </c>
      <c r="U30" s="1297">
        <f t="shared" si="29"/>
        <v>499211</v>
      </c>
      <c r="V30" s="1297">
        <f t="shared" si="29"/>
        <v>505358</v>
      </c>
      <c r="W30" s="1297">
        <f t="shared" si="29"/>
        <v>526918</v>
      </c>
      <c r="X30" s="1297">
        <f t="shared" si="29"/>
        <v>569504</v>
      </c>
      <c r="Y30" s="1297">
        <f t="shared" si="29"/>
        <v>703003</v>
      </c>
      <c r="Z30" s="1297">
        <f t="shared" si="29"/>
        <v>750179</v>
      </c>
      <c r="AA30" s="1299">
        <f t="shared" si="18"/>
        <v>47176</v>
      </c>
    </row>
    <row r="32" spans="1:27" x14ac:dyDescent="0.25">
      <c r="A32" s="1557" t="s">
        <v>750</v>
      </c>
      <c r="B32" s="1557"/>
      <c r="C32" s="1557"/>
      <c r="D32" s="1557"/>
      <c r="E32" s="1557"/>
      <c r="F32" s="1557"/>
      <c r="G32" s="1557"/>
      <c r="H32" s="1557"/>
      <c r="I32" s="1557"/>
      <c r="O32" s="1557" t="s">
        <v>751</v>
      </c>
      <c r="P32" s="1557"/>
      <c r="Q32" s="1557"/>
      <c r="R32" s="1557"/>
      <c r="S32" s="1557"/>
      <c r="T32" s="1557"/>
      <c r="U32" s="1557"/>
      <c r="V32" s="1557"/>
      <c r="W32" s="1557"/>
    </row>
    <row r="33" spans="1:27" x14ac:dyDescent="0.25">
      <c r="A33" s="649" t="s">
        <v>744</v>
      </c>
      <c r="B33" s="1293">
        <v>2012</v>
      </c>
      <c r="C33" s="1293">
        <v>2013</v>
      </c>
      <c r="D33" s="1293">
        <v>2014</v>
      </c>
      <c r="E33" s="1293">
        <v>2015</v>
      </c>
      <c r="F33" s="1293">
        <v>2016</v>
      </c>
      <c r="G33" s="1293">
        <v>2017</v>
      </c>
      <c r="H33" s="1293">
        <v>2018</v>
      </c>
      <c r="I33" s="1293">
        <v>2019</v>
      </c>
      <c r="J33" s="1293">
        <v>2020</v>
      </c>
      <c r="K33" s="1293">
        <v>2021</v>
      </c>
      <c r="L33" s="1293">
        <v>2022</v>
      </c>
      <c r="M33" s="1294" t="s">
        <v>749</v>
      </c>
      <c r="O33" s="649" t="s">
        <v>744</v>
      </c>
      <c r="P33" s="1293">
        <v>2012</v>
      </c>
      <c r="Q33" s="1293">
        <v>2013</v>
      </c>
      <c r="R33" s="1293">
        <v>2014</v>
      </c>
      <c r="S33" s="1293">
        <v>2015</v>
      </c>
      <c r="T33" s="1293">
        <v>2016</v>
      </c>
      <c r="U33" s="1293">
        <v>2017</v>
      </c>
      <c r="V33" s="1293">
        <v>2018</v>
      </c>
      <c r="W33" s="1293">
        <v>2019</v>
      </c>
      <c r="X33" s="1293">
        <v>2020</v>
      </c>
      <c r="Y33" s="1293">
        <v>2021</v>
      </c>
      <c r="Z33" s="1293">
        <v>2022</v>
      </c>
      <c r="AA33" s="1294" t="s">
        <v>749</v>
      </c>
    </row>
    <row r="34" spans="1:27" x14ac:dyDescent="0.25">
      <c r="A34" s="9" t="s">
        <v>424</v>
      </c>
      <c r="B34" s="584">
        <f>'Group Totals'!AD6</f>
        <v>15056</v>
      </c>
      <c r="C34" s="584">
        <f>'Group Totals'!AD18</f>
        <v>15316</v>
      </c>
      <c r="D34" s="584">
        <f>'Group Totals'!AD30</f>
        <v>15346</v>
      </c>
      <c r="E34" s="584">
        <f>'Group Totals'!AD42</f>
        <v>7769</v>
      </c>
      <c r="F34" s="584">
        <f>'Group Totals'!AD54</f>
        <v>12351</v>
      </c>
      <c r="G34" s="584">
        <f>'Group Totals'!AD66</f>
        <v>14369</v>
      </c>
      <c r="H34" s="584">
        <f>'Group Totals'!AD78</f>
        <v>15690</v>
      </c>
      <c r="I34" s="584">
        <f>'Group Totals'!AD90</f>
        <v>18112</v>
      </c>
      <c r="J34" s="1295">
        <f>'Group Totals'!AD102</f>
        <v>16445</v>
      </c>
      <c r="K34" s="1295">
        <f>'Group Totals'!AD114</f>
        <v>21182</v>
      </c>
      <c r="L34" s="1295">
        <f>'Group Totals'!AD126</f>
        <v>21366</v>
      </c>
      <c r="M34" s="1296">
        <f>L34-K34</f>
        <v>184</v>
      </c>
      <c r="O34" s="9" t="s">
        <v>424</v>
      </c>
      <c r="P34" s="584">
        <f t="shared" ref="P34:Z34" si="30">B34</f>
        <v>15056</v>
      </c>
      <c r="Q34" s="584">
        <f t="shared" si="30"/>
        <v>15316</v>
      </c>
      <c r="R34" s="584">
        <f t="shared" si="30"/>
        <v>15346</v>
      </c>
      <c r="S34" s="584">
        <f t="shared" si="30"/>
        <v>7769</v>
      </c>
      <c r="T34" s="584">
        <f t="shared" si="30"/>
        <v>12351</v>
      </c>
      <c r="U34" s="584">
        <f t="shared" si="30"/>
        <v>14369</v>
      </c>
      <c r="V34" s="584">
        <f t="shared" si="30"/>
        <v>15690</v>
      </c>
      <c r="W34" s="584">
        <f t="shared" si="30"/>
        <v>18112</v>
      </c>
      <c r="X34" s="584">
        <f t="shared" si="30"/>
        <v>16445</v>
      </c>
      <c r="Y34" s="584">
        <f t="shared" si="30"/>
        <v>21182</v>
      </c>
      <c r="Z34" s="584">
        <f t="shared" si="30"/>
        <v>21366</v>
      </c>
      <c r="AA34" s="1296">
        <f>Z34-Y34</f>
        <v>184</v>
      </c>
    </row>
    <row r="35" spans="1:27" x14ac:dyDescent="0.25">
      <c r="A35" s="9" t="s">
        <v>327</v>
      </c>
      <c r="B35" s="584">
        <f>'Group Totals'!AD7</f>
        <v>20463</v>
      </c>
      <c r="C35" s="584">
        <f>'Group Totals'!AD19</f>
        <v>20129</v>
      </c>
      <c r="D35" s="584">
        <f>'Group Totals'!AD31</f>
        <v>17261</v>
      </c>
      <c r="E35" s="584">
        <f>'Group Totals'!AD43</f>
        <v>14698</v>
      </c>
      <c r="F35" s="584">
        <f>'Group Totals'!AD55</f>
        <v>18704</v>
      </c>
      <c r="G35" s="584">
        <f>'Group Totals'!AD67</f>
        <v>17302</v>
      </c>
      <c r="H35" s="584">
        <f>'Group Totals'!AD79</f>
        <v>15589</v>
      </c>
      <c r="I35" s="584">
        <f>'Group Totals'!AD91</f>
        <v>16132</v>
      </c>
      <c r="J35" s="1295">
        <f>'Group Totals'!AD103</f>
        <v>13516</v>
      </c>
      <c r="K35" s="1295">
        <f>'Group Totals'!AD115</f>
        <v>18744</v>
      </c>
      <c r="L35" s="1295">
        <f>'Group Totals'!AD127</f>
        <v>28277</v>
      </c>
      <c r="M35" s="1296">
        <f t="shared" ref="M35:M45" si="31">L35-K35</f>
        <v>9533</v>
      </c>
      <c r="O35" s="9" t="s">
        <v>327</v>
      </c>
      <c r="P35" s="584">
        <f t="shared" ref="P35:Z35" si="32">SUM(B34:B35)</f>
        <v>35519</v>
      </c>
      <c r="Q35" s="584">
        <f t="shared" si="32"/>
        <v>35445</v>
      </c>
      <c r="R35" s="584">
        <f t="shared" si="32"/>
        <v>32607</v>
      </c>
      <c r="S35" s="584">
        <f t="shared" si="32"/>
        <v>22467</v>
      </c>
      <c r="T35" s="584">
        <f t="shared" si="32"/>
        <v>31055</v>
      </c>
      <c r="U35" s="584">
        <f t="shared" si="32"/>
        <v>31671</v>
      </c>
      <c r="V35" s="584">
        <f t="shared" si="32"/>
        <v>31279</v>
      </c>
      <c r="W35" s="584">
        <f t="shared" si="32"/>
        <v>34244</v>
      </c>
      <c r="X35" s="584">
        <f t="shared" si="32"/>
        <v>29961</v>
      </c>
      <c r="Y35" s="584">
        <f t="shared" si="32"/>
        <v>39926</v>
      </c>
      <c r="Z35" s="584">
        <f t="shared" si="32"/>
        <v>49643</v>
      </c>
      <c r="AA35" s="1296">
        <f t="shared" ref="AA35:AA45" si="33">Z35-Y35</f>
        <v>9717</v>
      </c>
    </row>
    <row r="36" spans="1:27" x14ac:dyDescent="0.25">
      <c r="A36" s="9" t="s">
        <v>425</v>
      </c>
      <c r="B36" s="584">
        <f>'Group Totals'!AD8</f>
        <v>25210</v>
      </c>
      <c r="C36" s="584">
        <f>'Group Totals'!AD20</f>
        <v>21009</v>
      </c>
      <c r="D36" s="584">
        <f>'Group Totals'!AD32</f>
        <v>21458</v>
      </c>
      <c r="E36" s="584">
        <f>'Group Totals'!AD44</f>
        <v>21611</v>
      </c>
      <c r="F36" s="584">
        <f>'Group Totals'!AD56</f>
        <v>14141</v>
      </c>
      <c r="G36" s="584">
        <f>'Group Totals'!AD68</f>
        <v>17086</v>
      </c>
      <c r="H36" s="584">
        <f>'Group Totals'!AD80</f>
        <v>20579</v>
      </c>
      <c r="I36" s="584">
        <f>'Group Totals'!AD92</f>
        <v>17603</v>
      </c>
      <c r="J36" s="1295">
        <f>'Group Totals'!AD104</f>
        <v>21103</v>
      </c>
      <c r="K36" s="1295">
        <f>'Group Totals'!AD116</f>
        <v>25138</v>
      </c>
      <c r="L36" s="1295">
        <f>'Group Totals'!AD128</f>
        <v>32072</v>
      </c>
      <c r="M36" s="1296">
        <f t="shared" si="31"/>
        <v>6934</v>
      </c>
      <c r="O36" s="9" t="s">
        <v>425</v>
      </c>
      <c r="P36" s="584">
        <f t="shared" ref="P36:Z36" si="34">SUM(B34:B36)</f>
        <v>60729</v>
      </c>
      <c r="Q36" s="584">
        <f t="shared" si="34"/>
        <v>56454</v>
      </c>
      <c r="R36" s="584">
        <f t="shared" si="34"/>
        <v>54065</v>
      </c>
      <c r="S36" s="584">
        <f t="shared" si="34"/>
        <v>44078</v>
      </c>
      <c r="T36" s="584">
        <f t="shared" si="34"/>
        <v>45196</v>
      </c>
      <c r="U36" s="584">
        <f t="shared" si="34"/>
        <v>48757</v>
      </c>
      <c r="V36" s="584">
        <f t="shared" si="34"/>
        <v>51858</v>
      </c>
      <c r="W36" s="584">
        <f t="shared" si="34"/>
        <v>51847</v>
      </c>
      <c r="X36" s="584">
        <f t="shared" si="34"/>
        <v>51064</v>
      </c>
      <c r="Y36" s="584">
        <f t="shared" si="34"/>
        <v>65064</v>
      </c>
      <c r="Z36" s="584">
        <f t="shared" si="34"/>
        <v>81715</v>
      </c>
      <c r="AA36" s="1296">
        <f t="shared" si="33"/>
        <v>16651</v>
      </c>
    </row>
    <row r="37" spans="1:27" x14ac:dyDescent="0.25">
      <c r="A37" s="9" t="s">
        <v>328</v>
      </c>
      <c r="B37" s="584">
        <f>'Group Totals'!AD9</f>
        <v>27372</v>
      </c>
      <c r="C37" s="584">
        <f>'Group Totals'!AD21</f>
        <v>21969</v>
      </c>
      <c r="D37" s="584">
        <f>'Group Totals'!AD33</f>
        <v>13717</v>
      </c>
      <c r="E37" s="584">
        <f>'Group Totals'!AD45</f>
        <v>18635</v>
      </c>
      <c r="F37" s="584">
        <f>'Group Totals'!AD57</f>
        <v>14863</v>
      </c>
      <c r="G37" s="584">
        <f>'Group Totals'!AD69</f>
        <v>12038</v>
      </c>
      <c r="H37" s="584">
        <f>'Group Totals'!AD81</f>
        <v>20420</v>
      </c>
      <c r="I37" s="584">
        <f>'Group Totals'!AD93</f>
        <v>15554</v>
      </c>
      <c r="J37" s="1295">
        <f>'Group Totals'!AD105</f>
        <v>3349</v>
      </c>
      <c r="K37" s="1295">
        <f>'Group Totals'!AD117</f>
        <v>18272</v>
      </c>
      <c r="L37" s="1295">
        <f>'Group Totals'!AD129</f>
        <v>20194</v>
      </c>
      <c r="M37" s="1296">
        <f t="shared" si="31"/>
        <v>1922</v>
      </c>
      <c r="O37" s="9" t="s">
        <v>328</v>
      </c>
      <c r="P37" s="584">
        <f t="shared" ref="P37:Z37" si="35">SUM(B34:B37)</f>
        <v>88101</v>
      </c>
      <c r="Q37" s="584">
        <f t="shared" si="35"/>
        <v>78423</v>
      </c>
      <c r="R37" s="584">
        <f t="shared" si="35"/>
        <v>67782</v>
      </c>
      <c r="S37" s="584">
        <f t="shared" si="35"/>
        <v>62713</v>
      </c>
      <c r="T37" s="584">
        <f t="shared" si="35"/>
        <v>60059</v>
      </c>
      <c r="U37" s="584">
        <f t="shared" si="35"/>
        <v>60795</v>
      </c>
      <c r="V37" s="584">
        <f t="shared" si="35"/>
        <v>72278</v>
      </c>
      <c r="W37" s="584">
        <f t="shared" si="35"/>
        <v>67401</v>
      </c>
      <c r="X37" s="584">
        <f t="shared" si="35"/>
        <v>54413</v>
      </c>
      <c r="Y37" s="584">
        <f t="shared" si="35"/>
        <v>83336</v>
      </c>
      <c r="Z37" s="584">
        <f t="shared" si="35"/>
        <v>101909</v>
      </c>
      <c r="AA37" s="1296">
        <f t="shared" si="33"/>
        <v>18573</v>
      </c>
    </row>
    <row r="38" spans="1:27" x14ac:dyDescent="0.25">
      <c r="A38" s="9" t="s">
        <v>428</v>
      </c>
      <c r="B38" s="584">
        <f>'Group Totals'!AD10</f>
        <v>26029</v>
      </c>
      <c r="C38" s="584">
        <f>'Group Totals'!AD22</f>
        <v>19506</v>
      </c>
      <c r="D38" s="584">
        <f>'Group Totals'!AD34</f>
        <v>17172</v>
      </c>
      <c r="E38" s="584">
        <f>'Group Totals'!AD46</f>
        <v>16993</v>
      </c>
      <c r="F38" s="584">
        <f>'Group Totals'!AD58</f>
        <v>17617</v>
      </c>
      <c r="G38" s="584">
        <f>'Group Totals'!AD70</f>
        <v>17672</v>
      </c>
      <c r="H38" s="584">
        <f>'Group Totals'!AD82</f>
        <v>15988</v>
      </c>
      <c r="I38" s="584">
        <f>'Group Totals'!AD94</f>
        <v>18571</v>
      </c>
      <c r="J38" s="1295">
        <f>'Group Totals'!AD106</f>
        <v>18279</v>
      </c>
      <c r="K38" s="1295">
        <f>'Group Totals'!AD118</f>
        <v>23730</v>
      </c>
      <c r="L38" s="1295">
        <f>'Group Totals'!AD130</f>
        <v>19509</v>
      </c>
      <c r="M38" s="1296">
        <f t="shared" si="31"/>
        <v>-4221</v>
      </c>
      <c r="O38" s="9" t="s">
        <v>428</v>
      </c>
      <c r="P38" s="584">
        <f t="shared" ref="P38:Z38" si="36">SUM(B34:B38)</f>
        <v>114130</v>
      </c>
      <c r="Q38" s="584">
        <f t="shared" si="36"/>
        <v>97929</v>
      </c>
      <c r="R38" s="584">
        <f t="shared" si="36"/>
        <v>84954</v>
      </c>
      <c r="S38" s="584">
        <f t="shared" si="36"/>
        <v>79706</v>
      </c>
      <c r="T38" s="584">
        <f t="shared" si="36"/>
        <v>77676</v>
      </c>
      <c r="U38" s="584">
        <f t="shared" si="36"/>
        <v>78467</v>
      </c>
      <c r="V38" s="584">
        <f t="shared" si="36"/>
        <v>88266</v>
      </c>
      <c r="W38" s="584">
        <f t="shared" si="36"/>
        <v>85972</v>
      </c>
      <c r="X38" s="584">
        <f t="shared" si="36"/>
        <v>72692</v>
      </c>
      <c r="Y38" s="584">
        <f t="shared" si="36"/>
        <v>107066</v>
      </c>
      <c r="Z38" s="584">
        <f t="shared" si="36"/>
        <v>121418</v>
      </c>
      <c r="AA38" s="1296">
        <f t="shared" si="33"/>
        <v>14352</v>
      </c>
    </row>
    <row r="39" spans="1:27" x14ac:dyDescent="0.25">
      <c r="A39" s="9" t="s">
        <v>746</v>
      </c>
      <c r="B39" s="584">
        <f>'Group Totals'!AD11</f>
        <v>20235</v>
      </c>
      <c r="C39" s="584">
        <f>'Group Totals'!AD23</f>
        <v>15636</v>
      </c>
      <c r="D39" s="584">
        <f>'Group Totals'!AD35</f>
        <v>17788</v>
      </c>
      <c r="E39" s="584">
        <f>'Group Totals'!AD47</f>
        <v>21420</v>
      </c>
      <c r="F39" s="584">
        <f>'Group Totals'!AD59</f>
        <v>13158</v>
      </c>
      <c r="G39" s="584">
        <f>'Group Totals'!AD71</f>
        <v>14194</v>
      </c>
      <c r="H39" s="584">
        <f>'Group Totals'!AD83</f>
        <v>11828</v>
      </c>
      <c r="I39" s="584">
        <f>'Group Totals'!AD95</f>
        <v>15706</v>
      </c>
      <c r="J39" s="1295">
        <f>'Group Totals'!AD107</f>
        <v>21124</v>
      </c>
      <c r="K39" s="1295">
        <f>'Group Totals'!AD119</f>
        <v>20702</v>
      </c>
      <c r="L39" s="1295">
        <f>'Group Totals'!AD131</f>
        <v>19549</v>
      </c>
      <c r="M39" s="1296">
        <f t="shared" si="31"/>
        <v>-1153</v>
      </c>
      <c r="O39" s="9" t="s">
        <v>746</v>
      </c>
      <c r="P39" s="584">
        <f t="shared" ref="P39:Z39" si="37">SUM(B34:B39)</f>
        <v>134365</v>
      </c>
      <c r="Q39" s="584">
        <f t="shared" si="37"/>
        <v>113565</v>
      </c>
      <c r="R39" s="584">
        <f t="shared" si="37"/>
        <v>102742</v>
      </c>
      <c r="S39" s="584">
        <f t="shared" si="37"/>
        <v>101126</v>
      </c>
      <c r="T39" s="584">
        <f t="shared" si="37"/>
        <v>90834</v>
      </c>
      <c r="U39" s="584">
        <f t="shared" si="37"/>
        <v>92661</v>
      </c>
      <c r="V39" s="584">
        <f t="shared" si="37"/>
        <v>100094</v>
      </c>
      <c r="W39" s="584">
        <f t="shared" si="37"/>
        <v>101678</v>
      </c>
      <c r="X39" s="584">
        <f t="shared" si="37"/>
        <v>93816</v>
      </c>
      <c r="Y39" s="584">
        <f t="shared" si="37"/>
        <v>127768</v>
      </c>
      <c r="Z39" s="584">
        <f t="shared" si="37"/>
        <v>140967</v>
      </c>
      <c r="AA39" s="1296">
        <f t="shared" si="33"/>
        <v>13199</v>
      </c>
    </row>
    <row r="40" spans="1:27" x14ac:dyDescent="0.25">
      <c r="A40" s="9" t="s">
        <v>329</v>
      </c>
      <c r="B40" s="584">
        <f>'Group Totals'!AD12</f>
        <v>26773</v>
      </c>
      <c r="C40" s="584">
        <f>'Group Totals'!AD24</f>
        <v>19447</v>
      </c>
      <c r="D40" s="584">
        <f>'Group Totals'!AD36</f>
        <v>21415</v>
      </c>
      <c r="E40" s="584">
        <f>'Group Totals'!AD48</f>
        <v>33106</v>
      </c>
      <c r="F40" s="584">
        <f>'Group Totals'!AD60</f>
        <v>12138</v>
      </c>
      <c r="G40" s="584">
        <f>'Group Totals'!AD72</f>
        <v>22100</v>
      </c>
      <c r="H40" s="584">
        <f>'Group Totals'!AD84</f>
        <v>15815</v>
      </c>
      <c r="I40" s="584">
        <f>'Group Totals'!AD96</f>
        <v>22787</v>
      </c>
      <c r="J40" s="1295">
        <f>'Group Totals'!AD108</f>
        <v>15318</v>
      </c>
      <c r="K40" s="1295">
        <f>'Group Totals'!AD120</f>
        <v>21659</v>
      </c>
      <c r="L40" s="1295">
        <f>'Group Totals'!AD132</f>
        <v>13790</v>
      </c>
      <c r="M40" s="1296">
        <f>L40-K40</f>
        <v>-7869</v>
      </c>
      <c r="O40" s="9" t="s">
        <v>329</v>
      </c>
      <c r="P40" s="584">
        <f t="shared" ref="P40:Z40" si="38">SUM(B34:B40)</f>
        <v>161138</v>
      </c>
      <c r="Q40" s="584">
        <f t="shared" si="38"/>
        <v>133012</v>
      </c>
      <c r="R40" s="584">
        <f t="shared" si="38"/>
        <v>124157</v>
      </c>
      <c r="S40" s="584">
        <f t="shared" si="38"/>
        <v>134232</v>
      </c>
      <c r="T40" s="584">
        <f t="shared" si="38"/>
        <v>102972</v>
      </c>
      <c r="U40" s="584">
        <f t="shared" si="38"/>
        <v>114761</v>
      </c>
      <c r="V40" s="584">
        <f t="shared" si="38"/>
        <v>115909</v>
      </c>
      <c r="W40" s="584">
        <f t="shared" si="38"/>
        <v>124465</v>
      </c>
      <c r="X40" s="584">
        <f t="shared" si="38"/>
        <v>109134</v>
      </c>
      <c r="Y40" s="584">
        <f t="shared" si="38"/>
        <v>149427</v>
      </c>
      <c r="Z40" s="584">
        <f t="shared" si="38"/>
        <v>154757</v>
      </c>
      <c r="AA40" s="1296">
        <f>Z40-Y40</f>
        <v>5330</v>
      </c>
    </row>
    <row r="41" spans="1:27" x14ac:dyDescent="0.25">
      <c r="A41" s="9" t="s">
        <v>427</v>
      </c>
      <c r="B41" s="584">
        <f>'Group Totals'!AD13</f>
        <v>18016</v>
      </c>
      <c r="C41" s="584">
        <f>'Group Totals'!AD25</f>
        <v>14995</v>
      </c>
      <c r="D41" s="584">
        <f>'Group Totals'!AD37</f>
        <v>24623</v>
      </c>
      <c r="E41" s="584">
        <f>'Group Totals'!AD49</f>
        <v>30823</v>
      </c>
      <c r="F41" s="584">
        <f>'Group Totals'!AD61</f>
        <v>17289</v>
      </c>
      <c r="G41" s="584">
        <f>'Group Totals'!AD73</f>
        <v>20013</v>
      </c>
      <c r="H41" s="584">
        <f>'Group Totals'!AD85</f>
        <v>13214</v>
      </c>
      <c r="I41" s="584">
        <f>'Group Totals'!AD97</f>
        <v>16384</v>
      </c>
      <c r="J41" s="1295">
        <f>'Group Totals'!AD109</f>
        <v>26131</v>
      </c>
      <c r="K41" s="1295">
        <f>'Group Totals'!AD121</f>
        <v>25562</v>
      </c>
      <c r="L41" s="1295">
        <f>'Group Totals'!AD133</f>
        <v>12866</v>
      </c>
      <c r="M41" s="1296">
        <f t="shared" si="31"/>
        <v>-12696</v>
      </c>
      <c r="O41" s="9" t="s">
        <v>427</v>
      </c>
      <c r="P41" s="584">
        <f t="shared" ref="P41:Z41" si="39">SUM(B34:B41)</f>
        <v>179154</v>
      </c>
      <c r="Q41" s="584">
        <f t="shared" si="39"/>
        <v>148007</v>
      </c>
      <c r="R41" s="584">
        <f t="shared" si="39"/>
        <v>148780</v>
      </c>
      <c r="S41" s="584">
        <f t="shared" si="39"/>
        <v>165055</v>
      </c>
      <c r="T41" s="584">
        <f t="shared" si="39"/>
        <v>120261</v>
      </c>
      <c r="U41" s="584">
        <f t="shared" si="39"/>
        <v>134774</v>
      </c>
      <c r="V41" s="584">
        <f t="shared" si="39"/>
        <v>129123</v>
      </c>
      <c r="W41" s="584">
        <f t="shared" si="39"/>
        <v>140849</v>
      </c>
      <c r="X41" s="584">
        <f t="shared" si="39"/>
        <v>135265</v>
      </c>
      <c r="Y41" s="584">
        <f t="shared" si="39"/>
        <v>174989</v>
      </c>
      <c r="Z41" s="584">
        <f t="shared" si="39"/>
        <v>167623</v>
      </c>
      <c r="AA41" s="1296">
        <f t="shared" si="33"/>
        <v>-7366</v>
      </c>
    </row>
    <row r="42" spans="1:27" x14ac:dyDescent="0.25">
      <c r="A42" s="9" t="s">
        <v>431</v>
      </c>
      <c r="B42" s="584">
        <f>'Group Totals'!AD14</f>
        <v>17719</v>
      </c>
      <c r="C42" s="584">
        <f>'Group Totals'!AD26</f>
        <v>16010</v>
      </c>
      <c r="D42" s="584">
        <f>'Group Totals'!AD38</f>
        <v>27334</v>
      </c>
      <c r="E42" s="584">
        <f>'Group Totals'!AD50</f>
        <v>21820</v>
      </c>
      <c r="F42" s="584">
        <f>'Group Totals'!AD62</f>
        <v>14871</v>
      </c>
      <c r="G42" s="584">
        <f>'Group Totals'!AD74</f>
        <v>14881</v>
      </c>
      <c r="H42" s="584">
        <f>'Group Totals'!AD86</f>
        <v>18050</v>
      </c>
      <c r="I42" s="584">
        <f>'Group Totals'!AD98</f>
        <v>20194</v>
      </c>
      <c r="J42" s="1295">
        <f>'Group Totals'!AD110</f>
        <v>27003</v>
      </c>
      <c r="K42" s="1295">
        <f>'Group Totals'!AD122</f>
        <v>22259</v>
      </c>
      <c r="L42" s="1295">
        <f>'Group Totals'!AD134</f>
        <v>13565</v>
      </c>
      <c r="M42" s="1296">
        <f t="shared" si="31"/>
        <v>-8694</v>
      </c>
      <c r="O42" s="9" t="s">
        <v>431</v>
      </c>
      <c r="P42" s="584">
        <f t="shared" ref="P42:Z42" si="40">SUM(B34:B42)</f>
        <v>196873</v>
      </c>
      <c r="Q42" s="584">
        <f t="shared" si="40"/>
        <v>164017</v>
      </c>
      <c r="R42" s="584">
        <f t="shared" si="40"/>
        <v>176114</v>
      </c>
      <c r="S42" s="584">
        <f t="shared" si="40"/>
        <v>186875</v>
      </c>
      <c r="T42" s="584">
        <f t="shared" si="40"/>
        <v>135132</v>
      </c>
      <c r="U42" s="584">
        <f t="shared" si="40"/>
        <v>149655</v>
      </c>
      <c r="V42" s="584">
        <f t="shared" si="40"/>
        <v>147173</v>
      </c>
      <c r="W42" s="584">
        <f t="shared" si="40"/>
        <v>161043</v>
      </c>
      <c r="X42" s="584">
        <f t="shared" si="40"/>
        <v>162268</v>
      </c>
      <c r="Y42" s="584">
        <f t="shared" si="40"/>
        <v>197248</v>
      </c>
      <c r="Z42" s="584">
        <f t="shared" si="40"/>
        <v>181188</v>
      </c>
      <c r="AA42" s="1296">
        <f t="shared" si="33"/>
        <v>-16060</v>
      </c>
    </row>
    <row r="43" spans="1:27" x14ac:dyDescent="0.25">
      <c r="A43" s="9" t="s">
        <v>423</v>
      </c>
      <c r="B43" s="584">
        <f>'Group Totals'!AD15</f>
        <v>30657</v>
      </c>
      <c r="C43" s="584">
        <f>'Group Totals'!AD27</f>
        <v>18075</v>
      </c>
      <c r="D43" s="584">
        <f>'Group Totals'!AD39</f>
        <v>22160</v>
      </c>
      <c r="E43" s="584">
        <f>'Group Totals'!AD51</f>
        <v>20516</v>
      </c>
      <c r="F43" s="584">
        <f>'Group Totals'!AD63</f>
        <v>18809</v>
      </c>
      <c r="G43" s="584">
        <f>'Group Totals'!AD75</f>
        <v>18597</v>
      </c>
      <c r="H43" s="584">
        <f>'Group Totals'!AD87</f>
        <v>20984</v>
      </c>
      <c r="I43" s="584">
        <f>'Group Totals'!AD99</f>
        <v>16317</v>
      </c>
      <c r="J43" s="1295">
        <f>'Group Totals'!AD111</f>
        <v>26659</v>
      </c>
      <c r="K43" s="1295">
        <f>'Group Totals'!AD123</f>
        <v>24389</v>
      </c>
      <c r="L43" s="1295">
        <f>'Group Totals'!AD135</f>
        <v>12484</v>
      </c>
      <c r="M43" s="1296">
        <f t="shared" si="31"/>
        <v>-11905</v>
      </c>
      <c r="O43" s="9" t="s">
        <v>423</v>
      </c>
      <c r="P43" s="584">
        <f t="shared" ref="P43:Z43" si="41">SUM(B34:B43)</f>
        <v>227530</v>
      </c>
      <c r="Q43" s="584">
        <f t="shared" si="41"/>
        <v>182092</v>
      </c>
      <c r="R43" s="584">
        <f t="shared" si="41"/>
        <v>198274</v>
      </c>
      <c r="S43" s="584">
        <f t="shared" si="41"/>
        <v>207391</v>
      </c>
      <c r="T43" s="584">
        <f t="shared" si="41"/>
        <v>153941</v>
      </c>
      <c r="U43" s="584">
        <f t="shared" si="41"/>
        <v>168252</v>
      </c>
      <c r="V43" s="584">
        <f t="shared" si="41"/>
        <v>168157</v>
      </c>
      <c r="W43" s="584">
        <f t="shared" si="41"/>
        <v>177360</v>
      </c>
      <c r="X43" s="584">
        <f t="shared" si="41"/>
        <v>188927</v>
      </c>
      <c r="Y43" s="584">
        <f t="shared" si="41"/>
        <v>221637</v>
      </c>
      <c r="Z43" s="584">
        <f t="shared" si="41"/>
        <v>193672</v>
      </c>
      <c r="AA43" s="1296">
        <f t="shared" si="33"/>
        <v>-27965</v>
      </c>
    </row>
    <row r="44" spans="1:27" x14ac:dyDescent="0.25">
      <c r="A44" s="9" t="s">
        <v>426</v>
      </c>
      <c r="B44" s="584">
        <f>'Group Totals'!AD16</f>
        <v>23828</v>
      </c>
      <c r="C44" s="584">
        <f>'Group Totals'!AD28</f>
        <v>16662</v>
      </c>
      <c r="D44" s="584">
        <f>'Group Totals'!AD40</f>
        <v>23749</v>
      </c>
      <c r="E44" s="584">
        <f>'Group Totals'!AD52</f>
        <v>23639</v>
      </c>
      <c r="F44" s="584">
        <f>'Group Totals'!AD64</f>
        <v>18851</v>
      </c>
      <c r="G44" s="584">
        <f>'Group Totals'!AD76</f>
        <v>18197</v>
      </c>
      <c r="H44" s="584">
        <f>'Group Totals'!AD88</f>
        <v>20087</v>
      </c>
      <c r="I44" s="584">
        <f>'Group Totals'!AD100</f>
        <v>14217</v>
      </c>
      <c r="J44" s="1295">
        <f>'Group Totals'!AD112</f>
        <v>31529</v>
      </c>
      <c r="K44" s="1295">
        <f>'Group Totals'!AD124</f>
        <v>28636</v>
      </c>
      <c r="L44" s="1295">
        <f>'Group Totals'!AD136</f>
        <v>8667</v>
      </c>
      <c r="M44" s="1296">
        <f t="shared" si="31"/>
        <v>-19969</v>
      </c>
      <c r="O44" s="9" t="s">
        <v>426</v>
      </c>
      <c r="P44" s="584">
        <f t="shared" ref="P44:Z44" si="42">SUM(B34:B44)</f>
        <v>251358</v>
      </c>
      <c r="Q44" s="584">
        <f t="shared" si="42"/>
        <v>198754</v>
      </c>
      <c r="R44" s="584">
        <f t="shared" si="42"/>
        <v>222023</v>
      </c>
      <c r="S44" s="584">
        <f t="shared" si="42"/>
        <v>231030</v>
      </c>
      <c r="T44" s="584">
        <f t="shared" si="42"/>
        <v>172792</v>
      </c>
      <c r="U44" s="584">
        <f t="shared" si="42"/>
        <v>186449</v>
      </c>
      <c r="V44" s="584">
        <f t="shared" si="42"/>
        <v>188244</v>
      </c>
      <c r="W44" s="584">
        <f t="shared" si="42"/>
        <v>191577</v>
      </c>
      <c r="X44" s="584">
        <f t="shared" si="42"/>
        <v>220456</v>
      </c>
      <c r="Y44" s="584">
        <f t="shared" si="42"/>
        <v>250273</v>
      </c>
      <c r="Z44" s="584">
        <f t="shared" si="42"/>
        <v>202339</v>
      </c>
      <c r="AA44" s="1296">
        <f t="shared" si="33"/>
        <v>-47934</v>
      </c>
    </row>
    <row r="45" spans="1:27" x14ac:dyDescent="0.25">
      <c r="A45" s="663" t="s">
        <v>432</v>
      </c>
      <c r="B45" s="1297">
        <f>'Group Totals'!AD17</f>
        <v>21264</v>
      </c>
      <c r="C45" s="1297">
        <f>'Group Totals'!AD29</f>
        <v>14224</v>
      </c>
      <c r="D45" s="1297">
        <f>'Group Totals'!AD41</f>
        <v>16775</v>
      </c>
      <c r="E45" s="1297">
        <f>'Group Totals'!AD53</f>
        <v>11155</v>
      </c>
      <c r="F45" s="1297">
        <f>'Group Totals'!AD65</f>
        <v>15066</v>
      </c>
      <c r="G45" s="1297">
        <f>'Group Totals'!AD77</f>
        <v>13504</v>
      </c>
      <c r="H45" s="1297">
        <f>'Group Totals'!AD89</f>
        <v>14973</v>
      </c>
      <c r="I45" s="1297">
        <f>'Group Totals'!AD101</f>
        <v>12514</v>
      </c>
      <c r="J45" s="1298">
        <f>'Group Totals'!AD113</f>
        <v>11482</v>
      </c>
      <c r="K45" s="1298">
        <f>'Group Totals'!AD125</f>
        <v>17991</v>
      </c>
      <c r="L45" s="1298">
        <f>'Group Totals'!AD137</f>
        <v>11704</v>
      </c>
      <c r="M45" s="1299">
        <f t="shared" si="31"/>
        <v>-6287</v>
      </c>
      <c r="O45" s="663" t="s">
        <v>432</v>
      </c>
      <c r="P45" s="1297">
        <f t="shared" ref="P45:Z45" si="43">SUM(B34:B45)</f>
        <v>272622</v>
      </c>
      <c r="Q45" s="1297">
        <f t="shared" si="43"/>
        <v>212978</v>
      </c>
      <c r="R45" s="1297">
        <f t="shared" si="43"/>
        <v>238798</v>
      </c>
      <c r="S45" s="1297">
        <f t="shared" si="43"/>
        <v>242185</v>
      </c>
      <c r="T45" s="1297">
        <f t="shared" si="43"/>
        <v>187858</v>
      </c>
      <c r="U45" s="1297">
        <f t="shared" si="43"/>
        <v>199953</v>
      </c>
      <c r="V45" s="1297">
        <f t="shared" si="43"/>
        <v>203217</v>
      </c>
      <c r="W45" s="1297">
        <f t="shared" si="43"/>
        <v>204091</v>
      </c>
      <c r="X45" s="1297">
        <f t="shared" si="43"/>
        <v>231938</v>
      </c>
      <c r="Y45" s="1297">
        <f t="shared" si="43"/>
        <v>268264</v>
      </c>
      <c r="Z45" s="1297">
        <f t="shared" si="43"/>
        <v>214043</v>
      </c>
      <c r="AA45" s="1299">
        <f t="shared" si="33"/>
        <v>-54221</v>
      </c>
    </row>
    <row r="47" spans="1:27" x14ac:dyDescent="0.25">
      <c r="A47" s="1557" t="s">
        <v>752</v>
      </c>
      <c r="B47" s="1557"/>
      <c r="C47" s="1557"/>
      <c r="D47" s="1557"/>
      <c r="E47" s="1557"/>
      <c r="F47" s="1557"/>
      <c r="G47" s="1557"/>
      <c r="H47" s="1557"/>
      <c r="I47" s="1557"/>
      <c r="O47" s="1557" t="s">
        <v>753</v>
      </c>
      <c r="P47" s="1557"/>
      <c r="Q47" s="1557"/>
      <c r="R47" s="1557"/>
      <c r="S47" s="1557"/>
      <c r="T47" s="1557"/>
      <c r="U47" s="1557"/>
      <c r="V47" s="1557"/>
      <c r="W47" s="1557"/>
    </row>
    <row r="48" spans="1:27" x14ac:dyDescent="0.25">
      <c r="A48" s="649" t="s">
        <v>744</v>
      </c>
      <c r="B48" s="1293">
        <v>2012</v>
      </c>
      <c r="C48" s="1293">
        <v>2013</v>
      </c>
      <c r="D48" s="1293">
        <v>2014</v>
      </c>
      <c r="E48" s="1293">
        <v>2015</v>
      </c>
      <c r="F48" s="1293">
        <v>2016</v>
      </c>
      <c r="G48" s="1293">
        <v>2017</v>
      </c>
      <c r="H48" s="1293">
        <v>2018</v>
      </c>
      <c r="I48" s="1293">
        <v>2019</v>
      </c>
      <c r="J48" s="1293">
        <v>2020</v>
      </c>
      <c r="K48" s="1293">
        <v>2021</v>
      </c>
      <c r="L48" s="1293">
        <v>2022</v>
      </c>
      <c r="M48" s="1294" t="s">
        <v>749</v>
      </c>
      <c r="O48" s="649" t="s">
        <v>744</v>
      </c>
      <c r="P48" s="1293">
        <v>2012</v>
      </c>
      <c r="Q48" s="1293">
        <v>2013</v>
      </c>
      <c r="R48" s="1293">
        <v>2014</v>
      </c>
      <c r="S48" s="1293">
        <v>2015</v>
      </c>
      <c r="T48" s="1293">
        <v>2016</v>
      </c>
      <c r="U48" s="1293">
        <v>2017</v>
      </c>
      <c r="V48" s="1293">
        <v>2018</v>
      </c>
      <c r="W48" s="1293">
        <v>2019</v>
      </c>
      <c r="X48" s="1293">
        <v>2020</v>
      </c>
      <c r="Y48" s="1293">
        <v>2021</v>
      </c>
      <c r="Z48" s="1293">
        <v>2022</v>
      </c>
      <c r="AA48" s="1294" t="s">
        <v>749</v>
      </c>
    </row>
    <row r="49" spans="1:27" x14ac:dyDescent="0.25">
      <c r="A49" s="9" t="s">
        <v>424</v>
      </c>
      <c r="B49" s="584">
        <f>'Group Totals'!W6</f>
        <v>17062</v>
      </c>
      <c r="C49" s="584">
        <f>'Group Totals'!W18</f>
        <v>16890</v>
      </c>
      <c r="D49" s="584">
        <f>'Group Totals'!W30</f>
        <v>15736</v>
      </c>
      <c r="E49" s="584">
        <f>'Group Totals'!W42</f>
        <v>13045</v>
      </c>
      <c r="F49" s="584">
        <f>'Group Totals'!W54</f>
        <v>16767</v>
      </c>
      <c r="G49" s="584">
        <f>'Group Totals'!W66</f>
        <v>11029</v>
      </c>
      <c r="H49" s="584">
        <f>'Group Totals'!W78</f>
        <v>18266</v>
      </c>
      <c r="I49" s="584">
        <f>'Group Totals'!W90</f>
        <v>18623</v>
      </c>
      <c r="J49" s="1295">
        <f>'Group Totals'!W102</f>
        <v>20816</v>
      </c>
      <c r="K49" s="1295">
        <f>'Group Totals'!W114</f>
        <v>21091</v>
      </c>
      <c r="L49" s="1295">
        <f>'Group Totals'!W126</f>
        <v>23494</v>
      </c>
      <c r="M49" s="1296">
        <f>L49-K49</f>
        <v>2403</v>
      </c>
      <c r="O49" s="9" t="s">
        <v>424</v>
      </c>
      <c r="P49" s="584">
        <f t="shared" ref="P49:Z49" si="44">B49</f>
        <v>17062</v>
      </c>
      <c r="Q49" s="584">
        <f t="shared" si="44"/>
        <v>16890</v>
      </c>
      <c r="R49" s="584">
        <f t="shared" si="44"/>
        <v>15736</v>
      </c>
      <c r="S49" s="584">
        <f t="shared" si="44"/>
        <v>13045</v>
      </c>
      <c r="T49" s="584">
        <f t="shared" si="44"/>
        <v>16767</v>
      </c>
      <c r="U49" s="584">
        <f t="shared" si="44"/>
        <v>11029</v>
      </c>
      <c r="V49" s="584">
        <f t="shared" si="44"/>
        <v>18266</v>
      </c>
      <c r="W49" s="584">
        <f t="shared" si="44"/>
        <v>18623</v>
      </c>
      <c r="X49" s="584">
        <f t="shared" si="44"/>
        <v>20816</v>
      </c>
      <c r="Y49" s="584">
        <f t="shared" si="44"/>
        <v>21091</v>
      </c>
      <c r="Z49" s="584">
        <f t="shared" si="44"/>
        <v>23494</v>
      </c>
      <c r="AA49" s="1296">
        <f>Z49-Y49</f>
        <v>2403</v>
      </c>
    </row>
    <row r="50" spans="1:27" x14ac:dyDescent="0.25">
      <c r="A50" s="9" t="s">
        <v>327</v>
      </c>
      <c r="B50" s="584">
        <f>'Group Totals'!W7</f>
        <v>28578</v>
      </c>
      <c r="C50" s="584">
        <f>'Group Totals'!W19</f>
        <v>19984</v>
      </c>
      <c r="D50" s="584">
        <f>'Group Totals'!W31</f>
        <v>18426</v>
      </c>
      <c r="E50" s="584">
        <f>'Group Totals'!W43</f>
        <v>22347</v>
      </c>
      <c r="F50" s="584">
        <f>'Group Totals'!W55</f>
        <v>16064</v>
      </c>
      <c r="G50" s="584">
        <f>'Group Totals'!W67</f>
        <v>15550</v>
      </c>
      <c r="H50" s="584">
        <f>'Group Totals'!W79</f>
        <v>22478</v>
      </c>
      <c r="I50" s="584">
        <f>'Group Totals'!W91</f>
        <v>22506</v>
      </c>
      <c r="J50" s="1295">
        <f>'Group Totals'!W103</f>
        <v>18454</v>
      </c>
      <c r="K50" s="1295">
        <f>'Group Totals'!W115</f>
        <v>21053</v>
      </c>
      <c r="L50" s="1295">
        <f>'Group Totals'!W127</f>
        <v>30389</v>
      </c>
      <c r="M50" s="1296">
        <f t="shared" ref="M50:M60" si="45">L50-K50</f>
        <v>9336</v>
      </c>
      <c r="O50" s="9" t="s">
        <v>327</v>
      </c>
      <c r="P50" s="584">
        <f t="shared" ref="P50:Z50" si="46">SUM(B49:B50)</f>
        <v>45640</v>
      </c>
      <c r="Q50" s="584">
        <f t="shared" si="46"/>
        <v>36874</v>
      </c>
      <c r="R50" s="584">
        <f t="shared" si="46"/>
        <v>34162</v>
      </c>
      <c r="S50" s="584">
        <f t="shared" si="46"/>
        <v>35392</v>
      </c>
      <c r="T50" s="584">
        <f t="shared" si="46"/>
        <v>32831</v>
      </c>
      <c r="U50" s="584">
        <f t="shared" si="46"/>
        <v>26579</v>
      </c>
      <c r="V50" s="584">
        <f t="shared" si="46"/>
        <v>40744</v>
      </c>
      <c r="W50" s="584">
        <f t="shared" si="46"/>
        <v>41129</v>
      </c>
      <c r="X50" s="584">
        <f t="shared" si="46"/>
        <v>39270</v>
      </c>
      <c r="Y50" s="584">
        <f t="shared" si="46"/>
        <v>42144</v>
      </c>
      <c r="Z50" s="584">
        <f t="shared" si="46"/>
        <v>53883</v>
      </c>
      <c r="AA50" s="1296">
        <f t="shared" ref="AA50:AA60" si="47">Z50-Y50</f>
        <v>11739</v>
      </c>
    </row>
    <row r="51" spans="1:27" x14ac:dyDescent="0.25">
      <c r="A51" s="9" t="s">
        <v>425</v>
      </c>
      <c r="B51" s="584">
        <f>'Group Totals'!W8</f>
        <v>34055</v>
      </c>
      <c r="C51" s="584">
        <f>'Group Totals'!W20</f>
        <v>24061</v>
      </c>
      <c r="D51" s="584">
        <f>'Group Totals'!W32</f>
        <v>25678</v>
      </c>
      <c r="E51" s="584">
        <f>'Group Totals'!W44</f>
        <v>26394</v>
      </c>
      <c r="F51" s="584">
        <f>'Group Totals'!W56</f>
        <v>17083</v>
      </c>
      <c r="G51" s="584">
        <f>'Group Totals'!W68</f>
        <v>19788</v>
      </c>
      <c r="H51" s="584">
        <f>'Group Totals'!W80</f>
        <v>28009</v>
      </c>
      <c r="I51" s="584">
        <f>'Group Totals'!W92</f>
        <v>23577</v>
      </c>
      <c r="J51" s="1295">
        <f>'Group Totals'!W104</f>
        <v>14246</v>
      </c>
      <c r="K51" s="1295">
        <f>'Group Totals'!W116</f>
        <v>30719</v>
      </c>
      <c r="L51" s="1295">
        <f>'Group Totals'!W128</f>
        <v>36422</v>
      </c>
      <c r="M51" s="1296">
        <f t="shared" si="45"/>
        <v>5703</v>
      </c>
      <c r="O51" s="9" t="s">
        <v>425</v>
      </c>
      <c r="P51" s="584">
        <f t="shared" ref="P51:Z51" si="48">SUM(B49:B51)</f>
        <v>79695</v>
      </c>
      <c r="Q51" s="584">
        <f t="shared" si="48"/>
        <v>60935</v>
      </c>
      <c r="R51" s="584">
        <f t="shared" si="48"/>
        <v>59840</v>
      </c>
      <c r="S51" s="584">
        <f t="shared" si="48"/>
        <v>61786</v>
      </c>
      <c r="T51" s="584">
        <f t="shared" si="48"/>
        <v>49914</v>
      </c>
      <c r="U51" s="584">
        <f t="shared" si="48"/>
        <v>46367</v>
      </c>
      <c r="V51" s="584">
        <f t="shared" si="48"/>
        <v>68753</v>
      </c>
      <c r="W51" s="584">
        <f t="shared" si="48"/>
        <v>64706</v>
      </c>
      <c r="X51" s="584">
        <f t="shared" si="48"/>
        <v>53516</v>
      </c>
      <c r="Y51" s="584">
        <f t="shared" si="48"/>
        <v>72863</v>
      </c>
      <c r="Z51" s="584">
        <f t="shared" si="48"/>
        <v>90305</v>
      </c>
      <c r="AA51" s="1296">
        <f t="shared" si="47"/>
        <v>17442</v>
      </c>
    </row>
    <row r="52" spans="1:27" x14ac:dyDescent="0.25">
      <c r="A52" s="9" t="s">
        <v>328</v>
      </c>
      <c r="B52" s="584">
        <f>'Group Totals'!W9</f>
        <v>29537</v>
      </c>
      <c r="C52" s="584">
        <f>'Group Totals'!W21</f>
        <v>25250</v>
      </c>
      <c r="D52" s="584">
        <f>'Group Totals'!W33</f>
        <v>23104</v>
      </c>
      <c r="E52" s="584">
        <f>'Group Totals'!W45</f>
        <v>19836</v>
      </c>
      <c r="F52" s="584">
        <f>'Group Totals'!W57</f>
        <v>15497</v>
      </c>
      <c r="G52" s="584">
        <f>'Group Totals'!W69</f>
        <v>14150</v>
      </c>
      <c r="H52" s="584">
        <f>'Group Totals'!W81</f>
        <v>20901</v>
      </c>
      <c r="I52" s="584">
        <f>'Group Totals'!W93</f>
        <v>17632</v>
      </c>
      <c r="J52" s="1295">
        <f>'Group Totals'!W105</f>
        <v>2666</v>
      </c>
      <c r="K52" s="1295">
        <f>'Group Totals'!W117</f>
        <v>25043</v>
      </c>
      <c r="L52" s="1295">
        <f>'Group Totals'!W129</f>
        <v>31089</v>
      </c>
      <c r="M52" s="1296">
        <f t="shared" si="45"/>
        <v>6046</v>
      </c>
      <c r="O52" s="9" t="s">
        <v>328</v>
      </c>
      <c r="P52" s="584">
        <f t="shared" ref="P52:Z52" si="49">SUM(B49:B52)</f>
        <v>109232</v>
      </c>
      <c r="Q52" s="584">
        <f t="shared" si="49"/>
        <v>86185</v>
      </c>
      <c r="R52" s="584">
        <f t="shared" si="49"/>
        <v>82944</v>
      </c>
      <c r="S52" s="584">
        <f t="shared" si="49"/>
        <v>81622</v>
      </c>
      <c r="T52" s="584">
        <f t="shared" si="49"/>
        <v>65411</v>
      </c>
      <c r="U52" s="584">
        <f t="shared" si="49"/>
        <v>60517</v>
      </c>
      <c r="V52" s="584">
        <f t="shared" si="49"/>
        <v>89654</v>
      </c>
      <c r="W52" s="584">
        <f t="shared" si="49"/>
        <v>82338</v>
      </c>
      <c r="X52" s="584">
        <f t="shared" si="49"/>
        <v>56182</v>
      </c>
      <c r="Y52" s="584">
        <f t="shared" si="49"/>
        <v>97906</v>
      </c>
      <c r="Z52" s="584">
        <f t="shared" si="49"/>
        <v>121394</v>
      </c>
      <c r="AA52" s="1296">
        <f t="shared" si="47"/>
        <v>23488</v>
      </c>
    </row>
    <row r="53" spans="1:27" x14ac:dyDescent="0.25">
      <c r="A53" s="9" t="s">
        <v>428</v>
      </c>
      <c r="B53" s="584">
        <f>'Group Totals'!W10</f>
        <v>28062</v>
      </c>
      <c r="C53" s="584">
        <f>'Group Totals'!W22</f>
        <v>29826</v>
      </c>
      <c r="D53" s="584">
        <f>'Group Totals'!W34</f>
        <v>23189</v>
      </c>
      <c r="E53" s="584">
        <f>'Group Totals'!W46</f>
        <v>20258</v>
      </c>
      <c r="F53" s="584">
        <f>'Group Totals'!W58</f>
        <v>15453</v>
      </c>
      <c r="G53" s="584">
        <f>'Group Totals'!W70</f>
        <v>22647</v>
      </c>
      <c r="H53" s="584">
        <f>'Group Totals'!W82</f>
        <v>23076</v>
      </c>
      <c r="I53" s="584">
        <f>'Group Totals'!W94</f>
        <v>25155</v>
      </c>
      <c r="J53" s="1295">
        <f>'Group Totals'!W106</f>
        <v>20053</v>
      </c>
      <c r="K53" s="1295">
        <f>'Group Totals'!W118</f>
        <v>32022</v>
      </c>
      <c r="L53" s="1295">
        <f>'Group Totals'!W130</f>
        <v>31238</v>
      </c>
      <c r="M53" s="1296">
        <f t="shared" si="45"/>
        <v>-784</v>
      </c>
      <c r="O53" s="9" t="s">
        <v>428</v>
      </c>
      <c r="P53" s="584">
        <f t="shared" ref="P53:Z53" si="50">SUM(B49:B53)</f>
        <v>137294</v>
      </c>
      <c r="Q53" s="584">
        <f t="shared" si="50"/>
        <v>116011</v>
      </c>
      <c r="R53" s="584">
        <f t="shared" si="50"/>
        <v>106133</v>
      </c>
      <c r="S53" s="584">
        <f t="shared" si="50"/>
        <v>101880</v>
      </c>
      <c r="T53" s="584">
        <f t="shared" si="50"/>
        <v>80864</v>
      </c>
      <c r="U53" s="584">
        <f t="shared" si="50"/>
        <v>83164</v>
      </c>
      <c r="V53" s="584">
        <f t="shared" si="50"/>
        <v>112730</v>
      </c>
      <c r="W53" s="584">
        <f t="shared" si="50"/>
        <v>107493</v>
      </c>
      <c r="X53" s="584">
        <f t="shared" si="50"/>
        <v>76235</v>
      </c>
      <c r="Y53" s="584">
        <f t="shared" si="50"/>
        <v>129928</v>
      </c>
      <c r="Z53" s="584">
        <f t="shared" si="50"/>
        <v>152632</v>
      </c>
      <c r="AA53" s="1296">
        <f t="shared" si="47"/>
        <v>22704</v>
      </c>
    </row>
    <row r="54" spans="1:27" x14ac:dyDescent="0.25">
      <c r="A54" s="9" t="s">
        <v>746</v>
      </c>
      <c r="B54" s="584">
        <f>'Group Totals'!W11</f>
        <v>27283</v>
      </c>
      <c r="C54" s="584">
        <f>'Group Totals'!W23</f>
        <v>15635</v>
      </c>
      <c r="D54" s="584">
        <f>'Group Totals'!W35</f>
        <v>20914</v>
      </c>
      <c r="E54" s="584">
        <f>'Group Totals'!W47</f>
        <v>19252</v>
      </c>
      <c r="F54" s="584">
        <f>'Group Totals'!W59</f>
        <v>15242</v>
      </c>
      <c r="G54" s="584">
        <f>'Group Totals'!W71</f>
        <v>22312</v>
      </c>
      <c r="H54" s="584">
        <f>'Group Totals'!W83</f>
        <v>16145</v>
      </c>
      <c r="I54" s="584">
        <f>'Group Totals'!W95</f>
        <v>19784</v>
      </c>
      <c r="J54" s="1295">
        <f>'Group Totals'!W107</f>
        <v>21176</v>
      </c>
      <c r="K54" s="1295">
        <f>'Group Totals'!W119</f>
        <v>25960</v>
      </c>
      <c r="L54" s="1295">
        <f>'Group Totals'!W131</f>
        <v>23416</v>
      </c>
      <c r="M54" s="1296">
        <f t="shared" si="45"/>
        <v>-2544</v>
      </c>
      <c r="O54" s="9" t="s">
        <v>746</v>
      </c>
      <c r="P54" s="584">
        <f t="shared" ref="P54:Z54" si="51">SUM(B49:B54)</f>
        <v>164577</v>
      </c>
      <c r="Q54" s="584">
        <f t="shared" si="51"/>
        <v>131646</v>
      </c>
      <c r="R54" s="584">
        <f t="shared" si="51"/>
        <v>127047</v>
      </c>
      <c r="S54" s="584">
        <f t="shared" si="51"/>
        <v>121132</v>
      </c>
      <c r="T54" s="584">
        <f t="shared" si="51"/>
        <v>96106</v>
      </c>
      <c r="U54" s="584">
        <f t="shared" si="51"/>
        <v>105476</v>
      </c>
      <c r="V54" s="584">
        <f t="shared" si="51"/>
        <v>128875</v>
      </c>
      <c r="W54" s="584">
        <f t="shared" si="51"/>
        <v>127277</v>
      </c>
      <c r="X54" s="584">
        <f t="shared" si="51"/>
        <v>97411</v>
      </c>
      <c r="Y54" s="584">
        <f t="shared" si="51"/>
        <v>155888</v>
      </c>
      <c r="Z54" s="584">
        <f t="shared" si="51"/>
        <v>176048</v>
      </c>
      <c r="AA54" s="1296">
        <f t="shared" si="47"/>
        <v>20160</v>
      </c>
    </row>
    <row r="55" spans="1:27" x14ac:dyDescent="0.25">
      <c r="A55" s="9" t="s">
        <v>329</v>
      </c>
      <c r="B55" s="584">
        <f>'Group Totals'!W12</f>
        <v>22281</v>
      </c>
      <c r="C55" s="584">
        <f>'Group Totals'!W24</f>
        <v>23384</v>
      </c>
      <c r="D55" s="584">
        <f>'Group Totals'!W36</f>
        <v>25069</v>
      </c>
      <c r="E55" s="584">
        <f>'Group Totals'!W48</f>
        <v>19605</v>
      </c>
      <c r="F55" s="584">
        <f>'Group Totals'!W60</f>
        <v>16884</v>
      </c>
      <c r="G55" s="584">
        <f>'Group Totals'!W72</f>
        <v>27428</v>
      </c>
      <c r="H55" s="584">
        <f>'Group Totals'!W84</f>
        <v>20668</v>
      </c>
      <c r="I55" s="584">
        <f>'Group Totals'!W96</f>
        <v>20600</v>
      </c>
      <c r="J55" s="1295">
        <f>'Group Totals'!W108</f>
        <v>23811</v>
      </c>
      <c r="K55" s="1295">
        <f>'Group Totals'!W120</f>
        <v>25274</v>
      </c>
      <c r="L55" s="1295">
        <f>'Group Totals'!W132</f>
        <v>19303</v>
      </c>
      <c r="M55" s="1296">
        <f>L55-K55</f>
        <v>-5971</v>
      </c>
      <c r="O55" s="9" t="s">
        <v>329</v>
      </c>
      <c r="P55" s="584">
        <f t="shared" ref="P55:Z55" si="52">SUM(B49:B55)</f>
        <v>186858</v>
      </c>
      <c r="Q55" s="584">
        <f t="shared" si="52"/>
        <v>155030</v>
      </c>
      <c r="R55" s="584">
        <f t="shared" si="52"/>
        <v>152116</v>
      </c>
      <c r="S55" s="584">
        <f t="shared" si="52"/>
        <v>140737</v>
      </c>
      <c r="T55" s="584">
        <f t="shared" si="52"/>
        <v>112990</v>
      </c>
      <c r="U55" s="584">
        <f t="shared" si="52"/>
        <v>132904</v>
      </c>
      <c r="V55" s="584">
        <f t="shared" si="52"/>
        <v>149543</v>
      </c>
      <c r="W55" s="584">
        <f t="shared" si="52"/>
        <v>147877</v>
      </c>
      <c r="X55" s="584">
        <f t="shared" si="52"/>
        <v>121222</v>
      </c>
      <c r="Y55" s="584">
        <f t="shared" si="52"/>
        <v>181162</v>
      </c>
      <c r="Z55" s="584">
        <f t="shared" si="52"/>
        <v>195351</v>
      </c>
      <c r="AA55" s="1296">
        <f>Z55-Y55</f>
        <v>14189</v>
      </c>
    </row>
    <row r="56" spans="1:27" x14ac:dyDescent="0.25">
      <c r="A56" s="9" t="s">
        <v>427</v>
      </c>
      <c r="B56" s="584">
        <f>'Group Totals'!W13</f>
        <v>18475</v>
      </c>
      <c r="C56" s="584">
        <f>'Group Totals'!W25</f>
        <v>14821</v>
      </c>
      <c r="D56" s="584">
        <f>'Group Totals'!W37</f>
        <v>20763</v>
      </c>
      <c r="E56" s="584">
        <f>'Group Totals'!W49</f>
        <v>17136</v>
      </c>
      <c r="F56" s="584">
        <f>'Group Totals'!W61</f>
        <v>13226</v>
      </c>
      <c r="G56" s="584">
        <f>'Group Totals'!W73</f>
        <v>27762</v>
      </c>
      <c r="H56" s="584">
        <f>'Group Totals'!W85</f>
        <v>19075</v>
      </c>
      <c r="I56" s="584">
        <f>'Group Totals'!W97</f>
        <v>22383</v>
      </c>
      <c r="J56" s="1295">
        <f>'Group Totals'!W109</f>
        <v>24509</v>
      </c>
      <c r="K56" s="1295">
        <f>'Group Totals'!W121</f>
        <v>22068</v>
      </c>
      <c r="L56" s="1295">
        <f>'Group Totals'!W133</f>
        <v>21795</v>
      </c>
      <c r="M56" s="1296">
        <f t="shared" si="45"/>
        <v>-273</v>
      </c>
      <c r="O56" s="9" t="s">
        <v>427</v>
      </c>
      <c r="P56" s="584">
        <f t="shared" ref="P56:Z56" si="53">SUM(B49:B56)</f>
        <v>205333</v>
      </c>
      <c r="Q56" s="584">
        <f t="shared" si="53"/>
        <v>169851</v>
      </c>
      <c r="R56" s="584">
        <f t="shared" si="53"/>
        <v>172879</v>
      </c>
      <c r="S56" s="584">
        <f t="shared" si="53"/>
        <v>157873</v>
      </c>
      <c r="T56" s="584">
        <f t="shared" si="53"/>
        <v>126216</v>
      </c>
      <c r="U56" s="584">
        <f t="shared" si="53"/>
        <v>160666</v>
      </c>
      <c r="V56" s="584">
        <f t="shared" si="53"/>
        <v>168618</v>
      </c>
      <c r="W56" s="584">
        <f t="shared" si="53"/>
        <v>170260</v>
      </c>
      <c r="X56" s="584">
        <f t="shared" si="53"/>
        <v>145731</v>
      </c>
      <c r="Y56" s="584">
        <f t="shared" si="53"/>
        <v>203230</v>
      </c>
      <c r="Z56" s="584">
        <f t="shared" si="53"/>
        <v>217146</v>
      </c>
      <c r="AA56" s="1296">
        <f t="shared" si="47"/>
        <v>13916</v>
      </c>
    </row>
    <row r="57" spans="1:27" x14ac:dyDescent="0.25">
      <c r="A57" s="9" t="s">
        <v>431</v>
      </c>
      <c r="B57" s="584">
        <f>'Group Totals'!W14</f>
        <v>17024</v>
      </c>
      <c r="C57" s="584">
        <f>'Group Totals'!W26</f>
        <v>14524</v>
      </c>
      <c r="D57" s="584">
        <f>'Group Totals'!W38</f>
        <v>22414</v>
      </c>
      <c r="E57" s="584">
        <f>'Group Totals'!W50</f>
        <v>17885</v>
      </c>
      <c r="F57" s="584">
        <f>'Group Totals'!W62</f>
        <v>12852</v>
      </c>
      <c r="G57" s="584">
        <f>'Group Totals'!W74</f>
        <v>28890</v>
      </c>
      <c r="H57" s="584">
        <f>'Group Totals'!W86</f>
        <v>19388</v>
      </c>
      <c r="I57" s="584">
        <f>'Group Totals'!W98</f>
        <v>18712</v>
      </c>
      <c r="J57" s="1295">
        <f>'Group Totals'!W110</f>
        <v>28438</v>
      </c>
      <c r="K57" s="1295">
        <f>'Group Totals'!W122</f>
        <v>28205</v>
      </c>
      <c r="L57" s="1295">
        <f>'Group Totals'!W134</f>
        <v>24158</v>
      </c>
      <c r="M57" s="1296">
        <f t="shared" si="45"/>
        <v>-4047</v>
      </c>
      <c r="O57" s="9" t="s">
        <v>431</v>
      </c>
      <c r="P57" s="584">
        <f t="shared" ref="P57:Z57" si="54">SUM(B49:B57)</f>
        <v>222357</v>
      </c>
      <c r="Q57" s="584">
        <f t="shared" si="54"/>
        <v>184375</v>
      </c>
      <c r="R57" s="584">
        <f t="shared" si="54"/>
        <v>195293</v>
      </c>
      <c r="S57" s="584">
        <f t="shared" si="54"/>
        <v>175758</v>
      </c>
      <c r="T57" s="584">
        <f t="shared" si="54"/>
        <v>139068</v>
      </c>
      <c r="U57" s="584">
        <f t="shared" si="54"/>
        <v>189556</v>
      </c>
      <c r="V57" s="584">
        <f t="shared" si="54"/>
        <v>188006</v>
      </c>
      <c r="W57" s="584">
        <f t="shared" si="54"/>
        <v>188972</v>
      </c>
      <c r="X57" s="584">
        <f t="shared" si="54"/>
        <v>174169</v>
      </c>
      <c r="Y57" s="584">
        <f t="shared" si="54"/>
        <v>231435</v>
      </c>
      <c r="Z57" s="584">
        <f t="shared" si="54"/>
        <v>241304</v>
      </c>
      <c r="AA57" s="1296">
        <f t="shared" si="47"/>
        <v>9869</v>
      </c>
    </row>
    <row r="58" spans="1:27" x14ac:dyDescent="0.25">
      <c r="A58" s="9" t="s">
        <v>423</v>
      </c>
      <c r="B58" s="584">
        <f>'Group Totals'!W15</f>
        <v>19854</v>
      </c>
      <c r="C58" s="584">
        <f>'Group Totals'!W27</f>
        <v>15312</v>
      </c>
      <c r="D58" s="584">
        <f>'Group Totals'!W39</f>
        <v>19334</v>
      </c>
      <c r="E58" s="584">
        <f>'Group Totals'!W51</f>
        <v>17016</v>
      </c>
      <c r="F58" s="584">
        <f>'Group Totals'!W63</f>
        <v>15803</v>
      </c>
      <c r="G58" s="584">
        <f>'Group Totals'!W75</f>
        <v>28603</v>
      </c>
      <c r="H58" s="584">
        <f>'Group Totals'!W87</f>
        <v>22739</v>
      </c>
      <c r="I58" s="584">
        <f>'Group Totals'!W99</f>
        <v>20819</v>
      </c>
      <c r="J58" s="1295">
        <f>'Group Totals'!W111</f>
        <v>24173</v>
      </c>
      <c r="K58" s="1295">
        <f>'Group Totals'!W123</f>
        <v>25626</v>
      </c>
      <c r="L58" s="1295">
        <f>'Group Totals'!W135</f>
        <v>19975</v>
      </c>
      <c r="M58" s="1296">
        <f t="shared" si="45"/>
        <v>-5651</v>
      </c>
      <c r="O58" s="9" t="s">
        <v>423</v>
      </c>
      <c r="P58" s="584">
        <f t="shared" ref="P58:Z58" si="55">SUM(B49:B58)</f>
        <v>242211</v>
      </c>
      <c r="Q58" s="584">
        <f t="shared" si="55"/>
        <v>199687</v>
      </c>
      <c r="R58" s="584">
        <f t="shared" si="55"/>
        <v>214627</v>
      </c>
      <c r="S58" s="584">
        <f t="shared" si="55"/>
        <v>192774</v>
      </c>
      <c r="T58" s="584">
        <f t="shared" si="55"/>
        <v>154871</v>
      </c>
      <c r="U58" s="584">
        <f t="shared" si="55"/>
        <v>218159</v>
      </c>
      <c r="V58" s="584">
        <f t="shared" si="55"/>
        <v>210745</v>
      </c>
      <c r="W58" s="584">
        <f t="shared" si="55"/>
        <v>209791</v>
      </c>
      <c r="X58" s="584">
        <f t="shared" si="55"/>
        <v>198342</v>
      </c>
      <c r="Y58" s="584">
        <f t="shared" si="55"/>
        <v>257061</v>
      </c>
      <c r="Z58" s="584">
        <f t="shared" si="55"/>
        <v>261279</v>
      </c>
      <c r="AA58" s="1296">
        <f t="shared" si="47"/>
        <v>4218</v>
      </c>
    </row>
    <row r="59" spans="1:27" x14ac:dyDescent="0.25">
      <c r="A59" s="9" t="s">
        <v>426</v>
      </c>
      <c r="B59" s="584">
        <f>'Group Totals'!W16</f>
        <v>17077</v>
      </c>
      <c r="C59" s="584">
        <f>'Group Totals'!W28</f>
        <v>18537</v>
      </c>
      <c r="D59" s="584">
        <f>'Group Totals'!W40</f>
        <v>20314</v>
      </c>
      <c r="E59" s="584">
        <f>'Group Totals'!W52</f>
        <v>17323</v>
      </c>
      <c r="F59" s="584">
        <f>'Group Totals'!W64</f>
        <v>18229</v>
      </c>
      <c r="G59" s="584">
        <f>'Group Totals'!W76</f>
        <v>27187</v>
      </c>
      <c r="H59" s="584">
        <f>'Group Totals'!W88</f>
        <v>27348</v>
      </c>
      <c r="I59" s="584">
        <f>'Group Totals'!W100</f>
        <v>19078</v>
      </c>
      <c r="J59" s="1295">
        <f>'Group Totals'!W112</f>
        <v>30110</v>
      </c>
      <c r="K59" s="1295">
        <f>'Group Totals'!W124</f>
        <v>29346</v>
      </c>
      <c r="L59" s="1295">
        <f>'Group Totals'!W136</f>
        <v>14889</v>
      </c>
      <c r="M59" s="1296">
        <f t="shared" si="45"/>
        <v>-14457</v>
      </c>
      <c r="O59" s="9" t="s">
        <v>426</v>
      </c>
      <c r="P59" s="584">
        <f t="shared" ref="P59:Z59" si="56">SUM(B49:B59)</f>
        <v>259288</v>
      </c>
      <c r="Q59" s="584">
        <f t="shared" si="56"/>
        <v>218224</v>
      </c>
      <c r="R59" s="584">
        <f t="shared" si="56"/>
        <v>234941</v>
      </c>
      <c r="S59" s="584">
        <f t="shared" si="56"/>
        <v>210097</v>
      </c>
      <c r="T59" s="584">
        <f t="shared" si="56"/>
        <v>173100</v>
      </c>
      <c r="U59" s="584">
        <f t="shared" si="56"/>
        <v>245346</v>
      </c>
      <c r="V59" s="584">
        <f t="shared" si="56"/>
        <v>238093</v>
      </c>
      <c r="W59" s="584">
        <f t="shared" si="56"/>
        <v>228869</v>
      </c>
      <c r="X59" s="584">
        <f t="shared" si="56"/>
        <v>228452</v>
      </c>
      <c r="Y59" s="584">
        <f t="shared" si="56"/>
        <v>286407</v>
      </c>
      <c r="Z59" s="584">
        <f t="shared" si="56"/>
        <v>276168</v>
      </c>
      <c r="AA59" s="1296">
        <f t="shared" si="47"/>
        <v>-10239</v>
      </c>
    </row>
    <row r="60" spans="1:27" x14ac:dyDescent="0.25">
      <c r="A60" s="663" t="s">
        <v>432</v>
      </c>
      <c r="B60" s="1297">
        <f>'Group Totals'!W17</f>
        <v>13881</v>
      </c>
      <c r="C60" s="1297">
        <f>'Group Totals'!W29</f>
        <v>14216</v>
      </c>
      <c r="D60" s="1297">
        <f>'Group Totals'!W41</f>
        <v>17059</v>
      </c>
      <c r="E60" s="1297">
        <f>'Group Totals'!W53</f>
        <v>13039</v>
      </c>
      <c r="F60" s="1297">
        <f>'Group Totals'!W65</f>
        <v>13710</v>
      </c>
      <c r="G60" s="1297">
        <f>'Group Totals'!W77</f>
        <v>19438</v>
      </c>
      <c r="H60" s="1297">
        <f>'Group Totals'!W89</f>
        <v>14857</v>
      </c>
      <c r="I60" s="1297">
        <f>'Group Totals'!W101</f>
        <v>16236</v>
      </c>
      <c r="J60" s="1298">
        <f>'Group Totals'!W113</f>
        <v>25265</v>
      </c>
      <c r="K60" s="1298">
        <f>'Group Totals'!W125</f>
        <v>31486</v>
      </c>
      <c r="L60" s="1295">
        <f>'Group Totals'!W137</f>
        <v>9042</v>
      </c>
      <c r="M60" s="1299">
        <f t="shared" si="45"/>
        <v>-22444</v>
      </c>
      <c r="O60" s="663" t="s">
        <v>432</v>
      </c>
      <c r="P60" s="1297">
        <f t="shared" ref="P60:Z60" si="57">SUM(B49:B60)</f>
        <v>273169</v>
      </c>
      <c r="Q60" s="1297">
        <f t="shared" si="57"/>
        <v>232440</v>
      </c>
      <c r="R60" s="1297">
        <f t="shared" si="57"/>
        <v>252000</v>
      </c>
      <c r="S60" s="1297">
        <f t="shared" si="57"/>
        <v>223136</v>
      </c>
      <c r="T60" s="1297">
        <f t="shared" si="57"/>
        <v>186810</v>
      </c>
      <c r="U60" s="1297">
        <f t="shared" si="57"/>
        <v>264784</v>
      </c>
      <c r="V60" s="1297">
        <f t="shared" si="57"/>
        <v>252950</v>
      </c>
      <c r="W60" s="1297">
        <f t="shared" si="57"/>
        <v>245105</v>
      </c>
      <c r="X60" s="1297">
        <f t="shared" si="57"/>
        <v>253717</v>
      </c>
      <c r="Y60" s="1297">
        <f t="shared" si="57"/>
        <v>317893</v>
      </c>
      <c r="Z60" s="1297">
        <f t="shared" si="57"/>
        <v>285210</v>
      </c>
      <c r="AA60" s="1299">
        <f t="shared" si="47"/>
        <v>-32683</v>
      </c>
    </row>
    <row r="62" spans="1:27" x14ac:dyDescent="0.25">
      <c r="A62" s="1557" t="s">
        <v>754</v>
      </c>
      <c r="B62" s="1557"/>
      <c r="C62" s="1557"/>
      <c r="D62" s="1557"/>
      <c r="E62" s="1557"/>
      <c r="F62" s="1557"/>
      <c r="G62" s="1557"/>
      <c r="H62" s="1557"/>
      <c r="I62" s="1557"/>
      <c r="O62" s="1557" t="s">
        <v>755</v>
      </c>
      <c r="P62" s="1557"/>
      <c r="Q62" s="1557"/>
      <c r="R62" s="1557"/>
      <c r="S62" s="1557"/>
      <c r="T62" s="1557"/>
      <c r="U62" s="1557"/>
      <c r="V62" s="1557"/>
      <c r="W62" s="1557"/>
    </row>
    <row r="63" spans="1:27" x14ac:dyDescent="0.25">
      <c r="A63" s="649" t="s">
        <v>744</v>
      </c>
      <c r="B63" s="1293">
        <v>2012</v>
      </c>
      <c r="C63" s="1293">
        <v>2013</v>
      </c>
      <c r="D63" s="1293">
        <v>2014</v>
      </c>
      <c r="E63" s="1293">
        <v>2015</v>
      </c>
      <c r="F63" s="1293">
        <v>2016</v>
      </c>
      <c r="G63" s="1293">
        <v>2017</v>
      </c>
      <c r="H63" s="1293">
        <v>2018</v>
      </c>
      <c r="I63" s="1293">
        <v>2019</v>
      </c>
      <c r="J63" s="1293">
        <v>2020</v>
      </c>
      <c r="K63" s="1293">
        <v>2021</v>
      </c>
      <c r="L63" s="1293">
        <v>2022</v>
      </c>
      <c r="M63" s="1294" t="s">
        <v>749</v>
      </c>
      <c r="O63" s="649" t="s">
        <v>744</v>
      </c>
      <c r="P63" s="1293">
        <v>2012</v>
      </c>
      <c r="Q63" s="1293">
        <v>2013</v>
      </c>
      <c r="R63" s="1293">
        <v>2014</v>
      </c>
      <c r="S63" s="1293">
        <v>2015</v>
      </c>
      <c r="T63" s="1293">
        <v>2016</v>
      </c>
      <c r="U63" s="1293">
        <v>2017</v>
      </c>
      <c r="V63" s="1293">
        <v>2018</v>
      </c>
      <c r="W63" s="1293">
        <v>2019</v>
      </c>
      <c r="X63" s="1293">
        <v>2020</v>
      </c>
      <c r="Y63" s="1293">
        <v>2021</v>
      </c>
      <c r="Z63" s="1293">
        <v>2022</v>
      </c>
      <c r="AA63" s="1294" t="s">
        <v>749</v>
      </c>
    </row>
    <row r="64" spans="1:27" x14ac:dyDescent="0.25">
      <c r="A64" s="9" t="s">
        <v>424</v>
      </c>
      <c r="B64" s="584">
        <f>'Group Totals'!Q6</f>
        <v>4929</v>
      </c>
      <c r="C64" s="584">
        <f>'Group Totals'!Q18</f>
        <v>3659</v>
      </c>
      <c r="D64" s="584">
        <f>'Group Totals'!Q30</f>
        <v>7401</v>
      </c>
      <c r="E64" s="584">
        <f>'Group Totals'!Q42</f>
        <v>4736</v>
      </c>
      <c r="F64" s="584">
        <f>'Group Totals'!Q54</f>
        <v>6426</v>
      </c>
      <c r="G64" s="584">
        <f>'Group Totals'!Q66</f>
        <v>10985</v>
      </c>
      <c r="H64" s="584">
        <f>'Group Totals'!Q78</f>
        <v>8530</v>
      </c>
      <c r="I64" s="584">
        <f>'Group Totals'!Q90</f>
        <v>11865</v>
      </c>
      <c r="J64" s="1295">
        <f>'Group Totals'!Q102</f>
        <v>18241</v>
      </c>
      <c r="K64" s="1295">
        <f>'Group Totals'!Q114</f>
        <v>12451</v>
      </c>
      <c r="L64" s="1295">
        <f>'Group Totals'!Q126</f>
        <v>19268</v>
      </c>
      <c r="M64" s="1296">
        <f>L64-K64</f>
        <v>6817</v>
      </c>
      <c r="O64" s="9" t="s">
        <v>424</v>
      </c>
      <c r="P64" s="584">
        <f t="shared" ref="P64:Z64" si="58">B64</f>
        <v>4929</v>
      </c>
      <c r="Q64" s="584">
        <f t="shared" si="58"/>
        <v>3659</v>
      </c>
      <c r="R64" s="584">
        <f t="shared" si="58"/>
        <v>7401</v>
      </c>
      <c r="S64" s="584">
        <f t="shared" si="58"/>
        <v>4736</v>
      </c>
      <c r="T64" s="584">
        <f t="shared" si="58"/>
        <v>6426</v>
      </c>
      <c r="U64" s="584">
        <f t="shared" si="58"/>
        <v>10985</v>
      </c>
      <c r="V64" s="584">
        <f t="shared" si="58"/>
        <v>8530</v>
      </c>
      <c r="W64" s="584">
        <f t="shared" si="58"/>
        <v>11865</v>
      </c>
      <c r="X64" s="584">
        <f t="shared" si="58"/>
        <v>18241</v>
      </c>
      <c r="Y64" s="584">
        <f t="shared" si="58"/>
        <v>12451</v>
      </c>
      <c r="Z64" s="584">
        <f t="shared" si="58"/>
        <v>19268</v>
      </c>
      <c r="AA64" s="1296">
        <f>Z64-Y64</f>
        <v>6817</v>
      </c>
    </row>
    <row r="65" spans="1:27" x14ac:dyDescent="0.25">
      <c r="A65" s="9" t="s">
        <v>327</v>
      </c>
      <c r="B65" s="584">
        <f>'Group Totals'!Q7</f>
        <v>5199</v>
      </c>
      <c r="C65" s="584">
        <f>'Group Totals'!Q19</f>
        <v>5707</v>
      </c>
      <c r="D65" s="584">
        <f>'Group Totals'!Q31</f>
        <v>7749</v>
      </c>
      <c r="E65" s="584">
        <f>'Group Totals'!Q43</f>
        <v>8288</v>
      </c>
      <c r="F65" s="584">
        <f>'Group Totals'!Q55</f>
        <v>8482</v>
      </c>
      <c r="G65" s="584">
        <f>'Group Totals'!Q67</f>
        <v>12644</v>
      </c>
      <c r="H65" s="584">
        <f>'Group Totals'!Q79</f>
        <v>8729</v>
      </c>
      <c r="I65" s="584">
        <f>'Group Totals'!Q91</f>
        <v>15780</v>
      </c>
      <c r="J65" s="1295">
        <f>'Group Totals'!Q103</f>
        <v>15062</v>
      </c>
      <c r="K65" s="1295">
        <f>'Group Totals'!Q115</f>
        <v>10428</v>
      </c>
      <c r="L65" s="1295">
        <f>'Group Totals'!Q127</f>
        <v>21795</v>
      </c>
      <c r="M65" s="1296">
        <f t="shared" ref="M65:M75" si="59">L65-K65</f>
        <v>11367</v>
      </c>
      <c r="O65" s="9" t="s">
        <v>327</v>
      </c>
      <c r="P65" s="584">
        <f t="shared" ref="P65:Z65" si="60">SUM(B64:B65)</f>
        <v>10128</v>
      </c>
      <c r="Q65" s="584">
        <f t="shared" si="60"/>
        <v>9366</v>
      </c>
      <c r="R65" s="584">
        <f t="shared" si="60"/>
        <v>15150</v>
      </c>
      <c r="S65" s="584">
        <f t="shared" si="60"/>
        <v>13024</v>
      </c>
      <c r="T65" s="584">
        <f t="shared" si="60"/>
        <v>14908</v>
      </c>
      <c r="U65" s="584">
        <f t="shared" si="60"/>
        <v>23629</v>
      </c>
      <c r="V65" s="584">
        <f t="shared" si="60"/>
        <v>17259</v>
      </c>
      <c r="W65" s="584">
        <f t="shared" si="60"/>
        <v>27645</v>
      </c>
      <c r="X65" s="584">
        <f t="shared" si="60"/>
        <v>33303</v>
      </c>
      <c r="Y65" s="584">
        <f t="shared" si="60"/>
        <v>22879</v>
      </c>
      <c r="Z65" s="584">
        <f t="shared" si="60"/>
        <v>41063</v>
      </c>
      <c r="AA65" s="1296">
        <f t="shared" ref="AA65:AA75" si="61">Z65-Y65</f>
        <v>18184</v>
      </c>
    </row>
    <row r="66" spans="1:27" x14ac:dyDescent="0.25">
      <c r="A66" s="9" t="s">
        <v>425</v>
      </c>
      <c r="B66" s="584">
        <f>'Group Totals'!Q8</f>
        <v>7178</v>
      </c>
      <c r="C66" s="584">
        <f>'Group Totals'!Q20</f>
        <v>5219</v>
      </c>
      <c r="D66" s="584">
        <f>'Group Totals'!Q32</f>
        <v>10664</v>
      </c>
      <c r="E66" s="584">
        <f>'Group Totals'!Q44</f>
        <v>10106</v>
      </c>
      <c r="F66" s="584">
        <f>'Group Totals'!Q56</f>
        <v>9057</v>
      </c>
      <c r="G66" s="584">
        <f>'Group Totals'!Q68</f>
        <v>13909</v>
      </c>
      <c r="H66" s="584">
        <f>'Group Totals'!Q80</f>
        <v>11302</v>
      </c>
      <c r="I66" s="584">
        <f>'Group Totals'!Q92</f>
        <v>11380</v>
      </c>
      <c r="J66" s="1295">
        <f>'Group Totals'!Q104</f>
        <v>16484</v>
      </c>
      <c r="K66" s="1295">
        <f>'Group Totals'!Q116</f>
        <v>19813</v>
      </c>
      <c r="L66" s="1295">
        <f>'Group Totals'!Q128</f>
        <v>29526</v>
      </c>
      <c r="M66" s="1296">
        <f t="shared" si="59"/>
        <v>9713</v>
      </c>
      <c r="O66" s="9" t="s">
        <v>425</v>
      </c>
      <c r="P66" s="584">
        <f t="shared" ref="P66:Z66" si="62">SUM(B64:B66)</f>
        <v>17306</v>
      </c>
      <c r="Q66" s="584">
        <f t="shared" si="62"/>
        <v>14585</v>
      </c>
      <c r="R66" s="584">
        <f t="shared" si="62"/>
        <v>25814</v>
      </c>
      <c r="S66" s="584">
        <f t="shared" si="62"/>
        <v>23130</v>
      </c>
      <c r="T66" s="584">
        <f t="shared" si="62"/>
        <v>23965</v>
      </c>
      <c r="U66" s="584">
        <f t="shared" si="62"/>
        <v>37538</v>
      </c>
      <c r="V66" s="584">
        <f t="shared" si="62"/>
        <v>28561</v>
      </c>
      <c r="W66" s="584">
        <f t="shared" si="62"/>
        <v>39025</v>
      </c>
      <c r="X66" s="584">
        <f t="shared" si="62"/>
        <v>49787</v>
      </c>
      <c r="Y66" s="584">
        <f t="shared" si="62"/>
        <v>42692</v>
      </c>
      <c r="Z66" s="584">
        <f t="shared" si="62"/>
        <v>70589</v>
      </c>
      <c r="AA66" s="1296">
        <f t="shared" si="61"/>
        <v>27897</v>
      </c>
    </row>
    <row r="67" spans="1:27" x14ac:dyDescent="0.25">
      <c r="A67" s="9" t="s">
        <v>328</v>
      </c>
      <c r="B67" s="584">
        <f>'Group Totals'!Q9</f>
        <v>6802</v>
      </c>
      <c r="C67" s="584">
        <f>'Group Totals'!Q21</f>
        <v>5946</v>
      </c>
      <c r="D67" s="584">
        <f>'Group Totals'!Q33</f>
        <v>6020</v>
      </c>
      <c r="E67" s="584">
        <f>'Group Totals'!Q45</f>
        <v>7568</v>
      </c>
      <c r="F67" s="584">
        <f>'Group Totals'!Q57</f>
        <v>6515</v>
      </c>
      <c r="G67" s="584">
        <f>'Group Totals'!Q69</f>
        <v>11388</v>
      </c>
      <c r="H67" s="584">
        <f>'Group Totals'!Q81</f>
        <v>12245</v>
      </c>
      <c r="I67" s="584">
        <f>'Group Totals'!Q93</f>
        <v>11960</v>
      </c>
      <c r="J67" s="1295">
        <f>'Group Totals'!Q105</f>
        <v>5724</v>
      </c>
      <c r="K67" s="1295">
        <f>'Group Totals'!Q117</f>
        <v>10844</v>
      </c>
      <c r="L67" s="1295">
        <f>'Group Totals'!Q129</f>
        <v>27593</v>
      </c>
      <c r="M67" s="1296">
        <f t="shared" si="59"/>
        <v>16749</v>
      </c>
      <c r="O67" s="9" t="s">
        <v>328</v>
      </c>
      <c r="P67" s="584">
        <f t="shared" ref="P67:Z67" si="63">SUM(B64:B67)</f>
        <v>24108</v>
      </c>
      <c r="Q67" s="584">
        <f t="shared" si="63"/>
        <v>20531</v>
      </c>
      <c r="R67" s="584">
        <f t="shared" si="63"/>
        <v>31834</v>
      </c>
      <c r="S67" s="584">
        <f t="shared" si="63"/>
        <v>30698</v>
      </c>
      <c r="T67" s="584">
        <f t="shared" si="63"/>
        <v>30480</v>
      </c>
      <c r="U67" s="584">
        <f t="shared" si="63"/>
        <v>48926</v>
      </c>
      <c r="V67" s="584">
        <f t="shared" si="63"/>
        <v>40806</v>
      </c>
      <c r="W67" s="584">
        <f t="shared" si="63"/>
        <v>50985</v>
      </c>
      <c r="X67" s="584">
        <f t="shared" si="63"/>
        <v>55511</v>
      </c>
      <c r="Y67" s="584">
        <f t="shared" si="63"/>
        <v>53536</v>
      </c>
      <c r="Z67" s="584">
        <f t="shared" si="63"/>
        <v>98182</v>
      </c>
      <c r="AA67" s="1296">
        <f t="shared" si="61"/>
        <v>44646</v>
      </c>
    </row>
    <row r="68" spans="1:27" x14ac:dyDescent="0.25">
      <c r="A68" s="9" t="s">
        <v>428</v>
      </c>
      <c r="B68" s="584">
        <f>'Group Totals'!Q10</f>
        <v>6297</v>
      </c>
      <c r="C68" s="584">
        <f>'Group Totals'!Q22</f>
        <v>5823</v>
      </c>
      <c r="D68" s="584">
        <f>'Group Totals'!Q34</f>
        <v>7584</v>
      </c>
      <c r="E68" s="584">
        <f>'Group Totals'!Q46</f>
        <v>8272</v>
      </c>
      <c r="F68" s="584">
        <f>'Group Totals'!Q58</f>
        <v>6415</v>
      </c>
      <c r="G68" s="584">
        <f>'Group Totals'!Q70</f>
        <v>16170</v>
      </c>
      <c r="H68" s="584">
        <f>'Group Totals'!Q82</f>
        <v>11890</v>
      </c>
      <c r="I68" s="584">
        <f>'Group Totals'!Q94</f>
        <v>12625</v>
      </c>
      <c r="J68" s="1295">
        <f>'Group Totals'!Q106</f>
        <v>16868</v>
      </c>
      <c r="K68" s="1295">
        <f>'Group Totals'!Q118</f>
        <v>18263</v>
      </c>
      <c r="L68" s="1295">
        <f>'Group Totals'!Q130</f>
        <v>25682</v>
      </c>
      <c r="M68" s="1296">
        <f t="shared" si="59"/>
        <v>7419</v>
      </c>
      <c r="O68" s="9" t="s">
        <v>428</v>
      </c>
      <c r="P68" s="584">
        <f t="shared" ref="P68:Z68" si="64">SUM(B64:B68)</f>
        <v>30405</v>
      </c>
      <c r="Q68" s="584">
        <f t="shared" si="64"/>
        <v>26354</v>
      </c>
      <c r="R68" s="584">
        <f t="shared" si="64"/>
        <v>39418</v>
      </c>
      <c r="S68" s="584">
        <f t="shared" si="64"/>
        <v>38970</v>
      </c>
      <c r="T68" s="584">
        <f t="shared" si="64"/>
        <v>36895</v>
      </c>
      <c r="U68" s="584">
        <f t="shared" si="64"/>
        <v>65096</v>
      </c>
      <c r="V68" s="584">
        <f t="shared" si="64"/>
        <v>52696</v>
      </c>
      <c r="W68" s="584">
        <f t="shared" si="64"/>
        <v>63610</v>
      </c>
      <c r="X68" s="584">
        <f t="shared" si="64"/>
        <v>72379</v>
      </c>
      <c r="Y68" s="584">
        <f t="shared" si="64"/>
        <v>71799</v>
      </c>
      <c r="Z68" s="584">
        <f t="shared" si="64"/>
        <v>123864</v>
      </c>
      <c r="AA68" s="1296">
        <f t="shared" si="61"/>
        <v>52065</v>
      </c>
    </row>
    <row r="69" spans="1:27" x14ac:dyDescent="0.25">
      <c r="A69" s="9" t="s">
        <v>746</v>
      </c>
      <c r="B69" s="584">
        <f>'Group Totals'!Q11</f>
        <v>7326</v>
      </c>
      <c r="C69" s="584">
        <f>'Group Totals'!Q23</f>
        <v>5710</v>
      </c>
      <c r="D69" s="584">
        <f>'Group Totals'!Q35</f>
        <v>8342</v>
      </c>
      <c r="E69" s="584">
        <f>'Group Totals'!Q47</f>
        <v>9757</v>
      </c>
      <c r="F69" s="584">
        <f>'Group Totals'!Q59</f>
        <v>5291</v>
      </c>
      <c r="G69" s="584">
        <f>'Group Totals'!Q71</f>
        <v>12617</v>
      </c>
      <c r="H69" s="584">
        <f>'Group Totals'!Q83</f>
        <v>12296</v>
      </c>
      <c r="I69" s="584">
        <f>'Group Totals'!Q95</f>
        <v>12902</v>
      </c>
      <c r="J69" s="1295">
        <f>'Group Totals'!Q107</f>
        <v>26657</v>
      </c>
      <c r="K69" s="1295">
        <f>'Group Totals'!Q119</f>
        <v>13628</v>
      </c>
      <c r="L69" s="1295">
        <f>'Group Totals'!Q131</f>
        <v>35456</v>
      </c>
      <c r="M69" s="1296">
        <f t="shared" si="59"/>
        <v>21828</v>
      </c>
      <c r="O69" s="9" t="s">
        <v>746</v>
      </c>
      <c r="P69" s="584">
        <f t="shared" ref="P69:Z69" si="65">SUM(B64:B69)</f>
        <v>37731</v>
      </c>
      <c r="Q69" s="584">
        <f t="shared" si="65"/>
        <v>32064</v>
      </c>
      <c r="R69" s="584">
        <f t="shared" si="65"/>
        <v>47760</v>
      </c>
      <c r="S69" s="584">
        <f t="shared" si="65"/>
        <v>48727</v>
      </c>
      <c r="T69" s="584">
        <f t="shared" si="65"/>
        <v>42186</v>
      </c>
      <c r="U69" s="584">
        <f t="shared" si="65"/>
        <v>77713</v>
      </c>
      <c r="V69" s="584">
        <f t="shared" si="65"/>
        <v>64992</v>
      </c>
      <c r="W69" s="584">
        <f t="shared" si="65"/>
        <v>76512</v>
      </c>
      <c r="X69" s="584">
        <f t="shared" si="65"/>
        <v>99036</v>
      </c>
      <c r="Y69" s="584">
        <f t="shared" si="65"/>
        <v>85427</v>
      </c>
      <c r="Z69" s="584">
        <f t="shared" si="65"/>
        <v>159320</v>
      </c>
      <c r="AA69" s="1296">
        <f t="shared" si="61"/>
        <v>73893</v>
      </c>
    </row>
    <row r="70" spans="1:27" x14ac:dyDescent="0.25">
      <c r="A70" s="9" t="s">
        <v>329</v>
      </c>
      <c r="B70" s="584">
        <f>'Group Totals'!Q12</f>
        <v>9335</v>
      </c>
      <c r="C70" s="584">
        <f>'Group Totals'!Q24</f>
        <v>8707</v>
      </c>
      <c r="D70" s="584">
        <f>'Group Totals'!Q36</f>
        <v>8072</v>
      </c>
      <c r="E70" s="584">
        <f>'Group Totals'!Q48</f>
        <v>7863</v>
      </c>
      <c r="F70" s="584">
        <f>'Group Totals'!Q60</f>
        <v>8242</v>
      </c>
      <c r="G70" s="584">
        <f>'Group Totals'!Q72</f>
        <v>16163</v>
      </c>
      <c r="H70" s="584">
        <f>'Group Totals'!Q84</f>
        <v>14150</v>
      </c>
      <c r="I70" s="584">
        <f>'Group Totals'!Q96</f>
        <v>15477</v>
      </c>
      <c r="J70" s="1295">
        <f>'Group Totals'!Q108</f>
        <v>24139</v>
      </c>
      <c r="K70" s="1295">
        <f>'Group Totals'!Q120</f>
        <v>19866</v>
      </c>
      <c r="L70" s="1295">
        <f>'Group Totals'!Q132</f>
        <v>28740</v>
      </c>
      <c r="M70" s="1296">
        <f>L70-K70</f>
        <v>8874</v>
      </c>
      <c r="O70" s="9" t="s">
        <v>329</v>
      </c>
      <c r="P70" s="584">
        <f t="shared" ref="P70:Z70" si="66">SUM(B64:B70)</f>
        <v>47066</v>
      </c>
      <c r="Q70" s="584">
        <f t="shared" si="66"/>
        <v>40771</v>
      </c>
      <c r="R70" s="584">
        <f t="shared" si="66"/>
        <v>55832</v>
      </c>
      <c r="S70" s="584">
        <f t="shared" si="66"/>
        <v>56590</v>
      </c>
      <c r="T70" s="584">
        <f t="shared" si="66"/>
        <v>50428</v>
      </c>
      <c r="U70" s="584">
        <f t="shared" si="66"/>
        <v>93876</v>
      </c>
      <c r="V70" s="584">
        <f t="shared" si="66"/>
        <v>79142</v>
      </c>
      <c r="W70" s="584">
        <f t="shared" si="66"/>
        <v>91989</v>
      </c>
      <c r="X70" s="584">
        <f t="shared" si="66"/>
        <v>123175</v>
      </c>
      <c r="Y70" s="584">
        <f t="shared" si="66"/>
        <v>105293</v>
      </c>
      <c r="Z70" s="584">
        <f t="shared" si="66"/>
        <v>188060</v>
      </c>
      <c r="AA70" s="1296">
        <f>Z70-Y70</f>
        <v>82767</v>
      </c>
    </row>
    <row r="71" spans="1:27" x14ac:dyDescent="0.25">
      <c r="A71" s="9" t="s">
        <v>427</v>
      </c>
      <c r="B71" s="584">
        <f>'Group Totals'!Q13</f>
        <v>7473</v>
      </c>
      <c r="C71" s="584">
        <f>'Group Totals'!Q25</f>
        <v>7474</v>
      </c>
      <c r="D71" s="584">
        <f>'Group Totals'!Q37</f>
        <v>8169</v>
      </c>
      <c r="E71" s="584">
        <f>'Group Totals'!Q49</f>
        <v>9407</v>
      </c>
      <c r="F71" s="584">
        <f>'Group Totals'!Q61</f>
        <v>11506</v>
      </c>
      <c r="G71" s="584">
        <f>'Group Totals'!Q73</f>
        <v>11758</v>
      </c>
      <c r="H71" s="584">
        <f>'Group Totals'!Q85</f>
        <v>13703</v>
      </c>
      <c r="I71" s="584">
        <f>'Group Totals'!Q97</f>
        <v>16558</v>
      </c>
      <c r="J71" s="1295">
        <f>'Group Totals'!Q109</f>
        <v>17912</v>
      </c>
      <c r="K71" s="1295">
        <f>'Group Totals'!Q121</f>
        <v>23942</v>
      </c>
      <c r="L71" s="1295">
        <f>'Group Totals'!Q133</f>
        <v>28978</v>
      </c>
      <c r="M71" s="1296">
        <f t="shared" si="59"/>
        <v>5036</v>
      </c>
      <c r="O71" s="9" t="s">
        <v>427</v>
      </c>
      <c r="P71" s="584">
        <f t="shared" ref="P71:Z71" si="67">SUM(B64:B71)</f>
        <v>54539</v>
      </c>
      <c r="Q71" s="584">
        <f t="shared" si="67"/>
        <v>48245</v>
      </c>
      <c r="R71" s="584">
        <f t="shared" si="67"/>
        <v>64001</v>
      </c>
      <c r="S71" s="584">
        <f t="shared" si="67"/>
        <v>65997</v>
      </c>
      <c r="T71" s="584">
        <f t="shared" si="67"/>
        <v>61934</v>
      </c>
      <c r="U71" s="584">
        <f t="shared" si="67"/>
        <v>105634</v>
      </c>
      <c r="V71" s="584">
        <f t="shared" si="67"/>
        <v>92845</v>
      </c>
      <c r="W71" s="584">
        <f t="shared" si="67"/>
        <v>108547</v>
      </c>
      <c r="X71" s="584">
        <f t="shared" si="67"/>
        <v>141087</v>
      </c>
      <c r="Y71" s="584">
        <f t="shared" si="67"/>
        <v>129235</v>
      </c>
      <c r="Z71" s="584">
        <f t="shared" si="67"/>
        <v>217038</v>
      </c>
      <c r="AA71" s="1296">
        <f t="shared" si="61"/>
        <v>87803</v>
      </c>
    </row>
    <row r="72" spans="1:27" x14ac:dyDescent="0.25">
      <c r="A72" s="9" t="s">
        <v>431</v>
      </c>
      <c r="B72" s="584">
        <f>'Group Totals'!Q14</f>
        <v>8059</v>
      </c>
      <c r="C72" s="584">
        <f>'Group Totals'!Q26</f>
        <v>9721</v>
      </c>
      <c r="D72" s="584">
        <f>'Group Totals'!Q38</f>
        <v>11567</v>
      </c>
      <c r="E72" s="584">
        <f>'Group Totals'!Q50</f>
        <v>10698</v>
      </c>
      <c r="F72" s="584">
        <f>'Group Totals'!Q62</f>
        <v>8829</v>
      </c>
      <c r="G72" s="584">
        <f>'Group Totals'!Q74</f>
        <v>14743</v>
      </c>
      <c r="H72" s="584">
        <f>'Group Totals'!Q86</f>
        <v>15542</v>
      </c>
      <c r="I72" s="584">
        <f>'Group Totals'!Q98</f>
        <v>19241</v>
      </c>
      <c r="J72" s="1295">
        <f>'Group Totals'!Q110</f>
        <v>14201</v>
      </c>
      <c r="K72" s="1295">
        <f>'Group Totals'!Q122</f>
        <v>34318</v>
      </c>
      <c r="L72" s="1295">
        <f>'Group Totals'!Q134</f>
        <v>39831</v>
      </c>
      <c r="M72" s="1296">
        <f t="shared" si="59"/>
        <v>5513</v>
      </c>
      <c r="O72" s="9" t="s">
        <v>431</v>
      </c>
      <c r="P72" s="584">
        <f t="shared" ref="P72:Z72" si="68">SUM(B64:B72)</f>
        <v>62598</v>
      </c>
      <c r="Q72" s="584">
        <f t="shared" si="68"/>
        <v>57966</v>
      </c>
      <c r="R72" s="584">
        <f t="shared" si="68"/>
        <v>75568</v>
      </c>
      <c r="S72" s="584">
        <f t="shared" si="68"/>
        <v>76695</v>
      </c>
      <c r="T72" s="584">
        <f t="shared" si="68"/>
        <v>70763</v>
      </c>
      <c r="U72" s="584">
        <f t="shared" si="68"/>
        <v>120377</v>
      </c>
      <c r="V72" s="584">
        <f t="shared" si="68"/>
        <v>108387</v>
      </c>
      <c r="W72" s="584">
        <f t="shared" si="68"/>
        <v>127788</v>
      </c>
      <c r="X72" s="584">
        <f t="shared" si="68"/>
        <v>155288</v>
      </c>
      <c r="Y72" s="584">
        <f t="shared" si="68"/>
        <v>163553</v>
      </c>
      <c r="Z72" s="584">
        <f t="shared" si="68"/>
        <v>256869</v>
      </c>
      <c r="AA72" s="1296">
        <f t="shared" si="61"/>
        <v>93316</v>
      </c>
    </row>
    <row r="73" spans="1:27" x14ac:dyDescent="0.25">
      <c r="A73" s="9" t="s">
        <v>423</v>
      </c>
      <c r="B73" s="584">
        <f>'Group Totals'!Q15</f>
        <v>7137</v>
      </c>
      <c r="C73" s="584">
        <f>'Group Totals'!Q27</f>
        <v>7762</v>
      </c>
      <c r="D73" s="584">
        <f>'Group Totals'!Q39</f>
        <v>9726</v>
      </c>
      <c r="E73" s="584">
        <f>'Group Totals'!Q51</f>
        <v>10659</v>
      </c>
      <c r="F73" s="584">
        <f>'Group Totals'!Q63</f>
        <v>13416</v>
      </c>
      <c r="G73" s="584">
        <f>'Group Totals'!Q75</f>
        <v>14271</v>
      </c>
      <c r="H73" s="584">
        <f>'Group Totals'!Q87</f>
        <v>19987</v>
      </c>
      <c r="I73" s="584">
        <f>'Group Totals'!Q99</f>
        <v>15291</v>
      </c>
      <c r="J73" s="1295">
        <f>'Group Totals'!Q111</f>
        <v>14917</v>
      </c>
      <c r="K73" s="1295">
        <f>'Group Totals'!Q123</f>
        <v>36138</v>
      </c>
      <c r="L73" s="1295">
        <f>'Group Totals'!Q135</f>
        <v>33172</v>
      </c>
      <c r="M73" s="1296">
        <f t="shared" si="59"/>
        <v>-2966</v>
      </c>
      <c r="O73" s="9" t="s">
        <v>423</v>
      </c>
      <c r="P73" s="584">
        <f t="shared" ref="P73:Z73" si="69">SUM(B64:B73)</f>
        <v>69735</v>
      </c>
      <c r="Q73" s="584">
        <f t="shared" si="69"/>
        <v>65728</v>
      </c>
      <c r="R73" s="584">
        <f t="shared" si="69"/>
        <v>85294</v>
      </c>
      <c r="S73" s="584">
        <f t="shared" si="69"/>
        <v>87354</v>
      </c>
      <c r="T73" s="584">
        <f t="shared" si="69"/>
        <v>84179</v>
      </c>
      <c r="U73" s="584">
        <f t="shared" si="69"/>
        <v>134648</v>
      </c>
      <c r="V73" s="584">
        <f t="shared" si="69"/>
        <v>128374</v>
      </c>
      <c r="W73" s="584">
        <f t="shared" si="69"/>
        <v>143079</v>
      </c>
      <c r="X73" s="584">
        <f t="shared" si="69"/>
        <v>170205</v>
      </c>
      <c r="Y73" s="584">
        <f t="shared" si="69"/>
        <v>199691</v>
      </c>
      <c r="Z73" s="584">
        <f t="shared" si="69"/>
        <v>290041</v>
      </c>
      <c r="AA73" s="1296">
        <f t="shared" si="61"/>
        <v>90350</v>
      </c>
    </row>
    <row r="74" spans="1:27" x14ac:dyDescent="0.25">
      <c r="A74" s="9" t="s">
        <v>426</v>
      </c>
      <c r="B74" s="584">
        <f>'Group Totals'!Q16</f>
        <v>6454</v>
      </c>
      <c r="C74" s="584">
        <f>'Group Totals'!Q28</f>
        <v>7811</v>
      </c>
      <c r="D74" s="584">
        <f>'Group Totals'!Q40</f>
        <v>9499</v>
      </c>
      <c r="E74" s="584">
        <f>'Group Totals'!Q52</f>
        <v>14024</v>
      </c>
      <c r="F74" s="584">
        <f>'Group Totals'!Q64</f>
        <v>10255</v>
      </c>
      <c r="G74" s="584">
        <f>'Group Totals'!Q76</f>
        <v>13164</v>
      </c>
      <c r="H74" s="584">
        <f>'Group Totals'!Q88</f>
        <v>17834</v>
      </c>
      <c r="I74" s="584">
        <f>'Group Totals'!Q100</f>
        <v>15252</v>
      </c>
      <c r="J74" s="1295">
        <f>'Group Totals'!Q112</f>
        <v>16963</v>
      </c>
      <c r="K74" s="1295">
        <f>'Group Totals'!Q124</f>
        <v>38980</v>
      </c>
      <c r="L74" s="1295">
        <f>'Group Totals'!Q136</f>
        <v>21077</v>
      </c>
      <c r="M74" s="1296">
        <f t="shared" si="59"/>
        <v>-17903</v>
      </c>
      <c r="O74" s="9" t="s">
        <v>426</v>
      </c>
      <c r="P74" s="584">
        <f t="shared" ref="P74:Z74" si="70">SUM(B64:B74)</f>
        <v>76189</v>
      </c>
      <c r="Q74" s="584">
        <f t="shared" si="70"/>
        <v>73539</v>
      </c>
      <c r="R74" s="584">
        <f t="shared" si="70"/>
        <v>94793</v>
      </c>
      <c r="S74" s="584">
        <f t="shared" si="70"/>
        <v>101378</v>
      </c>
      <c r="T74" s="584">
        <f t="shared" si="70"/>
        <v>94434</v>
      </c>
      <c r="U74" s="584">
        <f t="shared" si="70"/>
        <v>147812</v>
      </c>
      <c r="V74" s="584">
        <f t="shared" si="70"/>
        <v>146208</v>
      </c>
      <c r="W74" s="584">
        <f t="shared" si="70"/>
        <v>158331</v>
      </c>
      <c r="X74" s="584">
        <f t="shared" si="70"/>
        <v>187168</v>
      </c>
      <c r="Y74" s="584">
        <f t="shared" si="70"/>
        <v>238671</v>
      </c>
      <c r="Z74" s="584">
        <f t="shared" si="70"/>
        <v>311118</v>
      </c>
      <c r="AA74" s="1296">
        <f t="shared" si="61"/>
        <v>72447</v>
      </c>
    </row>
    <row r="75" spans="1:27" x14ac:dyDescent="0.25">
      <c r="A75" s="663" t="s">
        <v>432</v>
      </c>
      <c r="B75" s="1297">
        <f>'Group Totals'!Q17</f>
        <v>5070</v>
      </c>
      <c r="C75" s="1297">
        <f>'Group Totals'!Q29</f>
        <v>6813</v>
      </c>
      <c r="D75" s="1297">
        <f>'Group Totals'!Q41</f>
        <v>10661</v>
      </c>
      <c r="E75" s="1297">
        <f>'Group Totals'!Q53</f>
        <v>8676</v>
      </c>
      <c r="F75" s="1297">
        <f>'Group Totals'!Q65</f>
        <v>7566</v>
      </c>
      <c r="G75" s="1297">
        <f>'Group Totals'!Q77</f>
        <v>9374</v>
      </c>
      <c r="H75" s="1297">
        <f>'Group Totals'!Q89</f>
        <v>12768</v>
      </c>
      <c r="I75" s="1297">
        <f>'Group Totals'!Q101</f>
        <v>14238</v>
      </c>
      <c r="J75" s="1298">
        <f>'Group Totals'!Q113</f>
        <v>7905</v>
      </c>
      <c r="K75" s="1298">
        <f>'Group Totals'!Q125</f>
        <v>30630</v>
      </c>
      <c r="L75" s="1295">
        <f>'Group Totals'!Q137</f>
        <v>10987</v>
      </c>
      <c r="M75" s="1299">
        <f t="shared" si="59"/>
        <v>-19643</v>
      </c>
      <c r="O75" s="663" t="s">
        <v>432</v>
      </c>
      <c r="P75" s="1297">
        <f t="shared" ref="P75:Z75" si="71">SUM(B64:B75)</f>
        <v>81259</v>
      </c>
      <c r="Q75" s="1297">
        <f t="shared" si="71"/>
        <v>80352</v>
      </c>
      <c r="R75" s="1297">
        <f t="shared" si="71"/>
        <v>105454</v>
      </c>
      <c r="S75" s="1297">
        <f t="shared" si="71"/>
        <v>110054</v>
      </c>
      <c r="T75" s="1297">
        <f t="shared" si="71"/>
        <v>102000</v>
      </c>
      <c r="U75" s="1297">
        <f t="shared" si="71"/>
        <v>157186</v>
      </c>
      <c r="V75" s="1297">
        <f t="shared" si="71"/>
        <v>158976</v>
      </c>
      <c r="W75" s="1297">
        <f t="shared" si="71"/>
        <v>172569</v>
      </c>
      <c r="X75" s="1297">
        <f t="shared" si="71"/>
        <v>195073</v>
      </c>
      <c r="Y75" s="1297">
        <f t="shared" si="71"/>
        <v>269301</v>
      </c>
      <c r="Z75" s="1297">
        <f t="shared" si="71"/>
        <v>322105</v>
      </c>
      <c r="AA75" s="1299">
        <f t="shared" si="61"/>
        <v>52804</v>
      </c>
    </row>
    <row r="78" spans="1:27" x14ac:dyDescent="0.25">
      <c r="C78" t="s">
        <v>756</v>
      </c>
    </row>
    <row r="79" spans="1:27" x14ac:dyDescent="0.25">
      <c r="A79" s="649"/>
      <c r="B79" s="31" t="s">
        <v>744</v>
      </c>
      <c r="C79" s="31" t="s">
        <v>757</v>
      </c>
      <c r="D79" s="31" t="s">
        <v>758</v>
      </c>
      <c r="E79" s="31" t="s">
        <v>759</v>
      </c>
      <c r="F79" s="31" t="s">
        <v>760</v>
      </c>
      <c r="G79" s="31" t="s">
        <v>761</v>
      </c>
      <c r="H79" s="31" t="s">
        <v>762</v>
      </c>
      <c r="I79" s="650"/>
    </row>
    <row r="80" spans="1:27" x14ac:dyDescent="0.25">
      <c r="A80" s="9">
        <v>1</v>
      </c>
      <c r="B80" t="s">
        <v>424</v>
      </c>
      <c r="C80" s="102">
        <f t="shared" ref="C80:C91" si="72">A80/$A$91</f>
        <v>8.3333333333333329E-2</v>
      </c>
      <c r="D80" s="104">
        <f>Z19/$Y$30</f>
        <v>8.0597095602721464E-2</v>
      </c>
      <c r="E80" s="104">
        <f>Z49/$Y$60</f>
        <v>7.3905370675038454E-2</v>
      </c>
      <c r="F80" s="104">
        <f>Z64/$Y$75</f>
        <v>7.154819328558007E-2</v>
      </c>
      <c r="G80" s="104">
        <f>Z34/$Y$45</f>
        <v>7.9645423910774463E-2</v>
      </c>
      <c r="H80" s="104">
        <f>Z4/$Y$15</f>
        <v>7.7504666462619207E-2</v>
      </c>
      <c r="I80" s="49"/>
    </row>
    <row r="81" spans="1:9" x14ac:dyDescent="0.25">
      <c r="A81" s="9">
        <v>2</v>
      </c>
      <c r="B81" t="s">
        <v>327</v>
      </c>
      <c r="C81" s="102">
        <f t="shared" si="72"/>
        <v>0.16666666666666666</v>
      </c>
      <c r="D81" s="104">
        <f t="shared" ref="D81:D91" si="73">Z20/$Y$30</f>
        <v>0.16347440907080055</v>
      </c>
      <c r="E81" s="104">
        <f t="shared" ref="E81:E91" si="74">Z50/$Y$60</f>
        <v>0.16950042938976323</v>
      </c>
      <c r="F81" s="104">
        <f t="shared" ref="F81:F91" si="75">Z65/$Y$75</f>
        <v>0.1524799388045347</v>
      </c>
      <c r="G81" s="104">
        <f t="shared" ref="G81:G91" si="76">Z35/$Y$45</f>
        <v>0.18505278382488891</v>
      </c>
      <c r="H81" s="104">
        <f t="shared" ref="H81:H91" si="77">Z5/$Y$15</f>
        <v>0.1665181226864195</v>
      </c>
      <c r="I81" s="49"/>
    </row>
    <row r="82" spans="1:9" x14ac:dyDescent="0.25">
      <c r="A82" s="9">
        <v>3</v>
      </c>
      <c r="B82" t="s">
        <v>425</v>
      </c>
      <c r="C82" s="102">
        <f t="shared" si="72"/>
        <v>0.25</v>
      </c>
      <c r="D82" s="104">
        <f t="shared" si="73"/>
        <v>0.27068305540659143</v>
      </c>
      <c r="E82" s="104">
        <f t="shared" si="74"/>
        <v>0.2840735719251446</v>
      </c>
      <c r="F82" s="104">
        <f t="shared" si="75"/>
        <v>0.26211933858396369</v>
      </c>
      <c r="G82" s="104">
        <f t="shared" si="76"/>
        <v>0.3046066561297826</v>
      </c>
      <c r="H82" s="104">
        <f t="shared" si="77"/>
        <v>0.27777403476891627</v>
      </c>
      <c r="I82" s="49"/>
    </row>
    <row r="83" spans="1:9" x14ac:dyDescent="0.25">
      <c r="A83" s="9">
        <v>4</v>
      </c>
      <c r="B83" t="s">
        <v>328</v>
      </c>
      <c r="C83" s="102">
        <f t="shared" si="72"/>
        <v>0.33333333333333331</v>
      </c>
      <c r="D83" s="104">
        <f t="shared" si="73"/>
        <v>0.36175663546243758</v>
      </c>
      <c r="E83" s="104">
        <f t="shared" si="74"/>
        <v>0.38187062942562433</v>
      </c>
      <c r="F83" s="104">
        <f t="shared" si="75"/>
        <v>0.36458089646900682</v>
      </c>
      <c r="G83" s="104">
        <f t="shared" si="76"/>
        <v>0.37988324933647449</v>
      </c>
      <c r="H83" s="104">
        <f t="shared" si="77"/>
        <v>0.36946769922378553</v>
      </c>
      <c r="I83" s="49"/>
    </row>
    <row r="84" spans="1:9" x14ac:dyDescent="0.25">
      <c r="A84" s="9">
        <v>5</v>
      </c>
      <c r="B84" t="s">
        <v>428</v>
      </c>
      <c r="C84" s="102">
        <f t="shared" si="72"/>
        <v>0.41666666666666669</v>
      </c>
      <c r="D84" s="104">
        <f t="shared" si="73"/>
        <v>0.46770639670100983</v>
      </c>
      <c r="E84" s="104">
        <f t="shared" si="74"/>
        <v>0.48013639809621478</v>
      </c>
      <c r="F84" s="104">
        <f t="shared" si="75"/>
        <v>0.45994630543518217</v>
      </c>
      <c r="G84" s="104">
        <f t="shared" si="76"/>
        <v>0.45260638773745265</v>
      </c>
      <c r="H84" s="104">
        <f t="shared" si="77"/>
        <v>0.46630169121973536</v>
      </c>
      <c r="I84" s="49"/>
    </row>
    <row r="85" spans="1:9" x14ac:dyDescent="0.25">
      <c r="A85" s="9">
        <v>6</v>
      </c>
      <c r="B85" t="s">
        <v>746</v>
      </c>
      <c r="C85" s="102">
        <f t="shared" si="72"/>
        <v>0.5</v>
      </c>
      <c r="D85" s="104">
        <f t="shared" si="73"/>
        <v>0.57186100201563861</v>
      </c>
      <c r="E85" s="104">
        <f t="shared" si="74"/>
        <v>0.55379640319226908</v>
      </c>
      <c r="F85" s="104">
        <f t="shared" si="75"/>
        <v>0.59160567543380826</v>
      </c>
      <c r="G85" s="104">
        <f t="shared" si="76"/>
        <v>0.52547863298839947</v>
      </c>
      <c r="H85" s="104">
        <f t="shared" si="77"/>
        <v>0.56360409403892686</v>
      </c>
      <c r="I85" s="49"/>
    </row>
    <row r="86" spans="1:9" x14ac:dyDescent="0.25">
      <c r="A86" s="9">
        <v>7</v>
      </c>
      <c r="B86" t="s">
        <v>329</v>
      </c>
      <c r="C86" s="102">
        <f t="shared" si="72"/>
        <v>0.58333333333333337</v>
      </c>
      <c r="D86" s="104">
        <f t="shared" si="73"/>
        <v>0.66014796522916686</v>
      </c>
      <c r="E86" s="104">
        <f t="shared" si="74"/>
        <v>0.61451809256573753</v>
      </c>
      <c r="F86" s="104">
        <f t="shared" si="75"/>
        <v>0.69832640799699963</v>
      </c>
      <c r="G86" s="104">
        <f t="shared" si="76"/>
        <v>0.57688321951510457</v>
      </c>
      <c r="H86" s="104">
        <f t="shared" si="77"/>
        <v>0.64310496059894984</v>
      </c>
      <c r="I86" s="49"/>
    </row>
    <row r="87" spans="1:9" x14ac:dyDescent="0.25">
      <c r="A87" s="9">
        <v>8</v>
      </c>
      <c r="B87" t="s">
        <v>427</v>
      </c>
      <c r="C87" s="102">
        <f t="shared" si="72"/>
        <v>0.66666666666666663</v>
      </c>
      <c r="D87" s="104">
        <f t="shared" si="73"/>
        <v>0.75479763244253584</v>
      </c>
      <c r="E87" s="104">
        <f t="shared" si="74"/>
        <v>0.68307889761649365</v>
      </c>
      <c r="F87" s="104">
        <f t="shared" si="75"/>
        <v>0.80593091002261408</v>
      </c>
      <c r="G87" s="104">
        <f t="shared" si="76"/>
        <v>0.62484343780753293</v>
      </c>
      <c r="H87" s="104">
        <f t="shared" si="77"/>
        <v>0.72663480189751295</v>
      </c>
      <c r="I87" s="49"/>
    </row>
    <row r="88" spans="1:9" x14ac:dyDescent="0.25">
      <c r="A88" s="9">
        <v>9</v>
      </c>
      <c r="B88" t="s">
        <v>431</v>
      </c>
      <c r="C88" s="102">
        <f t="shared" si="72"/>
        <v>0.75</v>
      </c>
      <c r="D88" s="104">
        <f t="shared" si="73"/>
        <v>0.83390255802606816</v>
      </c>
      <c r="E88" s="104">
        <f t="shared" si="74"/>
        <v>0.75907302142544819</v>
      </c>
      <c r="F88" s="104">
        <f t="shared" si="75"/>
        <v>0.95383604219813523</v>
      </c>
      <c r="G88" s="104">
        <f t="shared" si="76"/>
        <v>0.6754092983031641</v>
      </c>
      <c r="H88" s="104">
        <f t="shared" si="77"/>
        <v>0.81208127761939508</v>
      </c>
      <c r="I88" s="49"/>
    </row>
    <row r="89" spans="1:9" x14ac:dyDescent="0.25">
      <c r="A89" s="9">
        <v>10</v>
      </c>
      <c r="B89" t="s">
        <v>423</v>
      </c>
      <c r="C89" s="102">
        <f t="shared" si="72"/>
        <v>0.83333333333333337</v>
      </c>
      <c r="D89" s="104">
        <f t="shared" si="73"/>
        <v>0.92314684290109716</v>
      </c>
      <c r="E89" s="104">
        <f t="shared" si="74"/>
        <v>0.82190862963324141</v>
      </c>
      <c r="F89" s="104">
        <f t="shared" si="75"/>
        <v>1.0770141960111548</v>
      </c>
      <c r="G89" s="104">
        <f t="shared" si="76"/>
        <v>0.72194554617839146</v>
      </c>
      <c r="H89" s="104">
        <f t="shared" si="77"/>
        <v>0.89445100005710765</v>
      </c>
      <c r="I89" s="49"/>
    </row>
    <row r="90" spans="1:9" x14ac:dyDescent="0.25">
      <c r="A90" s="9">
        <v>11</v>
      </c>
      <c r="B90" t="s">
        <v>426</v>
      </c>
      <c r="C90" s="102">
        <f t="shared" si="72"/>
        <v>0.91666666666666663</v>
      </c>
      <c r="D90" s="104">
        <f t="shared" si="73"/>
        <v>1.0085006749615577</v>
      </c>
      <c r="E90" s="104">
        <f t="shared" si="74"/>
        <v>0.86874514380624923</v>
      </c>
      <c r="F90" s="104">
        <f t="shared" si="75"/>
        <v>1.1552797798745642</v>
      </c>
      <c r="G90" s="104">
        <f t="shared" si="76"/>
        <v>0.75425327289535682</v>
      </c>
      <c r="H90" s="104">
        <f t="shared" si="77"/>
        <v>0.96159223747017086</v>
      </c>
      <c r="I90" s="49"/>
    </row>
    <row r="91" spans="1:9" x14ac:dyDescent="0.25">
      <c r="A91" s="663">
        <v>12</v>
      </c>
      <c r="B91" s="166" t="s">
        <v>432</v>
      </c>
      <c r="C91" s="1291">
        <f t="shared" si="72"/>
        <v>1</v>
      </c>
      <c r="D91" s="104">
        <f t="shared" si="73"/>
        <v>1.067106399261454</v>
      </c>
      <c r="E91" s="104">
        <f t="shared" si="74"/>
        <v>0.89718867669310109</v>
      </c>
      <c r="F91" s="104">
        <f t="shared" si="75"/>
        <v>1.1960779945117175</v>
      </c>
      <c r="G91" s="104">
        <f t="shared" si="76"/>
        <v>0.79788193719619482</v>
      </c>
      <c r="H91" s="104">
        <f t="shared" si="77"/>
        <v>1.0083903286639833</v>
      </c>
      <c r="I91" s="82"/>
    </row>
    <row r="135" spans="10:10" x14ac:dyDescent="0.25">
      <c r="J135" s="43" t="s">
        <v>763</v>
      </c>
    </row>
    <row r="136" spans="10:10" x14ac:dyDescent="0.25">
      <c r="J136" s="209">
        <f>SUM(K4:K15)</f>
        <v>1558461</v>
      </c>
    </row>
  </sheetData>
  <mergeCells count="10">
    <mergeCell ref="A2:H2"/>
    <mergeCell ref="O2:V2"/>
    <mergeCell ref="O17:W17"/>
    <mergeCell ref="O47:W47"/>
    <mergeCell ref="O62:W62"/>
    <mergeCell ref="A17:I17"/>
    <mergeCell ref="A47:I47"/>
    <mergeCell ref="A62:I62"/>
    <mergeCell ref="O32:W32"/>
    <mergeCell ref="A32:I3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A66F4-EFA3-4860-8434-266D147C0C23}">
  <dimension ref="A1:T78"/>
  <sheetViews>
    <sheetView showGridLines="0" topLeftCell="A16" workbookViewId="0">
      <selection activeCell="B16" sqref="B16"/>
    </sheetView>
  </sheetViews>
  <sheetFormatPr defaultRowHeight="15" x14ac:dyDescent="0.25"/>
  <cols>
    <col min="1" max="1" width="18.140625" customWidth="1"/>
    <col min="2" max="2" width="21.7109375" bestFit="1" customWidth="1"/>
    <col min="3" max="3" width="12.85546875" bestFit="1" customWidth="1"/>
    <col min="4" max="4" width="14.28515625" bestFit="1" customWidth="1"/>
    <col min="5" max="5" width="12.85546875" bestFit="1" customWidth="1"/>
    <col min="6" max="6" width="15.28515625" customWidth="1"/>
    <col min="7" max="7" width="12.85546875" bestFit="1" customWidth="1"/>
    <col min="8" max="8" width="14.5703125" customWidth="1"/>
    <col min="9" max="9" width="12.85546875" bestFit="1" customWidth="1"/>
    <col min="10" max="10" width="14.28515625" customWidth="1"/>
    <col min="11" max="11" width="15.7109375" customWidth="1"/>
  </cols>
  <sheetData>
    <row r="1" spans="1:20" x14ac:dyDescent="0.25">
      <c r="A1" s="1793" t="s">
        <v>764</v>
      </c>
      <c r="B1" s="1793"/>
      <c r="C1" s="1793"/>
      <c r="D1" s="1793"/>
      <c r="E1" s="1793"/>
      <c r="F1" s="1793"/>
    </row>
    <row r="2" spans="1:20" x14ac:dyDescent="0.25">
      <c r="A2" s="1793"/>
      <c r="B2" s="1793"/>
      <c r="C2" s="1793"/>
      <c r="D2" s="1793"/>
      <c r="E2" s="1793"/>
      <c r="F2" s="1793"/>
    </row>
    <row r="3" spans="1:20" x14ac:dyDescent="0.25">
      <c r="A3" s="387" t="s">
        <v>765</v>
      </c>
      <c r="B3" s="43" t="s">
        <v>766</v>
      </c>
      <c r="E3" s="93"/>
    </row>
    <row r="4" spans="1:20" x14ac:dyDescent="0.25">
      <c r="A4">
        <v>2026</v>
      </c>
      <c r="B4" s="386">
        <v>100000</v>
      </c>
      <c r="E4" s="93"/>
    </row>
    <row r="5" spans="1:20" x14ac:dyDescent="0.25">
      <c r="A5">
        <v>2030</v>
      </c>
      <c r="B5" s="386">
        <v>300000</v>
      </c>
      <c r="E5" s="93"/>
    </row>
    <row r="6" spans="1:20" x14ac:dyDescent="0.25">
      <c r="A6" s="1557" t="s">
        <v>767</v>
      </c>
      <c r="B6" s="1557"/>
      <c r="C6">
        <v>75</v>
      </c>
      <c r="D6" t="s">
        <v>768</v>
      </c>
      <c r="E6" s="93"/>
    </row>
    <row r="7" spans="1:20" x14ac:dyDescent="0.25">
      <c r="A7" s="1557" t="s">
        <v>769</v>
      </c>
      <c r="B7" s="1557"/>
      <c r="C7" s="1557"/>
      <c r="D7" s="1557"/>
      <c r="E7" s="1557"/>
      <c r="F7" s="1557"/>
    </row>
    <row r="8" spans="1:20" x14ac:dyDescent="0.25">
      <c r="B8" s="115"/>
      <c r="E8" s="93"/>
    </row>
    <row r="10" spans="1:20" x14ac:dyDescent="0.25">
      <c r="B10" s="90" t="s">
        <v>766</v>
      </c>
      <c r="C10" s="1782">
        <f>B4</f>
        <v>100000</v>
      </c>
      <c r="D10" s="1783"/>
      <c r="E10" s="1782">
        <f>B5</f>
        <v>300000</v>
      </c>
      <c r="F10" s="1783"/>
    </row>
    <row r="11" spans="1:20" x14ac:dyDescent="0.25">
      <c r="A11" t="s">
        <v>332</v>
      </c>
      <c r="B11" s="61" t="s">
        <v>770</v>
      </c>
      <c r="C11" s="649" t="s">
        <v>771</v>
      </c>
      <c r="D11" s="650" t="s">
        <v>772</v>
      </c>
      <c r="E11" s="649" t="s">
        <v>771</v>
      </c>
      <c r="F11" s="650" t="s">
        <v>772</v>
      </c>
    </row>
    <row r="12" spans="1:20" x14ac:dyDescent="0.25">
      <c r="A12" t="s">
        <v>113</v>
      </c>
      <c r="B12" s="777">
        <v>0.75</v>
      </c>
      <c r="C12" s="14">
        <f>$C$10*B12/60/48</f>
        <v>26.041666666666668</v>
      </c>
      <c r="D12" s="651">
        <f>C12/$C$6</f>
        <v>0.34722222222222227</v>
      </c>
      <c r="E12" s="14">
        <f>$E$10*B12/60/48</f>
        <v>78.125</v>
      </c>
      <c r="F12" s="651">
        <f>E12/$C$6</f>
        <v>1.0416666666666667</v>
      </c>
    </row>
    <row r="13" spans="1:20" x14ac:dyDescent="0.25">
      <c r="A13" t="s">
        <v>773</v>
      </c>
      <c r="B13" s="646">
        <v>0.5</v>
      </c>
      <c r="C13" s="14">
        <f>$C$10*B13/60/48</f>
        <v>17.361111111111111</v>
      </c>
      <c r="D13" s="651">
        <f>C13/$C$6</f>
        <v>0.23148148148148148</v>
      </c>
      <c r="E13" s="14">
        <f>$E$10*B13/60/48</f>
        <v>52.083333333333336</v>
      </c>
      <c r="F13" s="651">
        <f>E13/$C$6</f>
        <v>0.69444444444444453</v>
      </c>
    </row>
    <row r="14" spans="1:20" x14ac:dyDescent="0.25">
      <c r="A14" t="s">
        <v>774</v>
      </c>
      <c r="B14" s="647">
        <v>2</v>
      </c>
      <c r="C14" s="14">
        <f>$C$10*B14/60/48</f>
        <v>69.444444444444443</v>
      </c>
      <c r="D14" s="651">
        <f>C14/$C$6</f>
        <v>0.92592592592592593</v>
      </c>
      <c r="E14" s="14">
        <f>$E$10*B14/60/48</f>
        <v>208.33333333333334</v>
      </c>
      <c r="F14" s="651">
        <f>E14/$C$6</f>
        <v>2.7777777777777781</v>
      </c>
    </row>
    <row r="15" spans="1:20" x14ac:dyDescent="0.25">
      <c r="A15" t="s">
        <v>455</v>
      </c>
      <c r="B15" s="647">
        <v>1</v>
      </c>
      <c r="C15" s="14">
        <f>$C$10*B15/60/48</f>
        <v>34.722222222222221</v>
      </c>
      <c r="D15" s="651">
        <f>C15/$C$6</f>
        <v>0.46296296296296297</v>
      </c>
      <c r="E15" s="14">
        <f>$E$10*B15/60/48</f>
        <v>104.16666666666667</v>
      </c>
      <c r="F15" s="651">
        <f>E15/$C$6</f>
        <v>1.3888888888888891</v>
      </c>
      <c r="Q15" t="s">
        <v>775</v>
      </c>
      <c r="R15" t="s">
        <v>776</v>
      </c>
      <c r="S15">
        <f>9*4</f>
        <v>36</v>
      </c>
      <c r="T15">
        <f>S15*2</f>
        <v>72</v>
      </c>
    </row>
    <row r="16" spans="1:20" x14ac:dyDescent="0.25">
      <c r="A16" t="s">
        <v>777</v>
      </c>
      <c r="B16" s="646">
        <v>26.15</v>
      </c>
      <c r="C16" s="67"/>
      <c r="D16" s="81"/>
      <c r="E16" s="67"/>
      <c r="F16" s="651"/>
      <c r="Q16" t="s">
        <v>778</v>
      </c>
      <c r="R16" t="s">
        <v>779</v>
      </c>
      <c r="S16">
        <f>3*10</f>
        <v>30</v>
      </c>
      <c r="T16">
        <f>S16</f>
        <v>30</v>
      </c>
    </row>
    <row r="17" spans="1:20" x14ac:dyDescent="0.25">
      <c r="A17" t="s">
        <v>780</v>
      </c>
      <c r="B17" s="646"/>
      <c r="C17" s="67"/>
      <c r="D17" s="81"/>
      <c r="E17" s="67"/>
      <c r="F17" s="651"/>
      <c r="S17">
        <f>SUM(S15:S16)</f>
        <v>66</v>
      </c>
      <c r="T17">
        <f>SUM(T15:T16)</f>
        <v>102</v>
      </c>
    </row>
    <row r="18" spans="1:20" x14ac:dyDescent="0.25">
      <c r="A18">
        <v>4</v>
      </c>
      <c r="B18" s="647">
        <f>$B$16/A18</f>
        <v>6.5374999999999996</v>
      </c>
      <c r="C18" s="14">
        <f>$C$10*B18/60/48</f>
        <v>226.9965277777778</v>
      </c>
      <c r="D18" s="651">
        <f>C18/$C$6</f>
        <v>3.0266203703703707</v>
      </c>
      <c r="E18" s="14">
        <f>$E$10*B18/60/48</f>
        <v>680.98958333333337</v>
      </c>
      <c r="F18" s="651">
        <f>E18/$C$6</f>
        <v>9.0798611111111125</v>
      </c>
    </row>
    <row r="19" spans="1:20" x14ac:dyDescent="0.25">
      <c r="A19">
        <v>6</v>
      </c>
      <c r="B19" s="647">
        <f>$B$16/A19</f>
        <v>4.3583333333333334</v>
      </c>
      <c r="C19" s="14">
        <f>$C$10*B19/60/48</f>
        <v>151.3310185185185</v>
      </c>
      <c r="D19" s="651">
        <f>C19/$C$6</f>
        <v>2.0177469135802468</v>
      </c>
      <c r="E19" s="14">
        <f>$E$10*B19/60/48</f>
        <v>453.9930555555556</v>
      </c>
      <c r="F19" s="651">
        <f>E19/$C$6</f>
        <v>6.0532407407407414</v>
      </c>
    </row>
    <row r="20" spans="1:20" x14ac:dyDescent="0.25">
      <c r="A20">
        <v>8</v>
      </c>
      <c r="B20" s="647">
        <f>$B$16/A20</f>
        <v>3.2687499999999998</v>
      </c>
      <c r="C20" s="14">
        <f>$C$10*B20/60/48</f>
        <v>113.4982638888889</v>
      </c>
      <c r="D20" s="651">
        <f>C20/$C$6</f>
        <v>1.5133101851851853</v>
      </c>
      <c r="E20" s="14">
        <f>$E$10*B20/60/48</f>
        <v>340.49479166666669</v>
      </c>
      <c r="F20" s="651">
        <f>E20/$C$6</f>
        <v>4.5399305555555562</v>
      </c>
    </row>
    <row r="21" spans="1:20" x14ac:dyDescent="0.25">
      <c r="A21">
        <v>10</v>
      </c>
      <c r="B21" s="648">
        <f>$B$16/A21</f>
        <v>2.6149999999999998</v>
      </c>
      <c r="C21" s="652">
        <f>$C$10*B21/60/48</f>
        <v>90.7986111111111</v>
      </c>
      <c r="D21" s="653">
        <f>C21/$C$6</f>
        <v>1.2106481481481479</v>
      </c>
      <c r="E21" s="652">
        <f>$E$10*B21/60/48</f>
        <v>272.39583333333331</v>
      </c>
      <c r="F21" s="653">
        <f>E21/$C$6</f>
        <v>3.6319444444444442</v>
      </c>
    </row>
    <row r="27" spans="1:20" ht="15.75" thickBot="1" x14ac:dyDescent="0.3"/>
    <row r="28" spans="1:20" ht="15.75" thickBot="1" x14ac:dyDescent="0.3">
      <c r="F28" s="1784" t="s">
        <v>781</v>
      </c>
      <c r="G28" s="1785"/>
      <c r="H28" s="1785"/>
      <c r="I28" s="1786"/>
      <c r="J28" s="35"/>
      <c r="K28" s="1784" t="s">
        <v>782</v>
      </c>
      <c r="L28" s="1785"/>
      <c r="M28" s="1785"/>
      <c r="N28" s="1786"/>
    </row>
    <row r="29" spans="1:20" ht="15.75" thickBot="1" x14ac:dyDescent="0.3">
      <c r="F29" s="1787" t="s">
        <v>783</v>
      </c>
      <c r="G29" s="1788"/>
      <c r="H29" s="1789"/>
      <c r="I29" s="403" t="s">
        <v>784</v>
      </c>
      <c r="J29" s="35"/>
      <c r="K29" s="1787" t="s">
        <v>783</v>
      </c>
      <c r="L29" s="1788"/>
      <c r="M29" s="1788"/>
      <c r="N29" s="403" t="s">
        <v>784</v>
      </c>
    </row>
    <row r="30" spans="1:20" x14ac:dyDescent="0.25">
      <c r="F30" s="392" t="s">
        <v>113</v>
      </c>
      <c r="G30" s="775">
        <f>D12</f>
        <v>0.34722222222222227</v>
      </c>
      <c r="H30" s="398" t="s">
        <v>785</v>
      </c>
      <c r="I30" s="404">
        <v>0</v>
      </c>
      <c r="K30" s="392" t="s">
        <v>113</v>
      </c>
      <c r="L30" s="775">
        <f>F12</f>
        <v>1.0416666666666667</v>
      </c>
      <c r="M30" s="397" t="s">
        <v>785</v>
      </c>
      <c r="N30" s="412">
        <v>133</v>
      </c>
    </row>
    <row r="31" spans="1:20" x14ac:dyDescent="0.25">
      <c r="F31" s="399" t="s">
        <v>773</v>
      </c>
      <c r="G31" s="776">
        <f>D13</f>
        <v>0.23148148148148148</v>
      </c>
      <c r="H31" s="401" t="s">
        <v>785</v>
      </c>
      <c r="I31" s="1790">
        <v>0</v>
      </c>
      <c r="K31" s="399" t="s">
        <v>773</v>
      </c>
      <c r="L31" s="776">
        <f>F13</f>
        <v>0.69444444444444453</v>
      </c>
      <c r="M31" s="119" t="s">
        <v>785</v>
      </c>
      <c r="N31" s="1790">
        <v>100</v>
      </c>
    </row>
    <row r="32" spans="1:20" x14ac:dyDescent="0.25">
      <c r="F32" s="399" t="s">
        <v>774</v>
      </c>
      <c r="G32" s="776">
        <f>D14</f>
        <v>0.92592592592592593</v>
      </c>
      <c r="H32" s="401"/>
      <c r="I32" s="1791"/>
      <c r="K32" s="399" t="s">
        <v>774</v>
      </c>
      <c r="L32" s="776">
        <f>F14</f>
        <v>2.7777777777777781</v>
      </c>
      <c r="M32" s="119"/>
      <c r="N32" s="1791"/>
    </row>
    <row r="33" spans="1:14" ht="15.75" thickBot="1" x14ac:dyDescent="0.3">
      <c r="F33" s="399" t="s">
        <v>786</v>
      </c>
      <c r="G33" s="776">
        <f>D15</f>
        <v>0.46296296296296297</v>
      </c>
      <c r="H33" s="401" t="s">
        <v>785</v>
      </c>
      <c r="I33" s="1792"/>
      <c r="K33" s="399" t="s">
        <v>786</v>
      </c>
      <c r="L33" s="776">
        <f>F15</f>
        <v>1.3888888888888891</v>
      </c>
      <c r="M33" s="119" t="s">
        <v>785</v>
      </c>
      <c r="N33" s="1792"/>
    </row>
    <row r="34" spans="1:14" x14ac:dyDescent="0.25">
      <c r="F34" s="392" t="s">
        <v>787</v>
      </c>
      <c r="G34" s="48"/>
      <c r="H34" s="393"/>
      <c r="I34" s="405"/>
      <c r="K34" s="392" t="s">
        <v>787</v>
      </c>
      <c r="L34" s="48"/>
      <c r="M34" s="48"/>
      <c r="N34" s="413"/>
    </row>
    <row r="35" spans="1:14" ht="15.75" thickBot="1" x14ac:dyDescent="0.3">
      <c r="F35" s="394" t="s">
        <v>788</v>
      </c>
      <c r="G35" s="395">
        <v>2</v>
      </c>
      <c r="H35" s="396" t="s">
        <v>785</v>
      </c>
      <c r="I35" s="406">
        <v>190</v>
      </c>
      <c r="K35" s="394" t="s">
        <v>788</v>
      </c>
      <c r="L35" s="395">
        <v>6</v>
      </c>
      <c r="M35" s="407" t="s">
        <v>785</v>
      </c>
      <c r="N35" s="414">
        <v>570</v>
      </c>
    </row>
    <row r="36" spans="1:14" ht="15.75" thickBot="1" x14ac:dyDescent="0.3">
      <c r="I36" s="43"/>
      <c r="N36" s="199"/>
    </row>
    <row r="37" spans="1:14" ht="15.75" thickBot="1" x14ac:dyDescent="0.3">
      <c r="F37" s="408"/>
      <c r="G37" s="409"/>
      <c r="H37" s="410" t="s">
        <v>789</v>
      </c>
      <c r="I37" s="411">
        <f>SUM(I30:I35)</f>
        <v>190</v>
      </c>
      <c r="K37" s="408"/>
      <c r="L37" s="409"/>
      <c r="M37" s="410" t="s">
        <v>789</v>
      </c>
      <c r="N37" s="411">
        <f>SUM(N30:N35)</f>
        <v>803</v>
      </c>
    </row>
    <row r="40" spans="1:14" x14ac:dyDescent="0.25">
      <c r="A40" s="1793" t="s">
        <v>764</v>
      </c>
      <c r="B40" s="1793"/>
      <c r="C40" s="1793"/>
      <c r="D40" s="1793"/>
      <c r="E40" s="1793"/>
      <c r="F40" s="1793"/>
    </row>
    <row r="41" spans="1:14" x14ac:dyDescent="0.25">
      <c r="A41" s="1793"/>
      <c r="B41" s="1793"/>
      <c r="C41" s="1793"/>
      <c r="D41" s="1793"/>
      <c r="E41" s="1793"/>
      <c r="F41" s="1793"/>
    </row>
    <row r="42" spans="1:14" x14ac:dyDescent="0.25">
      <c r="A42" s="387" t="s">
        <v>765</v>
      </c>
      <c r="B42" s="43" t="s">
        <v>766</v>
      </c>
      <c r="E42" s="93"/>
    </row>
    <row r="43" spans="1:14" x14ac:dyDescent="0.25">
      <c r="A43" s="387" t="s">
        <v>384</v>
      </c>
      <c r="B43" s="386">
        <v>70000</v>
      </c>
      <c r="E43" s="93"/>
    </row>
    <row r="44" spans="1:14" x14ac:dyDescent="0.25">
      <c r="A44" s="387" t="s">
        <v>387</v>
      </c>
      <c r="B44" s="386">
        <v>140000</v>
      </c>
      <c r="E44" s="93"/>
    </row>
    <row r="45" spans="1:14" x14ac:dyDescent="0.25">
      <c r="A45" s="387" t="s">
        <v>393</v>
      </c>
      <c r="B45" s="386">
        <v>260000</v>
      </c>
      <c r="E45" s="93"/>
    </row>
    <row r="46" spans="1:14" x14ac:dyDescent="0.25">
      <c r="A46" s="387" t="s">
        <v>1225</v>
      </c>
      <c r="B46" s="386">
        <v>420000</v>
      </c>
      <c r="E46" s="93"/>
    </row>
    <row r="47" spans="1:14" x14ac:dyDescent="0.25">
      <c r="A47" s="1557" t="s">
        <v>767</v>
      </c>
      <c r="B47" s="1557"/>
      <c r="C47">
        <v>75</v>
      </c>
      <c r="D47" t="s">
        <v>768</v>
      </c>
      <c r="E47" s="93"/>
    </row>
    <row r="48" spans="1:14" x14ac:dyDescent="0.25">
      <c r="A48" s="1557" t="s">
        <v>1224</v>
      </c>
      <c r="B48" s="1557"/>
      <c r="C48" s="1557"/>
      <c r="D48" s="1557"/>
      <c r="E48" s="1557"/>
      <c r="F48" s="1557"/>
    </row>
    <row r="49" spans="1:20" x14ac:dyDescent="0.25">
      <c r="B49" s="115"/>
      <c r="E49" s="93"/>
    </row>
    <row r="51" spans="1:20" x14ac:dyDescent="0.25">
      <c r="B51" s="90" t="s">
        <v>766</v>
      </c>
      <c r="C51" s="1782">
        <f>B43</f>
        <v>70000</v>
      </c>
      <c r="D51" s="1783"/>
      <c r="E51" s="1782">
        <f>B44</f>
        <v>140000</v>
      </c>
      <c r="F51" s="1783"/>
      <c r="G51" s="1782">
        <f>B45</f>
        <v>260000</v>
      </c>
      <c r="H51" s="1783"/>
      <c r="I51" s="1782">
        <f>B46</f>
        <v>420000</v>
      </c>
      <c r="J51" s="1783"/>
    </row>
    <row r="52" spans="1:20" x14ac:dyDescent="0.25">
      <c r="A52" t="s">
        <v>332</v>
      </c>
      <c r="B52" s="61" t="s">
        <v>770</v>
      </c>
      <c r="C52" s="649" t="s">
        <v>771</v>
      </c>
      <c r="D52" s="650" t="s">
        <v>772</v>
      </c>
      <c r="E52" s="649" t="s">
        <v>771</v>
      </c>
      <c r="F52" s="650" t="s">
        <v>772</v>
      </c>
      <c r="G52" s="649" t="s">
        <v>771</v>
      </c>
      <c r="H52" s="650" t="s">
        <v>772</v>
      </c>
      <c r="I52" s="649" t="s">
        <v>771</v>
      </c>
      <c r="J52" s="650" t="s">
        <v>772</v>
      </c>
    </row>
    <row r="53" spans="1:20" x14ac:dyDescent="0.25">
      <c r="A53" t="s">
        <v>113</v>
      </c>
      <c r="B53" s="777">
        <v>1</v>
      </c>
      <c r="C53" s="14">
        <f>$C$51*B53/60/48</f>
        <v>24.305555555555557</v>
      </c>
      <c r="D53" s="651">
        <f>C53/$C$47</f>
        <v>0.32407407407407407</v>
      </c>
      <c r="E53" s="14">
        <f>$E$51*B53/60/48</f>
        <v>48.611111111111114</v>
      </c>
      <c r="F53" s="651">
        <f>E53/$C$47</f>
        <v>0.64814814814814814</v>
      </c>
      <c r="G53" s="14">
        <f>$G$51*B53/60/48</f>
        <v>90.277777777777771</v>
      </c>
      <c r="H53" s="651">
        <f>G53/$C$47</f>
        <v>1.2037037037037037</v>
      </c>
      <c r="I53" s="14">
        <f>$I$51*B53/60/48</f>
        <v>145.83333333333334</v>
      </c>
      <c r="J53" s="651">
        <f>I53/$C$47</f>
        <v>1.9444444444444446</v>
      </c>
    </row>
    <row r="54" spans="1:20" x14ac:dyDescent="0.25">
      <c r="A54" t="s">
        <v>773</v>
      </c>
      <c r="B54" s="646">
        <v>1.41</v>
      </c>
      <c r="C54" s="14">
        <f>$C$51*B54/60/48</f>
        <v>34.270833333333336</v>
      </c>
      <c r="D54" s="651">
        <f>C54/$C$47</f>
        <v>0.45694444444444449</v>
      </c>
      <c r="E54" s="14">
        <f>$E$51*B54/60/48</f>
        <v>68.541666666666671</v>
      </c>
      <c r="F54" s="651">
        <f>E54/$C$47</f>
        <v>0.91388888888888897</v>
      </c>
      <c r="G54" s="14">
        <f>$G$51*B54/60/48</f>
        <v>127.29166666666667</v>
      </c>
      <c r="H54" s="651">
        <f>G54/$C$47</f>
        <v>1.6972222222222222</v>
      </c>
      <c r="I54" s="14">
        <f>$I$51*B54/60/48</f>
        <v>205.625</v>
      </c>
      <c r="J54" s="651">
        <f>I54/$C$47</f>
        <v>2.7416666666666667</v>
      </c>
    </row>
    <row r="55" spans="1:20" x14ac:dyDescent="0.25">
      <c r="A55" t="s">
        <v>774</v>
      </c>
      <c r="B55" s="647">
        <v>2.52</v>
      </c>
      <c r="C55" s="14">
        <f>$C$51*B55/60/48</f>
        <v>61.25</v>
      </c>
      <c r="D55" s="651">
        <f>C55/$C$47</f>
        <v>0.81666666666666665</v>
      </c>
      <c r="E55" s="14">
        <f>$E$51*B55/60/48</f>
        <v>122.5</v>
      </c>
      <c r="F55" s="651">
        <f>E55/$C$47</f>
        <v>1.6333333333333333</v>
      </c>
      <c r="G55" s="14">
        <f>$G$51*B55/60/48</f>
        <v>227.5</v>
      </c>
      <c r="H55" s="651">
        <f>G55/$C$47</f>
        <v>3.0333333333333332</v>
      </c>
      <c r="I55" s="14">
        <f>$I$51*B55/60/48</f>
        <v>367.5</v>
      </c>
      <c r="J55" s="651">
        <f>I55/$C$47</f>
        <v>4.9000000000000004</v>
      </c>
    </row>
    <row r="56" spans="1:20" x14ac:dyDescent="0.25">
      <c r="A56" t="s">
        <v>455</v>
      </c>
      <c r="B56" s="647">
        <v>1.85</v>
      </c>
      <c r="C56" s="14">
        <f>$C$51*B56/60/48</f>
        <v>44.965277777777779</v>
      </c>
      <c r="D56" s="651">
        <f>C56/$C$47</f>
        <v>0.59953703703703709</v>
      </c>
      <c r="E56" s="14">
        <f>$E$51*B56/60/48</f>
        <v>89.930555555555557</v>
      </c>
      <c r="F56" s="651">
        <f>E56/$C$47</f>
        <v>1.1990740740740742</v>
      </c>
      <c r="G56" s="14">
        <f>$G$51*B56/60/48</f>
        <v>167.01388888888889</v>
      </c>
      <c r="H56" s="651">
        <f>G56/$C$47</f>
        <v>2.2268518518518516</v>
      </c>
      <c r="I56" s="14">
        <f>$I$51*B56/60/48</f>
        <v>269.79166666666669</v>
      </c>
      <c r="J56" s="651">
        <f>I56/$C$47</f>
        <v>3.5972222222222223</v>
      </c>
      <c r="Q56" t="s">
        <v>775</v>
      </c>
      <c r="R56" t="s">
        <v>776</v>
      </c>
      <c r="S56">
        <f>9*4</f>
        <v>36</v>
      </c>
      <c r="T56">
        <f>S56*2</f>
        <v>72</v>
      </c>
    </row>
    <row r="57" spans="1:20" x14ac:dyDescent="0.25">
      <c r="A57" t="s">
        <v>777</v>
      </c>
      <c r="B57" s="646">
        <v>13.068</v>
      </c>
      <c r="C57" s="67"/>
      <c r="D57" s="81"/>
      <c r="E57" s="67"/>
      <c r="F57" s="651"/>
      <c r="G57" s="67"/>
      <c r="H57" s="651"/>
      <c r="I57" s="67"/>
      <c r="J57" s="651"/>
      <c r="Q57" t="s">
        <v>778</v>
      </c>
      <c r="R57" t="s">
        <v>779</v>
      </c>
      <c r="S57">
        <f>3*10</f>
        <v>30</v>
      </c>
      <c r="T57">
        <f>S57</f>
        <v>30</v>
      </c>
    </row>
    <row r="58" spans="1:20" x14ac:dyDescent="0.25">
      <c r="A58" t="s">
        <v>780</v>
      </c>
      <c r="B58" s="646"/>
      <c r="C58" s="67"/>
      <c r="D58" s="81"/>
      <c r="E58" s="67"/>
      <c r="F58" s="651"/>
      <c r="G58" s="67"/>
      <c r="H58" s="651"/>
      <c r="I58" s="67"/>
      <c r="J58" s="651"/>
      <c r="S58">
        <f>SUM(S56:S57)</f>
        <v>66</v>
      </c>
      <c r="T58">
        <f>SUM(T56:T57)</f>
        <v>102</v>
      </c>
    </row>
    <row r="59" spans="1:20" x14ac:dyDescent="0.25">
      <c r="A59" s="119">
        <v>4</v>
      </c>
      <c r="B59" s="422">
        <f>$B$57/A59</f>
        <v>3.2669999999999999</v>
      </c>
      <c r="C59" s="1505">
        <f>$C$51*B59/60/48</f>
        <v>79.40625</v>
      </c>
      <c r="D59" s="1506">
        <f>C59/$C$47</f>
        <v>1.0587500000000001</v>
      </c>
      <c r="E59" s="1505">
        <f>$E$51*B59/60/48</f>
        <v>158.8125</v>
      </c>
      <c r="F59" s="1506">
        <f>E59/$C$47</f>
        <v>2.1175000000000002</v>
      </c>
      <c r="G59" s="1505">
        <f>$G$51*B59/60/48</f>
        <v>294.9375</v>
      </c>
      <c r="H59" s="1506">
        <f>G59/$C$47</f>
        <v>3.9325000000000001</v>
      </c>
      <c r="I59" s="1505">
        <f>$I$51*B59/60/48</f>
        <v>476.4375</v>
      </c>
      <c r="J59" s="1506">
        <f>I59/$C$6</f>
        <v>6.3525</v>
      </c>
    </row>
    <row r="68" spans="6:14" ht="15.75" thickBot="1" x14ac:dyDescent="0.3"/>
    <row r="69" spans="6:14" ht="15.75" thickBot="1" x14ac:dyDescent="0.3">
      <c r="F69" s="1784" t="s">
        <v>1226</v>
      </c>
      <c r="G69" s="1785"/>
      <c r="H69" s="1785"/>
      <c r="I69" s="1786"/>
      <c r="J69" s="35"/>
      <c r="K69" s="1784" t="s">
        <v>1227</v>
      </c>
      <c r="L69" s="1785"/>
      <c r="M69" s="1785"/>
      <c r="N69" s="1786"/>
    </row>
    <row r="70" spans="6:14" ht="15.75" thickBot="1" x14ac:dyDescent="0.3">
      <c r="F70" s="1787" t="s">
        <v>783</v>
      </c>
      <c r="G70" s="1788"/>
      <c r="H70" s="1789"/>
      <c r="I70" s="403" t="s">
        <v>784</v>
      </c>
      <c r="J70" s="35"/>
      <c r="K70" s="1787" t="s">
        <v>783</v>
      </c>
      <c r="L70" s="1788"/>
      <c r="M70" s="1788"/>
      <c r="N70" s="403" t="s">
        <v>784</v>
      </c>
    </row>
    <row r="71" spans="6:14" x14ac:dyDescent="0.25">
      <c r="F71" s="392" t="s">
        <v>113</v>
      </c>
      <c r="G71" s="775">
        <f>F53</f>
        <v>0.64814814814814814</v>
      </c>
      <c r="H71" s="398" t="s">
        <v>785</v>
      </c>
      <c r="I71" s="404"/>
      <c r="K71" s="392" t="s">
        <v>113</v>
      </c>
      <c r="L71" s="775">
        <f>J53</f>
        <v>1.9444444444444446</v>
      </c>
      <c r="M71" s="397" t="s">
        <v>785</v>
      </c>
      <c r="N71" s="412"/>
    </row>
    <row r="72" spans="6:14" x14ac:dyDescent="0.25">
      <c r="F72" s="399" t="s">
        <v>773</v>
      </c>
      <c r="G72" s="776">
        <f>F54</f>
        <v>0.91388888888888897</v>
      </c>
      <c r="H72" s="401" t="s">
        <v>785</v>
      </c>
      <c r="I72" s="1790"/>
      <c r="K72" s="399" t="s">
        <v>773</v>
      </c>
      <c r="L72" s="776">
        <f>J54</f>
        <v>2.7416666666666667</v>
      </c>
      <c r="M72" s="119" t="s">
        <v>785</v>
      </c>
      <c r="N72" s="1790"/>
    </row>
    <row r="73" spans="6:14" x14ac:dyDescent="0.25">
      <c r="F73" s="399" t="s">
        <v>774</v>
      </c>
      <c r="G73" s="776">
        <f>F55</f>
        <v>1.6333333333333333</v>
      </c>
      <c r="H73" s="401"/>
      <c r="I73" s="1791"/>
      <c r="K73" s="399" t="s">
        <v>774</v>
      </c>
      <c r="L73" s="776">
        <f>J55</f>
        <v>4.9000000000000004</v>
      </c>
      <c r="M73" s="119"/>
      <c r="N73" s="1791"/>
    </row>
    <row r="74" spans="6:14" ht="15.75" thickBot="1" x14ac:dyDescent="0.3">
      <c r="F74" s="399" t="s">
        <v>786</v>
      </c>
      <c r="G74" s="776">
        <f>F56</f>
        <v>1.1990740740740742</v>
      </c>
      <c r="H74" s="401" t="s">
        <v>785</v>
      </c>
      <c r="I74" s="1792"/>
      <c r="K74" s="399" t="s">
        <v>786</v>
      </c>
      <c r="L74" s="776">
        <f>J56</f>
        <v>3.5972222222222223</v>
      </c>
      <c r="M74" s="119" t="s">
        <v>785</v>
      </c>
      <c r="N74" s="1792"/>
    </row>
    <row r="75" spans="6:14" x14ac:dyDescent="0.25">
      <c r="F75" s="392" t="s">
        <v>787</v>
      </c>
      <c r="G75" s="48"/>
      <c r="H75" s="393"/>
      <c r="I75" s="405"/>
      <c r="K75" s="392" t="s">
        <v>787</v>
      </c>
      <c r="L75" s="48"/>
      <c r="M75" s="48"/>
      <c r="N75" s="413"/>
    </row>
    <row r="76" spans="6:14" ht="15.75" thickBot="1" x14ac:dyDescent="0.3">
      <c r="F76" s="394" t="s">
        <v>788</v>
      </c>
      <c r="G76" s="1507">
        <v>2</v>
      </c>
      <c r="H76" s="396" t="s">
        <v>785</v>
      </c>
      <c r="I76" s="406"/>
      <c r="K76" s="394" t="s">
        <v>788</v>
      </c>
      <c r="L76" s="1507">
        <f>ROUNDUP(J59,0)</f>
        <v>7</v>
      </c>
      <c r="M76" s="407" t="s">
        <v>785</v>
      </c>
      <c r="N76" s="414"/>
    </row>
    <row r="77" spans="6:14" ht="15.75" thickBot="1" x14ac:dyDescent="0.3">
      <c r="I77" s="43"/>
      <c r="N77" s="199"/>
    </row>
    <row r="78" spans="6:14" ht="15.75" thickBot="1" x14ac:dyDescent="0.3">
      <c r="F78" s="408"/>
      <c r="G78" s="409"/>
      <c r="H78" s="410" t="s">
        <v>789</v>
      </c>
      <c r="I78" s="411"/>
      <c r="K78" s="408"/>
      <c r="L78" s="409"/>
      <c r="M78" s="410" t="s">
        <v>789</v>
      </c>
      <c r="N78" s="411"/>
    </row>
  </sheetData>
  <mergeCells count="24">
    <mergeCell ref="I31:I33"/>
    <mergeCell ref="N31:N33"/>
    <mergeCell ref="A1:F2"/>
    <mergeCell ref="F29:H29"/>
    <mergeCell ref="K29:M29"/>
    <mergeCell ref="F28:I28"/>
    <mergeCell ref="K28:N28"/>
    <mergeCell ref="C10:D10"/>
    <mergeCell ref="E10:F10"/>
    <mergeCell ref="A7:F7"/>
    <mergeCell ref="A6:B6"/>
    <mergeCell ref="I72:I74"/>
    <mergeCell ref="N72:N74"/>
    <mergeCell ref="A40:F41"/>
    <mergeCell ref="A47:B47"/>
    <mergeCell ref="A48:F48"/>
    <mergeCell ref="C51:D51"/>
    <mergeCell ref="E51:F51"/>
    <mergeCell ref="G51:H51"/>
    <mergeCell ref="I51:J51"/>
    <mergeCell ref="F69:I69"/>
    <mergeCell ref="K69:N69"/>
    <mergeCell ref="F70:H70"/>
    <mergeCell ref="K70:M70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1F5D0-82EE-4F54-B773-74CA355A2A39}">
  <dimension ref="A1:BR222"/>
  <sheetViews>
    <sheetView showGridLines="0" topLeftCell="A49" zoomScale="25" zoomScaleNormal="25" workbookViewId="0">
      <selection activeCell="Y172" sqref="Y172:AE190"/>
    </sheetView>
  </sheetViews>
  <sheetFormatPr defaultRowHeight="15" outlineLevelCol="2" x14ac:dyDescent="0.25"/>
  <cols>
    <col min="1" max="1" width="10.85546875" customWidth="1"/>
    <col min="2" max="2" width="9" bestFit="1" customWidth="1"/>
    <col min="3" max="3" width="16.42578125" style="94" bestFit="1" customWidth="1"/>
    <col min="4" max="4" width="19.140625" style="43" bestFit="1" customWidth="1"/>
    <col min="5" max="5" width="10.140625" style="43" bestFit="1" customWidth="1"/>
    <col min="6" max="6" width="10.85546875" style="43" bestFit="1" customWidth="1"/>
    <col min="7" max="7" width="12.140625" style="43" bestFit="1" customWidth="1"/>
    <col min="8" max="8" width="9.5703125" style="43" bestFit="1" customWidth="1"/>
    <col min="9" max="9" width="2" style="43" customWidth="1"/>
    <col min="10" max="10" width="12.140625" style="43" bestFit="1" customWidth="1"/>
    <col min="11" max="11" width="12.140625" style="43" customWidth="1"/>
    <col min="12" max="12" width="1.85546875" style="43" customWidth="1"/>
    <col min="13" max="13" width="11.42578125" style="43" bestFit="1" customWidth="1"/>
    <col min="14" max="14" width="8.42578125" style="43" bestFit="1" customWidth="1"/>
    <col min="15" max="15" width="1.5703125" style="43" customWidth="1"/>
    <col min="16" max="16" width="14.5703125" style="94" customWidth="1"/>
    <col min="17" max="17" width="8.7109375" style="43"/>
    <col min="18" max="18" width="12.140625" style="43" customWidth="1"/>
    <col min="19" max="19" width="10.85546875" style="43" bestFit="1" customWidth="1"/>
    <col min="20" max="20" width="7.140625" style="43" bestFit="1" customWidth="1"/>
    <col min="21" max="21" width="12.5703125" style="43" bestFit="1" customWidth="1"/>
    <col min="22" max="22" width="7.85546875" style="43" customWidth="1"/>
    <col min="23" max="23" width="13.5703125" style="43" customWidth="1"/>
    <col min="24" max="24" width="11.42578125" style="94" bestFit="1" customWidth="1"/>
    <col min="25" max="25" width="13.5703125" style="43" customWidth="1"/>
    <col min="26" max="26" width="14.42578125" bestFit="1" customWidth="1"/>
    <col min="27" max="27" width="11.42578125" customWidth="1" outlineLevel="2"/>
    <col min="28" max="28" width="8.5703125" style="93" customWidth="1" outlineLevel="2"/>
    <col min="29" max="29" width="9.5703125" customWidth="1" outlineLevel="1"/>
    <col min="30" max="30" width="11" customWidth="1" outlineLevel="1"/>
    <col min="31" max="31" width="13.140625" customWidth="1" outlineLevel="1"/>
    <col min="32" max="32" width="14" customWidth="1"/>
    <col min="33" max="33" width="12" customWidth="1"/>
    <col min="34" max="34" width="10.5703125" customWidth="1"/>
    <col min="35" max="35" width="12.140625" customWidth="1"/>
    <col min="36" max="36" width="12.5703125" style="93" customWidth="1"/>
    <col min="37" max="37" width="11.28515625" customWidth="1"/>
    <col min="38" max="38" width="12.85546875" bestFit="1" customWidth="1"/>
    <col min="39" max="39" width="8" customWidth="1"/>
    <col min="40" max="40" width="12.42578125" style="93" customWidth="1"/>
    <col min="41" max="41" width="11.5703125" customWidth="1"/>
    <col min="42" max="42" width="2.5703125" customWidth="1"/>
    <col min="43" max="43" width="7.42578125" customWidth="1"/>
    <col min="44" max="44" width="11.42578125" style="93" customWidth="1"/>
    <col min="45" max="45" width="12.140625" customWidth="1"/>
    <col min="46" max="46" width="3.28515625" customWidth="1"/>
    <col min="48" max="48" width="19.5703125" bestFit="1" customWidth="1"/>
    <col min="49" max="49" width="4.5703125" customWidth="1"/>
    <col min="50" max="50" width="5.28515625" customWidth="1"/>
    <col min="51" max="51" width="2.7109375" customWidth="1"/>
    <col min="52" max="52" width="18.28515625" bestFit="1" customWidth="1"/>
    <col min="53" max="53" width="11.140625" bestFit="1" customWidth="1"/>
    <col min="54" max="54" width="5.28515625" customWidth="1"/>
    <col min="56" max="56" width="18.28515625" bestFit="1" customWidth="1"/>
    <col min="57" max="57" width="5.28515625" customWidth="1"/>
    <col min="58" max="58" width="6.28515625" customWidth="1"/>
    <col min="59" max="59" width="2.85546875" customWidth="1"/>
    <col min="60" max="60" width="18.28515625" bestFit="1" customWidth="1"/>
    <col min="64" max="64" width="18.28515625" bestFit="1" customWidth="1"/>
    <col min="67" max="67" width="3.140625" customWidth="1"/>
    <col min="68" max="68" width="18.28515625" bestFit="1" customWidth="1"/>
  </cols>
  <sheetData>
    <row r="1" spans="23:40" ht="15.75" thickBot="1" x14ac:dyDescent="0.3"/>
    <row r="2" spans="23:40" ht="15.75" thickBot="1" x14ac:dyDescent="0.3">
      <c r="AA2" s="1808" t="s">
        <v>790</v>
      </c>
      <c r="AB2" s="1809"/>
      <c r="AC2" s="1810" t="s">
        <v>791</v>
      </c>
      <c r="AD2" s="1811"/>
    </row>
    <row r="3" spans="23:40" ht="15.75" thickBot="1" x14ac:dyDescent="0.3">
      <c r="Z3" s="695" t="s">
        <v>792</v>
      </c>
      <c r="AA3" s="791" t="s">
        <v>793</v>
      </c>
      <c r="AB3" s="779" t="s">
        <v>794</v>
      </c>
      <c r="AC3" s="780" t="s">
        <v>793</v>
      </c>
      <c r="AD3" s="779" t="s">
        <v>794</v>
      </c>
      <c r="AF3" s="43"/>
      <c r="AG3" s="94"/>
      <c r="AH3" s="43"/>
      <c r="AJ3" s="1946" t="s">
        <v>791</v>
      </c>
      <c r="AK3" s="1947"/>
      <c r="AN3"/>
    </row>
    <row r="4" spans="23:40" ht="15.75" thickBot="1" x14ac:dyDescent="0.3">
      <c r="W4" s="1799" t="s">
        <v>795</v>
      </c>
      <c r="X4" s="1848" t="s">
        <v>796</v>
      </c>
      <c r="Y4" s="1566" t="s">
        <v>407</v>
      </c>
      <c r="Z4" s="1851">
        <v>949</v>
      </c>
      <c r="AA4" s="1852">
        <v>1424</v>
      </c>
      <c r="AB4" s="1854">
        <f>AA4/Z4-1</f>
        <v>0.50052687038988419</v>
      </c>
      <c r="AC4" s="1856">
        <v>4851</v>
      </c>
      <c r="AD4" s="1858">
        <f>AC4/Z4-1</f>
        <v>4.1116965226554267</v>
      </c>
      <c r="AF4" s="43"/>
      <c r="AG4" s="94"/>
      <c r="AH4" s="43"/>
      <c r="AI4" s="695" t="s">
        <v>792</v>
      </c>
      <c r="AJ4" s="852" t="s">
        <v>793</v>
      </c>
      <c r="AK4" s="852" t="s">
        <v>794</v>
      </c>
      <c r="AL4" s="403" t="s">
        <v>797</v>
      </c>
      <c r="AN4"/>
    </row>
    <row r="5" spans="23:40" ht="15.75" thickBot="1" x14ac:dyDescent="0.3">
      <c r="W5" s="1800"/>
      <c r="X5" s="1849"/>
      <c r="Y5" s="1578"/>
      <c r="Z5" s="1790"/>
      <c r="AA5" s="1853"/>
      <c r="AB5" s="1855"/>
      <c r="AC5" s="1857"/>
      <c r="AD5" s="1859"/>
      <c r="AF5" s="1943" t="s">
        <v>798</v>
      </c>
      <c r="AG5" s="1944"/>
      <c r="AH5" s="1958"/>
      <c r="AI5" s="879">
        <f>Z38</f>
        <v>1529</v>
      </c>
      <c r="AJ5" s="362">
        <v>4586</v>
      </c>
      <c r="AK5" s="880">
        <f>AJ5/AI5-1</f>
        <v>1.9993459777632441</v>
      </c>
      <c r="AL5" s="890">
        <f>AJ5-AI5</f>
        <v>3057</v>
      </c>
      <c r="AN5" t="s">
        <v>799</v>
      </c>
    </row>
    <row r="6" spans="23:40" x14ac:dyDescent="0.25">
      <c r="W6" s="1800"/>
      <c r="X6" s="1849"/>
      <c r="Y6" s="627" t="s">
        <v>113</v>
      </c>
      <c r="Z6" s="796">
        <v>394</v>
      </c>
      <c r="AA6" s="792">
        <v>1140</v>
      </c>
      <c r="AB6" s="621">
        <f t="shared" ref="AB6:AB11" si="0">AA6/Z6-1</f>
        <v>1.8934010152284264</v>
      </c>
      <c r="AC6" s="624">
        <v>2625</v>
      </c>
      <c r="AD6" s="781">
        <f t="shared" ref="AD6:AD11" si="1">AC6/Z6-1</f>
        <v>5.6624365482233499</v>
      </c>
      <c r="AF6" s="1824" t="s">
        <v>113</v>
      </c>
      <c r="AG6" s="1825"/>
      <c r="AH6" s="1826"/>
      <c r="AI6" s="797">
        <f>Z39</f>
        <v>394</v>
      </c>
      <c r="AJ6" s="301">
        <v>2625</v>
      </c>
      <c r="AK6" s="878">
        <f t="shared" ref="AK6:AK12" si="2">AJ6/AI6-1</f>
        <v>5.6624365482233499</v>
      </c>
      <c r="AL6" s="889">
        <f t="shared" ref="AL6:AL12" si="3">AJ6-AI6</f>
        <v>2231</v>
      </c>
      <c r="AN6"/>
    </row>
    <row r="7" spans="23:40" x14ac:dyDescent="0.25">
      <c r="W7" s="1800"/>
      <c r="X7" s="1849"/>
      <c r="Y7" s="201" t="s">
        <v>800</v>
      </c>
      <c r="Z7" s="797">
        <v>322</v>
      </c>
      <c r="AA7" s="341">
        <v>886</v>
      </c>
      <c r="AB7" s="622">
        <f t="shared" si="0"/>
        <v>1.7515527950310559</v>
      </c>
      <c r="AC7" s="625">
        <v>920</v>
      </c>
      <c r="AD7" s="782">
        <f t="shared" si="1"/>
        <v>1.8571428571428572</v>
      </c>
      <c r="AF7" s="1949" t="s">
        <v>801</v>
      </c>
      <c r="AG7" s="1950"/>
      <c r="AH7" s="1959"/>
      <c r="AI7" s="802">
        <f>Z40</f>
        <v>637</v>
      </c>
      <c r="AJ7" s="363">
        <v>1848</v>
      </c>
      <c r="AK7" s="872">
        <f t="shared" si="2"/>
        <v>1.901098901098901</v>
      </c>
      <c r="AL7" s="889">
        <f t="shared" si="3"/>
        <v>1211</v>
      </c>
      <c r="AN7"/>
    </row>
    <row r="8" spans="23:40" ht="15.75" thickBot="1" x14ac:dyDescent="0.3">
      <c r="W8" s="1800"/>
      <c r="X8" s="1849"/>
      <c r="Y8" s="628" t="s">
        <v>802</v>
      </c>
      <c r="Z8" s="798">
        <v>197</v>
      </c>
      <c r="AA8" s="793">
        <v>296</v>
      </c>
      <c r="AB8" s="623">
        <f t="shared" si="0"/>
        <v>0.50253807106598991</v>
      </c>
      <c r="AC8" s="626">
        <v>529</v>
      </c>
      <c r="AD8" s="783">
        <f t="shared" si="1"/>
        <v>1.6852791878172591</v>
      </c>
      <c r="AF8" s="1824" t="s">
        <v>803</v>
      </c>
      <c r="AG8" s="1825"/>
      <c r="AH8" s="1826"/>
      <c r="AI8" s="506">
        <f>Z41</f>
        <v>4212.5999999999995</v>
      </c>
      <c r="AJ8" s="867">
        <f>AC41</f>
        <v>8990.0999999999985</v>
      </c>
      <c r="AK8" s="878">
        <f t="shared" si="2"/>
        <v>1.1340977068793618</v>
      </c>
      <c r="AL8" s="889">
        <f t="shared" si="3"/>
        <v>4777.4999999999991</v>
      </c>
      <c r="AN8"/>
    </row>
    <row r="9" spans="23:40" ht="19.5" thickBot="1" x14ac:dyDescent="0.35">
      <c r="W9" s="1800"/>
      <c r="X9" s="1850"/>
      <c r="Y9" s="785" t="s">
        <v>397</v>
      </c>
      <c r="Z9" s="799">
        <f>SUM(Z4:Z8)</f>
        <v>1862</v>
      </c>
      <c r="AA9" s="804">
        <f>SUM(AA4:AA8)</f>
        <v>3746</v>
      </c>
      <c r="AB9" s="805">
        <f t="shared" si="0"/>
        <v>1.0118152524167563</v>
      </c>
      <c r="AC9" s="786">
        <f>SUM(AC4:AC8)</f>
        <v>8925</v>
      </c>
      <c r="AD9" s="787">
        <f t="shared" si="1"/>
        <v>3.7932330827067666</v>
      </c>
      <c r="AF9" s="1962" t="s">
        <v>804</v>
      </c>
      <c r="AG9" s="1963"/>
      <c r="AH9" s="1964"/>
      <c r="AI9" s="506">
        <v>267</v>
      </c>
      <c r="AJ9" s="867">
        <v>529</v>
      </c>
      <c r="AK9" s="878">
        <f t="shared" si="2"/>
        <v>0.98127340823970033</v>
      </c>
      <c r="AL9" s="889">
        <f t="shared" si="3"/>
        <v>262</v>
      </c>
      <c r="AN9"/>
    </row>
    <row r="10" spans="23:40" ht="15.75" thickBot="1" x14ac:dyDescent="0.3">
      <c r="W10" s="1800"/>
      <c r="X10" s="828" t="s">
        <v>805</v>
      </c>
      <c r="Y10" s="589" t="s">
        <v>806</v>
      </c>
      <c r="Z10" s="800">
        <v>260</v>
      </c>
      <c r="AA10" s="806">
        <v>390</v>
      </c>
      <c r="AB10" s="807">
        <f t="shared" si="0"/>
        <v>0.5</v>
      </c>
      <c r="AC10" s="794">
        <v>520</v>
      </c>
      <c r="AD10" s="784">
        <f t="shared" si="1"/>
        <v>1</v>
      </c>
      <c r="AF10" s="1952" t="s">
        <v>807</v>
      </c>
      <c r="AG10" s="1953"/>
      <c r="AH10" s="1960"/>
      <c r="AI10" s="876">
        <f>SUM(AI5:AI9)</f>
        <v>7039.5999999999995</v>
      </c>
      <c r="AJ10" s="855">
        <f>SUM(AJ5:AJ9)</f>
        <v>18578.099999999999</v>
      </c>
      <c r="AK10" s="873">
        <f>AJ10/AI10-1</f>
        <v>1.6390846070799476</v>
      </c>
      <c r="AL10" s="889">
        <f t="shared" si="3"/>
        <v>11538.5</v>
      </c>
      <c r="AN10"/>
    </row>
    <row r="11" spans="23:40" ht="19.5" thickBot="1" x14ac:dyDescent="0.35">
      <c r="W11" s="1801"/>
      <c r="X11" s="1794" t="s">
        <v>808</v>
      </c>
      <c r="Y11" s="1795"/>
      <c r="Z11" s="824">
        <f>SUM(Z9:Z10)</f>
        <v>2122</v>
      </c>
      <c r="AA11" s="825">
        <f>SUM(AA9:AA10)</f>
        <v>4136</v>
      </c>
      <c r="AB11" s="826">
        <f t="shared" si="0"/>
        <v>0.94910461828463721</v>
      </c>
      <c r="AC11" s="827">
        <f>SUM(AC9:AC10)</f>
        <v>9445</v>
      </c>
      <c r="AD11" s="826">
        <f t="shared" si="1"/>
        <v>3.4509896324222433</v>
      </c>
      <c r="AF11" s="1824" t="s">
        <v>809</v>
      </c>
      <c r="AG11" s="1825"/>
      <c r="AH11" s="1826"/>
      <c r="AI11" s="797">
        <f>Z43</f>
        <v>260</v>
      </c>
      <c r="AJ11" s="867">
        <f>AC43</f>
        <v>520</v>
      </c>
      <c r="AK11" s="878">
        <f t="shared" si="2"/>
        <v>1</v>
      </c>
      <c r="AL11" s="889">
        <f t="shared" si="3"/>
        <v>260</v>
      </c>
      <c r="AN11"/>
    </row>
    <row r="12" spans="23:40" ht="15.75" thickBot="1" x14ac:dyDescent="0.3">
      <c r="AF12" s="1955" t="s">
        <v>810</v>
      </c>
      <c r="AG12" s="1956"/>
      <c r="AH12" s="1961"/>
      <c r="AI12" s="877">
        <f>SUM(AI10:AI11)</f>
        <v>7299.5999999999995</v>
      </c>
      <c r="AJ12" s="875">
        <f>SUM(AJ10:AJ11)</f>
        <v>19098.099999999999</v>
      </c>
      <c r="AK12" s="874">
        <f t="shared" si="2"/>
        <v>1.6163214422708094</v>
      </c>
      <c r="AL12" s="892">
        <f t="shared" si="3"/>
        <v>11798.5</v>
      </c>
      <c r="AN12"/>
    </row>
    <row r="13" spans="23:40" x14ac:dyDescent="0.25">
      <c r="W13" s="1802" t="s">
        <v>811</v>
      </c>
      <c r="X13" s="1796" t="s">
        <v>812</v>
      </c>
      <c r="Y13" s="778" t="s">
        <v>248</v>
      </c>
      <c r="Z13" s="801">
        <v>118</v>
      </c>
      <c r="AA13" s="122">
        <v>225</v>
      </c>
      <c r="AB13" s="788">
        <f>AA13/Z13-1</f>
        <v>0.90677966101694918</v>
      </c>
      <c r="AC13" s="795">
        <v>399</v>
      </c>
      <c r="AD13" s="788">
        <f>AC13/Z13-1</f>
        <v>2.3813559322033897</v>
      </c>
      <c r="AF13" s="882"/>
      <c r="AG13" s="882"/>
      <c r="AH13" s="882"/>
      <c r="AI13" s="883"/>
      <c r="AJ13" s="87"/>
      <c r="AK13" s="884"/>
      <c r="AL13" s="883"/>
      <c r="AM13" s="884"/>
      <c r="AN13"/>
    </row>
    <row r="14" spans="23:40" x14ac:dyDescent="0.25">
      <c r="W14" s="1803"/>
      <c r="X14" s="1797"/>
      <c r="Y14" s="803" t="s">
        <v>266</v>
      </c>
      <c r="Z14" s="802">
        <v>450</v>
      </c>
      <c r="AA14" s="363">
        <v>580</v>
      </c>
      <c r="AB14" s="789">
        <f>AA14/Z14-1</f>
        <v>0.28888888888888897</v>
      </c>
      <c r="AC14" s="295">
        <v>0</v>
      </c>
      <c r="AD14" s="789">
        <f>AC14/Z14-1</f>
        <v>-1</v>
      </c>
      <c r="AF14" t="s">
        <v>813</v>
      </c>
    </row>
    <row r="15" spans="23:40" x14ac:dyDescent="0.25">
      <c r="W15" s="1803"/>
      <c r="X15" s="1798"/>
      <c r="Y15" s="628" t="s">
        <v>814</v>
      </c>
      <c r="Z15" s="798">
        <v>130</v>
      </c>
      <c r="AA15" s="837">
        <v>227</v>
      </c>
      <c r="AB15" s="789">
        <f>AA15/Z15-1</f>
        <v>0.74615384615384617</v>
      </c>
      <c r="AC15" s="829">
        <v>264</v>
      </c>
      <c r="AD15" s="789">
        <f>AC15/Z15-1</f>
        <v>1.0307692307692307</v>
      </c>
      <c r="AF15" t="s">
        <v>407</v>
      </c>
      <c r="AH15">
        <v>3850</v>
      </c>
    </row>
    <row r="16" spans="23:40" ht="15.75" thickBot="1" x14ac:dyDescent="0.3">
      <c r="W16" s="1803"/>
      <c r="X16" s="1798"/>
      <c r="Y16" s="191" t="s">
        <v>815</v>
      </c>
      <c r="Z16" s="823">
        <v>1250</v>
      </c>
      <c r="AA16" s="526">
        <v>1500</v>
      </c>
      <c r="AB16" s="817">
        <f>AA16/Z16-1</f>
        <v>0.19999999999999996</v>
      </c>
      <c r="AC16" s="192">
        <v>1800</v>
      </c>
      <c r="AD16" s="817">
        <f>AC16/Z16-1</f>
        <v>0.43999999999999995</v>
      </c>
      <c r="AF16" t="s">
        <v>816</v>
      </c>
      <c r="AH16">
        <v>280</v>
      </c>
    </row>
    <row r="17" spans="23:34" ht="19.5" thickBot="1" x14ac:dyDescent="0.35">
      <c r="W17" s="1804"/>
      <c r="X17" s="1794" t="s">
        <v>817</v>
      </c>
      <c r="Y17" s="1795"/>
      <c r="Z17" s="824">
        <f>SUM(Z13:Z16)</f>
        <v>1948</v>
      </c>
      <c r="AA17" s="825">
        <f>SUM(AA13:AA16)</f>
        <v>2532</v>
      </c>
      <c r="AB17" s="826">
        <f>AA17/Z17-1</f>
        <v>0.29979466119096498</v>
      </c>
      <c r="AC17" s="827">
        <f>SUM(AC13:AC16)</f>
        <v>2463</v>
      </c>
      <c r="AD17" s="826">
        <f>AC17/Z17-1</f>
        <v>0.26437371663244358</v>
      </c>
      <c r="AF17" t="s">
        <v>818</v>
      </c>
      <c r="AH17">
        <v>42</v>
      </c>
    </row>
    <row r="18" spans="23:34" ht="15.75" thickBot="1" x14ac:dyDescent="0.3">
      <c r="AF18" t="s">
        <v>819</v>
      </c>
      <c r="AH18">
        <v>42</v>
      </c>
    </row>
    <row r="19" spans="23:34" x14ac:dyDescent="0.25">
      <c r="X19" s="808"/>
      <c r="Y19" s="815" t="s">
        <v>820</v>
      </c>
      <c r="Z19" s="412">
        <v>611</v>
      </c>
      <c r="AA19" s="820">
        <v>761</v>
      </c>
      <c r="AB19" s="788">
        <f>AA19/Z19-1</f>
        <v>0.24549918166939433</v>
      </c>
      <c r="AC19" s="820">
        <v>911</v>
      </c>
      <c r="AD19" s="788">
        <f>AC19/Z19-1</f>
        <v>0.49099836333878888</v>
      </c>
      <c r="AF19" t="s">
        <v>225</v>
      </c>
      <c r="AH19">
        <v>108</v>
      </c>
    </row>
    <row r="20" spans="23:34" x14ac:dyDescent="0.25">
      <c r="X20" s="809" t="s">
        <v>821</v>
      </c>
      <c r="Y20" s="296" t="s">
        <v>822</v>
      </c>
      <c r="Z20" s="802">
        <v>267</v>
      </c>
      <c r="AA20" s="363">
        <v>267</v>
      </c>
      <c r="AB20" s="789">
        <f>AA20/Z20-1</f>
        <v>0</v>
      </c>
      <c r="AC20" s="363">
        <v>267</v>
      </c>
      <c r="AD20" s="789">
        <f>AC20/Z20-1</f>
        <v>0</v>
      </c>
      <c r="AF20" t="s">
        <v>823</v>
      </c>
      <c r="AH20">
        <v>264</v>
      </c>
    </row>
    <row r="21" spans="23:34" ht="15.75" thickBot="1" x14ac:dyDescent="0.3">
      <c r="X21" s="822" t="s">
        <v>824</v>
      </c>
      <c r="Y21" s="286" t="s">
        <v>825</v>
      </c>
      <c r="Z21" s="414">
        <v>162</v>
      </c>
      <c r="AA21" s="443">
        <v>320</v>
      </c>
      <c r="AB21" s="821">
        <f>AA21/Z21-1</f>
        <v>0.97530864197530853</v>
      </c>
      <c r="AC21" s="443">
        <v>420</v>
      </c>
      <c r="AD21" s="821">
        <f>AC21/Z21-1</f>
        <v>1.5925925925925926</v>
      </c>
      <c r="AF21" t="s">
        <v>113</v>
      </c>
      <c r="AH21">
        <v>2625</v>
      </c>
    </row>
    <row r="22" spans="23:34" x14ac:dyDescent="0.25">
      <c r="X22" s="1814" t="s">
        <v>826</v>
      </c>
      <c r="Y22" s="1815"/>
      <c r="Z22" s="830">
        <v>6018</v>
      </c>
      <c r="AA22" s="832">
        <v>9430</v>
      </c>
      <c r="AB22" s="833">
        <f>AA22/Z22-1</f>
        <v>0.566965769358591</v>
      </c>
      <c r="AC22" s="834">
        <v>12843</v>
      </c>
      <c r="AD22" s="835">
        <f>AC22/Z22-1</f>
        <v>1.1340977068793618</v>
      </c>
      <c r="AF22" t="s">
        <v>827</v>
      </c>
      <c r="AH22">
        <v>920</v>
      </c>
    </row>
    <row r="23" spans="23:34" ht="15.75" thickBot="1" x14ac:dyDescent="0.3">
      <c r="X23" s="1816" t="s">
        <v>828</v>
      </c>
      <c r="Y23" s="1817"/>
      <c r="Z23" s="831">
        <v>5000</v>
      </c>
      <c r="AA23" s="443">
        <v>7000</v>
      </c>
      <c r="AB23" s="836">
        <f>AA23/Z23-1</f>
        <v>0.39999999999999991</v>
      </c>
      <c r="AC23" s="285">
        <f>Z23*1.8</f>
        <v>9000</v>
      </c>
      <c r="AD23" s="836">
        <f>AC23/Z23-1</f>
        <v>0.8</v>
      </c>
      <c r="AF23" t="s">
        <v>829</v>
      </c>
      <c r="AH23">
        <v>529</v>
      </c>
    </row>
    <row r="24" spans="23:34" x14ac:dyDescent="0.25">
      <c r="AF24" t="s">
        <v>248</v>
      </c>
      <c r="AH24">
        <v>399</v>
      </c>
    </row>
    <row r="25" spans="23:34" ht="15.75" thickBot="1" x14ac:dyDescent="0.3">
      <c r="AF25" t="s">
        <v>804</v>
      </c>
      <c r="AH25">
        <v>529</v>
      </c>
    </row>
    <row r="26" spans="23:34" ht="15.75" thickBot="1" x14ac:dyDescent="0.3">
      <c r="AA26" s="1946" t="s">
        <v>790</v>
      </c>
      <c r="AB26" s="1947"/>
      <c r="AC26" s="1787" t="s">
        <v>791</v>
      </c>
      <c r="AD26" s="1789"/>
      <c r="AH26">
        <f>SUM(AH15:AH25)</f>
        <v>9588</v>
      </c>
    </row>
    <row r="27" spans="23:34" ht="15.75" thickBot="1" x14ac:dyDescent="0.3">
      <c r="Z27" s="868" t="s">
        <v>792</v>
      </c>
      <c r="AA27" s="403" t="s">
        <v>793</v>
      </c>
      <c r="AB27" s="403" t="s">
        <v>794</v>
      </c>
      <c r="AC27" s="869" t="s">
        <v>793</v>
      </c>
      <c r="AD27" s="403" t="s">
        <v>794</v>
      </c>
    </row>
    <row r="28" spans="23:34" x14ac:dyDescent="0.25">
      <c r="W28" s="1943" t="s">
        <v>830</v>
      </c>
      <c r="X28" s="1944"/>
      <c r="Y28" s="1945"/>
      <c r="Z28" s="630">
        <f>Z4</f>
        <v>949</v>
      </c>
      <c r="AA28" s="870">
        <f>AA4</f>
        <v>1424</v>
      </c>
      <c r="AB28" s="871">
        <f>AB4</f>
        <v>0.50052687038988419</v>
      </c>
      <c r="AC28" s="870">
        <f>AC4</f>
        <v>4851</v>
      </c>
      <c r="AD28" s="444">
        <f>AD4</f>
        <v>4.1116965226554267</v>
      </c>
    </row>
    <row r="29" spans="23:34" x14ac:dyDescent="0.25">
      <c r="W29" s="1824" t="s">
        <v>113</v>
      </c>
      <c r="X29" s="1825"/>
      <c r="Y29" s="1948"/>
      <c r="Z29" s="797">
        <f>Z6</f>
        <v>394</v>
      </c>
      <c r="AA29" s="301">
        <f>AA6</f>
        <v>1140</v>
      </c>
      <c r="AB29" s="782">
        <f>AB6</f>
        <v>1.8934010152284264</v>
      </c>
      <c r="AC29" s="301">
        <f>AC6</f>
        <v>2625</v>
      </c>
      <c r="AD29" s="782">
        <f>AD6</f>
        <v>5.6624365482233499</v>
      </c>
    </row>
    <row r="30" spans="23:34" x14ac:dyDescent="0.25">
      <c r="W30" s="1949" t="s">
        <v>801</v>
      </c>
      <c r="X30" s="1950"/>
      <c r="Y30" s="1951"/>
      <c r="Z30" s="802">
        <f>SUM(Z7:Z8,Z13)</f>
        <v>637</v>
      </c>
      <c r="AA30" s="363">
        <f>SUM(AA7:AA8,AA13)</f>
        <v>1407</v>
      </c>
      <c r="AB30" s="872">
        <f>AA30/Z30-1</f>
        <v>1.2087912087912089</v>
      </c>
      <c r="AC30" s="363">
        <f>SUM(AC7:AC8,AC13)</f>
        <v>1848</v>
      </c>
      <c r="AD30" s="872">
        <f>AC30/Z30-1</f>
        <v>1.901098901098901</v>
      </c>
    </row>
    <row r="31" spans="23:34" x14ac:dyDescent="0.25">
      <c r="W31" s="1824" t="s">
        <v>831</v>
      </c>
      <c r="X31" s="1825"/>
      <c r="Y31" s="1948"/>
      <c r="Z31" s="797">
        <f>Z22*0.5</f>
        <v>3009</v>
      </c>
      <c r="AA31" s="301">
        <f>AA22*0.5</f>
        <v>4715</v>
      </c>
      <c r="AB31" s="782">
        <f>AA31/Z31-1</f>
        <v>0.566965769358591</v>
      </c>
      <c r="AC31" s="867">
        <f>AC22*0.5</f>
        <v>6421.5</v>
      </c>
      <c r="AD31" s="782">
        <f>AC31/Z31-1</f>
        <v>1.1340977068793618</v>
      </c>
    </row>
    <row r="32" spans="23:34" x14ac:dyDescent="0.25">
      <c r="W32" s="1952" t="s">
        <v>832</v>
      </c>
      <c r="X32" s="1953"/>
      <c r="Y32" s="1954"/>
      <c r="Z32" s="843">
        <f>SUM(Z28:Z31)</f>
        <v>4989</v>
      </c>
      <c r="AA32" s="866">
        <f>SUM(AA28:AA31)</f>
        <v>8686</v>
      </c>
      <c r="AB32" s="873">
        <f>AA32/Z32-1</f>
        <v>0.74103026658649029</v>
      </c>
      <c r="AC32" s="855">
        <f>SUM(AC28:AC31)</f>
        <v>15745.5</v>
      </c>
      <c r="AD32" s="873">
        <f>AC32/Z32-1</f>
        <v>2.1560432952495492</v>
      </c>
    </row>
    <row r="33" spans="3:44" x14ac:dyDescent="0.25">
      <c r="W33" s="1824" t="s">
        <v>809</v>
      </c>
      <c r="X33" s="1825"/>
      <c r="Y33" s="1948"/>
      <c r="Z33" s="797">
        <f>Z10</f>
        <v>260</v>
      </c>
      <c r="AA33" s="301">
        <f t="shared" ref="AA33:AD34" si="4">AA10</f>
        <v>390</v>
      </c>
      <c r="AB33" s="782">
        <f t="shared" si="4"/>
        <v>0.5</v>
      </c>
      <c r="AC33" s="301">
        <f t="shared" si="4"/>
        <v>520</v>
      </c>
      <c r="AD33" s="782">
        <f t="shared" si="4"/>
        <v>1</v>
      </c>
    </row>
    <row r="34" spans="3:44" ht="15.75" thickBot="1" x14ac:dyDescent="0.3">
      <c r="W34" s="1955" t="s">
        <v>810</v>
      </c>
      <c r="X34" s="1956"/>
      <c r="Y34" s="1957"/>
      <c r="Z34" s="845">
        <f>SUM(Z32:Z33)</f>
        <v>5249</v>
      </c>
      <c r="AA34" s="856">
        <f>SUM(AA32:AA33)</f>
        <v>9076</v>
      </c>
      <c r="AB34" s="874">
        <f t="shared" si="4"/>
        <v>0.94910461828463721</v>
      </c>
      <c r="AC34" s="875">
        <f>SUM(AC32:AC33)</f>
        <v>16265.5</v>
      </c>
      <c r="AD34" s="874">
        <f t="shared" si="4"/>
        <v>3.4509896324222433</v>
      </c>
    </row>
    <row r="35" spans="3:44" ht="15.75" thickBot="1" x14ac:dyDescent="0.3"/>
    <row r="36" spans="3:44" ht="15.75" thickBot="1" x14ac:dyDescent="0.3">
      <c r="AA36" s="1946" t="s">
        <v>790</v>
      </c>
      <c r="AB36" s="1947"/>
      <c r="AC36" s="1787" t="s">
        <v>791</v>
      </c>
      <c r="AD36" s="1789"/>
    </row>
    <row r="37" spans="3:44" ht="15.75" thickBot="1" x14ac:dyDescent="0.3">
      <c r="Z37" s="695" t="s">
        <v>792</v>
      </c>
      <c r="AA37" s="852" t="s">
        <v>793</v>
      </c>
      <c r="AB37" s="852" t="s">
        <v>794</v>
      </c>
      <c r="AC37" s="851" t="s">
        <v>793</v>
      </c>
      <c r="AD37" s="852" t="s">
        <v>794</v>
      </c>
    </row>
    <row r="38" spans="3:44" x14ac:dyDescent="0.25">
      <c r="W38" s="1943" t="s">
        <v>798</v>
      </c>
      <c r="X38" s="1944"/>
      <c r="Y38" s="1958"/>
      <c r="Z38" s="879">
        <f>Z4+Z14+Z15</f>
        <v>1529</v>
      </c>
      <c r="AA38" s="362">
        <f>AA4+AA14+AA15</f>
        <v>2231</v>
      </c>
      <c r="AB38" s="880">
        <f t="shared" ref="AB38:AB44" si="5">AA38/Z38-1</f>
        <v>0.45912361020274695</v>
      </c>
      <c r="AC38" s="362">
        <f>AC4+AC14+AC15</f>
        <v>5115</v>
      </c>
      <c r="AD38" s="880">
        <f t="shared" ref="AD38:AD44" si="6">AC38/Z38-1</f>
        <v>2.3453237410071943</v>
      </c>
    </row>
    <row r="39" spans="3:44" x14ac:dyDescent="0.25">
      <c r="W39" s="1824" t="s">
        <v>113</v>
      </c>
      <c r="X39" s="1825"/>
      <c r="Y39" s="1826"/>
      <c r="Z39" s="797">
        <f>Z6</f>
        <v>394</v>
      </c>
      <c r="AA39" s="301">
        <f>AA6</f>
        <v>1140</v>
      </c>
      <c r="AB39" s="878">
        <f t="shared" si="5"/>
        <v>1.8934010152284264</v>
      </c>
      <c r="AC39" s="301">
        <f>AC6</f>
        <v>2625</v>
      </c>
      <c r="AD39" s="878">
        <f t="shared" si="6"/>
        <v>5.6624365482233499</v>
      </c>
    </row>
    <row r="40" spans="3:44" x14ac:dyDescent="0.25">
      <c r="W40" s="1949" t="s">
        <v>801</v>
      </c>
      <c r="X40" s="1950"/>
      <c r="Y40" s="1959"/>
      <c r="Z40" s="802">
        <f>SUM(Z7:Z8,Z13)</f>
        <v>637</v>
      </c>
      <c r="AA40" s="363">
        <f>SUM(AA7:AA8,AA13)</f>
        <v>1407</v>
      </c>
      <c r="AB40" s="872">
        <f t="shared" si="5"/>
        <v>1.2087912087912089</v>
      </c>
      <c r="AC40" s="363">
        <f>SUM(AC7:AC8,AC13)</f>
        <v>1848</v>
      </c>
      <c r="AD40" s="872">
        <f t="shared" si="6"/>
        <v>1.901098901098901</v>
      </c>
    </row>
    <row r="41" spans="3:44" x14ac:dyDescent="0.25">
      <c r="W41" s="1824" t="s">
        <v>803</v>
      </c>
      <c r="X41" s="1825"/>
      <c r="Y41" s="1826"/>
      <c r="Z41" s="506">
        <f>Z22*0.7</f>
        <v>4212.5999999999995</v>
      </c>
      <c r="AA41" s="867">
        <f>AA22*0.7</f>
        <v>6601</v>
      </c>
      <c r="AB41" s="878">
        <f t="shared" si="5"/>
        <v>0.566965769358591</v>
      </c>
      <c r="AC41" s="867">
        <f>AC22*0.7</f>
        <v>8990.0999999999985</v>
      </c>
      <c r="AD41" s="878">
        <f t="shared" si="6"/>
        <v>1.1340977068793618</v>
      </c>
    </row>
    <row r="42" spans="3:44" x14ac:dyDescent="0.25">
      <c r="W42" s="1952" t="s">
        <v>807</v>
      </c>
      <c r="X42" s="1953"/>
      <c r="Y42" s="1960"/>
      <c r="Z42" s="876">
        <f>SUM(Z38:Z41)</f>
        <v>6772.5999999999995</v>
      </c>
      <c r="AA42" s="866">
        <f>SUM(AA38:AA41)</f>
        <v>11379</v>
      </c>
      <c r="AB42" s="873">
        <f t="shared" si="5"/>
        <v>0.68015237870241863</v>
      </c>
      <c r="AC42" s="855">
        <f>SUM(AC38:AC41)</f>
        <v>18578.099999999999</v>
      </c>
      <c r="AD42" s="873">
        <f t="shared" si="6"/>
        <v>1.7431267164752091</v>
      </c>
    </row>
    <row r="43" spans="3:44" x14ac:dyDescent="0.25">
      <c r="W43" s="1824" t="s">
        <v>809</v>
      </c>
      <c r="X43" s="1825"/>
      <c r="Y43" s="1826"/>
      <c r="Z43" s="797">
        <f>Z10</f>
        <v>260</v>
      </c>
      <c r="AA43" s="301">
        <f>AA10</f>
        <v>390</v>
      </c>
      <c r="AB43" s="878">
        <f t="shared" si="5"/>
        <v>0.5</v>
      </c>
      <c r="AC43" s="301">
        <f>AC10</f>
        <v>520</v>
      </c>
      <c r="AD43" s="878">
        <f t="shared" si="6"/>
        <v>1</v>
      </c>
    </row>
    <row r="44" spans="3:44" ht="15.75" thickBot="1" x14ac:dyDescent="0.3">
      <c r="W44" s="1955" t="s">
        <v>810</v>
      </c>
      <c r="X44" s="1956"/>
      <c r="Y44" s="1961"/>
      <c r="Z44" s="877">
        <f>SUM(Z42:Z43)</f>
        <v>7032.5999999999995</v>
      </c>
      <c r="AA44" s="856">
        <f>SUM(AA42:AA43)</f>
        <v>11769</v>
      </c>
      <c r="AB44" s="874">
        <f t="shared" si="5"/>
        <v>0.67349202286494347</v>
      </c>
      <c r="AC44" s="875">
        <f>SUM(AC42:AC43)</f>
        <v>19098.099999999999</v>
      </c>
      <c r="AD44" s="874">
        <f t="shared" si="6"/>
        <v>1.7156528168813812</v>
      </c>
    </row>
    <row r="45" spans="3:44" x14ac:dyDescent="0.25">
      <c r="C45" s="881"/>
      <c r="P45" s="881"/>
      <c r="W45" s="882"/>
      <c r="X45" s="882"/>
      <c r="Y45" s="882"/>
      <c r="Z45" s="883"/>
      <c r="AA45" s="87"/>
      <c r="AB45" s="884"/>
      <c r="AC45" s="883"/>
      <c r="AD45" s="884"/>
      <c r="AJ45" s="163"/>
      <c r="AN45" s="163"/>
      <c r="AR45" s="163"/>
    </row>
    <row r="46" spans="3:44" x14ac:dyDescent="0.25">
      <c r="C46" s="881"/>
      <c r="P46" s="881"/>
      <c r="W46" s="882"/>
      <c r="X46" s="882"/>
      <c r="Y46" s="882"/>
      <c r="Z46" s="883"/>
      <c r="AA46" s="87"/>
      <c r="AB46" s="884"/>
      <c r="AC46" s="883"/>
      <c r="AD46" s="884"/>
      <c r="AJ46" s="163"/>
      <c r="AN46" s="163"/>
      <c r="AR46" s="163"/>
    </row>
    <row r="47" spans="3:44" x14ac:dyDescent="0.25">
      <c r="C47" s="881"/>
      <c r="P47" s="881"/>
      <c r="W47"/>
      <c r="X47"/>
      <c r="Y47"/>
      <c r="AB47"/>
      <c r="AH47" s="163"/>
      <c r="AJ47"/>
      <c r="AL47" s="163"/>
      <c r="AN47"/>
      <c r="AP47" s="163"/>
      <c r="AR47"/>
    </row>
    <row r="48" spans="3:44" x14ac:dyDescent="0.25">
      <c r="C48" s="881"/>
      <c r="P48" s="881"/>
      <c r="W48"/>
      <c r="X48"/>
      <c r="Y48"/>
      <c r="AB48"/>
      <c r="AH48" s="163"/>
      <c r="AJ48"/>
      <c r="AL48" s="163"/>
      <c r="AN48"/>
      <c r="AP48" s="163"/>
      <c r="AR48"/>
    </row>
    <row r="49" spans="3:44" x14ac:dyDescent="0.25">
      <c r="C49" s="881"/>
      <c r="P49" s="881"/>
      <c r="W49"/>
      <c r="X49"/>
      <c r="Y49"/>
      <c r="AB49"/>
      <c r="AH49" s="163"/>
      <c r="AJ49"/>
      <c r="AL49" s="163"/>
      <c r="AN49"/>
      <c r="AP49" s="163"/>
      <c r="AR49"/>
    </row>
    <row r="50" spans="3:44" x14ac:dyDescent="0.25">
      <c r="C50" s="881"/>
      <c r="P50" s="881"/>
      <c r="W50"/>
      <c r="X50"/>
      <c r="Y50"/>
      <c r="AB50"/>
      <c r="AH50" s="163"/>
      <c r="AJ50"/>
      <c r="AL50" s="163"/>
      <c r="AN50"/>
      <c r="AP50" s="163"/>
      <c r="AR50"/>
    </row>
    <row r="51" spans="3:44" x14ac:dyDescent="0.25">
      <c r="C51" s="881"/>
      <c r="P51" s="881"/>
      <c r="W51"/>
      <c r="X51"/>
      <c r="Y51"/>
      <c r="AB51"/>
      <c r="AH51" s="163"/>
      <c r="AJ51"/>
      <c r="AL51" s="163"/>
      <c r="AN51"/>
      <c r="AP51" s="163"/>
      <c r="AR51"/>
    </row>
    <row r="52" spans="3:44" x14ac:dyDescent="0.25">
      <c r="C52" s="881"/>
      <c r="P52" s="881"/>
      <c r="W52"/>
      <c r="X52"/>
      <c r="Y52"/>
      <c r="AB52"/>
      <c r="AH52" s="163"/>
      <c r="AJ52"/>
      <c r="AL52" s="163"/>
      <c r="AN52"/>
      <c r="AP52" s="163"/>
      <c r="AR52"/>
    </row>
    <row r="53" spans="3:44" x14ac:dyDescent="0.25">
      <c r="C53" s="881"/>
      <c r="P53" s="881"/>
      <c r="W53"/>
      <c r="X53"/>
      <c r="Y53"/>
      <c r="AB53"/>
      <c r="AH53" s="163"/>
      <c r="AJ53"/>
      <c r="AL53" s="163"/>
      <c r="AN53"/>
      <c r="AP53" s="163"/>
      <c r="AR53"/>
    </row>
    <row r="54" spans="3:44" x14ac:dyDescent="0.25">
      <c r="C54" s="881"/>
      <c r="P54" s="881"/>
      <c r="W54"/>
      <c r="X54"/>
      <c r="Y54"/>
      <c r="AB54"/>
      <c r="AH54" s="163"/>
      <c r="AJ54"/>
      <c r="AL54" s="163"/>
      <c r="AN54"/>
      <c r="AP54" s="163"/>
      <c r="AR54"/>
    </row>
    <row r="55" spans="3:44" x14ac:dyDescent="0.25">
      <c r="C55" s="881"/>
      <c r="P55" s="881"/>
      <c r="W55"/>
      <c r="X55"/>
      <c r="Y55"/>
      <c r="AB55"/>
      <c r="AH55" s="163"/>
      <c r="AJ55"/>
      <c r="AL55" s="163"/>
      <c r="AN55"/>
      <c r="AP55" s="163"/>
      <c r="AR55"/>
    </row>
    <row r="56" spans="3:44" x14ac:dyDescent="0.25">
      <c r="C56" s="881"/>
      <c r="P56" s="881"/>
      <c r="W56"/>
      <c r="X56"/>
      <c r="Y56"/>
      <c r="AB56"/>
      <c r="AH56" s="163"/>
      <c r="AJ56"/>
      <c r="AL56" s="163"/>
      <c r="AN56"/>
      <c r="AP56" s="163"/>
      <c r="AR56"/>
    </row>
    <row r="57" spans="3:44" x14ac:dyDescent="0.25">
      <c r="C57" s="881"/>
      <c r="P57" s="881"/>
      <c r="W57"/>
      <c r="X57"/>
      <c r="Y57"/>
      <c r="AB57"/>
      <c r="AJ57" s="163"/>
      <c r="AN57" s="163"/>
      <c r="AR57" s="163"/>
    </row>
    <row r="58" spans="3:44" ht="15.75" thickBot="1" x14ac:dyDescent="0.3"/>
    <row r="59" spans="3:44" ht="15.75" thickBot="1" x14ac:dyDescent="0.3">
      <c r="AA59" s="1808" t="s">
        <v>790</v>
      </c>
      <c r="AB59" s="1809"/>
      <c r="AC59" s="1818" t="s">
        <v>791</v>
      </c>
      <c r="AD59" s="1819"/>
      <c r="AE59" s="87" t="s">
        <v>791</v>
      </c>
      <c r="AF59" s="403" t="s">
        <v>790</v>
      </c>
    </row>
    <row r="60" spans="3:44" ht="15.75" thickBot="1" x14ac:dyDescent="0.3">
      <c r="Z60" s="695" t="s">
        <v>792</v>
      </c>
      <c r="AA60" s="791" t="s">
        <v>793</v>
      </c>
      <c r="AB60" s="846" t="s">
        <v>794</v>
      </c>
      <c r="AC60" s="851" t="s">
        <v>793</v>
      </c>
      <c r="AD60" s="885" t="s">
        <v>794</v>
      </c>
      <c r="AE60" s="403" t="s">
        <v>797</v>
      </c>
      <c r="AF60" s="852" t="s">
        <v>797</v>
      </c>
    </row>
    <row r="61" spans="3:44" x14ac:dyDescent="0.25">
      <c r="U61" s="1929" t="s">
        <v>833</v>
      </c>
      <c r="W61" s="1752" t="s">
        <v>834</v>
      </c>
      <c r="X61" s="1753"/>
      <c r="Y61" s="1754"/>
      <c r="Z61" s="412">
        <f>SUM(Z4,Z14)</f>
        <v>1399</v>
      </c>
      <c r="AA61" s="840">
        <f>SUM(AA4,AA14)</f>
        <v>2004</v>
      </c>
      <c r="AB61" s="818">
        <f t="shared" ref="AB61:AB67" si="7">AA61/Z61-1</f>
        <v>0.43245175125089341</v>
      </c>
      <c r="AC61" s="853">
        <f>SUM(AC4,AC15)</f>
        <v>5115</v>
      </c>
      <c r="AD61" s="818">
        <f t="shared" ref="AD61:AD67" si="8">AC61/Z61-1</f>
        <v>2.6561829878484633</v>
      </c>
      <c r="AE61" s="895">
        <f>AC61-Z61</f>
        <v>3716</v>
      </c>
      <c r="AF61" s="890">
        <f>AA61-Z61</f>
        <v>605</v>
      </c>
      <c r="AH61" s="1932" t="s">
        <v>833</v>
      </c>
    </row>
    <row r="62" spans="3:44" x14ac:dyDescent="0.25">
      <c r="U62" s="1930"/>
      <c r="W62" s="1820" t="s">
        <v>835</v>
      </c>
      <c r="X62" s="1821"/>
      <c r="Y62" s="1822"/>
      <c r="Z62" s="802">
        <f>SUM(Z6:Z8,Z13,Z15)</f>
        <v>1161</v>
      </c>
      <c r="AA62" s="342">
        <f>SUM(AA6:AA8,AA13,AA15)</f>
        <v>2774</v>
      </c>
      <c r="AB62" s="819">
        <f t="shared" si="7"/>
        <v>1.3893195521102499</v>
      </c>
      <c r="AC62" s="854">
        <f>SUM(AC6:AC8,AC13)</f>
        <v>4473</v>
      </c>
      <c r="AD62" s="819">
        <f t="shared" si="8"/>
        <v>2.8527131782945738</v>
      </c>
      <c r="AE62" s="352">
        <f t="shared" ref="AE62:AE79" si="9">AC62-Z62</f>
        <v>3312</v>
      </c>
      <c r="AF62" s="632">
        <f t="shared" ref="AF62:AF79" si="10">AA62-Z62</f>
        <v>1613</v>
      </c>
      <c r="AH62" s="1933"/>
    </row>
    <row r="63" spans="3:44" x14ac:dyDescent="0.25">
      <c r="U63" s="1930"/>
      <c r="W63" s="1823" t="s">
        <v>815</v>
      </c>
      <c r="X63" s="1749"/>
      <c r="Y63" s="1742"/>
      <c r="Z63" s="797">
        <f>Z16</f>
        <v>1250</v>
      </c>
      <c r="AA63" s="237">
        <f>AA16</f>
        <v>1500</v>
      </c>
      <c r="AB63" s="847">
        <f t="shared" si="7"/>
        <v>0.19999999999999996</v>
      </c>
      <c r="AC63" s="301">
        <f>AC16</f>
        <v>1800</v>
      </c>
      <c r="AD63" s="847">
        <f t="shared" si="8"/>
        <v>0.43999999999999995</v>
      </c>
      <c r="AE63" s="351">
        <f t="shared" si="9"/>
        <v>550</v>
      </c>
      <c r="AF63" s="506">
        <f t="shared" si="10"/>
        <v>250</v>
      </c>
      <c r="AH63" s="1933"/>
    </row>
    <row r="64" spans="3:44" x14ac:dyDescent="0.25">
      <c r="U64" s="1930"/>
      <c r="W64" s="1820" t="s">
        <v>822</v>
      </c>
      <c r="X64" s="1821"/>
      <c r="Y64" s="1822"/>
      <c r="Z64" s="802">
        <f>Z20</f>
        <v>267</v>
      </c>
      <c r="AA64" s="295">
        <f>AA20</f>
        <v>267</v>
      </c>
      <c r="AB64" s="819">
        <f t="shared" si="7"/>
        <v>0</v>
      </c>
      <c r="AC64" s="363">
        <f>AC20</f>
        <v>267</v>
      </c>
      <c r="AD64" s="819">
        <f t="shared" si="8"/>
        <v>0</v>
      </c>
      <c r="AE64" s="352">
        <f t="shared" si="9"/>
        <v>0</v>
      </c>
      <c r="AF64" s="632">
        <f t="shared" si="10"/>
        <v>0</v>
      </c>
      <c r="AH64" s="1933"/>
    </row>
    <row r="65" spans="2:34" x14ac:dyDescent="0.25">
      <c r="U65" s="1930"/>
      <c r="W65" s="1824" t="s">
        <v>820</v>
      </c>
      <c r="X65" s="1825"/>
      <c r="Y65" s="1826"/>
      <c r="Z65" s="797">
        <f>Z19</f>
        <v>611</v>
      </c>
      <c r="AA65" s="237">
        <f>AA19</f>
        <v>761</v>
      </c>
      <c r="AB65" s="847">
        <f t="shared" si="7"/>
        <v>0.24549918166939433</v>
      </c>
      <c r="AC65" s="301">
        <f>AC19</f>
        <v>911</v>
      </c>
      <c r="AD65" s="847">
        <f t="shared" si="8"/>
        <v>0.49099836333878888</v>
      </c>
      <c r="AE65" s="351">
        <f t="shared" si="9"/>
        <v>300</v>
      </c>
      <c r="AF65" s="506">
        <f t="shared" si="10"/>
        <v>150</v>
      </c>
      <c r="AH65" s="1933"/>
    </row>
    <row r="66" spans="2:34" x14ac:dyDescent="0.25">
      <c r="U66" s="1930"/>
      <c r="W66" s="1820" t="s">
        <v>825</v>
      </c>
      <c r="X66" s="1821"/>
      <c r="Y66" s="1822"/>
      <c r="Z66" s="802">
        <f>Z21</f>
        <v>162</v>
      </c>
      <c r="AA66" s="295">
        <f>AA21</f>
        <v>320</v>
      </c>
      <c r="AB66" s="819">
        <f t="shared" si="7"/>
        <v>0.97530864197530853</v>
      </c>
      <c r="AC66" s="363">
        <f>AC21</f>
        <v>420</v>
      </c>
      <c r="AD66" s="819">
        <f t="shared" si="8"/>
        <v>1.5925925925925926</v>
      </c>
      <c r="AE66" s="352">
        <f t="shared" si="9"/>
        <v>258</v>
      </c>
      <c r="AF66" s="632">
        <f t="shared" si="10"/>
        <v>158</v>
      </c>
      <c r="AH66" s="1933"/>
    </row>
    <row r="67" spans="2:34" x14ac:dyDescent="0.25">
      <c r="U67" s="1930"/>
      <c r="W67" s="1827" t="s">
        <v>836</v>
      </c>
      <c r="X67" s="1828"/>
      <c r="Y67" s="1829"/>
      <c r="Z67" s="843">
        <f>SUM(Z61:Z66)</f>
        <v>4850</v>
      </c>
      <c r="AA67" s="841">
        <f>SUM(AA61:AA66)</f>
        <v>7626</v>
      </c>
      <c r="AB67" s="848">
        <f t="shared" si="7"/>
        <v>0.57237113402061857</v>
      </c>
      <c r="AC67" s="855">
        <f>SUM(AC61:AC66)</f>
        <v>12986</v>
      </c>
      <c r="AD67" s="848">
        <f t="shared" si="8"/>
        <v>1.6775257731958764</v>
      </c>
      <c r="AE67" s="902">
        <f t="shared" si="9"/>
        <v>8136</v>
      </c>
      <c r="AF67" s="876">
        <f t="shared" si="10"/>
        <v>2776</v>
      </c>
      <c r="AH67" s="1933"/>
    </row>
    <row r="68" spans="2:34" x14ac:dyDescent="0.25">
      <c r="U68" s="1930"/>
      <c r="W68" s="1823" t="s">
        <v>837</v>
      </c>
      <c r="X68" s="1749"/>
      <c r="Y68" s="1742"/>
      <c r="Z68" s="844">
        <v>0</v>
      </c>
      <c r="AA68" s="237">
        <f>'eShepherd Analysis'!I37</f>
        <v>190</v>
      </c>
      <c r="AB68" s="849">
        <v>0</v>
      </c>
      <c r="AC68" s="301">
        <f>'eShepherd Analysis'!N37</f>
        <v>803</v>
      </c>
      <c r="AD68" s="849">
        <v>0</v>
      </c>
      <c r="AE68" s="351">
        <f t="shared" si="9"/>
        <v>803</v>
      </c>
      <c r="AF68" s="506">
        <f t="shared" si="10"/>
        <v>190</v>
      </c>
      <c r="AH68" s="1933"/>
    </row>
    <row r="69" spans="2:34" ht="15.75" thickBot="1" x14ac:dyDescent="0.3">
      <c r="U69" s="1930"/>
      <c r="W69" s="1830" t="s">
        <v>838</v>
      </c>
      <c r="X69" s="1831"/>
      <c r="Y69" s="1832"/>
      <c r="Z69" s="845">
        <f>Z67</f>
        <v>4850</v>
      </c>
      <c r="AA69" s="842">
        <f>SUM(AA67:AA68)</f>
        <v>7816</v>
      </c>
      <c r="AB69" s="850">
        <f>AA69/Z69-1</f>
        <v>0.61154639175257741</v>
      </c>
      <c r="AC69" s="856">
        <f>SUM(AC67:AC68)</f>
        <v>13789</v>
      </c>
      <c r="AD69" s="850">
        <f>AC69/Z69-1</f>
        <v>1.8430927835051545</v>
      </c>
      <c r="AE69" s="903">
        <f t="shared" si="9"/>
        <v>8939</v>
      </c>
      <c r="AF69" s="877">
        <f t="shared" si="10"/>
        <v>2966</v>
      </c>
      <c r="AH69" s="1933"/>
    </row>
    <row r="70" spans="2:34" ht="15.75" thickBot="1" x14ac:dyDescent="0.3">
      <c r="U70" s="1930"/>
      <c r="Z70" s="43"/>
      <c r="AA70" s="43"/>
      <c r="AB70" s="94"/>
      <c r="AC70" s="43"/>
      <c r="AD70" s="43"/>
      <c r="AE70" s="7"/>
      <c r="AF70" s="7"/>
      <c r="AH70" s="1933"/>
    </row>
    <row r="71" spans="2:34" ht="15.75" thickBot="1" x14ac:dyDescent="0.3">
      <c r="U71" s="1930"/>
      <c r="W71" s="1833" t="s">
        <v>839</v>
      </c>
      <c r="X71" s="1834"/>
      <c r="Y71" s="1835"/>
      <c r="Z71" s="816">
        <f>Z22</f>
        <v>6018</v>
      </c>
      <c r="AA71" s="362">
        <f>AA22</f>
        <v>9430</v>
      </c>
      <c r="AB71" s="857">
        <f>AA71/Z71-1</f>
        <v>0.566965769358591</v>
      </c>
      <c r="AC71" s="299">
        <f>AC22</f>
        <v>12843</v>
      </c>
      <c r="AD71" s="886">
        <f>AC71/Z71-1</f>
        <v>1.1340977068793618</v>
      </c>
      <c r="AE71" s="355">
        <f t="shared" si="9"/>
        <v>6825</v>
      </c>
      <c r="AF71" s="897">
        <f t="shared" si="10"/>
        <v>3412</v>
      </c>
      <c r="AH71" s="1933"/>
    </row>
    <row r="72" spans="2:34" ht="15.75" thickBot="1" x14ac:dyDescent="0.3">
      <c r="U72" s="1930"/>
      <c r="W72" s="1935" t="s">
        <v>840</v>
      </c>
      <c r="X72" s="1936"/>
      <c r="Y72" s="1937"/>
      <c r="Z72" s="201">
        <f>Z23</f>
        <v>5000</v>
      </c>
      <c r="AA72" s="301">
        <f>AA23</f>
        <v>7000</v>
      </c>
      <c r="AB72" s="790">
        <f>AA72/Z72-1</f>
        <v>0.39999999999999991</v>
      </c>
      <c r="AC72" s="237">
        <f>AC23</f>
        <v>9000</v>
      </c>
      <c r="AD72" s="847">
        <f>AC72/Z72-1</f>
        <v>0.8</v>
      </c>
      <c r="AE72" s="351">
        <f t="shared" si="9"/>
        <v>4000</v>
      </c>
      <c r="AF72" s="506">
        <f t="shared" si="10"/>
        <v>2000</v>
      </c>
      <c r="AH72" s="1933"/>
    </row>
    <row r="73" spans="2:34" ht="15.75" thickBot="1" x14ac:dyDescent="0.3">
      <c r="U73" s="1930"/>
      <c r="W73" s="1920" t="s">
        <v>841</v>
      </c>
      <c r="X73" s="1921"/>
      <c r="Y73" s="1922"/>
      <c r="Z73" s="858">
        <f>SUM(Z71:Z72)</f>
        <v>11018</v>
      </c>
      <c r="AA73" s="856">
        <f>SUM(AA71:AA72)</f>
        <v>16430</v>
      </c>
      <c r="AB73" s="839">
        <f>AA73/Z73-1</f>
        <v>0.49119622436013799</v>
      </c>
      <c r="AC73" s="842">
        <f>SUM(AC71:AC72)</f>
        <v>21843</v>
      </c>
      <c r="AD73" s="850">
        <f>AC73/Z73-1</f>
        <v>0.98248320929388266</v>
      </c>
      <c r="AE73" s="903">
        <f t="shared" si="9"/>
        <v>10825</v>
      </c>
      <c r="AF73" s="877">
        <f t="shared" si="10"/>
        <v>5412</v>
      </c>
      <c r="AH73" s="1933"/>
    </row>
    <row r="74" spans="2:34" ht="15.75" thickBot="1" x14ac:dyDescent="0.3">
      <c r="B74" s="249" t="s">
        <v>842</v>
      </c>
      <c r="C74" s="250" t="str">
        <f>'Growth Analysis Data'!AI3</f>
        <v>Revenue - excl FS</v>
      </c>
      <c r="D74" s="251" t="str">
        <f>'Growth Analysis Data'!E3</f>
        <v>Final Assy Units Made</v>
      </c>
      <c r="E74" s="249" t="str">
        <f>'Growth Analysis Data'!AA3</f>
        <v>Total Team</v>
      </c>
      <c r="F74" s="251" t="str">
        <f>'Growth Analysis Data'!AE3</f>
        <v>Direct Team</v>
      </c>
      <c r="G74" s="249" t="str">
        <f>'Growth Analysis Data'!W3</f>
        <v>Labour Hours</v>
      </c>
      <c r="H74" s="251" t="str">
        <f>'Growth Analysis Data'!A3</f>
        <v>FG $ Value</v>
      </c>
      <c r="J74" s="249" t="str">
        <f>'Growth Analysis Data'!AO3</f>
        <v>SEC</v>
      </c>
      <c r="K74" s="251" t="str">
        <f>'Growth Analysis Data'!I3</f>
        <v>Security Units</v>
      </c>
      <c r="L74" s="266"/>
      <c r="M74" s="249" t="str">
        <f>'Growth Analysis Data'!AT3</f>
        <v>AM</v>
      </c>
      <c r="N74" s="251" t="str">
        <f>'Growth Analysis Data'!M3</f>
        <v>AM Units</v>
      </c>
      <c r="O74" s="87"/>
      <c r="P74" s="262" t="str">
        <f>'Growth Analysis Data'!Q3</f>
        <v>SMT / PCB Modules</v>
      </c>
      <c r="U74" s="1930"/>
      <c r="Z74" s="43"/>
      <c r="AA74" s="43"/>
      <c r="AB74" s="94"/>
      <c r="AC74" s="43"/>
      <c r="AD74" s="43"/>
      <c r="AE74" s="7"/>
      <c r="AF74" s="7"/>
      <c r="AH74" s="1933"/>
    </row>
    <row r="75" spans="2:34" ht="15.75" thickBot="1" x14ac:dyDescent="0.3">
      <c r="B75" s="253" t="s">
        <v>843</v>
      </c>
      <c r="C75" s="254">
        <f>'Growth Analysis Data'!AK6</f>
        <v>-8.9673206885869661E-3</v>
      </c>
      <c r="D75" s="255">
        <f>'Growth Analysis Data'!G6</f>
        <v>-3.0097883446914997E-2</v>
      </c>
      <c r="E75" s="259"/>
      <c r="F75" s="252"/>
      <c r="G75" s="259"/>
      <c r="H75" s="252"/>
      <c r="J75" s="260">
        <f>'Growth Analysis Data'!AQ6</f>
        <v>1.7496946927721302E-2</v>
      </c>
      <c r="K75" s="255">
        <f>'Growth Analysis Data'!K6</f>
        <v>0.16607247447095674</v>
      </c>
      <c r="M75" s="260">
        <f>'Growth Analysis Data'!AV6</f>
        <v>-2.039613369201243E-2</v>
      </c>
      <c r="N75" s="255">
        <f>'Growth Analysis Data'!O6</f>
        <v>-9.0657170147282473E-2</v>
      </c>
      <c r="O75" s="267"/>
      <c r="P75" s="264"/>
      <c r="U75" s="1930"/>
      <c r="W75" s="1923" t="s">
        <v>844</v>
      </c>
      <c r="X75" s="1924"/>
      <c r="Y75" s="1925"/>
      <c r="Z75" s="199">
        <f>Z10</f>
        <v>260</v>
      </c>
      <c r="AA75" s="861">
        <f>AA10</f>
        <v>390</v>
      </c>
      <c r="AB75" s="860">
        <f>AA75/Z75-1</f>
        <v>0.5</v>
      </c>
      <c r="AC75" s="859">
        <f>AC10</f>
        <v>520</v>
      </c>
      <c r="AD75" s="887">
        <f>AC75/Z75-1</f>
        <v>1</v>
      </c>
      <c r="AE75" s="896">
        <f t="shared" si="9"/>
        <v>260</v>
      </c>
      <c r="AF75" s="891">
        <f t="shared" si="10"/>
        <v>130</v>
      </c>
      <c r="AH75" s="1933"/>
    </row>
    <row r="76" spans="2:34" ht="15.75" thickBot="1" x14ac:dyDescent="0.3">
      <c r="B76" s="218" t="s">
        <v>845</v>
      </c>
      <c r="C76" s="116">
        <f>'Growth Analysis Data'!AK7</f>
        <v>9.7751387187949623E-2</v>
      </c>
      <c r="D76" s="252">
        <f>'Growth Analysis Data'!G7</f>
        <v>0.10463697565386498</v>
      </c>
      <c r="E76" s="259"/>
      <c r="F76" s="252"/>
      <c r="G76" s="259"/>
      <c r="H76" s="252"/>
      <c r="J76" s="259">
        <f>'Growth Analysis Data'!AQ7</f>
        <v>4.9952077300081443E-2</v>
      </c>
      <c r="K76" s="252">
        <f>'Growth Analysis Data'!K7</f>
        <v>0.12217599720466032</v>
      </c>
      <c r="M76" s="259">
        <f>'Growth Analysis Data'!AV7</f>
        <v>0.1191924099537971</v>
      </c>
      <c r="N76" s="252">
        <f>'Growth Analysis Data'!O7</f>
        <v>9.7693920335429674E-2</v>
      </c>
      <c r="P76" s="263">
        <f>'Growth Analysis Data'!S7</f>
        <v>8.3247044552331895E-2</v>
      </c>
      <c r="U76" s="1930"/>
      <c r="Z76" s="43"/>
      <c r="AA76" s="43"/>
      <c r="AB76" s="94"/>
      <c r="AC76" s="43"/>
      <c r="AD76" s="43"/>
      <c r="AE76" s="7"/>
      <c r="AF76" s="7"/>
      <c r="AH76" s="1933"/>
    </row>
    <row r="77" spans="2:34" ht="15.75" thickBot="1" x14ac:dyDescent="0.3">
      <c r="B77" s="253" t="s">
        <v>846</v>
      </c>
      <c r="C77" s="254">
        <f>'Growth Analysis Data'!AK8</f>
        <v>8.9011777691529348E-2</v>
      </c>
      <c r="D77" s="255">
        <f>'Growth Analysis Data'!G8</f>
        <v>-9.6892205564090172E-2</v>
      </c>
      <c r="E77" s="259"/>
      <c r="F77" s="252"/>
      <c r="G77" s="259"/>
      <c r="H77" s="252"/>
      <c r="J77" s="260">
        <f>'Growth Analysis Data'!AQ8</f>
        <v>0.15633159719218614</v>
      </c>
      <c r="K77" s="255">
        <f>'Growth Analysis Data'!K8</f>
        <v>7.9001654179235103E-2</v>
      </c>
      <c r="M77" s="260">
        <f>'Growth Analysis Data'!AV8</f>
        <v>6.0682758718550334E-2</v>
      </c>
      <c r="N77" s="255">
        <f>'Growth Analysis Data'!O8</f>
        <v>-0.16807510258086367</v>
      </c>
      <c r="P77" s="264">
        <f>'Growth Analysis Data'!S8</f>
        <v>1.2678788062216118E-2</v>
      </c>
      <c r="U77" s="1930"/>
      <c r="W77" s="1926" t="s">
        <v>520</v>
      </c>
      <c r="X77" s="1927"/>
      <c r="Y77" s="1928"/>
      <c r="Z77" s="864">
        <f>SUM(Z75,Z73,Z69)</f>
        <v>16128</v>
      </c>
      <c r="AA77" s="865">
        <f>SUM(AA75,AA73,AA69)</f>
        <v>24636</v>
      </c>
      <c r="AB77" s="862">
        <f>AA77/Z77-1</f>
        <v>0.52752976190476186</v>
      </c>
      <c r="AC77" s="863">
        <f>SUM(AC75,AC73,AC69)</f>
        <v>36152</v>
      </c>
      <c r="AD77" s="888">
        <f>AC77/Z77-1</f>
        <v>1.2415674603174605</v>
      </c>
      <c r="AE77" s="904">
        <f t="shared" si="9"/>
        <v>20024</v>
      </c>
      <c r="AF77" s="898">
        <f t="shared" si="10"/>
        <v>8508</v>
      </c>
      <c r="AH77" s="1933"/>
    </row>
    <row r="78" spans="2:34" ht="15.75" thickBot="1" x14ac:dyDescent="0.3">
      <c r="B78" s="218" t="s">
        <v>847</v>
      </c>
      <c r="C78" s="116">
        <f>'Growth Analysis Data'!AK9</f>
        <v>3.3790461067394473E-2</v>
      </c>
      <c r="D78" s="252">
        <f>'Growth Analysis Data'!G9</f>
        <v>-7.2378652379459396E-2</v>
      </c>
      <c r="E78" s="259"/>
      <c r="F78" s="252"/>
      <c r="G78" s="259"/>
      <c r="H78" s="252"/>
      <c r="J78" s="259">
        <f>'Growth Analysis Data'!AQ9</f>
        <v>0.12483615151720517</v>
      </c>
      <c r="K78" s="252">
        <f>'Growth Analysis Data'!K9</f>
        <v>4.2240438636835131E-2</v>
      </c>
      <c r="M78" s="259">
        <f>'Growth Analysis Data'!AV9</f>
        <v>1.01287121829301E-2</v>
      </c>
      <c r="N78" s="252">
        <f>'Growth Analysis Data'!O9</f>
        <v>-0.13254032868827625</v>
      </c>
      <c r="P78" s="263">
        <f>'Growth Analysis Data'!S9</f>
        <v>-6.507835304197096E-2</v>
      </c>
      <c r="U78" s="1930"/>
      <c r="Z78" s="43"/>
      <c r="AA78" s="43"/>
      <c r="AB78" s="94"/>
      <c r="AC78" s="43"/>
      <c r="AD78" s="43"/>
      <c r="AE78" s="7"/>
      <c r="AF78" s="7"/>
      <c r="AH78" s="1933"/>
    </row>
    <row r="79" spans="2:34" ht="15.75" thickBot="1" x14ac:dyDescent="0.3">
      <c r="B79" s="253" t="s">
        <v>848</v>
      </c>
      <c r="C79" s="254">
        <f>'Growth Analysis Data'!AK10</f>
        <v>0.13311896759533082</v>
      </c>
      <c r="D79" s="255">
        <f>'Growth Analysis Data'!G10</f>
        <v>0.45691616806542723</v>
      </c>
      <c r="E79" s="260">
        <f>'Growth Analysis Data'!AC10</f>
        <v>0.38409090909090926</v>
      </c>
      <c r="F79" s="255"/>
      <c r="G79" s="260"/>
      <c r="H79" s="255"/>
      <c r="J79" s="260">
        <f>'Growth Analysis Data'!AQ10</f>
        <v>0.17228428328414602</v>
      </c>
      <c r="K79" s="255">
        <f>'Growth Analysis Data'!K10</f>
        <v>0.28238429390947717</v>
      </c>
      <c r="M79" s="260">
        <f>'Growth Analysis Data'!AV10</f>
        <v>8.0900371680677097E-2</v>
      </c>
      <c r="N79" s="255">
        <f>'Growth Analysis Data'!O10</f>
        <v>0.56698296983024399</v>
      </c>
      <c r="P79" s="264">
        <f>'Growth Analysis Data'!S10</f>
        <v>0.37334370487977697</v>
      </c>
      <c r="U79" s="1931"/>
      <c r="W79" s="1926" t="s">
        <v>849</v>
      </c>
      <c r="X79" s="1927"/>
      <c r="Y79" s="1928"/>
      <c r="Z79" s="864">
        <f>Z77-Z68</f>
        <v>16128</v>
      </c>
      <c r="AA79" s="865">
        <f>AA77-AA68</f>
        <v>24446</v>
      </c>
      <c r="AB79" s="862">
        <f>AA79/Z79-1</f>
        <v>0.51574900793650791</v>
      </c>
      <c r="AC79" s="863">
        <f>AC77-AC68</f>
        <v>35349</v>
      </c>
      <c r="AD79" s="888">
        <f>AC79/Z79-1</f>
        <v>1.1917782738095237</v>
      </c>
      <c r="AE79" s="904">
        <f t="shared" si="9"/>
        <v>19221</v>
      </c>
      <c r="AF79" s="898">
        <f t="shared" si="10"/>
        <v>8318</v>
      </c>
      <c r="AH79" s="1934"/>
    </row>
    <row r="80" spans="2:34" ht="15.75" thickBot="1" x14ac:dyDescent="0.3">
      <c r="B80" s="218" t="s">
        <v>850</v>
      </c>
      <c r="C80" s="116">
        <f>'Growth Analysis Data'!AK11</f>
        <v>8.6085265784022535E-2</v>
      </c>
      <c r="D80" s="252">
        <f>'Growth Analysis Data'!G11</f>
        <v>-3.9129126577074236E-2</v>
      </c>
      <c r="E80" s="259">
        <f>'Growth Analysis Data'!AC11</f>
        <v>0.23809523809523814</v>
      </c>
      <c r="F80" s="252"/>
      <c r="G80" s="259"/>
      <c r="H80" s="252"/>
      <c r="J80" s="259">
        <f>'Growth Analysis Data'!AQ11</f>
        <v>0.21621948436012994</v>
      </c>
      <c r="K80" s="252">
        <f>'Growth Analysis Data'!K11</f>
        <v>0.14325040989413607</v>
      </c>
      <c r="M80" s="259">
        <f>'Growth Analysis Data'!AV11</f>
        <v>3.7344301319693241E-2</v>
      </c>
      <c r="N80" s="252">
        <f>'Growth Analysis Data'!O11</f>
        <v>-0.13325556290698892</v>
      </c>
      <c r="P80" s="263">
        <f>'Growth Analysis Data'!S11</f>
        <v>-4.9393444467290215E-2</v>
      </c>
      <c r="Z80" s="43"/>
      <c r="AA80" s="43"/>
      <c r="AB80" s="94"/>
      <c r="AC80" s="43"/>
      <c r="AD80" s="43"/>
      <c r="AF80" s="7"/>
    </row>
    <row r="81" spans="1:39" ht="15.75" thickBot="1" x14ac:dyDescent="0.3">
      <c r="B81" s="253" t="s">
        <v>851</v>
      </c>
      <c r="C81" s="254">
        <f>'Growth Analysis Data'!AK12</f>
        <v>0.1328307477648818</v>
      </c>
      <c r="D81" s="255">
        <f>'Growth Analysis Data'!G12</f>
        <v>-2.6222501631436579E-3</v>
      </c>
      <c r="E81" s="260">
        <f>'Growth Analysis Data'!AC12</f>
        <v>1.3262599469495928E-2</v>
      </c>
      <c r="F81" s="255">
        <f>'Growth Analysis Data'!AG12</f>
        <v>-8.6361967694566721E-2</v>
      </c>
      <c r="G81" s="260">
        <f>'Growth Analysis Data'!Y12</f>
        <v>-0.1162729531565122</v>
      </c>
      <c r="H81" s="255">
        <f>'Growth Analysis Data'!C12</f>
        <v>-3.3187989161660769E-2</v>
      </c>
      <c r="J81" s="260">
        <f>'Growth Analysis Data'!AQ12</f>
        <v>0.30010626861397438</v>
      </c>
      <c r="K81" s="255">
        <f>'Growth Analysis Data'!K12</f>
        <v>8.1981822474032073E-2</v>
      </c>
      <c r="M81" s="260">
        <f>'Growth Analysis Data'!AV12</f>
        <v>1.7810406061078865E-2</v>
      </c>
      <c r="N81" s="255">
        <f>'Growth Analysis Data'!O12</f>
        <v>-6.021622881202715E-2</v>
      </c>
      <c r="P81" s="264">
        <f>'Growth Analysis Data'!S12</f>
        <v>0.16623135470443007</v>
      </c>
      <c r="AA81" s="1808" t="s">
        <v>790</v>
      </c>
      <c r="AB81" s="1809"/>
      <c r="AC81" s="1810" t="s">
        <v>791</v>
      </c>
      <c r="AD81" s="1811"/>
      <c r="AF81" s="7"/>
    </row>
    <row r="82" spans="1:39" ht="15.75" thickBot="1" x14ac:dyDescent="0.3">
      <c r="B82" s="218" t="s">
        <v>852</v>
      </c>
      <c r="C82" s="116">
        <f>'Growth Analysis Data'!AK13</f>
        <v>9.2322709853431828E-3</v>
      </c>
      <c r="D82" s="252">
        <f>'Growth Analysis Data'!G13</f>
        <v>0.12797246708176946</v>
      </c>
      <c r="E82" s="259">
        <f>'Growth Analysis Data'!AC13</f>
        <v>4.1884816753926746E-2</v>
      </c>
      <c r="F82" s="252">
        <f>'Growth Analysis Data'!AG13</f>
        <v>7.2928176795580058E-2</v>
      </c>
      <c r="G82" s="259">
        <f>'Growth Analysis Data'!Y13</f>
        <v>0.12733429051680756</v>
      </c>
      <c r="H82" s="252">
        <f>'Growth Analysis Data'!C13</f>
        <v>0.11262070887153719</v>
      </c>
      <c r="J82" s="259">
        <f>'Growth Analysis Data'!AQ13</f>
        <v>-0.14208642127424476</v>
      </c>
      <c r="K82" s="252">
        <f>'Growth Analysis Data'!K13</f>
        <v>2.5347595333031547E-2</v>
      </c>
      <c r="M82" s="259">
        <f>'Growth Analysis Data'!AV13</f>
        <v>0.12898710456241602</v>
      </c>
      <c r="N82" s="252">
        <f>'Growth Analysis Data'!O13</f>
        <v>0.20840476241369732</v>
      </c>
      <c r="P82" s="263">
        <f>'Growth Analysis Data'!S13</f>
        <v>-3.5227938796399183E-2</v>
      </c>
      <c r="Z82" s="695" t="s">
        <v>792</v>
      </c>
      <c r="AA82" s="791" t="s">
        <v>793</v>
      </c>
      <c r="AB82" s="779" t="s">
        <v>794</v>
      </c>
      <c r="AC82" s="780" t="s">
        <v>793</v>
      </c>
      <c r="AD82" s="779" t="s">
        <v>794</v>
      </c>
      <c r="AE82" s="403" t="s">
        <v>797</v>
      </c>
      <c r="AF82" s="852" t="s">
        <v>797</v>
      </c>
    </row>
    <row r="83" spans="1:39" ht="19.5" thickBot="1" x14ac:dyDescent="0.35">
      <c r="B83" s="256" t="s">
        <v>853</v>
      </c>
      <c r="C83" s="257">
        <f>'Growth Analysis Data'!AK14</f>
        <v>0.14999999999999991</v>
      </c>
      <c r="D83" s="258">
        <f>'Growth Analysis Data'!G14</f>
        <v>0.18115255332078317</v>
      </c>
      <c r="E83" s="261">
        <f>'Growth Analysis Data'!AC14</f>
        <v>5.7160804020100597E-2</v>
      </c>
      <c r="F83" s="258">
        <f>'Growth Analysis Data'!AG14</f>
        <v>0.10298661174047363</v>
      </c>
      <c r="G83" s="261">
        <f>'Growth Analysis Data'!Y14</f>
        <v>0.18299286888729038</v>
      </c>
      <c r="H83" s="258">
        <f>'Growth Analysis Data'!C14</f>
        <v>4.6312375596759159E-2</v>
      </c>
      <c r="J83" s="261">
        <f>'Growth Analysis Data'!AQ14</f>
        <v>0.48202790309201471</v>
      </c>
      <c r="K83" s="258">
        <f>'Growth Analysis Data'!K14</f>
        <v>-9.3096000595815909E-4</v>
      </c>
      <c r="M83" s="261">
        <f>'Growth Analysis Data'!AV14</f>
        <v>0.15638499437501574</v>
      </c>
      <c r="N83" s="258">
        <f>'Growth Analysis Data'!O14</f>
        <v>0.30224223813432194</v>
      </c>
      <c r="P83" s="265">
        <f>'Growth Analysis Data'!S14</f>
        <v>3.2386593422935483E-2</v>
      </c>
      <c r="W83" s="1805" t="s">
        <v>854</v>
      </c>
      <c r="X83" s="1806"/>
      <c r="Y83" s="1807"/>
      <c r="Z83" s="810">
        <f>SUM(Z11,Z17,Z19:Z23)</f>
        <v>16128</v>
      </c>
      <c r="AA83" s="838">
        <f>SUM(AA11,AA17,AA19:AA23)</f>
        <v>24446</v>
      </c>
      <c r="AB83" s="811">
        <f>AA83/Z83-1</f>
        <v>0.51574900793650791</v>
      </c>
      <c r="AC83" s="838">
        <f>SUM(AC11,AC17,AC19:AC23)</f>
        <v>35349</v>
      </c>
      <c r="AD83" s="811">
        <f>AC83/Z83-1</f>
        <v>1.1917782738095237</v>
      </c>
      <c r="AE83" s="896">
        <f>AC83-Z83</f>
        <v>19221</v>
      </c>
      <c r="AF83" s="891">
        <f>AA83-Z83</f>
        <v>8318</v>
      </c>
    </row>
    <row r="84" spans="1:39" ht="15.75" thickBot="1" x14ac:dyDescent="0.3">
      <c r="A84" s="1547" t="s">
        <v>855</v>
      </c>
      <c r="B84" s="268" t="s">
        <v>856</v>
      </c>
      <c r="C84" s="269">
        <f>AVERAGE(C80:C83)</f>
        <v>9.4537071133561856E-2</v>
      </c>
      <c r="D84" s="269">
        <f t="shared" ref="D84:P84" si="11">AVERAGE(D80:D83)</f>
        <v>6.6843410915583684E-2</v>
      </c>
      <c r="E84" s="269">
        <f t="shared" si="11"/>
        <v>8.7600864584690352E-2</v>
      </c>
      <c r="F84" s="269"/>
      <c r="G84" s="269"/>
      <c r="H84" s="270"/>
      <c r="I84" s="38"/>
      <c r="J84" s="274">
        <f t="shared" si="11"/>
        <v>0.21406680869796857</v>
      </c>
      <c r="K84" s="270">
        <f t="shared" si="11"/>
        <v>6.2412216923810382E-2</v>
      </c>
      <c r="L84" s="38"/>
      <c r="M84" s="274">
        <f t="shared" si="11"/>
        <v>8.5131701579550967E-2</v>
      </c>
      <c r="N84" s="270">
        <f t="shared" si="11"/>
        <v>7.9293802207250796E-2</v>
      </c>
      <c r="O84" s="38"/>
      <c r="P84" s="276">
        <f t="shared" si="11"/>
        <v>2.8499141215919038E-2</v>
      </c>
    </row>
    <row r="85" spans="1:39" ht="15.75" thickBot="1" x14ac:dyDescent="0.3">
      <c r="A85" s="1548"/>
      <c r="B85" s="218" t="s">
        <v>857</v>
      </c>
      <c r="C85" s="116">
        <f>AVERAGE(C81:C83)</f>
        <v>9.7354339583408292E-2</v>
      </c>
      <c r="D85" s="116">
        <f t="shared" ref="D85:P85" si="12">AVERAGE(D81:D83)</f>
        <v>0.10216759007980299</v>
      </c>
      <c r="E85" s="116">
        <f t="shared" si="12"/>
        <v>3.7436073414507755E-2</v>
      </c>
      <c r="F85" s="116">
        <f t="shared" si="12"/>
        <v>2.9850940280495657E-2</v>
      </c>
      <c r="G85" s="116">
        <f t="shared" si="12"/>
        <v>6.4684735415861908E-2</v>
      </c>
      <c r="H85" s="252">
        <f t="shared" si="12"/>
        <v>4.1915031768878529E-2</v>
      </c>
      <c r="I85" s="38"/>
      <c r="J85" s="259">
        <f t="shared" si="12"/>
        <v>0.21334925014391479</v>
      </c>
      <c r="K85" s="252">
        <f t="shared" si="12"/>
        <v>3.5466152600368485E-2</v>
      </c>
      <c r="L85" s="38"/>
      <c r="M85" s="259">
        <f t="shared" si="12"/>
        <v>0.10106083499950354</v>
      </c>
      <c r="N85" s="252">
        <f t="shared" si="12"/>
        <v>0.15014359057866403</v>
      </c>
      <c r="O85" s="38"/>
      <c r="P85" s="263">
        <f t="shared" si="12"/>
        <v>5.4463336443655454E-2</v>
      </c>
      <c r="Z85" s="814" t="s">
        <v>858</v>
      </c>
      <c r="AA85" s="1812" t="s">
        <v>790</v>
      </c>
      <c r="AB85" s="1813"/>
      <c r="AC85" s="1810" t="s">
        <v>791</v>
      </c>
      <c r="AD85" s="1811"/>
    </row>
    <row r="86" spans="1:39" ht="19.5" thickBot="1" x14ac:dyDescent="0.35">
      <c r="A86" s="1873"/>
      <c r="B86" s="271" t="s">
        <v>859</v>
      </c>
      <c r="C86" s="272">
        <f>AVERAGE(C82:C83)</f>
        <v>7.9616135492671547E-2</v>
      </c>
      <c r="D86" s="272">
        <f t="shared" ref="D86:P86" si="13">AVERAGE(D82:D83)</f>
        <v>0.15456251020127632</v>
      </c>
      <c r="E86" s="272">
        <f t="shared" si="13"/>
        <v>4.9522810387013672E-2</v>
      </c>
      <c r="F86" s="272">
        <f t="shared" si="13"/>
        <v>8.7957394268026845E-2</v>
      </c>
      <c r="G86" s="272">
        <f t="shared" si="13"/>
        <v>0.15516357970204897</v>
      </c>
      <c r="H86" s="273">
        <f t="shared" si="13"/>
        <v>7.9466542234148174E-2</v>
      </c>
      <c r="I86" s="38"/>
      <c r="J86" s="275">
        <f t="shared" si="13"/>
        <v>0.16997074090888498</v>
      </c>
      <c r="K86" s="273">
        <f t="shared" si="13"/>
        <v>1.2208317663536694E-2</v>
      </c>
      <c r="L86" s="38"/>
      <c r="M86" s="275">
        <f t="shared" si="13"/>
        <v>0.14268604946871588</v>
      </c>
      <c r="N86" s="273">
        <f t="shared" si="13"/>
        <v>0.25532350027400963</v>
      </c>
      <c r="O86" s="38"/>
      <c r="P86" s="277">
        <f t="shared" si="13"/>
        <v>-1.4206726867318498E-3</v>
      </c>
      <c r="W86" s="1805" t="s">
        <v>860</v>
      </c>
      <c r="X86" s="1806"/>
      <c r="Y86" s="1807"/>
      <c r="Z86" s="899">
        <v>279</v>
      </c>
      <c r="AA86" s="900">
        <v>561</v>
      </c>
      <c r="AB86" s="901">
        <f>AA86/Z86-1</f>
        <v>1.010752688172043</v>
      </c>
      <c r="AC86" s="812">
        <v>982</v>
      </c>
      <c r="AD86" s="813">
        <f>AC86/Z86-1</f>
        <v>2.5197132616487457</v>
      </c>
    </row>
    <row r="87" spans="1:39" x14ac:dyDescent="0.25">
      <c r="A87" s="1547" t="s">
        <v>861</v>
      </c>
      <c r="B87" s="234" t="s">
        <v>856</v>
      </c>
      <c r="C87" s="269">
        <f>AVERAGE(C79:C82)</f>
        <v>9.0316813032394583E-2</v>
      </c>
      <c r="D87" s="269">
        <f>AVERAGE(D79:D82)</f>
        <v>0.1357843146017447</v>
      </c>
      <c r="E87" s="269">
        <f>AVERAGE(E79:E82)</f>
        <v>0.16933339085239252</v>
      </c>
      <c r="F87" s="234"/>
      <c r="G87" s="234"/>
      <c r="H87" s="270"/>
      <c r="J87" s="274">
        <f>AVERAGE(J79:J82)</f>
        <v>0.1366309037460014</v>
      </c>
      <c r="K87" s="270">
        <f>AVERAGE(K79:K82)</f>
        <v>0.13324103040266921</v>
      </c>
      <c r="M87" s="274">
        <f>AVERAGE(M79:M82)</f>
        <v>6.6260545905966306E-2</v>
      </c>
      <c r="N87" s="270">
        <f>AVERAGE(N79:N82)</f>
        <v>0.14547898513123131</v>
      </c>
      <c r="P87" s="276">
        <f>AVERAGE(P79:P82)</f>
        <v>0.11373841908012941</v>
      </c>
    </row>
    <row r="88" spans="1:39" x14ac:dyDescent="0.25">
      <c r="A88" s="1548"/>
      <c r="B88" s="43" t="s">
        <v>857</v>
      </c>
      <c r="C88" s="116">
        <f>AVERAGE(C80:C82)</f>
        <v>7.6049428178082509E-2</v>
      </c>
      <c r="D88" s="116">
        <f t="shared" ref="D88:P88" si="14">AVERAGE(D80:D82)</f>
        <v>2.8740363447183854E-2</v>
      </c>
      <c r="E88" s="116">
        <f t="shared" si="14"/>
        <v>9.7747551439553604E-2</v>
      </c>
      <c r="F88" s="116"/>
      <c r="G88" s="116"/>
      <c r="H88" s="252"/>
      <c r="I88" s="38"/>
      <c r="J88" s="259">
        <f t="shared" si="14"/>
        <v>0.12474644389995319</v>
      </c>
      <c r="K88" s="252">
        <f t="shared" si="14"/>
        <v>8.3526609233733229E-2</v>
      </c>
      <c r="L88" s="38"/>
      <c r="M88" s="259">
        <f t="shared" si="14"/>
        <v>6.1380603981062709E-2</v>
      </c>
      <c r="N88" s="252">
        <f t="shared" si="14"/>
        <v>4.9776568982270826E-3</v>
      </c>
      <c r="O88" s="38"/>
      <c r="P88" s="263">
        <f t="shared" si="14"/>
        <v>2.7203323813580222E-2</v>
      </c>
    </row>
    <row r="89" spans="1:39" ht="15.75" thickBot="1" x14ac:dyDescent="0.3">
      <c r="A89" s="1873"/>
      <c r="B89" s="278" t="s">
        <v>859</v>
      </c>
      <c r="C89" s="272">
        <f>AVERAGE(C81:C82)</f>
        <v>7.1031509375112489E-2</v>
      </c>
      <c r="D89" s="272">
        <f t="shared" ref="D89:P89" si="15">AVERAGE(D81:D82)</f>
        <v>6.26751084593129E-2</v>
      </c>
      <c r="E89" s="272">
        <f t="shared" si="15"/>
        <v>2.7573708111711337E-2</v>
      </c>
      <c r="F89" s="272">
        <f t="shared" si="15"/>
        <v>-6.7168954494933319E-3</v>
      </c>
      <c r="G89" s="272">
        <f t="shared" si="15"/>
        <v>5.5306686801476768E-3</v>
      </c>
      <c r="H89" s="273">
        <f t="shared" si="15"/>
        <v>3.971635985493821E-2</v>
      </c>
      <c r="I89" s="38"/>
      <c r="J89" s="275">
        <f t="shared" si="15"/>
        <v>7.9009923669864812E-2</v>
      </c>
      <c r="K89" s="273">
        <f t="shared" si="15"/>
        <v>5.366470890353181E-2</v>
      </c>
      <c r="L89" s="38"/>
      <c r="M89" s="275">
        <f t="shared" si="15"/>
        <v>7.3398755311747443E-2</v>
      </c>
      <c r="N89" s="273">
        <f t="shared" si="15"/>
        <v>7.4094266800835085E-2</v>
      </c>
      <c r="O89" s="38"/>
      <c r="P89" s="277">
        <f t="shared" si="15"/>
        <v>6.5501707954015442E-2</v>
      </c>
    </row>
    <row r="90" spans="1:39" x14ac:dyDescent="0.25">
      <c r="B90" s="43"/>
      <c r="C90" s="38"/>
      <c r="H90" s="38"/>
      <c r="J90" s="38"/>
      <c r="M90" s="38"/>
    </row>
    <row r="91" spans="1:39" x14ac:dyDescent="0.25">
      <c r="B91" s="43"/>
      <c r="C91" s="38"/>
      <c r="H91" s="38"/>
      <c r="J91" s="38"/>
      <c r="M91" s="38"/>
      <c r="R91" t="s">
        <v>862</v>
      </c>
      <c r="AJ91" s="93" t="s">
        <v>209</v>
      </c>
      <c r="AK91">
        <v>108</v>
      </c>
      <c r="AL91">
        <v>269</v>
      </c>
      <c r="AM91">
        <v>557</v>
      </c>
    </row>
    <row r="92" spans="1:39" ht="15.75" thickBot="1" x14ac:dyDescent="0.3">
      <c r="B92" s="43"/>
      <c r="C92" s="38"/>
      <c r="H92" s="38"/>
      <c r="J92" s="38"/>
      <c r="M92" s="38"/>
      <c r="T92" s="94"/>
      <c r="AJ92" s="93" t="s">
        <v>208</v>
      </c>
      <c r="AK92">
        <v>171</v>
      </c>
      <c r="AL92">
        <v>276</v>
      </c>
      <c r="AM92">
        <v>404</v>
      </c>
    </row>
    <row r="93" spans="1:39" ht="15.75" thickBot="1" x14ac:dyDescent="0.3">
      <c r="B93" s="43"/>
      <c r="C93" s="38"/>
      <c r="H93" s="38"/>
      <c r="J93" s="38"/>
      <c r="M93" s="38"/>
      <c r="S93"/>
      <c r="T93" s="94"/>
      <c r="U93" s="1787" t="s">
        <v>863</v>
      </c>
      <c r="V93" s="1785"/>
      <c r="W93" s="1786"/>
      <c r="AA93" s="94"/>
      <c r="AB93" s="1787" t="s">
        <v>863</v>
      </c>
      <c r="AC93" s="1788"/>
      <c r="AD93" s="1788"/>
      <c r="AE93" s="1788"/>
      <c r="AF93" s="1789"/>
      <c r="AG93" s="87"/>
      <c r="AH93" s="87"/>
      <c r="AK93" s="307" t="s">
        <v>852</v>
      </c>
      <c r="AL93" s="307" t="s">
        <v>864</v>
      </c>
      <c r="AM93" s="307" t="s">
        <v>865</v>
      </c>
    </row>
    <row r="94" spans="1:39" ht="15.75" thickBot="1" x14ac:dyDescent="0.3">
      <c r="Q94" s="1876" t="s">
        <v>332</v>
      </c>
      <c r="R94" s="1877"/>
      <c r="S94" s="427" t="s">
        <v>794</v>
      </c>
      <c r="T94" s="279" t="s">
        <v>866</v>
      </c>
      <c r="U94" s="281" t="s">
        <v>867</v>
      </c>
      <c r="V94" s="287" t="s">
        <v>790</v>
      </c>
      <c r="W94" s="281" t="s">
        <v>791</v>
      </c>
      <c r="Y94" s="1882" t="s">
        <v>332</v>
      </c>
      <c r="Z94" s="1883"/>
      <c r="AA94" s="597" t="s">
        <v>794</v>
      </c>
      <c r="AB94" s="598" t="s">
        <v>866</v>
      </c>
      <c r="AC94" s="599" t="s">
        <v>790</v>
      </c>
      <c r="AD94" s="597" t="s">
        <v>868</v>
      </c>
      <c r="AE94" s="599" t="s">
        <v>791</v>
      </c>
      <c r="AF94" s="600" t="s">
        <v>868</v>
      </c>
      <c r="AG94" s="87"/>
      <c r="AH94" s="87"/>
      <c r="AJ94" s="315" t="s">
        <v>869</v>
      </c>
      <c r="AK94" s="318">
        <v>279.14734470000002</v>
      </c>
      <c r="AL94" s="316">
        <v>561.46501813388477</v>
      </c>
      <c r="AM94" s="317">
        <v>982.00582587252745</v>
      </c>
    </row>
    <row r="95" spans="1:39" x14ac:dyDescent="0.25">
      <c r="Q95" s="1874" t="s">
        <v>407</v>
      </c>
      <c r="R95" s="236" t="s">
        <v>358</v>
      </c>
      <c r="S95" s="430">
        <v>0.2</v>
      </c>
      <c r="T95" s="301">
        <v>5</v>
      </c>
      <c r="U95" s="290">
        <v>0.79</v>
      </c>
      <c r="V95" s="237">
        <v>15</v>
      </c>
      <c r="W95" s="282">
        <v>33</v>
      </c>
      <c r="Y95" s="1884" t="s">
        <v>407</v>
      </c>
      <c r="Z95" s="62" t="s">
        <v>358</v>
      </c>
      <c r="AA95" s="592">
        <v>0.2</v>
      </c>
      <c r="AB95" s="593">
        <v>5</v>
      </c>
      <c r="AC95" s="594">
        <v>15</v>
      </c>
      <c r="AD95" s="595">
        <f t="shared" ref="AD95:AD101" si="16">AC95/AB95-1</f>
        <v>2</v>
      </c>
      <c r="AE95" s="596">
        <v>33</v>
      </c>
      <c r="AF95" s="595">
        <f>AE95/AB95-1</f>
        <v>5.6</v>
      </c>
      <c r="AG95" s="87"/>
      <c r="AH95" s="43"/>
      <c r="AI95" s="1860" t="s">
        <v>870</v>
      </c>
      <c r="AJ95" s="156" t="s">
        <v>871</v>
      </c>
      <c r="AK95" s="319">
        <v>13</v>
      </c>
      <c r="AL95" s="310">
        <f>AL94/AK96</f>
        <v>26.147643437499987</v>
      </c>
      <c r="AM95" s="311">
        <f>AM94/AK96</f>
        <v>45.732391794958943</v>
      </c>
    </row>
    <row r="96" spans="1:39" x14ac:dyDescent="0.25">
      <c r="Q96" s="1874"/>
      <c r="R96" s="293" t="s">
        <v>354</v>
      </c>
      <c r="S96" s="431">
        <v>0.09</v>
      </c>
      <c r="T96" s="363">
        <v>6</v>
      </c>
      <c r="U96" s="294">
        <v>0.62</v>
      </c>
      <c r="V96" s="295">
        <v>8</v>
      </c>
      <c r="W96" s="296">
        <v>10</v>
      </c>
      <c r="Y96" s="1874"/>
      <c r="Z96" s="293" t="s">
        <v>354</v>
      </c>
      <c r="AA96" s="294">
        <v>0.09</v>
      </c>
      <c r="AB96" s="369">
        <v>6</v>
      </c>
      <c r="AC96" s="304">
        <v>8</v>
      </c>
      <c r="AD96" s="374">
        <f t="shared" si="16"/>
        <v>0.33333333333333326</v>
      </c>
      <c r="AE96" s="380">
        <v>10</v>
      </c>
      <c r="AF96" s="374">
        <f t="shared" ref="AF96:AF101" si="17">AE96/AB96-1</f>
        <v>0.66666666666666674</v>
      </c>
      <c r="AG96" s="87"/>
      <c r="AH96" s="43"/>
      <c r="AI96" s="1861"/>
      <c r="AJ96" s="312" t="s">
        <v>872</v>
      </c>
      <c r="AK96" s="320">
        <f>AK94/AK95</f>
        <v>21.472872669230771</v>
      </c>
      <c r="AL96" s="313"/>
      <c r="AM96" s="314"/>
    </row>
    <row r="97" spans="17:39" ht="15.75" thickBot="1" x14ac:dyDescent="0.3">
      <c r="Q97" s="1875"/>
      <c r="R97" s="283" t="s">
        <v>397</v>
      </c>
      <c r="S97" s="441"/>
      <c r="T97" s="336">
        <f>SUM(T95:T96)</f>
        <v>11</v>
      </c>
      <c r="U97" s="286"/>
      <c r="V97" s="288">
        <f>SUM(V95:V96)</f>
        <v>23</v>
      </c>
      <c r="W97" s="284">
        <f>SUM(W95:W96)</f>
        <v>43</v>
      </c>
      <c r="Y97" s="1875"/>
      <c r="Z97" s="283" t="s">
        <v>397</v>
      </c>
      <c r="AA97" s="291"/>
      <c r="AB97" s="370">
        <f>SUM(AB95:AB96)</f>
        <v>11</v>
      </c>
      <c r="AC97" s="375">
        <f>SUM(AC95:AC96)</f>
        <v>23</v>
      </c>
      <c r="AD97" s="376">
        <f t="shared" si="16"/>
        <v>1.0909090909090908</v>
      </c>
      <c r="AE97" s="385">
        <f>SUM(AE95:AE96)</f>
        <v>43</v>
      </c>
      <c r="AF97" s="376">
        <f>AE97/AB97-1</f>
        <v>2.9090909090909092</v>
      </c>
      <c r="AG97" s="87"/>
      <c r="AH97" s="87"/>
      <c r="AK97" s="306"/>
      <c r="AL97" s="306"/>
      <c r="AM97" s="306"/>
    </row>
    <row r="98" spans="17:39" x14ac:dyDescent="0.25">
      <c r="Q98" s="1881" t="s">
        <v>873</v>
      </c>
      <c r="R98" s="297" t="s">
        <v>113</v>
      </c>
      <c r="S98" s="442">
        <v>0.15</v>
      </c>
      <c r="T98" s="332">
        <v>3</v>
      </c>
      <c r="U98" s="444">
        <v>0.94</v>
      </c>
      <c r="V98" s="299">
        <v>6</v>
      </c>
      <c r="W98" s="300">
        <v>11</v>
      </c>
      <c r="Y98" s="1881" t="s">
        <v>873</v>
      </c>
      <c r="Z98" s="297" t="s">
        <v>113</v>
      </c>
      <c r="AA98" s="298">
        <v>0.15</v>
      </c>
      <c r="AB98" s="371">
        <v>3</v>
      </c>
      <c r="AC98" s="302">
        <v>6</v>
      </c>
      <c r="AD98" s="377">
        <f t="shared" si="16"/>
        <v>1</v>
      </c>
      <c r="AE98" s="383">
        <v>11</v>
      </c>
      <c r="AF98" s="384">
        <f t="shared" si="17"/>
        <v>2.6666666666666665</v>
      </c>
      <c r="AG98" s="87"/>
      <c r="AH98" s="43"/>
      <c r="AI98" s="1597" t="s">
        <v>240</v>
      </c>
      <c r="AJ98" s="322" t="s">
        <v>113</v>
      </c>
      <c r="AK98" s="321">
        <v>3</v>
      </c>
      <c r="AL98" s="308">
        <f>(AL92+AL91)/AK99</f>
        <v>5.860215053763441</v>
      </c>
      <c r="AM98" s="309">
        <f>(AM92+AM91)/AK99</f>
        <v>10.333333333333334</v>
      </c>
    </row>
    <row r="99" spans="17:39" x14ac:dyDescent="0.25">
      <c r="Q99" s="1874"/>
      <c r="R99" s="236" t="s">
        <v>874</v>
      </c>
      <c r="S99" s="430">
        <v>0.15</v>
      </c>
      <c r="T99" s="301">
        <v>4</v>
      </c>
      <c r="U99" s="290">
        <v>1.23</v>
      </c>
      <c r="V99" s="237">
        <v>11</v>
      </c>
      <c r="W99" s="282">
        <v>19</v>
      </c>
      <c r="Y99" s="1874"/>
      <c r="Z99" s="236" t="s">
        <v>874</v>
      </c>
      <c r="AA99" s="290">
        <v>0.15</v>
      </c>
      <c r="AB99" s="368">
        <v>4</v>
      </c>
      <c r="AC99" s="303">
        <v>11</v>
      </c>
      <c r="AD99" s="373">
        <f t="shared" si="16"/>
        <v>1.75</v>
      </c>
      <c r="AE99" s="379">
        <v>19</v>
      </c>
      <c r="AF99" s="373">
        <f t="shared" si="17"/>
        <v>3.75</v>
      </c>
      <c r="AG99" s="87"/>
      <c r="AH99" s="43"/>
      <c r="AI99" s="1862"/>
      <c r="AJ99" s="323" t="s">
        <v>872</v>
      </c>
      <c r="AK99" s="320">
        <f>(AK92+AK91)/AK98</f>
        <v>93</v>
      </c>
      <c r="AL99" s="313"/>
      <c r="AM99" s="314"/>
    </row>
    <row r="100" spans="17:39" x14ac:dyDescent="0.25">
      <c r="Q100" s="1874"/>
      <c r="R100" s="293" t="s">
        <v>875</v>
      </c>
      <c r="S100" s="431">
        <v>0.15</v>
      </c>
      <c r="T100" s="363">
        <v>6</v>
      </c>
      <c r="U100" s="294">
        <v>0.93</v>
      </c>
      <c r="V100" s="295">
        <v>12</v>
      </c>
      <c r="W100" s="296">
        <v>21</v>
      </c>
      <c r="Y100" s="1874"/>
      <c r="Z100" s="293" t="s">
        <v>875</v>
      </c>
      <c r="AA100" s="294">
        <v>0.15</v>
      </c>
      <c r="AB100" s="369">
        <v>6</v>
      </c>
      <c r="AC100" s="304">
        <v>12</v>
      </c>
      <c r="AD100" s="374">
        <f t="shared" si="16"/>
        <v>1</v>
      </c>
      <c r="AE100" s="380">
        <v>21</v>
      </c>
      <c r="AF100" s="374">
        <f t="shared" si="17"/>
        <v>2.5</v>
      </c>
      <c r="AG100" s="87"/>
      <c r="AH100" s="43"/>
      <c r="AI100" s="1862"/>
      <c r="AJ100" s="156" t="s">
        <v>876</v>
      </c>
      <c r="AK100" s="319">
        <v>4</v>
      </c>
      <c r="AL100" s="310">
        <f>(AL92+(AL91*0.6))/AK101</f>
        <v>7.4198473282442743</v>
      </c>
      <c r="AM100" s="310">
        <f>(AM92+(AM91*0.6))/AK101</f>
        <v>12.522476675148431</v>
      </c>
    </row>
    <row r="101" spans="17:39" ht="15.75" thickBot="1" x14ac:dyDescent="0.3">
      <c r="Q101" s="1875"/>
      <c r="R101" s="285" t="s">
        <v>802</v>
      </c>
      <c r="S101" s="432">
        <v>0.09</v>
      </c>
      <c r="T101" s="443">
        <v>2</v>
      </c>
      <c r="U101" s="292">
        <v>0.61</v>
      </c>
      <c r="V101" s="289">
        <v>3</v>
      </c>
      <c r="W101" s="286">
        <v>3</v>
      </c>
      <c r="Y101" s="1875"/>
      <c r="Z101" s="285" t="s">
        <v>802</v>
      </c>
      <c r="AA101" s="292">
        <v>0.09</v>
      </c>
      <c r="AB101" s="372">
        <v>2</v>
      </c>
      <c r="AC101" s="305">
        <v>3</v>
      </c>
      <c r="AD101" s="378">
        <f t="shared" si="16"/>
        <v>0.5</v>
      </c>
      <c r="AE101" s="381">
        <v>3</v>
      </c>
      <c r="AF101" s="382">
        <f t="shared" si="17"/>
        <v>0.5</v>
      </c>
      <c r="AG101" s="87"/>
      <c r="AH101" s="43"/>
      <c r="AI101" s="1862"/>
      <c r="AJ101" s="156" t="s">
        <v>872</v>
      </c>
      <c r="AK101" s="319">
        <f>(AK92+(AK91*0.6))/AK100</f>
        <v>58.95</v>
      </c>
      <c r="AL101" s="310"/>
      <c r="AM101" s="311"/>
    </row>
    <row r="102" spans="17:39" x14ac:dyDescent="0.25">
      <c r="AG102" s="87"/>
      <c r="AI102" s="1862"/>
      <c r="AJ102" s="322" t="s">
        <v>875</v>
      </c>
      <c r="AK102" s="321">
        <v>6</v>
      </c>
      <c r="AL102" s="308">
        <f>(AL92+AL91)/AK103</f>
        <v>11.720430107526882</v>
      </c>
      <c r="AM102" s="309">
        <f>(AM92+AM91)/AK103</f>
        <v>20.666666666666668</v>
      </c>
    </row>
    <row r="103" spans="17:39" ht="15.75" thickBot="1" x14ac:dyDescent="0.3">
      <c r="AG103" s="87"/>
      <c r="AI103" s="1862"/>
      <c r="AJ103" s="323" t="s">
        <v>872</v>
      </c>
      <c r="AK103" s="320">
        <f>(AK92+AK91)/AK102</f>
        <v>46.5</v>
      </c>
      <c r="AL103" s="313"/>
      <c r="AM103" s="314"/>
    </row>
    <row r="104" spans="17:39" ht="15.75" thickBot="1" x14ac:dyDescent="0.3">
      <c r="Q104" s="94"/>
      <c r="R104" s="94"/>
      <c r="S104" s="94"/>
      <c r="T104" s="94"/>
      <c r="U104" s="94"/>
      <c r="AA104" s="1863" t="s">
        <v>790</v>
      </c>
      <c r="AB104" s="1864"/>
      <c r="AC104" s="1865" t="s">
        <v>791</v>
      </c>
      <c r="AD104" s="1866"/>
      <c r="AE104" s="87"/>
      <c r="AF104" s="87"/>
      <c r="AG104" s="87"/>
      <c r="AI104" s="1862"/>
      <c r="AJ104" s="156" t="s">
        <v>802</v>
      </c>
      <c r="AK104" s="319">
        <v>2</v>
      </c>
      <c r="AL104" s="310">
        <f>AL92/AK105</f>
        <v>3.2280701754385963</v>
      </c>
      <c r="AM104" s="311">
        <f>AM92/AK105</f>
        <v>4.7251461988304095</v>
      </c>
    </row>
    <row r="105" spans="17:39" ht="15.75" thickBot="1" x14ac:dyDescent="0.3">
      <c r="Z105" s="601" t="s">
        <v>792</v>
      </c>
      <c r="AA105" s="602" t="s">
        <v>794</v>
      </c>
      <c r="AB105" s="603" t="s">
        <v>793</v>
      </c>
      <c r="AC105" s="604" t="s">
        <v>794</v>
      </c>
      <c r="AD105" s="605" t="s">
        <v>793</v>
      </c>
      <c r="AE105" s="35"/>
      <c r="AF105" s="35"/>
      <c r="AG105" s="87"/>
      <c r="AI105" s="1598"/>
      <c r="AJ105" s="312" t="s">
        <v>872</v>
      </c>
      <c r="AK105" s="320">
        <f>AK92/AK104</f>
        <v>85.5</v>
      </c>
      <c r="AL105" s="313"/>
      <c r="AM105" s="314"/>
    </row>
    <row r="106" spans="17:39" ht="14.45" customHeight="1" x14ac:dyDescent="0.25">
      <c r="Y106" s="1881" t="s">
        <v>407</v>
      </c>
      <c r="Z106" s="1885">
        <v>949</v>
      </c>
      <c r="AA106" s="1867">
        <f>AB106/Z106-1</f>
        <v>0.50052687038988419</v>
      </c>
      <c r="AB106" s="1869">
        <v>1424</v>
      </c>
      <c r="AC106" s="1871">
        <f>AD106/Z106-1</f>
        <v>1.5995785036880927</v>
      </c>
      <c r="AD106" s="1869">
        <v>2467</v>
      </c>
      <c r="AE106" s="15"/>
      <c r="AF106" s="15"/>
      <c r="AG106" s="87"/>
    </row>
    <row r="107" spans="17:39" ht="15.75" thickBot="1" x14ac:dyDescent="0.3">
      <c r="X107" s="43"/>
      <c r="Y107" s="1844"/>
      <c r="Z107" s="1886"/>
      <c r="AA107" s="1868"/>
      <c r="AB107" s="1870"/>
      <c r="AC107" s="1872"/>
      <c r="AD107" s="1870"/>
      <c r="AE107" s="15"/>
      <c r="AF107" s="15"/>
      <c r="AG107" s="87"/>
    </row>
    <row r="108" spans="17:39" ht="14.45" customHeight="1" x14ac:dyDescent="0.25">
      <c r="X108" s="43"/>
      <c r="Y108" s="606" t="s">
        <v>113</v>
      </c>
      <c r="Z108" s="607">
        <v>394</v>
      </c>
      <c r="AA108" s="608">
        <f>AB108/Z108-1</f>
        <v>1.8934010152284264</v>
      </c>
      <c r="AB108" s="609">
        <v>1140</v>
      </c>
      <c r="AC108" s="610">
        <f>AD108/AB108-1</f>
        <v>0.96491228070175428</v>
      </c>
      <c r="AD108" s="611">
        <v>2240</v>
      </c>
      <c r="AE108" s="15"/>
      <c r="AF108" s="15"/>
      <c r="AG108" s="87"/>
    </row>
    <row r="109" spans="17:39" x14ac:dyDescent="0.25">
      <c r="X109" s="43"/>
      <c r="Y109" s="612" t="s">
        <v>800</v>
      </c>
      <c r="Z109" s="282">
        <v>322</v>
      </c>
      <c r="AA109" s="324">
        <v>1.75</v>
      </c>
      <c r="AB109" s="326">
        <f>Z109*AA109+Z109</f>
        <v>885.5</v>
      </c>
      <c r="AC109" s="325">
        <v>3.75</v>
      </c>
      <c r="AD109" s="613">
        <f>Z109*AC109+Z109</f>
        <v>1529.5</v>
      </c>
      <c r="AE109" s="15"/>
      <c r="AF109" s="15"/>
      <c r="AG109" s="87"/>
    </row>
    <row r="110" spans="17:39" ht="15.75" thickBot="1" x14ac:dyDescent="0.3">
      <c r="X110" s="43"/>
      <c r="Y110" s="614" t="s">
        <v>802</v>
      </c>
      <c r="Z110" s="333">
        <v>197</v>
      </c>
      <c r="AA110" s="331">
        <v>0.5</v>
      </c>
      <c r="AB110" s="329">
        <f>Z110*AA110+Z110</f>
        <v>295.5</v>
      </c>
      <c r="AC110" s="328">
        <v>0.5</v>
      </c>
      <c r="AD110" s="615">
        <f>Z110*AC110+Z110</f>
        <v>295.5</v>
      </c>
      <c r="AE110" s="15"/>
      <c r="AF110" s="15"/>
      <c r="AG110" s="87"/>
    </row>
    <row r="111" spans="17:39" ht="19.5" thickBot="1" x14ac:dyDescent="0.35">
      <c r="X111" s="64"/>
      <c r="Y111" s="616" t="s">
        <v>397</v>
      </c>
      <c r="Z111" s="617">
        <f>SUM(Z106:Z110)</f>
        <v>1862</v>
      </c>
      <c r="AA111" s="618">
        <f>AB111/Z111-1</f>
        <v>1.011278195488722</v>
      </c>
      <c r="AB111" s="619">
        <f>SUM(AB106:AB110)</f>
        <v>3745</v>
      </c>
      <c r="AC111" s="618">
        <f>AD111/Z111-1</f>
        <v>2.5080558539205158</v>
      </c>
      <c r="AD111" s="620">
        <f>SUM(AD106:AD110)</f>
        <v>6532</v>
      </c>
      <c r="AE111" s="15"/>
      <c r="AF111" s="15"/>
      <c r="AG111" s="87"/>
    </row>
    <row r="112" spans="17:39" ht="15.75" thickBot="1" x14ac:dyDescent="0.3">
      <c r="Y112" s="334" t="s">
        <v>806</v>
      </c>
      <c r="Z112" s="335">
        <v>260</v>
      </c>
      <c r="AB112" s="389"/>
      <c r="AD112" s="330"/>
      <c r="AE112" s="15"/>
      <c r="AF112" s="15"/>
      <c r="AG112" s="87"/>
    </row>
    <row r="113" spans="18:33" ht="15.75" thickBot="1" x14ac:dyDescent="0.3">
      <c r="Y113" s="336" t="s">
        <v>808</v>
      </c>
      <c r="Z113" s="388">
        <f>SUM(Z111:Z112)</f>
        <v>2122</v>
      </c>
      <c r="AA113" s="390"/>
      <c r="AB113" s="391"/>
      <c r="AE113" s="15"/>
      <c r="AF113" s="15"/>
      <c r="AG113" s="87"/>
    </row>
    <row r="114" spans="18:33" ht="15.75" thickBot="1" x14ac:dyDescent="0.3">
      <c r="AA114" s="1941" t="s">
        <v>877</v>
      </c>
      <c r="AB114" s="1942"/>
    </row>
    <row r="116" spans="18:33" ht="15.75" thickBot="1" x14ac:dyDescent="0.3"/>
    <row r="117" spans="18:33" ht="15.75" thickBot="1" x14ac:dyDescent="0.3">
      <c r="S117"/>
      <c r="T117" s="94"/>
      <c r="U117" s="1784" t="s">
        <v>863</v>
      </c>
      <c r="V117" s="1785"/>
      <c r="W117" s="1786"/>
      <c r="AA117" s="94"/>
      <c r="AB117" s="1784" t="s">
        <v>863</v>
      </c>
      <c r="AC117" s="1785"/>
      <c r="AD117" s="1785"/>
      <c r="AE117" s="1785"/>
      <c r="AF117" s="1786"/>
    </row>
    <row r="118" spans="18:33" x14ac:dyDescent="0.25">
      <c r="R118" s="1876" t="s">
        <v>332</v>
      </c>
      <c r="S118" s="1877"/>
      <c r="T118" s="281" t="s">
        <v>794</v>
      </c>
      <c r="U118" s="287" t="s">
        <v>866</v>
      </c>
      <c r="V118" s="280" t="s">
        <v>790</v>
      </c>
      <c r="W118" s="281" t="s">
        <v>791</v>
      </c>
      <c r="Y118" s="1876" t="s">
        <v>332</v>
      </c>
      <c r="Z118" s="1877"/>
      <c r="AA118" s="427" t="s">
        <v>794</v>
      </c>
      <c r="AB118" s="367" t="s">
        <v>866</v>
      </c>
      <c r="AC118" s="287" t="s">
        <v>790</v>
      </c>
      <c r="AD118" s="427" t="s">
        <v>868</v>
      </c>
      <c r="AE118" s="279" t="s">
        <v>791</v>
      </c>
      <c r="AF118" s="281" t="s">
        <v>868</v>
      </c>
    </row>
    <row r="119" spans="18:33" x14ac:dyDescent="0.25">
      <c r="R119" s="1844" t="s">
        <v>248</v>
      </c>
      <c r="S119" s="236" t="s">
        <v>878</v>
      </c>
      <c r="T119" s="418">
        <v>0.09</v>
      </c>
      <c r="U119" s="236">
        <v>1</v>
      </c>
      <c r="V119" s="236">
        <v>1.3</v>
      </c>
      <c r="W119" s="424">
        <v>2.2000000000000002</v>
      </c>
      <c r="Y119" s="1844" t="s">
        <v>248</v>
      </c>
      <c r="Z119" s="236" t="s">
        <v>878</v>
      </c>
      <c r="AA119" s="430">
        <v>0.09</v>
      </c>
      <c r="AB119" s="368">
        <v>1</v>
      </c>
      <c r="AC119" s="434">
        <v>1.3</v>
      </c>
      <c r="AD119" s="428">
        <f t="shared" ref="AD119:AD127" si="18">AC119/AB119-1</f>
        <v>0.30000000000000004</v>
      </c>
      <c r="AE119" s="438">
        <v>2.2000000000000002</v>
      </c>
      <c r="AF119" s="373">
        <f>AE119/AB119-1</f>
        <v>1.2000000000000002</v>
      </c>
    </row>
    <row r="120" spans="18:33" x14ac:dyDescent="0.25">
      <c r="R120" s="1845"/>
      <c r="S120" s="293">
        <v>610</v>
      </c>
      <c r="T120" s="419">
        <v>0.09</v>
      </c>
      <c r="U120" s="293">
        <v>1</v>
      </c>
      <c r="V120" s="421">
        <v>0.15</v>
      </c>
      <c r="W120" s="425">
        <v>0.3</v>
      </c>
      <c r="Y120" s="1845"/>
      <c r="Z120" s="293">
        <v>610</v>
      </c>
      <c r="AA120" s="431">
        <v>0.09</v>
      </c>
      <c r="AB120" s="369">
        <v>1</v>
      </c>
      <c r="AC120" s="435">
        <v>0.15</v>
      </c>
      <c r="AD120" s="429">
        <f t="shared" si="18"/>
        <v>-0.85</v>
      </c>
      <c r="AE120" s="439">
        <v>0.3</v>
      </c>
      <c r="AF120" s="374">
        <f t="shared" ref="AF120:AF127" si="19">AE120/AB120-1</f>
        <v>-0.7</v>
      </c>
    </row>
    <row r="121" spans="18:33" x14ac:dyDescent="0.25">
      <c r="R121" s="1845"/>
      <c r="S121" s="236">
        <v>625</v>
      </c>
      <c r="T121" s="418">
        <v>0.09</v>
      </c>
      <c r="U121" s="236">
        <v>1</v>
      </c>
      <c r="V121" s="422">
        <v>0.84</v>
      </c>
      <c r="W121" s="424">
        <v>1.4</v>
      </c>
      <c r="Y121" s="1845"/>
      <c r="Z121" s="236">
        <v>625</v>
      </c>
      <c r="AA121" s="430">
        <v>0.09</v>
      </c>
      <c r="AB121" s="368">
        <v>1</v>
      </c>
      <c r="AC121" s="436">
        <v>0.84</v>
      </c>
      <c r="AD121" s="428">
        <f t="shared" si="18"/>
        <v>-0.16000000000000003</v>
      </c>
      <c r="AE121" s="438">
        <v>1.4</v>
      </c>
      <c r="AF121" s="373">
        <f t="shared" si="19"/>
        <v>0.39999999999999991</v>
      </c>
    </row>
    <row r="122" spans="18:33" ht="14.45" customHeight="1" x14ac:dyDescent="0.25">
      <c r="R122" s="1845"/>
      <c r="S122" s="293">
        <v>640</v>
      </c>
      <c r="T122" s="419">
        <v>0.09</v>
      </c>
      <c r="U122" s="293">
        <v>1</v>
      </c>
      <c r="V122" s="421">
        <v>0.12</v>
      </c>
      <c r="W122" s="425">
        <v>0.2</v>
      </c>
      <c r="Y122" s="1845"/>
      <c r="Z122" s="293">
        <v>640</v>
      </c>
      <c r="AA122" s="431">
        <v>0.09</v>
      </c>
      <c r="AB122" s="369">
        <v>1</v>
      </c>
      <c r="AC122" s="435">
        <v>0.12</v>
      </c>
      <c r="AD122" s="429">
        <f t="shared" si="18"/>
        <v>-0.88</v>
      </c>
      <c r="AE122" s="439">
        <v>0.2</v>
      </c>
      <c r="AF122" s="374">
        <f t="shared" si="19"/>
        <v>-0.8</v>
      </c>
    </row>
    <row r="123" spans="18:33" x14ac:dyDescent="0.25">
      <c r="R123" s="1845"/>
      <c r="S123" s="236">
        <v>645</v>
      </c>
      <c r="T123" s="418">
        <v>0.09</v>
      </c>
      <c r="U123" s="236">
        <v>3</v>
      </c>
      <c r="V123" s="422">
        <v>1.2</v>
      </c>
      <c r="W123" s="424">
        <v>2</v>
      </c>
      <c r="Y123" s="1845"/>
      <c r="Z123" s="236">
        <v>645</v>
      </c>
      <c r="AA123" s="430">
        <v>0.09</v>
      </c>
      <c r="AB123" s="368">
        <v>3</v>
      </c>
      <c r="AC123" s="436">
        <v>1.2</v>
      </c>
      <c r="AD123" s="428">
        <f t="shared" si="18"/>
        <v>-0.60000000000000009</v>
      </c>
      <c r="AE123" s="438">
        <v>2</v>
      </c>
      <c r="AF123" s="373">
        <f t="shared" si="19"/>
        <v>-0.33333333333333337</v>
      </c>
    </row>
    <row r="124" spans="18:33" x14ac:dyDescent="0.25">
      <c r="R124" s="1845"/>
      <c r="S124" s="293">
        <v>650</v>
      </c>
      <c r="T124" s="419">
        <v>0.09</v>
      </c>
      <c r="U124" s="293">
        <v>1</v>
      </c>
      <c r="V124" s="421">
        <v>0.7</v>
      </c>
      <c r="W124" s="425">
        <v>1.2</v>
      </c>
      <c r="Y124" s="1845"/>
      <c r="Z124" s="293">
        <v>650</v>
      </c>
      <c r="AA124" s="431">
        <v>0.09</v>
      </c>
      <c r="AB124" s="369">
        <v>1</v>
      </c>
      <c r="AC124" s="435">
        <v>0.7</v>
      </c>
      <c r="AD124" s="429">
        <f t="shared" si="18"/>
        <v>-0.30000000000000004</v>
      </c>
      <c r="AE124" s="439">
        <v>1.2</v>
      </c>
      <c r="AF124" s="374">
        <f t="shared" si="19"/>
        <v>0.19999999999999996</v>
      </c>
    </row>
    <row r="125" spans="18:33" x14ac:dyDescent="0.25">
      <c r="R125" s="1845"/>
      <c r="S125" s="236">
        <v>655</v>
      </c>
      <c r="T125" s="418">
        <v>0.09</v>
      </c>
      <c r="U125" s="236">
        <v>1</v>
      </c>
      <c r="V125" s="422">
        <v>0.6</v>
      </c>
      <c r="W125" s="424">
        <v>0.96</v>
      </c>
      <c r="Y125" s="1845"/>
      <c r="Z125" s="236">
        <v>655</v>
      </c>
      <c r="AA125" s="430">
        <v>0.09</v>
      </c>
      <c r="AB125" s="368">
        <v>1</v>
      </c>
      <c r="AC125" s="436">
        <v>0.6</v>
      </c>
      <c r="AD125" s="428">
        <f t="shared" si="18"/>
        <v>-0.4</v>
      </c>
      <c r="AE125" s="438">
        <v>0.96</v>
      </c>
      <c r="AF125" s="373">
        <f>AE125/AB125-1</f>
        <v>-4.0000000000000036E-2</v>
      </c>
    </row>
    <row r="126" spans="18:33" x14ac:dyDescent="0.25">
      <c r="R126" s="1845"/>
      <c r="S126" s="293">
        <v>642</v>
      </c>
      <c r="T126" s="419">
        <v>0.09</v>
      </c>
      <c r="U126" s="293">
        <v>1</v>
      </c>
      <c r="V126" s="421">
        <v>0.45</v>
      </c>
      <c r="W126" s="425">
        <v>0.75</v>
      </c>
      <c r="Y126" s="1845"/>
      <c r="Z126" s="293">
        <v>642</v>
      </c>
      <c r="AA126" s="431">
        <v>0.09</v>
      </c>
      <c r="AB126" s="369">
        <v>1</v>
      </c>
      <c r="AC126" s="435">
        <v>0.45</v>
      </c>
      <c r="AD126" s="429">
        <f t="shared" si="18"/>
        <v>-0.55000000000000004</v>
      </c>
      <c r="AE126" s="439">
        <v>0.75</v>
      </c>
      <c r="AF126" s="374">
        <f t="shared" si="19"/>
        <v>-0.25</v>
      </c>
    </row>
    <row r="127" spans="18:33" ht="15.75" thickBot="1" x14ac:dyDescent="0.3">
      <c r="R127" s="1846"/>
      <c r="S127" s="285">
        <v>660</v>
      </c>
      <c r="T127" s="420">
        <v>0.09</v>
      </c>
      <c r="U127" s="285">
        <v>1</v>
      </c>
      <c r="V127" s="423">
        <v>0.94</v>
      </c>
      <c r="W127" s="426">
        <v>1.6</v>
      </c>
      <c r="Y127" s="1846"/>
      <c r="Z127" s="285">
        <v>660</v>
      </c>
      <c r="AA127" s="432">
        <v>0.09</v>
      </c>
      <c r="AB127" s="372">
        <v>1</v>
      </c>
      <c r="AC127" s="437">
        <v>0.94</v>
      </c>
      <c r="AD127" s="433">
        <f t="shared" si="18"/>
        <v>-6.0000000000000053E-2</v>
      </c>
      <c r="AE127" s="440">
        <v>1.6</v>
      </c>
      <c r="AF127" s="382">
        <f t="shared" si="19"/>
        <v>0.60000000000000009</v>
      </c>
    </row>
    <row r="128" spans="18:33" x14ac:dyDescent="0.25">
      <c r="U128" s="43" t="s">
        <v>879</v>
      </c>
    </row>
    <row r="135" spans="18:39" ht="15.75" thickBot="1" x14ac:dyDescent="0.3"/>
    <row r="136" spans="18:39" ht="15.75" thickBot="1" x14ac:dyDescent="0.3">
      <c r="S136"/>
      <c r="T136" s="94"/>
      <c r="U136" s="1784" t="s">
        <v>863</v>
      </c>
      <c r="V136" s="1785"/>
      <c r="W136" s="1786"/>
      <c r="X136" s="1784" t="s">
        <v>880</v>
      </c>
      <c r="Y136" s="1785"/>
      <c r="Z136" s="1786"/>
      <c r="AA136" s="1784" t="s">
        <v>881</v>
      </c>
      <c r="AB136" s="1785"/>
      <c r="AC136" s="1786"/>
      <c r="AH136" s="1784" t="s">
        <v>882</v>
      </c>
      <c r="AI136" s="1785"/>
      <c r="AJ136" s="1786"/>
      <c r="AK136" s="1785" t="s">
        <v>883</v>
      </c>
      <c r="AL136" s="1785"/>
      <c r="AM136" s="1786"/>
    </row>
    <row r="137" spans="18:39" x14ac:dyDescent="0.25">
      <c r="R137" s="1876" t="s">
        <v>332</v>
      </c>
      <c r="S137" s="1877"/>
      <c r="T137" s="281" t="s">
        <v>794</v>
      </c>
      <c r="U137" s="287" t="s">
        <v>866</v>
      </c>
      <c r="V137" s="280" t="s">
        <v>790</v>
      </c>
      <c r="W137" s="281" t="s">
        <v>791</v>
      </c>
      <c r="X137" s="287" t="s">
        <v>884</v>
      </c>
      <c r="Y137" s="280" t="s">
        <v>790</v>
      </c>
      <c r="Z137" s="281" t="s">
        <v>791</v>
      </c>
      <c r="AA137" s="287" t="s">
        <v>884</v>
      </c>
      <c r="AB137" s="280" t="s">
        <v>790</v>
      </c>
      <c r="AC137" s="281" t="s">
        <v>791</v>
      </c>
      <c r="AH137" s="279" t="s">
        <v>866</v>
      </c>
      <c r="AI137" s="280" t="s">
        <v>790</v>
      </c>
      <c r="AJ137" s="281" t="s">
        <v>791</v>
      </c>
      <c r="AK137" s="287" t="s">
        <v>866</v>
      </c>
      <c r="AL137" s="280" t="s">
        <v>790</v>
      </c>
      <c r="AM137" s="281" t="s">
        <v>791</v>
      </c>
    </row>
    <row r="138" spans="18:39" x14ac:dyDescent="0.25">
      <c r="R138" s="1874" t="s">
        <v>407</v>
      </c>
      <c r="S138" s="236" t="s">
        <v>358</v>
      </c>
      <c r="T138" s="290">
        <v>0.2</v>
      </c>
      <c r="U138" s="237">
        <v>5</v>
      </c>
      <c r="V138" s="236">
        <v>15</v>
      </c>
      <c r="W138" s="282">
        <v>33</v>
      </c>
      <c r="X138" s="237">
        <f>((U138-1)*4)+1</f>
        <v>17</v>
      </c>
      <c r="Y138" s="236">
        <f>((V138-1)*4)+1</f>
        <v>57</v>
      </c>
      <c r="Z138" s="282">
        <f>((W138-1)*4)+1</f>
        <v>129</v>
      </c>
      <c r="AA138" s="237">
        <f t="shared" ref="AA138:AC139" si="20">X138*2</f>
        <v>34</v>
      </c>
      <c r="AB138" s="236">
        <f>Y138*2</f>
        <v>114</v>
      </c>
      <c r="AC138" s="282">
        <f t="shared" si="20"/>
        <v>258</v>
      </c>
      <c r="AH138" s="351">
        <f>X138/7</f>
        <v>2.4285714285714284</v>
      </c>
      <c r="AI138" s="340">
        <f t="shared" ref="AI138:AM139" si="21">ROUNDUP(Y138/7,0)</f>
        <v>9</v>
      </c>
      <c r="AJ138" s="346">
        <f t="shared" si="21"/>
        <v>19</v>
      </c>
      <c r="AK138" s="341">
        <f t="shared" si="21"/>
        <v>5</v>
      </c>
      <c r="AL138" s="341">
        <f t="shared" si="21"/>
        <v>17</v>
      </c>
      <c r="AM138" s="346">
        <f t="shared" si="21"/>
        <v>37</v>
      </c>
    </row>
    <row r="139" spans="18:39" x14ac:dyDescent="0.25">
      <c r="R139" s="1874"/>
      <c r="S139" s="293" t="s">
        <v>354</v>
      </c>
      <c r="T139" s="294">
        <v>0.09</v>
      </c>
      <c r="U139" s="295">
        <v>6</v>
      </c>
      <c r="V139" s="293">
        <v>8</v>
      </c>
      <c r="W139" s="296">
        <v>10</v>
      </c>
      <c r="X139" s="295">
        <f>U139*4</f>
        <v>24</v>
      </c>
      <c r="Y139" s="293">
        <f>V139*4</f>
        <v>32</v>
      </c>
      <c r="Z139" s="296">
        <f>W139*4</f>
        <v>40</v>
      </c>
      <c r="AA139" s="295">
        <f t="shared" si="20"/>
        <v>48</v>
      </c>
      <c r="AB139" s="293">
        <f t="shared" si="20"/>
        <v>64</v>
      </c>
      <c r="AC139" s="296">
        <f t="shared" si="20"/>
        <v>80</v>
      </c>
      <c r="AH139" s="352">
        <f>ROUNDUP(X139/7,0)</f>
        <v>4</v>
      </c>
      <c r="AI139" s="353">
        <f t="shared" si="21"/>
        <v>5</v>
      </c>
      <c r="AJ139" s="347">
        <f t="shared" si="21"/>
        <v>6</v>
      </c>
      <c r="AK139" s="342">
        <f t="shared" si="21"/>
        <v>7</v>
      </c>
      <c r="AL139" s="342">
        <f t="shared" si="21"/>
        <v>10</v>
      </c>
      <c r="AM139" s="347">
        <f t="shared" si="21"/>
        <v>12</v>
      </c>
    </row>
    <row r="140" spans="18:39" ht="15.75" thickBot="1" x14ac:dyDescent="0.3">
      <c r="R140" s="1875"/>
      <c r="S140" s="283" t="s">
        <v>397</v>
      </c>
      <c r="T140" s="291"/>
      <c r="U140" s="288">
        <f t="shared" ref="U140:AC140" si="22">SUM(U138:U139)</f>
        <v>11</v>
      </c>
      <c r="V140" s="283">
        <f t="shared" si="22"/>
        <v>23</v>
      </c>
      <c r="W140" s="284">
        <f t="shared" si="22"/>
        <v>43</v>
      </c>
      <c r="X140" s="288">
        <f t="shared" si="22"/>
        <v>41</v>
      </c>
      <c r="Y140" s="283">
        <f t="shared" si="22"/>
        <v>89</v>
      </c>
      <c r="Z140" s="284">
        <f t="shared" si="22"/>
        <v>169</v>
      </c>
      <c r="AA140" s="288">
        <f>SUM(AA138:AA139)</f>
        <v>82</v>
      </c>
      <c r="AB140" s="283">
        <f t="shared" si="22"/>
        <v>178</v>
      </c>
      <c r="AC140" s="284">
        <f t="shared" si="22"/>
        <v>338</v>
      </c>
      <c r="AH140" s="348">
        <f t="shared" ref="AH140:AM140" si="23">SUM(AH138:AH139)</f>
        <v>6.4285714285714288</v>
      </c>
      <c r="AI140" s="344">
        <f t="shared" si="23"/>
        <v>14</v>
      </c>
      <c r="AJ140" s="345">
        <f t="shared" si="23"/>
        <v>25</v>
      </c>
      <c r="AK140" s="343">
        <f t="shared" si="23"/>
        <v>12</v>
      </c>
      <c r="AL140" s="344">
        <f t="shared" si="23"/>
        <v>27</v>
      </c>
      <c r="AM140" s="345">
        <f t="shared" si="23"/>
        <v>49</v>
      </c>
    </row>
    <row r="141" spans="18:39" ht="14.45" customHeight="1" x14ac:dyDescent="0.25">
      <c r="R141" s="1878" t="s">
        <v>873</v>
      </c>
      <c r="S141" s="297" t="s">
        <v>113</v>
      </c>
      <c r="T141" s="298">
        <v>0.15</v>
      </c>
      <c r="U141" s="362">
        <v>3</v>
      </c>
      <c r="V141" s="297">
        <v>6</v>
      </c>
      <c r="W141" s="300">
        <v>11</v>
      </c>
      <c r="X141" s="349">
        <f>U141*2.5</f>
        <v>7.5</v>
      </c>
      <c r="Y141" s="297">
        <f>V141*2.5</f>
        <v>15</v>
      </c>
      <c r="Z141" s="339">
        <f>W141*2.5</f>
        <v>27.5</v>
      </c>
      <c r="AA141" s="362">
        <f t="shared" ref="AA141:AC144" si="24">X141*2</f>
        <v>15</v>
      </c>
      <c r="AB141" s="297">
        <f t="shared" si="24"/>
        <v>30</v>
      </c>
      <c r="AC141" s="300">
        <f t="shared" si="24"/>
        <v>55</v>
      </c>
      <c r="AH141" s="355">
        <f>X141/7</f>
        <v>1.0714285714285714</v>
      </c>
      <c r="AI141" s="359">
        <f>Y141/7</f>
        <v>2.1428571428571428</v>
      </c>
      <c r="AJ141" s="350">
        <f>ROUNDUP(Z141/7,0)</f>
        <v>4</v>
      </c>
      <c r="AK141" s="338">
        <f>AA141/7</f>
        <v>2.1428571428571428</v>
      </c>
      <c r="AL141" s="338">
        <f>ROUNDUP(AB141/7,0)</f>
        <v>5</v>
      </c>
      <c r="AM141" s="350">
        <f>ROUNDUP(AC141/7,0)</f>
        <v>8</v>
      </c>
    </row>
    <row r="142" spans="18:39" x14ac:dyDescent="0.25">
      <c r="R142" s="1879"/>
      <c r="S142" s="236" t="s">
        <v>874</v>
      </c>
      <c r="T142" s="290">
        <v>0.15</v>
      </c>
      <c r="U142" s="301">
        <v>4</v>
      </c>
      <c r="V142" s="236">
        <v>11</v>
      </c>
      <c r="W142" s="282">
        <v>19</v>
      </c>
      <c r="X142" s="301">
        <f>U142*1.5</f>
        <v>6</v>
      </c>
      <c r="Y142" s="340">
        <f>V142*1.5</f>
        <v>16.5</v>
      </c>
      <c r="Z142" s="327">
        <f>W142*1.5</f>
        <v>28.5</v>
      </c>
      <c r="AA142" s="301">
        <f t="shared" si="24"/>
        <v>12</v>
      </c>
      <c r="AB142" s="236">
        <f t="shared" si="24"/>
        <v>33</v>
      </c>
      <c r="AC142" s="282">
        <f t="shared" si="24"/>
        <v>57</v>
      </c>
      <c r="AH142" s="1940">
        <f t="shared" ref="AH142:AM142" si="25">ROUNDUP(SUM(X142:X144)/7,0)</f>
        <v>2</v>
      </c>
      <c r="AI142" s="1938">
        <f t="shared" si="25"/>
        <v>3</v>
      </c>
      <c r="AJ142" s="1939">
        <f t="shared" si="25"/>
        <v>5</v>
      </c>
      <c r="AK142" s="1847">
        <f t="shared" si="25"/>
        <v>3</v>
      </c>
      <c r="AL142" s="1938">
        <f t="shared" si="25"/>
        <v>6</v>
      </c>
      <c r="AM142" s="1939">
        <f t="shared" si="25"/>
        <v>9</v>
      </c>
    </row>
    <row r="143" spans="18:39" x14ac:dyDescent="0.25">
      <c r="R143" s="1879"/>
      <c r="S143" s="293" t="s">
        <v>875</v>
      </c>
      <c r="T143" s="294">
        <v>0.15</v>
      </c>
      <c r="U143" s="363">
        <v>6</v>
      </c>
      <c r="V143" s="293">
        <v>12</v>
      </c>
      <c r="W143" s="296">
        <v>21</v>
      </c>
      <c r="X143" s="363">
        <f>U143-U142*1</f>
        <v>2</v>
      </c>
      <c r="Y143" s="293">
        <f>V143-V142*1</f>
        <v>1</v>
      </c>
      <c r="Z143" s="296">
        <f>W143-W142*1</f>
        <v>2</v>
      </c>
      <c r="AA143" s="363">
        <f t="shared" si="24"/>
        <v>4</v>
      </c>
      <c r="AB143" s="293">
        <f t="shared" si="24"/>
        <v>2</v>
      </c>
      <c r="AC143" s="296">
        <f t="shared" si="24"/>
        <v>4</v>
      </c>
      <c r="AH143" s="1940"/>
      <c r="AI143" s="1938"/>
      <c r="AJ143" s="1939"/>
      <c r="AK143" s="1847"/>
      <c r="AL143" s="1938"/>
      <c r="AM143" s="1939"/>
    </row>
    <row r="144" spans="18:39" x14ac:dyDescent="0.25">
      <c r="R144" s="1879"/>
      <c r="S144" s="236" t="s">
        <v>802</v>
      </c>
      <c r="T144" s="290">
        <v>0.09</v>
      </c>
      <c r="U144" s="301">
        <v>2</v>
      </c>
      <c r="V144" s="236">
        <v>3</v>
      </c>
      <c r="W144" s="282">
        <v>3</v>
      </c>
      <c r="X144" s="301">
        <v>1</v>
      </c>
      <c r="Y144" s="236">
        <v>1</v>
      </c>
      <c r="Z144" s="282">
        <v>1</v>
      </c>
      <c r="AA144" s="301">
        <f t="shared" si="24"/>
        <v>2</v>
      </c>
      <c r="AB144" s="236">
        <f t="shared" si="24"/>
        <v>2</v>
      </c>
      <c r="AC144" s="282">
        <f t="shared" si="24"/>
        <v>2</v>
      </c>
      <c r="AH144" s="1940"/>
      <c r="AI144" s="1938"/>
      <c r="AJ144" s="1939"/>
      <c r="AK144" s="1847"/>
      <c r="AL144" s="1938"/>
      <c r="AM144" s="1939"/>
    </row>
    <row r="145" spans="18:70" ht="15.75" thickBot="1" x14ac:dyDescent="0.3">
      <c r="R145" s="1880"/>
      <c r="S145" s="360" t="s">
        <v>397</v>
      </c>
      <c r="T145" s="361"/>
      <c r="U145" s="364"/>
      <c r="V145" s="360"/>
      <c r="W145" s="361"/>
      <c r="X145" s="354">
        <f t="shared" ref="X145:AC145" si="26">SUM(X141:X144)</f>
        <v>16.5</v>
      </c>
      <c r="Y145" s="365">
        <f t="shared" si="26"/>
        <v>33.5</v>
      </c>
      <c r="Z145" s="366">
        <f t="shared" si="26"/>
        <v>59</v>
      </c>
      <c r="AA145" s="354">
        <f t="shared" si="26"/>
        <v>33</v>
      </c>
      <c r="AB145" s="365">
        <f t="shared" si="26"/>
        <v>67</v>
      </c>
      <c r="AC145" s="366">
        <f t="shared" si="26"/>
        <v>118</v>
      </c>
      <c r="AH145" s="357">
        <f t="shared" ref="AH145:AM145" si="27">SUM(AH141:AH144)</f>
        <v>3.0714285714285712</v>
      </c>
      <c r="AI145" s="356">
        <f t="shared" si="27"/>
        <v>5.1428571428571423</v>
      </c>
      <c r="AJ145" s="358">
        <f t="shared" si="27"/>
        <v>9</v>
      </c>
      <c r="AK145" s="356">
        <f t="shared" si="27"/>
        <v>5.1428571428571423</v>
      </c>
      <c r="AL145" s="356">
        <f t="shared" si="27"/>
        <v>11</v>
      </c>
      <c r="AM145" s="358">
        <f t="shared" si="27"/>
        <v>17</v>
      </c>
    </row>
    <row r="147" spans="18:70" x14ac:dyDescent="0.25">
      <c r="AV147" s="1742" t="s">
        <v>213</v>
      </c>
      <c r="AW147" s="1743"/>
      <c r="AX147" s="1743"/>
      <c r="AY147" s="1743"/>
      <c r="AZ147" s="1743"/>
      <c r="BA147" s="1743"/>
      <c r="BB147" s="1744"/>
      <c r="BD147" s="1742" t="s">
        <v>235</v>
      </c>
      <c r="BE147" s="1743"/>
      <c r="BF147" s="1743"/>
      <c r="BG147" s="1743"/>
      <c r="BH147" s="1743"/>
      <c r="BI147" s="1743"/>
      <c r="BJ147" s="1744"/>
      <c r="BL147" s="1742" t="s">
        <v>885</v>
      </c>
      <c r="BM147" s="1743"/>
      <c r="BN147" s="1743"/>
      <c r="BO147" s="1743"/>
      <c r="BP147" s="1743"/>
      <c r="BQ147" s="1743"/>
      <c r="BR147" s="1744"/>
    </row>
    <row r="148" spans="18:70" ht="15.75" thickBot="1" x14ac:dyDescent="0.3"/>
    <row r="149" spans="18:70" x14ac:dyDescent="0.25">
      <c r="Y149" s="499"/>
      <c r="Z149" s="1836" t="s">
        <v>886</v>
      </c>
      <c r="AA149" s="1837"/>
      <c r="AB149" s="1838" t="s">
        <v>358</v>
      </c>
      <c r="AC149" s="1839"/>
      <c r="AD149" s="1840" t="s">
        <v>354</v>
      </c>
      <c r="AE149" s="1837"/>
      <c r="AF149" t="s">
        <v>887</v>
      </c>
      <c r="AH149" s="94"/>
      <c r="AI149" s="1841" t="s">
        <v>888</v>
      </c>
      <c r="AJ149" s="1842"/>
      <c r="AK149" s="1843"/>
      <c r="AL149" s="43"/>
      <c r="AM149" s="1841" t="s">
        <v>888</v>
      </c>
      <c r="AN149" s="1842"/>
      <c r="AO149" s="1843"/>
      <c r="AP149" s="43"/>
      <c r="AQ149" s="1841" t="s">
        <v>888</v>
      </c>
      <c r="AR149" s="1842"/>
      <c r="AS149" s="1843"/>
      <c r="AV149" s="1908" t="s">
        <v>888</v>
      </c>
      <c r="AW149" s="1909"/>
      <c r="AX149" s="1910"/>
      <c r="AY149" s="43"/>
      <c r="AZ149" s="1911" t="s">
        <v>888</v>
      </c>
      <c r="BA149" s="1912"/>
      <c r="BB149" s="1913"/>
      <c r="BD149" s="1908" t="s">
        <v>888</v>
      </c>
      <c r="BE149" s="1909"/>
      <c r="BF149" s="1910"/>
      <c r="BG149" s="43"/>
      <c r="BH149" s="1911" t="s">
        <v>888</v>
      </c>
      <c r="BI149" s="1912"/>
      <c r="BJ149" s="1913"/>
      <c r="BL149" s="1908" t="s">
        <v>888</v>
      </c>
      <c r="BM149" s="1909"/>
      <c r="BN149" s="1910"/>
      <c r="BO149" s="43"/>
      <c r="BP149" s="1911" t="s">
        <v>888</v>
      </c>
      <c r="BQ149" s="1912"/>
      <c r="BR149" s="1913"/>
    </row>
    <row r="150" spans="18:70" ht="15.75" thickBot="1" x14ac:dyDescent="0.3">
      <c r="Y150" s="500" t="s">
        <v>842</v>
      </c>
      <c r="Z150" s="501" t="s">
        <v>889</v>
      </c>
      <c r="AA150" s="502" t="s">
        <v>890</v>
      </c>
      <c r="AB150" s="503" t="s">
        <v>889</v>
      </c>
      <c r="AC150" s="502" t="s">
        <v>890</v>
      </c>
      <c r="AD150" s="504" t="s">
        <v>889</v>
      </c>
      <c r="AE150" s="502" t="s">
        <v>890</v>
      </c>
      <c r="AH150" s="94"/>
      <c r="AI150" s="443"/>
      <c r="AJ150" s="285" t="s">
        <v>891</v>
      </c>
      <c r="AK150" s="286"/>
      <c r="AL150" s="43"/>
      <c r="AM150" s="1897" t="s">
        <v>892</v>
      </c>
      <c r="AN150" s="1898"/>
      <c r="AO150" s="1899"/>
      <c r="AP150" s="43"/>
      <c r="AQ150" s="1897" t="s">
        <v>893</v>
      </c>
      <c r="AR150" s="1898"/>
      <c r="AS150" s="1899"/>
      <c r="AV150" s="1914" t="s">
        <v>894</v>
      </c>
      <c r="AW150" s="1915"/>
      <c r="AX150" s="1916"/>
      <c r="AY150" s="43"/>
      <c r="AZ150" s="1917" t="s">
        <v>895</v>
      </c>
      <c r="BA150" s="1918"/>
      <c r="BB150" s="1919"/>
      <c r="BD150" s="1914" t="s">
        <v>896</v>
      </c>
      <c r="BE150" s="1915"/>
      <c r="BF150" s="1916"/>
      <c r="BG150" s="43"/>
      <c r="BH150" s="1917" t="s">
        <v>897</v>
      </c>
      <c r="BI150" s="1918"/>
      <c r="BJ150" s="1919"/>
      <c r="BL150" s="1914" t="s">
        <v>898</v>
      </c>
      <c r="BM150" s="1915"/>
      <c r="BN150" s="1916"/>
      <c r="BO150" s="43"/>
      <c r="BP150" s="1917" t="s">
        <v>899</v>
      </c>
      <c r="BQ150" s="1918"/>
      <c r="BR150" s="1919"/>
    </row>
    <row r="151" spans="18:70" x14ac:dyDescent="0.25">
      <c r="Y151" s="461">
        <v>2016</v>
      </c>
      <c r="Z151" s="462">
        <v>72</v>
      </c>
      <c r="AA151" s="463">
        <v>2.6654644556944445</v>
      </c>
      <c r="AB151" s="464">
        <v>8</v>
      </c>
      <c r="AC151" s="463">
        <v>7.5</v>
      </c>
      <c r="AD151" s="465">
        <v>20</v>
      </c>
      <c r="AE151" s="463">
        <v>6.6</v>
      </c>
      <c r="AH151" s="94"/>
      <c r="AI151" s="508" t="s">
        <v>900</v>
      </c>
      <c r="AJ151" s="509">
        <f>SUM(AN151,AR151)</f>
        <v>53</v>
      </c>
      <c r="AK151" s="1901">
        <f>SUM(AJ151:AJ152)</f>
        <v>60.571428571428569</v>
      </c>
      <c r="AL151" s="43"/>
      <c r="AM151" s="508" t="s">
        <v>900</v>
      </c>
      <c r="AN151" s="509">
        <v>20</v>
      </c>
      <c r="AO151" s="1901">
        <f>SUM(AN151:AN152)</f>
        <v>22.857142857142858</v>
      </c>
      <c r="AP151" s="43"/>
      <c r="AQ151" s="508" t="s">
        <v>900</v>
      </c>
      <c r="AR151" s="509">
        <v>33</v>
      </c>
      <c r="AS151" s="1901">
        <f>SUM(AR151:AR152)</f>
        <v>37.714285714285715</v>
      </c>
      <c r="AV151" s="629" t="s">
        <v>900</v>
      </c>
      <c r="AW151" s="630">
        <v>19</v>
      </c>
      <c r="AX151" s="1903">
        <f>SUM(AW151:AW152)</f>
        <v>21.714285714285715</v>
      </c>
      <c r="AY151" s="43"/>
      <c r="AZ151" s="636" t="s">
        <v>900</v>
      </c>
      <c r="BA151" s="637">
        <v>11</v>
      </c>
      <c r="BB151" s="1905">
        <f>SUM(BA151:BA152)</f>
        <v>12.571428571428571</v>
      </c>
      <c r="BD151" s="629" t="s">
        <v>900</v>
      </c>
      <c r="BE151" s="630"/>
      <c r="BF151" s="1903">
        <f>SUM(BE151:BE152)</f>
        <v>0</v>
      </c>
      <c r="BG151" s="43"/>
      <c r="BH151" s="636" t="s">
        <v>900</v>
      </c>
      <c r="BI151" s="637"/>
      <c r="BJ151" s="1905">
        <f>SUM(BI151:BI152)</f>
        <v>0</v>
      </c>
      <c r="BL151" s="629" t="s">
        <v>900</v>
      </c>
      <c r="BM151" s="630"/>
      <c r="BN151" s="1903">
        <f>SUM(BM151:BM152)</f>
        <v>0</v>
      </c>
      <c r="BO151" s="43"/>
      <c r="BP151" s="636" t="s">
        <v>900</v>
      </c>
      <c r="BQ151" s="637"/>
      <c r="BR151" s="1905">
        <f>SUM(BQ151:BQ152)</f>
        <v>0</v>
      </c>
    </row>
    <row r="152" spans="18:70" x14ac:dyDescent="0.25">
      <c r="Y152" s="466">
        <v>2017</v>
      </c>
      <c r="Z152" s="467">
        <v>76</v>
      </c>
      <c r="AA152" s="468">
        <v>2.6105037428947369</v>
      </c>
      <c r="AB152" s="469">
        <v>9</v>
      </c>
      <c r="AC152" s="468">
        <v>7.5</v>
      </c>
      <c r="AD152" s="470">
        <v>18</v>
      </c>
      <c r="AE152" s="468">
        <v>7.4</v>
      </c>
      <c r="AH152" s="94"/>
      <c r="AI152" s="505" t="s">
        <v>901</v>
      </c>
      <c r="AJ152" s="506">
        <f>AJ151/7</f>
        <v>7.5714285714285712</v>
      </c>
      <c r="AK152" s="1902"/>
      <c r="AL152" s="43"/>
      <c r="AM152" s="505" t="s">
        <v>901</v>
      </c>
      <c r="AN152" s="506">
        <f>AN151/7</f>
        <v>2.8571428571428572</v>
      </c>
      <c r="AO152" s="1902"/>
      <c r="AP152" s="43"/>
      <c r="AQ152" s="505" t="s">
        <v>901</v>
      </c>
      <c r="AR152" s="506">
        <f>AR151/7</f>
        <v>4.7142857142857144</v>
      </c>
      <c r="AS152" s="1902"/>
      <c r="AV152" s="631" t="s">
        <v>901</v>
      </c>
      <c r="AW152" s="632">
        <f>AW151/7</f>
        <v>2.7142857142857144</v>
      </c>
      <c r="AX152" s="1904"/>
      <c r="AY152" s="43"/>
      <c r="AZ152" s="638" t="s">
        <v>901</v>
      </c>
      <c r="BA152" s="639">
        <f>BA151/7</f>
        <v>1.5714285714285714</v>
      </c>
      <c r="BB152" s="1906"/>
      <c r="BD152" s="631" t="s">
        <v>901</v>
      </c>
      <c r="BE152" s="632">
        <f>BE151/7</f>
        <v>0</v>
      </c>
      <c r="BF152" s="1904"/>
      <c r="BG152" s="43"/>
      <c r="BH152" s="638" t="s">
        <v>901</v>
      </c>
      <c r="BI152" s="639">
        <f>BI151/7</f>
        <v>0</v>
      </c>
      <c r="BJ152" s="1906"/>
      <c r="BL152" s="631" t="s">
        <v>901</v>
      </c>
      <c r="BM152" s="632">
        <f>BM151/7</f>
        <v>0</v>
      </c>
      <c r="BN152" s="1904"/>
      <c r="BO152" s="43"/>
      <c r="BP152" s="638" t="s">
        <v>901</v>
      </c>
      <c r="BQ152" s="639">
        <f>BQ151/7</f>
        <v>0</v>
      </c>
      <c r="BR152" s="1906"/>
    </row>
    <row r="153" spans="18:70" x14ac:dyDescent="0.25">
      <c r="Y153" s="458">
        <v>2018</v>
      </c>
      <c r="Z153" s="416">
        <v>76</v>
      </c>
      <c r="AA153" s="456">
        <v>2.9580113060526316</v>
      </c>
      <c r="AB153" s="457">
        <v>12</v>
      </c>
      <c r="AC153" s="456">
        <v>6.6</v>
      </c>
      <c r="AD153" s="415">
        <v>24</v>
      </c>
      <c r="AE153" s="456">
        <v>6</v>
      </c>
      <c r="AH153" s="94"/>
      <c r="AI153" s="417" t="s">
        <v>496</v>
      </c>
      <c r="AJ153" s="506">
        <f>AJ152/7</f>
        <v>1.0816326530612244</v>
      </c>
      <c r="AK153" s="506">
        <f>AK151/7</f>
        <v>8.6530612244897949</v>
      </c>
      <c r="AL153" s="43"/>
      <c r="AM153" s="417" t="s">
        <v>496</v>
      </c>
      <c r="AN153" s="506">
        <v>1</v>
      </c>
      <c r="AO153" s="506">
        <f>AO151/7</f>
        <v>3.2653061224489797</v>
      </c>
      <c r="AP153" s="43"/>
      <c r="AQ153" s="417" t="s">
        <v>496</v>
      </c>
      <c r="AR153" s="506">
        <v>2</v>
      </c>
      <c r="AS153" s="506">
        <f>AS151/7</f>
        <v>5.3877551020408161</v>
      </c>
      <c r="AV153" s="633" t="s">
        <v>496</v>
      </c>
      <c r="AW153" s="632">
        <v>0.5</v>
      </c>
      <c r="AX153" s="632">
        <f>AX151/7</f>
        <v>3.1020408163265309</v>
      </c>
      <c r="AY153" s="43"/>
      <c r="AZ153" s="640" t="s">
        <v>496</v>
      </c>
      <c r="BA153" s="639">
        <v>0.5</v>
      </c>
      <c r="BB153" s="639">
        <f>BB151/7</f>
        <v>1.7959183673469388</v>
      </c>
      <c r="BD153" s="633" t="s">
        <v>496</v>
      </c>
      <c r="BE153" s="632"/>
      <c r="BF153" s="632">
        <f>BF151/7</f>
        <v>0</v>
      </c>
      <c r="BG153" s="43"/>
      <c r="BH153" s="640" t="s">
        <v>496</v>
      </c>
      <c r="BI153" s="639"/>
      <c r="BJ153" s="639">
        <f>BJ151/7</f>
        <v>0</v>
      </c>
      <c r="BL153" s="633" t="s">
        <v>496</v>
      </c>
      <c r="BM153" s="632"/>
      <c r="BN153" s="632">
        <f>BN151/7</f>
        <v>0</v>
      </c>
      <c r="BO153" s="43"/>
      <c r="BP153" s="640" t="s">
        <v>496</v>
      </c>
      <c r="BQ153" s="639"/>
      <c r="BR153" s="639">
        <f>BR151/7</f>
        <v>0</v>
      </c>
    </row>
    <row r="154" spans="18:70" ht="15.75" thickBot="1" x14ac:dyDescent="0.3">
      <c r="Y154" s="466">
        <v>2019</v>
      </c>
      <c r="Z154" s="467">
        <v>80</v>
      </c>
      <c r="AA154" s="468">
        <v>3.0520198707500001</v>
      </c>
      <c r="AB154" s="469">
        <v>19</v>
      </c>
      <c r="AC154" s="468">
        <v>5.0999999999999996</v>
      </c>
      <c r="AD154" s="470">
        <v>25</v>
      </c>
      <c r="AE154" s="468">
        <v>6</v>
      </c>
      <c r="AH154" s="94"/>
      <c r="AI154" s="417" t="s">
        <v>902</v>
      </c>
      <c r="AJ154" s="414">
        <v>1</v>
      </c>
      <c r="AK154" s="507">
        <f>AK153/7</f>
        <v>1.236151603498542</v>
      </c>
      <c r="AL154" s="43"/>
      <c r="AM154" s="417" t="s">
        <v>902</v>
      </c>
      <c r="AN154" s="414">
        <v>1</v>
      </c>
      <c r="AO154" s="507">
        <f>AO153/7</f>
        <v>0.46647230320699712</v>
      </c>
      <c r="AP154" s="43"/>
      <c r="AQ154" s="417" t="s">
        <v>902</v>
      </c>
      <c r="AR154" s="414">
        <v>1</v>
      </c>
      <c r="AS154" s="507">
        <f>AS153/7</f>
        <v>0.76967930029154519</v>
      </c>
      <c r="AV154" s="633" t="s">
        <v>902</v>
      </c>
      <c r="AW154" s="634">
        <v>1</v>
      </c>
      <c r="AX154" s="635">
        <f>AX153/7</f>
        <v>0.44314868804664725</v>
      </c>
      <c r="AY154" s="43"/>
      <c r="AZ154" s="640" t="s">
        <v>902</v>
      </c>
      <c r="BA154" s="641"/>
      <c r="BB154" s="642">
        <f>BB153/7</f>
        <v>0.2565597667638484</v>
      </c>
      <c r="BD154" s="633" t="s">
        <v>902</v>
      </c>
      <c r="BE154" s="634"/>
      <c r="BF154" s="635">
        <f>BF153/7</f>
        <v>0</v>
      </c>
      <c r="BG154" s="43"/>
      <c r="BH154" s="640" t="s">
        <v>902</v>
      </c>
      <c r="BI154" s="641"/>
      <c r="BJ154" s="642">
        <f>BJ153/7</f>
        <v>0</v>
      </c>
      <c r="BL154" s="633" t="s">
        <v>902</v>
      </c>
      <c r="BM154" s="634"/>
      <c r="BN154" s="635">
        <f>BN153/7</f>
        <v>0</v>
      </c>
      <c r="BO154" s="43"/>
      <c r="BP154" s="640" t="s">
        <v>902</v>
      </c>
      <c r="BQ154" s="641"/>
      <c r="BR154" s="642">
        <f>BR153/7</f>
        <v>0</v>
      </c>
    </row>
    <row r="155" spans="18:70" ht="15.75" thickBot="1" x14ac:dyDescent="0.3">
      <c r="Y155" s="458">
        <v>2020</v>
      </c>
      <c r="Z155" s="416">
        <v>64</v>
      </c>
      <c r="AA155" s="456">
        <v>4.3217774404687503</v>
      </c>
      <c r="AB155" s="457">
        <v>17</v>
      </c>
      <c r="AC155" s="456">
        <v>7.4</v>
      </c>
      <c r="AD155" s="415">
        <v>21</v>
      </c>
      <c r="AE155" s="456">
        <v>7.2</v>
      </c>
      <c r="AH155" s="94"/>
      <c r="AI155" s="43"/>
      <c r="AJ155" s="43"/>
      <c r="AK155" s="43"/>
      <c r="AL155" s="43"/>
      <c r="AM155" s="43"/>
      <c r="AN155" s="43"/>
      <c r="AO155" s="43"/>
      <c r="AP155" s="94"/>
      <c r="AQ155" s="43"/>
      <c r="AR155"/>
      <c r="AV155" s="43"/>
      <c r="AW155" s="43"/>
      <c r="AX155" s="43"/>
      <c r="AY155" s="94"/>
      <c r="AZ155" s="43"/>
      <c r="BD155" s="43"/>
      <c r="BE155" s="43"/>
      <c r="BF155" s="43"/>
      <c r="BG155" s="94"/>
      <c r="BH155" s="43"/>
      <c r="BL155" s="43"/>
      <c r="BM155" s="43"/>
      <c r="BN155" s="43"/>
      <c r="BO155" s="94"/>
      <c r="BP155" s="43"/>
    </row>
    <row r="156" spans="18:70" x14ac:dyDescent="0.25">
      <c r="Y156" s="466">
        <v>2021</v>
      </c>
      <c r="Z156" s="467">
        <v>89</v>
      </c>
      <c r="AA156" s="468">
        <v>3.1364870191011236</v>
      </c>
      <c r="AB156" s="469">
        <v>13</v>
      </c>
      <c r="AC156" s="468">
        <v>8.3000000000000007</v>
      </c>
      <c r="AD156" s="470">
        <v>33</v>
      </c>
      <c r="AE156" s="468">
        <v>5.2</v>
      </c>
      <c r="AH156" s="94"/>
      <c r="AI156" s="1841" t="s">
        <v>903</v>
      </c>
      <c r="AJ156" s="1842"/>
      <c r="AK156" s="1843"/>
      <c r="AL156" s="43"/>
      <c r="AM156" s="1841" t="s">
        <v>903</v>
      </c>
      <c r="AN156" s="1842"/>
      <c r="AO156" s="1843"/>
      <c r="AP156" s="43"/>
      <c r="AQ156" s="1841" t="s">
        <v>903</v>
      </c>
      <c r="AR156" s="1842"/>
      <c r="AS156" s="1843"/>
      <c r="AV156" s="1908" t="s">
        <v>903</v>
      </c>
      <c r="AW156" s="1909"/>
      <c r="AX156" s="1910"/>
      <c r="AY156" s="43"/>
      <c r="AZ156" s="1911" t="s">
        <v>903</v>
      </c>
      <c r="BA156" s="1912"/>
      <c r="BB156" s="1913"/>
      <c r="BD156" s="1908" t="s">
        <v>903</v>
      </c>
      <c r="BE156" s="1909"/>
      <c r="BF156" s="1910"/>
      <c r="BG156" s="43"/>
      <c r="BH156" s="1911" t="s">
        <v>903</v>
      </c>
      <c r="BI156" s="1912"/>
      <c r="BJ156" s="1913"/>
      <c r="BL156" s="1908" t="s">
        <v>903</v>
      </c>
      <c r="BM156" s="1909"/>
      <c r="BN156" s="1910"/>
      <c r="BO156" s="43"/>
      <c r="BP156" s="1911" t="s">
        <v>903</v>
      </c>
      <c r="BQ156" s="1912"/>
      <c r="BR156" s="1913"/>
    </row>
    <row r="157" spans="18:70" ht="15.75" thickBot="1" x14ac:dyDescent="0.3">
      <c r="Y157" s="458">
        <v>2022</v>
      </c>
      <c r="Z157" s="416">
        <v>91.630093815520027</v>
      </c>
      <c r="AA157" s="460">
        <v>3.5034281101066242</v>
      </c>
      <c r="AB157" s="457">
        <v>18.685415864662275</v>
      </c>
      <c r="AC157" s="460">
        <v>6.9333333333333336</v>
      </c>
      <c r="AD157" s="415">
        <v>30.708518130166276</v>
      </c>
      <c r="AE157" s="460">
        <v>6.1333333333333329</v>
      </c>
      <c r="AF157" s="459" t="s">
        <v>904</v>
      </c>
      <c r="AG157" s="459"/>
      <c r="AH157" s="94"/>
      <c r="AI157" s="443"/>
      <c r="AJ157" s="285" t="s">
        <v>891</v>
      </c>
      <c r="AK157" s="286"/>
      <c r="AL157" s="43"/>
      <c r="AM157" s="1897" t="s">
        <v>892</v>
      </c>
      <c r="AN157" s="1898"/>
      <c r="AO157" s="1899"/>
      <c r="AP157" s="43"/>
      <c r="AQ157" s="1897" t="s">
        <v>893</v>
      </c>
      <c r="AR157" s="1898"/>
      <c r="AS157" s="1899"/>
      <c r="AV157" s="1914" t="s">
        <v>905</v>
      </c>
      <c r="AW157" s="1915"/>
      <c r="AX157" s="1916"/>
      <c r="AY157" s="43"/>
      <c r="AZ157" s="1917" t="s">
        <v>906</v>
      </c>
      <c r="BA157" s="1918"/>
      <c r="BB157" s="1919"/>
      <c r="BD157" s="1914" t="s">
        <v>896</v>
      </c>
      <c r="BE157" s="1915"/>
      <c r="BF157" s="1916"/>
      <c r="BG157" s="43"/>
      <c r="BH157" s="1917" t="s">
        <v>897</v>
      </c>
      <c r="BI157" s="1918"/>
      <c r="BJ157" s="1919"/>
      <c r="BL157" s="1914" t="s">
        <v>898</v>
      </c>
      <c r="BM157" s="1915"/>
      <c r="BN157" s="1916"/>
      <c r="BO157" s="43"/>
      <c r="BP157" s="1917" t="s">
        <v>899</v>
      </c>
      <c r="BQ157" s="1918"/>
      <c r="BR157" s="1919"/>
    </row>
    <row r="158" spans="18:70" x14ac:dyDescent="0.25">
      <c r="Y158" s="493">
        <v>2023</v>
      </c>
      <c r="Z158" s="494">
        <v>105.47781810449999</v>
      </c>
      <c r="AA158" s="495">
        <v>3.5</v>
      </c>
      <c r="AB158" s="380">
        <v>22.530820288984074</v>
      </c>
      <c r="AC158" s="495">
        <v>6.9</v>
      </c>
      <c r="AD158" s="496">
        <v>33.963956664183897</v>
      </c>
      <c r="AE158" s="495">
        <v>6.1</v>
      </c>
      <c r="AH158" s="94"/>
      <c r="AI158" s="508" t="s">
        <v>900</v>
      </c>
      <c r="AJ158" s="509">
        <f>SUM(AN158,AR158)</f>
        <v>84</v>
      </c>
      <c r="AK158" s="1901">
        <f>SUM(AJ158:AJ159)</f>
        <v>96</v>
      </c>
      <c r="AL158" s="43"/>
      <c r="AM158" s="508" t="s">
        <v>900</v>
      </c>
      <c r="AN158" s="509">
        <v>39</v>
      </c>
      <c r="AO158" s="1901">
        <f>SUM(AN158:AN159)</f>
        <v>44.571428571428569</v>
      </c>
      <c r="AP158" s="43"/>
      <c r="AQ158" s="508" t="s">
        <v>900</v>
      </c>
      <c r="AR158" s="509">
        <v>45</v>
      </c>
      <c r="AS158" s="1901">
        <f>SUM(AR158:AR159)</f>
        <v>51.428571428571431</v>
      </c>
      <c r="AV158" s="629" t="s">
        <v>900</v>
      </c>
      <c r="AW158" s="630">
        <v>20</v>
      </c>
      <c r="AX158" s="1903">
        <f>SUM(AW158:AW159)</f>
        <v>22.857142857142858</v>
      </c>
      <c r="AY158" s="43"/>
      <c r="AZ158" s="636" t="s">
        <v>900</v>
      </c>
      <c r="BA158" s="637">
        <v>19</v>
      </c>
      <c r="BB158" s="1905">
        <f>SUM(BA158:BA159)</f>
        <v>21.714285714285715</v>
      </c>
      <c r="BD158" s="629" t="s">
        <v>900</v>
      </c>
      <c r="BE158" s="630">
        <v>23</v>
      </c>
      <c r="BF158" s="1903">
        <f>SUM(BE158:BE159)</f>
        <v>26.285714285714285</v>
      </c>
      <c r="BG158" s="43"/>
      <c r="BH158" s="636" t="s">
        <v>900</v>
      </c>
      <c r="BI158" s="637">
        <v>22</v>
      </c>
      <c r="BJ158" s="1905">
        <f>SUM(BI158:BI159)</f>
        <v>25.142857142857142</v>
      </c>
      <c r="BL158" s="629" t="s">
        <v>900</v>
      </c>
      <c r="BM158" s="630">
        <f>AW158+BE158</f>
        <v>43</v>
      </c>
      <c r="BN158" s="1903">
        <f>SUM(BM158:BM159)</f>
        <v>49.142857142857146</v>
      </c>
      <c r="BO158" s="43"/>
      <c r="BP158" s="636" t="s">
        <v>900</v>
      </c>
      <c r="BQ158" s="637">
        <f>BA158+BE158</f>
        <v>42</v>
      </c>
      <c r="BR158" s="1905">
        <f>SUM(BQ158:BQ159)</f>
        <v>48</v>
      </c>
    </row>
    <row r="159" spans="18:70" x14ac:dyDescent="0.25">
      <c r="Y159" s="480">
        <v>2024</v>
      </c>
      <c r="Z159" s="481">
        <v>121.29949082017497</v>
      </c>
      <c r="AA159" s="482">
        <v>3.5</v>
      </c>
      <c r="AB159" s="379">
        <v>27.036984346780887</v>
      </c>
      <c r="AC159" s="482">
        <v>6.9</v>
      </c>
      <c r="AD159" s="483">
        <v>37.360352330602289</v>
      </c>
      <c r="AE159" s="482">
        <v>6.1</v>
      </c>
      <c r="AH159" s="94"/>
      <c r="AI159" s="505" t="s">
        <v>901</v>
      </c>
      <c r="AJ159" s="506">
        <f>AJ158/7</f>
        <v>12</v>
      </c>
      <c r="AK159" s="1902"/>
      <c r="AL159" s="43"/>
      <c r="AM159" s="505" t="s">
        <v>901</v>
      </c>
      <c r="AN159" s="506">
        <f>AN158/7</f>
        <v>5.5714285714285712</v>
      </c>
      <c r="AO159" s="1902"/>
      <c r="AP159" s="43"/>
      <c r="AQ159" s="505" t="s">
        <v>901</v>
      </c>
      <c r="AR159" s="506">
        <f>AR158/7</f>
        <v>6.4285714285714288</v>
      </c>
      <c r="AS159" s="1902"/>
      <c r="AV159" s="631" t="s">
        <v>901</v>
      </c>
      <c r="AW159" s="632">
        <f>AW158/7</f>
        <v>2.8571428571428572</v>
      </c>
      <c r="AX159" s="1904"/>
      <c r="AY159" s="43"/>
      <c r="AZ159" s="638" t="s">
        <v>901</v>
      </c>
      <c r="BA159" s="639">
        <f>BA158/7</f>
        <v>2.7142857142857144</v>
      </c>
      <c r="BB159" s="1906"/>
      <c r="BD159" s="631" t="s">
        <v>901</v>
      </c>
      <c r="BE159" s="632">
        <f>BE158/7</f>
        <v>3.2857142857142856</v>
      </c>
      <c r="BF159" s="1904"/>
      <c r="BG159" s="43"/>
      <c r="BH159" s="638" t="s">
        <v>901</v>
      </c>
      <c r="BI159" s="639">
        <f>BI158/7</f>
        <v>3.1428571428571428</v>
      </c>
      <c r="BJ159" s="1906"/>
      <c r="BL159" s="631" t="s">
        <v>901</v>
      </c>
      <c r="BM159" s="632">
        <f>BM158/7</f>
        <v>6.1428571428571432</v>
      </c>
      <c r="BN159" s="1904"/>
      <c r="BO159" s="43"/>
      <c r="BP159" s="638" t="s">
        <v>901</v>
      </c>
      <c r="BQ159" s="639">
        <f>BQ158/7</f>
        <v>6</v>
      </c>
      <c r="BR159" s="1906"/>
    </row>
    <row r="160" spans="18:70" ht="15.75" thickBot="1" x14ac:dyDescent="0.3">
      <c r="Y160" s="484">
        <v>2025</v>
      </c>
      <c r="Z160" s="485">
        <v>139.49441444320121</v>
      </c>
      <c r="AA160" s="486">
        <v>3.5</v>
      </c>
      <c r="AB160" s="487">
        <v>32.444381216137067</v>
      </c>
      <c r="AC160" s="486">
        <v>6.9</v>
      </c>
      <c r="AD160" s="488">
        <v>41.096387563662518</v>
      </c>
      <c r="AE160" s="486">
        <v>6.1</v>
      </c>
      <c r="AH160" s="94"/>
      <c r="AI160" s="417" t="s">
        <v>496</v>
      </c>
      <c r="AJ160" s="506">
        <f>AJ159/7</f>
        <v>1.7142857142857142</v>
      </c>
      <c r="AK160" s="506">
        <f>AK158/7</f>
        <v>13.714285714285714</v>
      </c>
      <c r="AL160" s="43"/>
      <c r="AM160" s="417" t="s">
        <v>496</v>
      </c>
      <c r="AN160" s="506">
        <f>AN159/7</f>
        <v>0.79591836734693877</v>
      </c>
      <c r="AO160" s="506">
        <f>AO158/7</f>
        <v>6.3673469387755102</v>
      </c>
      <c r="AP160" s="43"/>
      <c r="AQ160" s="417" t="s">
        <v>496</v>
      </c>
      <c r="AR160" s="506">
        <f>AR159/7</f>
        <v>0.91836734693877553</v>
      </c>
      <c r="AS160" s="506">
        <f>AS158/7</f>
        <v>7.3469387755102042</v>
      </c>
      <c r="AV160" s="633" t="s">
        <v>496</v>
      </c>
      <c r="AW160" s="632">
        <v>1</v>
      </c>
      <c r="AX160" s="632">
        <f>AX158/7</f>
        <v>3.2653061224489797</v>
      </c>
      <c r="AY160" s="43"/>
      <c r="AZ160" s="640" t="s">
        <v>496</v>
      </c>
      <c r="BA160" s="645">
        <f>BA159/7</f>
        <v>0.38775510204081637</v>
      </c>
      <c r="BB160" s="639">
        <f>BB158/7</f>
        <v>3.1020408163265309</v>
      </c>
      <c r="BD160" s="633" t="s">
        <v>496</v>
      </c>
      <c r="BE160" s="632">
        <f>BE159/7</f>
        <v>0.46938775510204078</v>
      </c>
      <c r="BF160" s="632">
        <f>BF158/7</f>
        <v>3.7551020408163263</v>
      </c>
      <c r="BG160" s="43"/>
      <c r="BH160" s="640" t="s">
        <v>496</v>
      </c>
      <c r="BI160" s="639">
        <f>BI159/7</f>
        <v>0.44897959183673469</v>
      </c>
      <c r="BJ160" s="639">
        <f>BJ158/7</f>
        <v>3.5918367346938775</v>
      </c>
      <c r="BL160" s="633" t="s">
        <v>496</v>
      </c>
      <c r="BM160" s="632">
        <f>BM159/7</f>
        <v>0.87755102040816335</v>
      </c>
      <c r="BN160" s="632">
        <f>BN158/7</f>
        <v>7.0204081632653068</v>
      </c>
      <c r="BO160" s="43"/>
      <c r="BP160" s="640" t="s">
        <v>496</v>
      </c>
      <c r="BQ160" s="639">
        <f>BQ159/7</f>
        <v>0.8571428571428571</v>
      </c>
      <c r="BR160" s="639">
        <f>BR158/7</f>
        <v>6.8571428571428568</v>
      </c>
    </row>
    <row r="161" spans="25:70" ht="19.5" thickBot="1" x14ac:dyDescent="0.3">
      <c r="Y161" s="471">
        <v>2026</v>
      </c>
      <c r="Z161" s="472">
        <v>160.41857660968137</v>
      </c>
      <c r="AA161" s="497">
        <v>3.5</v>
      </c>
      <c r="AB161" s="473">
        <v>38.933257459364476</v>
      </c>
      <c r="AC161" s="497">
        <v>6.9</v>
      </c>
      <c r="AD161" s="474">
        <v>45.206026320028769</v>
      </c>
      <c r="AE161" s="512">
        <v>6.1</v>
      </c>
      <c r="AF161" s="517">
        <f>SUM(AB161,AD161)</f>
        <v>84.139283779393253</v>
      </c>
      <c r="AH161" s="94"/>
      <c r="AI161" s="417" t="s">
        <v>902</v>
      </c>
      <c r="AJ161" s="414">
        <v>1</v>
      </c>
      <c r="AK161" s="507">
        <f>AK160/7</f>
        <v>1.9591836734693877</v>
      </c>
      <c r="AL161" s="43"/>
      <c r="AM161" s="417" t="s">
        <v>902</v>
      </c>
      <c r="AN161" s="414">
        <v>1</v>
      </c>
      <c r="AO161" s="507">
        <f>AO160/7</f>
        <v>0.90962099125364426</v>
      </c>
      <c r="AP161" s="43"/>
      <c r="AQ161" s="417" t="s">
        <v>902</v>
      </c>
      <c r="AR161" s="414">
        <v>1</v>
      </c>
      <c r="AS161" s="507">
        <f>AS160/7</f>
        <v>1.0495626822157436</v>
      </c>
      <c r="AV161" s="633" t="s">
        <v>902</v>
      </c>
      <c r="AW161" s="634">
        <v>1</v>
      </c>
      <c r="AX161" s="644">
        <v>1</v>
      </c>
      <c r="AY161" s="43"/>
      <c r="AZ161" s="640" t="s">
        <v>902</v>
      </c>
      <c r="BA161" s="641">
        <v>1</v>
      </c>
      <c r="BB161" s="643">
        <v>1</v>
      </c>
      <c r="BD161" s="633" t="s">
        <v>902</v>
      </c>
      <c r="BE161" s="634">
        <v>1</v>
      </c>
      <c r="BF161" s="644">
        <v>1</v>
      </c>
      <c r="BG161" s="43"/>
      <c r="BH161" s="640" t="s">
        <v>902</v>
      </c>
      <c r="BI161" s="641">
        <v>1</v>
      </c>
      <c r="BJ161" s="643">
        <v>1</v>
      </c>
      <c r="BL161" s="633" t="s">
        <v>902</v>
      </c>
      <c r="BM161" s="634">
        <v>1</v>
      </c>
      <c r="BN161" s="644">
        <f>BN160/7</f>
        <v>1.0029154518950438</v>
      </c>
      <c r="BO161" s="43"/>
      <c r="BP161" s="640" t="s">
        <v>902</v>
      </c>
      <c r="BQ161" s="641">
        <v>1</v>
      </c>
      <c r="BR161" s="643">
        <f>BR160/7</f>
        <v>0.97959183673469385</v>
      </c>
    </row>
    <row r="162" spans="25:70" ht="15.75" thickBot="1" x14ac:dyDescent="0.3">
      <c r="Y162" s="476">
        <v>2027</v>
      </c>
      <c r="Z162" s="477">
        <v>184.48136310113355</v>
      </c>
      <c r="AA162" s="478">
        <v>3.5</v>
      </c>
      <c r="AB162" s="383">
        <v>46.719908951237372</v>
      </c>
      <c r="AC162" s="478">
        <v>6.9</v>
      </c>
      <c r="AD162" s="479">
        <v>49.726628952031653</v>
      </c>
      <c r="AE162" s="513">
        <v>6.1</v>
      </c>
      <c r="AF162" s="518">
        <f t="shared" ref="AF162:AF167" si="28">SUM(AB162,AD162)</f>
        <v>96.446537903269018</v>
      </c>
      <c r="AH162" s="94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V162" s="43"/>
      <c r="AW162" s="43"/>
      <c r="AX162" s="43"/>
      <c r="AY162" s="43"/>
      <c r="AZ162" s="43"/>
      <c r="BA162" s="43"/>
      <c r="BB162" s="43"/>
      <c r="BD162" s="43"/>
      <c r="BE162" s="43"/>
      <c r="BF162" s="43"/>
      <c r="BG162" s="43"/>
      <c r="BH162" s="43"/>
      <c r="BI162" s="43"/>
      <c r="BJ162" s="43"/>
      <c r="BL162" s="43"/>
      <c r="BM162" s="43"/>
      <c r="BN162" s="43"/>
      <c r="BO162" s="43"/>
      <c r="BP162" s="43"/>
      <c r="BQ162" s="43"/>
      <c r="BR162" s="43"/>
    </row>
    <row r="163" spans="25:70" x14ac:dyDescent="0.25">
      <c r="Y163" s="480">
        <v>2028</v>
      </c>
      <c r="Z163" s="481">
        <v>212.15356756630356</v>
      </c>
      <c r="AA163" s="482">
        <v>3.5</v>
      </c>
      <c r="AB163" s="379">
        <v>56.063890741484848</v>
      </c>
      <c r="AC163" s="482">
        <v>6.9</v>
      </c>
      <c r="AD163" s="483">
        <v>54.699291847234811</v>
      </c>
      <c r="AE163" s="514">
        <v>6.1</v>
      </c>
      <c r="AF163" s="519">
        <f t="shared" si="28"/>
        <v>110.76318258871966</v>
      </c>
      <c r="AH163" s="94"/>
      <c r="AI163" s="1841" t="s">
        <v>907</v>
      </c>
      <c r="AJ163" s="1842"/>
      <c r="AK163" s="1843"/>
      <c r="AL163" s="43"/>
      <c r="AM163" s="1841" t="s">
        <v>907</v>
      </c>
      <c r="AN163" s="1842"/>
      <c r="AO163" s="1843"/>
      <c r="AP163" s="43"/>
      <c r="AQ163" s="1841" t="s">
        <v>907</v>
      </c>
      <c r="AR163" s="1842"/>
      <c r="AS163" s="1843"/>
      <c r="AV163" s="1908" t="s">
        <v>907</v>
      </c>
      <c r="AW163" s="1909"/>
      <c r="AX163" s="1910"/>
      <c r="AY163" s="43"/>
      <c r="AZ163" s="1911" t="s">
        <v>907</v>
      </c>
      <c r="BA163" s="1912"/>
      <c r="BB163" s="1913"/>
      <c r="BD163" s="1908" t="s">
        <v>907</v>
      </c>
      <c r="BE163" s="1909"/>
      <c r="BF163" s="1910"/>
      <c r="BG163" s="43"/>
      <c r="BH163" s="1911" t="s">
        <v>907</v>
      </c>
      <c r="BI163" s="1912"/>
      <c r="BJ163" s="1913"/>
      <c r="BL163" s="1908" t="s">
        <v>907</v>
      </c>
      <c r="BM163" s="1909"/>
      <c r="BN163" s="1910"/>
      <c r="BO163" s="43"/>
      <c r="BP163" s="1911" t="s">
        <v>907</v>
      </c>
      <c r="BQ163" s="1912"/>
      <c r="BR163" s="1913"/>
    </row>
    <row r="164" spans="25:70" ht="15.75" thickBot="1" x14ac:dyDescent="0.3">
      <c r="Y164" s="484">
        <v>2029</v>
      </c>
      <c r="Z164" s="485">
        <v>243.97660270124908</v>
      </c>
      <c r="AA164" s="486">
        <v>3.5</v>
      </c>
      <c r="AB164" s="487">
        <v>67.276668889781803</v>
      </c>
      <c r="AC164" s="486">
        <v>6.9</v>
      </c>
      <c r="AD164" s="488">
        <v>60.169221031958287</v>
      </c>
      <c r="AE164" s="515">
        <v>6.1</v>
      </c>
      <c r="AF164" s="518">
        <f t="shared" si="28"/>
        <v>127.44588992174009</v>
      </c>
      <c r="AH164" s="94"/>
      <c r="AI164" s="443"/>
      <c r="AJ164" s="285" t="s">
        <v>891</v>
      </c>
      <c r="AK164" s="286"/>
      <c r="AL164" s="43"/>
      <c r="AM164" s="1897" t="s">
        <v>892</v>
      </c>
      <c r="AN164" s="1898"/>
      <c r="AO164" s="1899"/>
      <c r="AP164" s="43"/>
      <c r="AQ164" s="510" t="s">
        <v>893</v>
      </c>
      <c r="AR164" s="511"/>
      <c r="AS164" s="406"/>
      <c r="AV164" s="1914" t="s">
        <v>905</v>
      </c>
      <c r="AW164" s="1915"/>
      <c r="AX164" s="1916"/>
      <c r="AY164" s="43"/>
      <c r="AZ164" s="1917" t="s">
        <v>906</v>
      </c>
      <c r="BA164" s="1918"/>
      <c r="BB164" s="1919"/>
      <c r="BD164" s="1914" t="s">
        <v>896</v>
      </c>
      <c r="BE164" s="1915"/>
      <c r="BF164" s="1916"/>
      <c r="BG164" s="43"/>
      <c r="BH164" s="1917" t="s">
        <v>897</v>
      </c>
      <c r="BI164" s="1918"/>
      <c r="BJ164" s="1919"/>
      <c r="BL164" s="1914" t="s">
        <v>898</v>
      </c>
      <c r="BM164" s="1915"/>
      <c r="BN164" s="1916"/>
      <c r="BO164" s="43"/>
      <c r="BP164" s="1917" t="s">
        <v>899</v>
      </c>
      <c r="BQ164" s="1918"/>
      <c r="BR164" s="1919"/>
    </row>
    <row r="165" spans="25:70" ht="19.5" thickBot="1" x14ac:dyDescent="0.3">
      <c r="Y165" s="471">
        <v>2030</v>
      </c>
      <c r="Z165" s="475">
        <v>280.57309310643643</v>
      </c>
      <c r="AA165" s="498">
        <v>3.5</v>
      </c>
      <c r="AB165" s="475">
        <v>80.732002667738172</v>
      </c>
      <c r="AC165" s="498">
        <v>6.9</v>
      </c>
      <c r="AD165" s="475">
        <v>66.186143135154111</v>
      </c>
      <c r="AE165" s="498">
        <v>6.1</v>
      </c>
      <c r="AF165" s="517">
        <f t="shared" si="28"/>
        <v>146.9181458028923</v>
      </c>
      <c r="AH165" s="94"/>
      <c r="AI165" s="508" t="s">
        <v>900</v>
      </c>
      <c r="AJ165" s="509">
        <f>SUM(AN165,AR165)</f>
        <v>147</v>
      </c>
      <c r="AK165" s="1901">
        <f>SUM(AJ165:AJ166)</f>
        <v>168</v>
      </c>
      <c r="AL165" s="43"/>
      <c r="AM165" s="508" t="s">
        <v>900</v>
      </c>
      <c r="AN165" s="509">
        <v>81</v>
      </c>
      <c r="AO165" s="1901">
        <f>SUM(AN165:AN166)</f>
        <v>92.571428571428569</v>
      </c>
      <c r="AP165" s="43"/>
      <c r="AQ165" s="508" t="s">
        <v>900</v>
      </c>
      <c r="AR165" s="509">
        <v>66</v>
      </c>
      <c r="AS165" s="1900">
        <f>SUM(AR165:AR166)</f>
        <v>75.428571428571431</v>
      </c>
      <c r="AV165" s="629" t="s">
        <v>900</v>
      </c>
      <c r="AW165" s="630">
        <v>41</v>
      </c>
      <c r="AX165" s="1903">
        <f>SUM(AW165:AW166)</f>
        <v>46.857142857142854</v>
      </c>
      <c r="AY165" s="43"/>
      <c r="AZ165" s="636" t="s">
        <v>900</v>
      </c>
      <c r="BA165" s="637">
        <v>40</v>
      </c>
      <c r="BB165" s="1907">
        <f>SUM(BA165:BA166)</f>
        <v>45.714285714285715</v>
      </c>
      <c r="BD165" s="629" t="s">
        <v>900</v>
      </c>
      <c r="BE165" s="630">
        <v>33</v>
      </c>
      <c r="BF165" s="1903">
        <f>SUM(BE165:BE166)</f>
        <v>37.714285714285715</v>
      </c>
      <c r="BG165" s="43"/>
      <c r="BH165" s="636" t="s">
        <v>900</v>
      </c>
      <c r="BI165" s="637">
        <v>33</v>
      </c>
      <c r="BJ165" s="1907">
        <f>SUM(BI165:BI166)</f>
        <v>37.714285714285715</v>
      </c>
      <c r="BL165" s="629" t="s">
        <v>900</v>
      </c>
      <c r="BM165" s="630">
        <f>AW165+BE165</f>
        <v>74</v>
      </c>
      <c r="BN165" s="1903">
        <f>SUM(BM165:BM166)</f>
        <v>84.571428571428569</v>
      </c>
      <c r="BO165" s="43"/>
      <c r="BP165" s="636" t="s">
        <v>900</v>
      </c>
      <c r="BQ165" s="637">
        <f>BA165+BI165</f>
        <v>73</v>
      </c>
      <c r="BR165" s="1907">
        <f>SUM(BQ165:BQ166)</f>
        <v>83.428571428571431</v>
      </c>
    </row>
    <row r="166" spans="25:70" x14ac:dyDescent="0.25">
      <c r="Y166" s="476">
        <v>2031</v>
      </c>
      <c r="Z166" s="477">
        <v>322.65905707240188</v>
      </c>
      <c r="AA166" s="478">
        <v>3.5</v>
      </c>
      <c r="AB166" s="383">
        <v>96.878403201285821</v>
      </c>
      <c r="AC166" s="478">
        <v>6.9</v>
      </c>
      <c r="AD166" s="479">
        <v>72.804757448669534</v>
      </c>
      <c r="AE166" s="513">
        <v>6.1</v>
      </c>
      <c r="AF166" s="518">
        <f t="shared" si="28"/>
        <v>169.68316064995537</v>
      </c>
      <c r="AH166" s="94"/>
      <c r="AI166" s="505" t="s">
        <v>901</v>
      </c>
      <c r="AJ166" s="506">
        <f>AJ165/7</f>
        <v>21</v>
      </c>
      <c r="AK166" s="1902"/>
      <c r="AL166" s="43"/>
      <c r="AM166" s="505" t="s">
        <v>901</v>
      </c>
      <c r="AN166" s="506">
        <f>AN165/7</f>
        <v>11.571428571428571</v>
      </c>
      <c r="AO166" s="1902"/>
      <c r="AP166" s="43"/>
      <c r="AQ166" s="505" t="s">
        <v>901</v>
      </c>
      <c r="AR166" s="506">
        <f>AR165/7</f>
        <v>9.4285714285714288</v>
      </c>
      <c r="AS166" s="1901"/>
      <c r="AV166" s="631" t="s">
        <v>901</v>
      </c>
      <c r="AW166" s="632">
        <f>AW165/7</f>
        <v>5.8571428571428568</v>
      </c>
      <c r="AX166" s="1904"/>
      <c r="AY166" s="43"/>
      <c r="AZ166" s="638" t="s">
        <v>901</v>
      </c>
      <c r="BA166" s="639">
        <f>BA165/7</f>
        <v>5.7142857142857144</v>
      </c>
      <c r="BB166" s="1905"/>
      <c r="BD166" s="631" t="s">
        <v>901</v>
      </c>
      <c r="BE166" s="632">
        <f>BE165/7</f>
        <v>4.7142857142857144</v>
      </c>
      <c r="BF166" s="1904"/>
      <c r="BG166" s="43"/>
      <c r="BH166" s="638" t="s">
        <v>901</v>
      </c>
      <c r="BI166" s="639">
        <f>BI165/7</f>
        <v>4.7142857142857144</v>
      </c>
      <c r="BJ166" s="1905"/>
      <c r="BL166" s="631" t="s">
        <v>901</v>
      </c>
      <c r="BM166" s="632">
        <f>BM165/7</f>
        <v>10.571428571428571</v>
      </c>
      <c r="BN166" s="1904"/>
      <c r="BO166" s="43"/>
      <c r="BP166" s="638" t="s">
        <v>901</v>
      </c>
      <c r="BQ166" s="639">
        <f>BQ165/7</f>
        <v>10.428571428571429</v>
      </c>
      <c r="BR166" s="1905"/>
    </row>
    <row r="167" spans="25:70" ht="15.75" thickBot="1" x14ac:dyDescent="0.3">
      <c r="Y167" s="489">
        <v>2032</v>
      </c>
      <c r="Z167" s="490">
        <v>371.0579156332621</v>
      </c>
      <c r="AA167" s="491">
        <v>3.5</v>
      </c>
      <c r="AB167" s="381">
        <v>116.25408384154299</v>
      </c>
      <c r="AC167" s="491">
        <v>6.9</v>
      </c>
      <c r="AD167" s="492">
        <v>80.085233193536482</v>
      </c>
      <c r="AE167" s="516">
        <v>6.1</v>
      </c>
      <c r="AF167" s="520">
        <f t="shared" si="28"/>
        <v>196.33931703507949</v>
      </c>
      <c r="AH167" s="94"/>
      <c r="AI167" s="417" t="s">
        <v>496</v>
      </c>
      <c r="AJ167" s="506">
        <f>AJ166/7</f>
        <v>3</v>
      </c>
      <c r="AK167" s="506">
        <f>AK165/7</f>
        <v>24</v>
      </c>
      <c r="AL167" s="43"/>
      <c r="AM167" s="417" t="s">
        <v>496</v>
      </c>
      <c r="AN167" s="506">
        <f>AN166/7</f>
        <v>1.653061224489796</v>
      </c>
      <c r="AO167" s="506">
        <f>AO165/7</f>
        <v>13.224489795918368</v>
      </c>
      <c r="AP167" s="43"/>
      <c r="AQ167" s="417" t="s">
        <v>496</v>
      </c>
      <c r="AR167" s="506">
        <f>AR166/7</f>
        <v>1.346938775510204</v>
      </c>
      <c r="AS167" s="506">
        <f>AS165/7</f>
        <v>10.775510204081632</v>
      </c>
      <c r="AV167" s="633" t="s">
        <v>496</v>
      </c>
      <c r="AW167" s="632">
        <f>AW166/7</f>
        <v>0.83673469387755095</v>
      </c>
      <c r="AX167" s="632">
        <f>AX165/7</f>
        <v>6.6938775510204076</v>
      </c>
      <c r="AY167" s="43"/>
      <c r="AZ167" s="640" t="s">
        <v>496</v>
      </c>
      <c r="BA167" s="639">
        <f>BA166/7</f>
        <v>0.81632653061224492</v>
      </c>
      <c r="BB167" s="639">
        <f>BB165/7</f>
        <v>6.5306122448979593</v>
      </c>
      <c r="BD167" s="633" t="s">
        <v>496</v>
      </c>
      <c r="BE167" s="632">
        <f>BE166/7</f>
        <v>0.67346938775510201</v>
      </c>
      <c r="BF167" s="632">
        <f>BF165/7</f>
        <v>5.3877551020408161</v>
      </c>
      <c r="BG167" s="43"/>
      <c r="BH167" s="640" t="s">
        <v>496</v>
      </c>
      <c r="BI167" s="639">
        <f>BI166/7</f>
        <v>0.67346938775510201</v>
      </c>
      <c r="BJ167" s="639">
        <f>BJ165/7</f>
        <v>5.3877551020408161</v>
      </c>
      <c r="BL167" s="633" t="s">
        <v>496</v>
      </c>
      <c r="BM167" s="632">
        <f>BM166/7</f>
        <v>1.510204081632653</v>
      </c>
      <c r="BN167" s="632">
        <f>BN165/7</f>
        <v>12.081632653061224</v>
      </c>
      <c r="BO167" s="43"/>
      <c r="BP167" s="640" t="s">
        <v>496</v>
      </c>
      <c r="BQ167" s="639">
        <f>BQ166/7</f>
        <v>1.489795918367347</v>
      </c>
      <c r="BR167" s="639">
        <f>BR165/7</f>
        <v>11.918367346938776</v>
      </c>
    </row>
    <row r="168" spans="25:70" ht="15.75" thickBot="1" x14ac:dyDescent="0.3">
      <c r="AH168" s="94"/>
      <c r="AI168" s="417" t="s">
        <v>902</v>
      </c>
      <c r="AJ168" s="414">
        <v>1</v>
      </c>
      <c r="AK168" s="507">
        <f>AK167/7</f>
        <v>3.4285714285714284</v>
      </c>
      <c r="AL168" s="43"/>
      <c r="AM168" s="417" t="s">
        <v>902</v>
      </c>
      <c r="AN168" s="414">
        <v>1</v>
      </c>
      <c r="AO168" s="507">
        <f>AO167/7</f>
        <v>1.8892128279883382</v>
      </c>
      <c r="AP168" s="43"/>
      <c r="AQ168" s="417" t="s">
        <v>902</v>
      </c>
      <c r="AR168" s="414">
        <v>1</v>
      </c>
      <c r="AS168" s="507">
        <f>AS167/7</f>
        <v>1.5393586005830904</v>
      </c>
      <c r="AV168" s="633" t="s">
        <v>902</v>
      </c>
      <c r="AW168" s="634">
        <v>1</v>
      </c>
      <c r="AX168" s="644">
        <v>1</v>
      </c>
      <c r="AY168" s="43"/>
      <c r="AZ168" s="640" t="s">
        <v>902</v>
      </c>
      <c r="BA168" s="641">
        <v>1</v>
      </c>
      <c r="BB168" s="643">
        <v>1</v>
      </c>
      <c r="BD168" s="633" t="s">
        <v>902</v>
      </c>
      <c r="BE168" s="634">
        <v>1</v>
      </c>
      <c r="BF168" s="644">
        <v>1</v>
      </c>
      <c r="BG168" s="43"/>
      <c r="BH168" s="640" t="s">
        <v>902</v>
      </c>
      <c r="BI168" s="641">
        <v>1</v>
      </c>
      <c r="BJ168" s="643">
        <v>1</v>
      </c>
      <c r="BL168" s="633" t="s">
        <v>902</v>
      </c>
      <c r="BM168" s="634">
        <v>1</v>
      </c>
      <c r="BN168" s="635">
        <f>BN167/7</f>
        <v>1.7259475218658891</v>
      </c>
      <c r="BO168" s="43"/>
      <c r="BP168" s="640" t="s">
        <v>902</v>
      </c>
      <c r="BQ168" s="641">
        <v>1</v>
      </c>
      <c r="BR168" s="642">
        <f>BR167/7</f>
        <v>1.7026239067055395</v>
      </c>
    </row>
    <row r="171" spans="25:70" ht="15.75" thickBot="1" x14ac:dyDescent="0.3"/>
    <row r="172" spans="25:70" ht="15.75" thickBot="1" x14ac:dyDescent="0.3">
      <c r="Y172" s="499"/>
      <c r="Z172" s="1838" t="s">
        <v>358</v>
      </c>
      <c r="AA172" s="1839"/>
      <c r="AB172" s="1840" t="s">
        <v>354</v>
      </c>
      <c r="AC172" s="1837"/>
    </row>
    <row r="173" spans="25:70" ht="15.75" thickBot="1" x14ac:dyDescent="0.3">
      <c r="Y173" s="500" t="s">
        <v>842</v>
      </c>
      <c r="Z173" s="503" t="s">
        <v>889</v>
      </c>
      <c r="AA173" s="502" t="s">
        <v>908</v>
      </c>
      <c r="AB173" s="504" t="s">
        <v>889</v>
      </c>
      <c r="AC173" s="552" t="s">
        <v>909</v>
      </c>
      <c r="AD173" s="1895" t="s">
        <v>910</v>
      </c>
      <c r="AE173" s="1896"/>
    </row>
    <row r="174" spans="25:70" x14ac:dyDescent="0.25">
      <c r="Y174" s="461">
        <v>2016</v>
      </c>
      <c r="Z174" s="521">
        <v>8</v>
      </c>
      <c r="AA174" s="1887" t="s">
        <v>911</v>
      </c>
      <c r="AB174" s="522">
        <v>20</v>
      </c>
      <c r="AC174" s="1890" t="s">
        <v>912</v>
      </c>
      <c r="AD174" s="1893" t="s">
        <v>913</v>
      </c>
      <c r="AE174" s="1894"/>
    </row>
    <row r="175" spans="25:70" x14ac:dyDescent="0.25">
      <c r="Y175" s="466">
        <v>2017</v>
      </c>
      <c r="Z175" s="469">
        <v>9</v>
      </c>
      <c r="AA175" s="1888"/>
      <c r="AB175" s="470">
        <v>18</v>
      </c>
      <c r="AC175" s="1891"/>
      <c r="AD175" s="562" t="s">
        <v>914</v>
      </c>
      <c r="AE175" s="563">
        <v>10</v>
      </c>
    </row>
    <row r="176" spans="25:70" x14ac:dyDescent="0.25">
      <c r="Y176" s="458">
        <v>2018</v>
      </c>
      <c r="Z176" s="457">
        <v>12</v>
      </c>
      <c r="AA176" s="1888"/>
      <c r="AB176" s="415">
        <v>24</v>
      </c>
      <c r="AC176" s="1891"/>
      <c r="AD176" s="562" t="s">
        <v>915</v>
      </c>
      <c r="AE176" s="563">
        <v>949</v>
      </c>
    </row>
    <row r="177" spans="25:31" ht="15.75" thickBot="1" x14ac:dyDescent="0.3">
      <c r="Y177" s="466">
        <v>2019</v>
      </c>
      <c r="Z177" s="469">
        <v>19</v>
      </c>
      <c r="AA177" s="1888"/>
      <c r="AB177" s="470">
        <v>25</v>
      </c>
      <c r="AC177" s="1891"/>
      <c r="AD177" s="564" t="s">
        <v>916</v>
      </c>
      <c r="AE177" s="565">
        <f>AE176/AE175</f>
        <v>94.9</v>
      </c>
    </row>
    <row r="178" spans="25:31" ht="15.75" thickBot="1" x14ac:dyDescent="0.3">
      <c r="Y178" s="458">
        <v>2020</v>
      </c>
      <c r="Z178" s="457">
        <v>17</v>
      </c>
      <c r="AA178" s="1888"/>
      <c r="AB178" s="415">
        <v>21</v>
      </c>
      <c r="AC178" s="1888"/>
    </row>
    <row r="179" spans="25:31" ht="15.75" thickBot="1" x14ac:dyDescent="0.3">
      <c r="Y179" s="466">
        <v>2021</v>
      </c>
      <c r="Z179" s="469">
        <v>13</v>
      </c>
      <c r="AA179" s="1889"/>
      <c r="AB179" s="470">
        <v>33</v>
      </c>
      <c r="AC179" s="1892"/>
      <c r="AD179" s="561" t="s">
        <v>917</v>
      </c>
    </row>
    <row r="180" spans="25:31" x14ac:dyDescent="0.25">
      <c r="Y180" s="458">
        <v>2022</v>
      </c>
      <c r="Z180" s="457">
        <v>18.685415864662275</v>
      </c>
      <c r="AA180" s="483">
        <f>ROUNDUP(Z180/2/3,0)</f>
        <v>4</v>
      </c>
      <c r="AB180" s="415">
        <v>30.708518130166276</v>
      </c>
      <c r="AC180" s="553">
        <f t="shared" ref="AC180:AC190" si="29">ROUNDUP(AB180/2/3,0)</f>
        <v>6</v>
      </c>
      <c r="AD180" s="560">
        <f>SUM(AA180,AC180)*$AE$177</f>
        <v>949</v>
      </c>
    </row>
    <row r="181" spans="25:31" x14ac:dyDescent="0.25">
      <c r="Y181" s="493">
        <v>2023</v>
      </c>
      <c r="Z181" s="380">
        <v>22.530820288984074</v>
      </c>
      <c r="AA181" s="496">
        <f t="shared" ref="AA181:AA190" si="30">ROUNDUP(Z181/2/3,0)</f>
        <v>4</v>
      </c>
      <c r="AB181" s="496">
        <v>33.963956664183897</v>
      </c>
      <c r="AC181" s="554">
        <f t="shared" si="29"/>
        <v>6</v>
      </c>
      <c r="AD181" s="558">
        <f t="shared" ref="AD181:AD190" si="31">SUM(AA181,AC181)*$AE$177</f>
        <v>949</v>
      </c>
    </row>
    <row r="182" spans="25:31" x14ac:dyDescent="0.25">
      <c r="Y182" s="480">
        <v>2024</v>
      </c>
      <c r="Z182" s="379">
        <v>27.036984346780887</v>
      </c>
      <c r="AA182" s="483">
        <f t="shared" si="30"/>
        <v>5</v>
      </c>
      <c r="AB182" s="483">
        <v>37.360352330602289</v>
      </c>
      <c r="AC182" s="553">
        <f t="shared" si="29"/>
        <v>7</v>
      </c>
      <c r="AD182" s="557">
        <f t="shared" si="31"/>
        <v>1138.8000000000002</v>
      </c>
    </row>
    <row r="183" spans="25:31" ht="15.75" thickBot="1" x14ac:dyDescent="0.3">
      <c r="Y183" s="484">
        <v>2025</v>
      </c>
      <c r="Z183" s="487">
        <v>32.444381216137067</v>
      </c>
      <c r="AA183" s="496">
        <f>ROUNDUP(Z183/2/3,0)</f>
        <v>6</v>
      </c>
      <c r="AB183" s="488">
        <v>41.096387563662518</v>
      </c>
      <c r="AC183" s="554">
        <f t="shared" si="29"/>
        <v>7</v>
      </c>
      <c r="AD183" s="558">
        <f t="shared" si="31"/>
        <v>1233.7</v>
      </c>
    </row>
    <row r="184" spans="25:31" ht="19.5" thickBot="1" x14ac:dyDescent="0.3">
      <c r="Y184" s="471">
        <v>2026</v>
      </c>
      <c r="Z184" s="473">
        <v>38.933257459364476</v>
      </c>
      <c r="AA184" s="473">
        <f>ROUNDUP(Z184/2/3,0)</f>
        <v>7</v>
      </c>
      <c r="AB184" s="474">
        <v>45.206026320028769</v>
      </c>
      <c r="AC184" s="555">
        <f t="shared" si="29"/>
        <v>8</v>
      </c>
      <c r="AD184" s="559">
        <f t="shared" si="31"/>
        <v>1423.5</v>
      </c>
    </row>
    <row r="185" spans="25:31" x14ac:dyDescent="0.25">
      <c r="Y185" s="476">
        <v>2027</v>
      </c>
      <c r="Z185" s="383">
        <v>46.719908951237372</v>
      </c>
      <c r="AA185" s="496">
        <f t="shared" si="30"/>
        <v>8</v>
      </c>
      <c r="AB185" s="479">
        <v>49.726628952031653</v>
      </c>
      <c r="AC185" s="554">
        <f t="shared" si="29"/>
        <v>9</v>
      </c>
      <c r="AD185" s="558">
        <f t="shared" si="31"/>
        <v>1613.3000000000002</v>
      </c>
    </row>
    <row r="186" spans="25:31" x14ac:dyDescent="0.25">
      <c r="Y186" s="480">
        <v>2028</v>
      </c>
      <c r="Z186" s="379">
        <v>56.063890741484848</v>
      </c>
      <c r="AA186" s="483">
        <f t="shared" si="30"/>
        <v>10</v>
      </c>
      <c r="AB186" s="483">
        <v>54.699291847234811</v>
      </c>
      <c r="AC186" s="553">
        <f t="shared" si="29"/>
        <v>10</v>
      </c>
      <c r="AD186" s="557">
        <f t="shared" si="31"/>
        <v>1898</v>
      </c>
    </row>
    <row r="187" spans="25:31" x14ac:dyDescent="0.25">
      <c r="Y187" s="484">
        <v>2029</v>
      </c>
      <c r="Z187" s="487">
        <v>67.276668889781803</v>
      </c>
      <c r="AA187" s="496">
        <f t="shared" si="30"/>
        <v>12</v>
      </c>
      <c r="AB187" s="488">
        <v>60.169221031958287</v>
      </c>
      <c r="AC187" s="554">
        <f t="shared" si="29"/>
        <v>11</v>
      </c>
      <c r="AD187" s="558">
        <f t="shared" si="31"/>
        <v>2182.7000000000003</v>
      </c>
    </row>
    <row r="188" spans="25:31" ht="15.75" thickBot="1" x14ac:dyDescent="0.3">
      <c r="Y188" s="480">
        <v>2030</v>
      </c>
      <c r="Z188" s="379">
        <v>80.732002667738172</v>
      </c>
      <c r="AA188" s="483">
        <f t="shared" si="30"/>
        <v>14</v>
      </c>
      <c r="AB188" s="483">
        <v>66.186143135154111</v>
      </c>
      <c r="AC188" s="553">
        <f t="shared" si="29"/>
        <v>12</v>
      </c>
      <c r="AD188" s="557">
        <f t="shared" si="31"/>
        <v>2467.4</v>
      </c>
    </row>
    <row r="189" spans="25:31" ht="19.5" thickBot="1" x14ac:dyDescent="0.3">
      <c r="Y189" s="566">
        <v>2031</v>
      </c>
      <c r="Z189" s="567">
        <v>96.878403201285821</v>
      </c>
      <c r="AA189" s="568">
        <f t="shared" si="30"/>
        <v>17</v>
      </c>
      <c r="AB189" s="567">
        <v>72.804757448669534</v>
      </c>
      <c r="AC189" s="569">
        <f t="shared" si="29"/>
        <v>13</v>
      </c>
      <c r="AD189" s="570">
        <f t="shared" si="31"/>
        <v>2847</v>
      </c>
    </row>
    <row r="190" spans="25:31" ht="15.75" thickBot="1" x14ac:dyDescent="0.3">
      <c r="Y190" s="489">
        <v>2032</v>
      </c>
      <c r="Z190" s="381">
        <v>116.25408384154299</v>
      </c>
      <c r="AA190" s="492">
        <f t="shared" si="30"/>
        <v>20</v>
      </c>
      <c r="AB190" s="492">
        <v>80.085233193536482</v>
      </c>
      <c r="AC190" s="556">
        <f t="shared" si="29"/>
        <v>14</v>
      </c>
      <c r="AD190" s="571">
        <f t="shared" si="31"/>
        <v>3226.6000000000004</v>
      </c>
    </row>
    <row r="194" spans="4:6" x14ac:dyDescent="0.25">
      <c r="D194" s="505" t="s">
        <v>918</v>
      </c>
      <c r="E194" s="201" t="s">
        <v>312</v>
      </c>
      <c r="F194" s="237">
        <f>SUM(F196:F214)</f>
        <v>1336.5</v>
      </c>
    </row>
    <row r="195" spans="4:6" x14ac:dyDescent="0.25">
      <c r="D195" s="893" t="s">
        <v>919</v>
      </c>
      <c r="E195" s="87" t="s">
        <v>920</v>
      </c>
      <c r="F195" s="87" t="s">
        <v>784</v>
      </c>
    </row>
    <row r="196" spans="4:6" x14ac:dyDescent="0.25">
      <c r="D196" s="701" t="s">
        <v>921</v>
      </c>
      <c r="E196" s="191" t="s">
        <v>922</v>
      </c>
      <c r="F196" s="191">
        <v>900</v>
      </c>
    </row>
    <row r="197" spans="4:6" x14ac:dyDescent="0.25">
      <c r="D197" s="387" t="s">
        <v>923</v>
      </c>
      <c r="E197" s="43" t="s">
        <v>924</v>
      </c>
      <c r="F197" s="43">
        <v>225</v>
      </c>
    </row>
    <row r="198" spans="4:6" x14ac:dyDescent="0.25">
      <c r="D198" s="894" t="s">
        <v>925</v>
      </c>
      <c r="E198" s="191"/>
      <c r="F198" s="191"/>
    </row>
    <row r="199" spans="4:6" x14ac:dyDescent="0.25">
      <c r="D199" s="387" t="s">
        <v>926</v>
      </c>
      <c r="E199" s="43" t="s">
        <v>927</v>
      </c>
      <c r="F199" s="43">
        <v>50</v>
      </c>
    </row>
    <row r="200" spans="4:6" x14ac:dyDescent="0.25">
      <c r="D200" s="387" t="s">
        <v>928</v>
      </c>
      <c r="E200" s="43" t="s">
        <v>927</v>
      </c>
      <c r="F200" s="43">
        <v>50</v>
      </c>
    </row>
    <row r="201" spans="4:6" x14ac:dyDescent="0.25">
      <c r="D201" s="387" t="s">
        <v>929</v>
      </c>
      <c r="E201" s="43" t="s">
        <v>930</v>
      </c>
      <c r="F201" s="43">
        <v>9</v>
      </c>
    </row>
    <row r="202" spans="4:6" x14ac:dyDescent="0.25">
      <c r="D202" s="387" t="s">
        <v>931</v>
      </c>
      <c r="E202" s="43" t="s">
        <v>927</v>
      </c>
      <c r="F202" s="43">
        <v>50</v>
      </c>
    </row>
    <row r="203" spans="4:6" x14ac:dyDescent="0.25">
      <c r="D203" s="387" t="s">
        <v>932</v>
      </c>
      <c r="E203" s="43" t="s">
        <v>933</v>
      </c>
      <c r="F203" s="43">
        <v>52.5</v>
      </c>
    </row>
    <row r="204" spans="4:6" x14ac:dyDescent="0.25">
      <c r="D204" s="387" t="s">
        <v>934</v>
      </c>
    </row>
    <row r="205" spans="4:6" x14ac:dyDescent="0.25">
      <c r="D205" s="894" t="s">
        <v>935</v>
      </c>
      <c r="E205" s="191"/>
      <c r="F205" s="191"/>
    </row>
    <row r="206" spans="4:6" x14ac:dyDescent="0.25">
      <c r="D206" s="387"/>
    </row>
    <row r="207" spans="4:6" x14ac:dyDescent="0.25">
      <c r="D207" s="387"/>
    </row>
    <row r="208" spans="4:6" x14ac:dyDescent="0.25">
      <c r="D208" s="387"/>
    </row>
    <row r="209" spans="4:4" x14ac:dyDescent="0.25">
      <c r="D209" s="387"/>
    </row>
    <row r="210" spans="4:4" x14ac:dyDescent="0.25">
      <c r="D210" s="387"/>
    </row>
    <row r="211" spans="4:4" x14ac:dyDescent="0.25">
      <c r="D211" s="387"/>
    </row>
    <row r="212" spans="4:4" x14ac:dyDescent="0.25">
      <c r="D212" s="387"/>
    </row>
    <row r="213" spans="4:4" x14ac:dyDescent="0.25">
      <c r="D213" s="387"/>
    </row>
    <row r="214" spans="4:4" x14ac:dyDescent="0.25">
      <c r="D214" s="387"/>
    </row>
    <row r="215" spans="4:4" x14ac:dyDescent="0.25">
      <c r="D215" s="387"/>
    </row>
    <row r="216" spans="4:4" x14ac:dyDescent="0.25">
      <c r="D216" s="387"/>
    </row>
    <row r="217" spans="4:4" x14ac:dyDescent="0.25">
      <c r="D217" s="387"/>
    </row>
    <row r="218" spans="4:4" x14ac:dyDescent="0.25">
      <c r="D218" s="387"/>
    </row>
    <row r="219" spans="4:4" x14ac:dyDescent="0.25">
      <c r="D219" s="387"/>
    </row>
    <row r="220" spans="4:4" x14ac:dyDescent="0.25">
      <c r="D220" s="387"/>
    </row>
    <row r="221" spans="4:4" x14ac:dyDescent="0.25">
      <c r="D221" s="387"/>
    </row>
    <row r="222" spans="4:4" x14ac:dyDescent="0.25">
      <c r="D222" s="387"/>
    </row>
  </sheetData>
  <mergeCells count="198">
    <mergeCell ref="AJ3:AK3"/>
    <mergeCell ref="AF5:AH5"/>
    <mergeCell ref="AF6:AH6"/>
    <mergeCell ref="AF7:AH7"/>
    <mergeCell ref="AF8:AH8"/>
    <mergeCell ref="AF10:AH10"/>
    <mergeCell ref="AF11:AH11"/>
    <mergeCell ref="AF12:AH12"/>
    <mergeCell ref="AF9:AH9"/>
    <mergeCell ref="AA36:AB36"/>
    <mergeCell ref="AC36:AD36"/>
    <mergeCell ref="W38:Y38"/>
    <mergeCell ref="W39:Y39"/>
    <mergeCell ref="W40:Y40"/>
    <mergeCell ref="W41:Y41"/>
    <mergeCell ref="W42:Y42"/>
    <mergeCell ref="W43:Y43"/>
    <mergeCell ref="W44:Y44"/>
    <mergeCell ref="W28:Y28"/>
    <mergeCell ref="AA26:AB26"/>
    <mergeCell ref="AC26:AD26"/>
    <mergeCell ref="W29:Y29"/>
    <mergeCell ref="W30:Y30"/>
    <mergeCell ref="W31:Y31"/>
    <mergeCell ref="W32:Y32"/>
    <mergeCell ref="W33:Y33"/>
    <mergeCell ref="W34:Y34"/>
    <mergeCell ref="W73:Y73"/>
    <mergeCell ref="W75:Y75"/>
    <mergeCell ref="W77:Y77"/>
    <mergeCell ref="W66:Y66"/>
    <mergeCell ref="W79:Y79"/>
    <mergeCell ref="U61:U79"/>
    <mergeCell ref="AH61:AH79"/>
    <mergeCell ref="W72:Y72"/>
    <mergeCell ref="AV147:BB147"/>
    <mergeCell ref="AL142:AL144"/>
    <mergeCell ref="AM142:AM144"/>
    <mergeCell ref="AH142:AH144"/>
    <mergeCell ref="AI142:AI144"/>
    <mergeCell ref="AJ142:AJ144"/>
    <mergeCell ref="AA114:AB114"/>
    <mergeCell ref="AA136:AC136"/>
    <mergeCell ref="AB117:AF117"/>
    <mergeCell ref="AK136:AM136"/>
    <mergeCell ref="AH136:AJ136"/>
    <mergeCell ref="AZ164:BB164"/>
    <mergeCell ref="BD147:BJ147"/>
    <mergeCell ref="BH164:BJ164"/>
    <mergeCell ref="BL147:BR147"/>
    <mergeCell ref="BL149:BN149"/>
    <mergeCell ref="BP149:BR149"/>
    <mergeCell ref="BL150:BN150"/>
    <mergeCell ref="BP150:BR150"/>
    <mergeCell ref="BN151:BN152"/>
    <mergeCell ref="BR151:BR152"/>
    <mergeCell ref="BL156:BN156"/>
    <mergeCell ref="BP156:BR156"/>
    <mergeCell ref="BL157:BN157"/>
    <mergeCell ref="BP157:BR157"/>
    <mergeCell ref="BN158:BN159"/>
    <mergeCell ref="BD163:BF163"/>
    <mergeCell ref="BD157:BF157"/>
    <mergeCell ref="BH157:BJ157"/>
    <mergeCell ref="AV163:AX163"/>
    <mergeCell ref="AZ163:BB163"/>
    <mergeCell ref="AV164:AX164"/>
    <mergeCell ref="AV149:AX149"/>
    <mergeCell ref="AZ149:BB149"/>
    <mergeCell ref="AV150:AX150"/>
    <mergeCell ref="AZ150:BB150"/>
    <mergeCell ref="BN165:BN166"/>
    <mergeCell ref="BD149:BF149"/>
    <mergeCell ref="BH149:BJ149"/>
    <mergeCell ref="BD150:BF150"/>
    <mergeCell ref="BH150:BJ150"/>
    <mergeCell ref="BF151:BF152"/>
    <mergeCell ref="BJ151:BJ152"/>
    <mergeCell ref="AX165:AX166"/>
    <mergeCell ref="BB165:BB166"/>
    <mergeCell ref="AV156:AX156"/>
    <mergeCell ref="AZ156:BB156"/>
    <mergeCell ref="AV157:AX157"/>
    <mergeCell ref="AZ157:BB157"/>
    <mergeCell ref="AX158:AX159"/>
    <mergeCell ref="BB158:BB159"/>
    <mergeCell ref="BD156:BF156"/>
    <mergeCell ref="BH156:BJ156"/>
    <mergeCell ref="BR165:BR166"/>
    <mergeCell ref="BR158:BR159"/>
    <mergeCell ref="BL163:BN163"/>
    <mergeCell ref="BP163:BR163"/>
    <mergeCell ref="BL164:BN164"/>
    <mergeCell ref="BP164:BR164"/>
    <mergeCell ref="BF165:BF166"/>
    <mergeCell ref="BH163:BJ163"/>
    <mergeCell ref="BD164:BF164"/>
    <mergeCell ref="BJ165:BJ166"/>
    <mergeCell ref="BF158:BF159"/>
    <mergeCell ref="BJ158:BJ159"/>
    <mergeCell ref="AX151:AX152"/>
    <mergeCell ref="BB151:BB152"/>
    <mergeCell ref="AI149:AK149"/>
    <mergeCell ref="AM149:AO149"/>
    <mergeCell ref="AQ149:AS149"/>
    <mergeCell ref="AM150:AO150"/>
    <mergeCell ref="AQ150:AS150"/>
    <mergeCell ref="AK151:AK152"/>
    <mergeCell ref="AO151:AO152"/>
    <mergeCell ref="AS151:AS152"/>
    <mergeCell ref="AK158:AK159"/>
    <mergeCell ref="AO158:AO159"/>
    <mergeCell ref="AS158:AS159"/>
    <mergeCell ref="AQ157:AS157"/>
    <mergeCell ref="AQ156:AS156"/>
    <mergeCell ref="AM156:AO156"/>
    <mergeCell ref="AM157:AO157"/>
    <mergeCell ref="Z172:AA172"/>
    <mergeCell ref="AB172:AC172"/>
    <mergeCell ref="AA174:AA179"/>
    <mergeCell ref="AC174:AC179"/>
    <mergeCell ref="AD174:AE174"/>
    <mergeCell ref="AD173:AE173"/>
    <mergeCell ref="AQ163:AS163"/>
    <mergeCell ref="AM163:AO163"/>
    <mergeCell ref="AM164:AO164"/>
    <mergeCell ref="AI163:AK163"/>
    <mergeCell ref="AS165:AS166"/>
    <mergeCell ref="AK165:AK166"/>
    <mergeCell ref="AO165:AO166"/>
    <mergeCell ref="A84:A86"/>
    <mergeCell ref="A87:A89"/>
    <mergeCell ref="Q95:Q97"/>
    <mergeCell ref="Q94:R94"/>
    <mergeCell ref="U93:W93"/>
    <mergeCell ref="R141:R145"/>
    <mergeCell ref="Q98:Q101"/>
    <mergeCell ref="Y106:Y107"/>
    <mergeCell ref="U136:W136"/>
    <mergeCell ref="R137:S137"/>
    <mergeCell ref="R138:R140"/>
    <mergeCell ref="R118:S118"/>
    <mergeCell ref="R119:R127"/>
    <mergeCell ref="Y94:Z94"/>
    <mergeCell ref="Y95:Y97"/>
    <mergeCell ref="Y98:Y101"/>
    <mergeCell ref="Z106:Z107"/>
    <mergeCell ref="X136:Z136"/>
    <mergeCell ref="U117:W117"/>
    <mergeCell ref="Y118:Z118"/>
    <mergeCell ref="Z149:AA149"/>
    <mergeCell ref="AB149:AC149"/>
    <mergeCell ref="AD149:AE149"/>
    <mergeCell ref="AI156:AK156"/>
    <mergeCell ref="Y119:Y127"/>
    <mergeCell ref="AK142:AK144"/>
    <mergeCell ref="X4:X9"/>
    <mergeCell ref="AA2:AB2"/>
    <mergeCell ref="AC2:AD2"/>
    <mergeCell ref="Y4:Y5"/>
    <mergeCell ref="Z4:Z5"/>
    <mergeCell ref="AA4:AA5"/>
    <mergeCell ref="AB4:AB5"/>
    <mergeCell ref="AC4:AC5"/>
    <mergeCell ref="AD4:AD5"/>
    <mergeCell ref="AB93:AF93"/>
    <mergeCell ref="AI95:AI96"/>
    <mergeCell ref="AI98:AI105"/>
    <mergeCell ref="AA104:AB104"/>
    <mergeCell ref="AC104:AD104"/>
    <mergeCell ref="AA106:AA107"/>
    <mergeCell ref="AB106:AB107"/>
    <mergeCell ref="AC106:AC107"/>
    <mergeCell ref="AD106:AD107"/>
    <mergeCell ref="X11:Y11"/>
    <mergeCell ref="X13:X16"/>
    <mergeCell ref="X17:Y17"/>
    <mergeCell ref="W4:W11"/>
    <mergeCell ref="W13:W17"/>
    <mergeCell ref="W83:Y83"/>
    <mergeCell ref="W86:Y86"/>
    <mergeCell ref="AA81:AB81"/>
    <mergeCell ref="AC81:AD81"/>
    <mergeCell ref="AA85:AB85"/>
    <mergeCell ref="AC85:AD85"/>
    <mergeCell ref="X22:Y22"/>
    <mergeCell ref="X23:Y23"/>
    <mergeCell ref="AA59:AB59"/>
    <mergeCell ref="AC59:AD59"/>
    <mergeCell ref="W61:Y61"/>
    <mergeCell ref="W62:Y62"/>
    <mergeCell ref="W63:Y63"/>
    <mergeCell ref="W65:Y65"/>
    <mergeCell ref="W64:Y64"/>
    <mergeCell ref="W67:Y67"/>
    <mergeCell ref="W68:Y68"/>
    <mergeCell ref="W69:Y69"/>
    <mergeCell ref="W71:Y7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4EA-1D9E-40DC-93D8-1CFED68C737C}">
  <dimension ref="A2:BQ144"/>
  <sheetViews>
    <sheetView showGridLines="0" topLeftCell="AQ1" zoomScale="60" zoomScaleNormal="60" workbookViewId="0">
      <selection activeCell="BL48" sqref="BL48"/>
    </sheetView>
  </sheetViews>
  <sheetFormatPr defaultRowHeight="15" x14ac:dyDescent="0.25"/>
  <cols>
    <col min="1" max="1" width="8.42578125" customWidth="1"/>
    <col min="2" max="2" width="13" customWidth="1"/>
    <col min="3" max="3" width="11.140625" customWidth="1"/>
    <col min="4" max="4" width="1.5703125" customWidth="1"/>
    <col min="5" max="5" width="7.85546875" customWidth="1"/>
    <col min="6" max="6" width="14.5703125" style="93" customWidth="1"/>
    <col min="7" max="7" width="11.140625" bestFit="1" customWidth="1"/>
    <col min="8" max="8" width="1.85546875" customWidth="1"/>
    <col min="9" max="9" width="7.140625" customWidth="1"/>
    <col min="10" max="10" width="10" style="93" customWidth="1"/>
    <col min="11" max="11" width="11.140625" bestFit="1" customWidth="1"/>
    <col min="12" max="12" width="2.140625" customWidth="1"/>
    <col min="13" max="13" width="7" customWidth="1"/>
    <col min="14" max="14" width="10.140625" style="93" customWidth="1"/>
    <col min="15" max="15" width="12.140625" customWidth="1"/>
    <col min="16" max="16" width="1.85546875" customWidth="1"/>
    <col min="17" max="17" width="8" customWidth="1"/>
    <col min="18" max="18" width="10.140625" style="93" customWidth="1"/>
    <col min="19" max="21" width="12" customWidth="1"/>
    <col min="22" max="22" width="1.5703125" customWidth="1"/>
    <col min="23" max="23" width="6.85546875" customWidth="1"/>
    <col min="24" max="24" width="9.140625" style="93" customWidth="1"/>
    <col min="25" max="25" width="11.28515625" customWidth="1"/>
    <col min="26" max="26" width="2.42578125" customWidth="1"/>
    <col min="27" max="27" width="8" customWidth="1"/>
    <col min="28" max="28" width="12.42578125" style="93" customWidth="1"/>
    <col min="29" max="29" width="11.5703125" customWidth="1"/>
    <col min="30" max="30" width="2.5703125" customWidth="1"/>
    <col min="31" max="31" width="7.42578125" customWidth="1"/>
    <col min="32" max="32" width="11.42578125" style="93" customWidth="1"/>
    <col min="33" max="33" width="12.140625" customWidth="1"/>
    <col min="34" max="34" width="3.28515625" customWidth="1"/>
    <col min="36" max="36" width="19.5703125" bestFit="1" customWidth="1"/>
    <col min="37" max="37" width="11.140625" bestFit="1" customWidth="1"/>
    <col min="38" max="39" width="11.140625" customWidth="1"/>
    <col min="40" max="40" width="2.42578125" customWidth="1"/>
    <col min="42" max="42" width="15.7109375" bestFit="1" customWidth="1"/>
    <col min="43" max="43" width="12.5703125" bestFit="1" customWidth="1"/>
    <col min="44" max="44" width="15.7109375" bestFit="1" customWidth="1"/>
    <col min="45" max="45" width="2.140625" customWidth="1"/>
    <col min="47" max="47" width="15.7109375" bestFit="1" customWidth="1"/>
    <col min="48" max="48" width="12.5703125" bestFit="1" customWidth="1"/>
    <col min="49" max="49" width="15.7109375" bestFit="1" customWidth="1"/>
    <col min="51" max="51" width="11.140625" bestFit="1" customWidth="1"/>
    <col min="52" max="52" width="14.5703125" bestFit="1" customWidth="1"/>
    <col min="53" max="53" width="14.5703125" customWidth="1"/>
    <col min="54" max="54" width="16" customWidth="1"/>
    <col min="55" max="55" width="12.85546875" customWidth="1"/>
    <col min="56" max="56" width="11.140625" bestFit="1" customWidth="1"/>
    <col min="57" max="57" width="24.85546875" customWidth="1"/>
    <col min="58" max="58" width="6.140625" bestFit="1" customWidth="1"/>
    <col min="59" max="59" width="7.42578125" bestFit="1" customWidth="1"/>
    <col min="60" max="60" width="3.42578125" customWidth="1"/>
    <col min="61" max="61" width="14.5703125" bestFit="1" customWidth="1"/>
    <col min="62" max="62" width="10" bestFit="1" customWidth="1"/>
    <col min="63" max="63" width="22.42578125" bestFit="1" customWidth="1"/>
    <col min="68" max="68" width="16" bestFit="1" customWidth="1"/>
    <col min="69" max="69" width="25.5703125" bestFit="1" customWidth="1"/>
  </cols>
  <sheetData>
    <row r="2" spans="1:68" ht="15.75" thickBot="1" x14ac:dyDescent="0.3"/>
    <row r="3" spans="1:68" s="43" customFormat="1" ht="15.75" thickBot="1" x14ac:dyDescent="0.3">
      <c r="A3" s="90" t="s">
        <v>936</v>
      </c>
      <c r="B3" s="90"/>
      <c r="C3" s="90"/>
      <c r="E3" s="119" t="s">
        <v>937</v>
      </c>
      <c r="F3" s="120"/>
      <c r="G3" s="121"/>
      <c r="I3" s="119" t="s">
        <v>938</v>
      </c>
      <c r="J3" s="120"/>
      <c r="K3" s="121"/>
      <c r="M3" s="119" t="s">
        <v>939</v>
      </c>
      <c r="N3" s="120"/>
      <c r="O3" s="121"/>
      <c r="Q3" s="1965" t="s">
        <v>940</v>
      </c>
      <c r="R3" s="1966"/>
      <c r="S3" s="1966"/>
      <c r="T3" s="1967"/>
      <c r="U3"/>
      <c r="W3" s="119" t="s">
        <v>941</v>
      </c>
      <c r="X3" s="120"/>
      <c r="Y3" s="121"/>
      <c r="AA3" s="119" t="s">
        <v>502</v>
      </c>
      <c r="AB3" s="120"/>
      <c r="AC3" s="121"/>
      <c r="AE3" s="119" t="s">
        <v>154</v>
      </c>
      <c r="AF3" s="120"/>
      <c r="AG3" s="121"/>
      <c r="AI3" s="1973" t="s">
        <v>942</v>
      </c>
      <c r="AJ3" s="1974"/>
      <c r="AK3" s="1974"/>
      <c r="AL3" s="1975"/>
      <c r="AM3"/>
      <c r="AO3" s="1742" t="s">
        <v>358</v>
      </c>
      <c r="AP3" s="1743"/>
      <c r="AQ3" s="1743"/>
      <c r="AR3" s="1744"/>
      <c r="AT3" s="1614" t="s">
        <v>354</v>
      </c>
      <c r="AU3" s="1615"/>
      <c r="AV3" s="1615"/>
      <c r="AW3" s="1616"/>
    </row>
    <row r="4" spans="1:68" s="43" customFormat="1" ht="15.75" thickBot="1" x14ac:dyDescent="0.3">
      <c r="A4" s="67" t="s">
        <v>842</v>
      </c>
      <c r="B4" s="43" t="s">
        <v>943</v>
      </c>
      <c r="C4" s="81" t="s">
        <v>944</v>
      </c>
      <c r="E4" s="67" t="s">
        <v>842</v>
      </c>
      <c r="F4" s="43" t="s">
        <v>945</v>
      </c>
      <c r="G4" s="81" t="s">
        <v>944</v>
      </c>
      <c r="I4" s="67" t="s">
        <v>842</v>
      </c>
      <c r="J4" s="43" t="s">
        <v>946</v>
      </c>
      <c r="K4" s="81" t="s">
        <v>944</v>
      </c>
      <c r="M4" s="67" t="s">
        <v>842</v>
      </c>
      <c r="N4" s="43" t="s">
        <v>946</v>
      </c>
      <c r="O4" s="81" t="s">
        <v>944</v>
      </c>
      <c r="Q4" s="572" t="s">
        <v>842</v>
      </c>
      <c r="R4" s="579" t="s">
        <v>946</v>
      </c>
      <c r="S4" s="573" t="s">
        <v>944</v>
      </c>
      <c r="T4" s="574" t="s">
        <v>947</v>
      </c>
      <c r="W4" s="67" t="s">
        <v>842</v>
      </c>
      <c r="X4" s="43" t="s">
        <v>948</v>
      </c>
      <c r="Y4" s="81" t="s">
        <v>944</v>
      </c>
      <c r="AA4" s="67" t="s">
        <v>842</v>
      </c>
      <c r="AB4" s="43" t="s">
        <v>502</v>
      </c>
      <c r="AC4" s="81" t="s">
        <v>944</v>
      </c>
      <c r="AE4" s="67" t="s">
        <v>842</v>
      </c>
      <c r="AF4" s="43" t="s">
        <v>502</v>
      </c>
      <c r="AG4" s="81" t="s">
        <v>944</v>
      </c>
      <c r="AI4" s="572" t="s">
        <v>842</v>
      </c>
      <c r="AJ4" s="579" t="s">
        <v>949</v>
      </c>
      <c r="AK4" s="573" t="s">
        <v>944</v>
      </c>
      <c r="AL4" s="574" t="s">
        <v>947</v>
      </c>
      <c r="AO4" s="67" t="s">
        <v>842</v>
      </c>
      <c r="AP4" s="43" t="s">
        <v>50</v>
      </c>
      <c r="AQ4" s="81" t="s">
        <v>944</v>
      </c>
      <c r="AR4" s="81" t="s">
        <v>950</v>
      </c>
      <c r="AT4" s="190" t="s">
        <v>842</v>
      </c>
      <c r="AU4" s="191" t="s">
        <v>50</v>
      </c>
      <c r="AV4" s="192" t="s">
        <v>944</v>
      </c>
      <c r="AW4" s="527" t="s">
        <v>950</v>
      </c>
      <c r="BO4" s="1557" t="s">
        <v>886</v>
      </c>
      <c r="BP4" s="1557"/>
    </row>
    <row r="5" spans="1:68" s="43" customFormat="1" ht="15.75" thickBot="1" x14ac:dyDescent="0.3">
      <c r="A5" s="67">
        <v>2013</v>
      </c>
      <c r="C5" s="81"/>
      <c r="E5" s="67">
        <v>2013</v>
      </c>
      <c r="F5" s="209">
        <f>G25</f>
        <v>332947</v>
      </c>
      <c r="G5" s="81"/>
      <c r="I5" s="67">
        <v>2013</v>
      </c>
      <c r="J5" s="209">
        <f>K25</f>
        <v>78538</v>
      </c>
      <c r="K5" s="81"/>
      <c r="M5" s="67">
        <v>2013</v>
      </c>
      <c r="N5" s="209">
        <f>O25</f>
        <v>254409</v>
      </c>
      <c r="O5" s="81"/>
      <c r="Q5" s="587">
        <v>2013</v>
      </c>
      <c r="R5" s="588">
        <f>S25</f>
        <v>366767</v>
      </c>
      <c r="S5" s="589"/>
      <c r="T5" s="590"/>
      <c r="W5" s="67"/>
      <c r="X5" s="244"/>
      <c r="Y5" s="81"/>
      <c r="AA5" s="67">
        <v>2013</v>
      </c>
      <c r="AB5" s="209">
        <f>AC25</f>
        <v>0</v>
      </c>
      <c r="AC5" s="81"/>
      <c r="AE5" s="67">
        <v>2013</v>
      </c>
      <c r="AF5" s="209">
        <f>AG25</f>
        <v>0</v>
      </c>
      <c r="AG5" s="81"/>
      <c r="AI5" s="575" t="s">
        <v>951</v>
      </c>
      <c r="AJ5" s="578">
        <v>161.98725466000002</v>
      </c>
      <c r="AK5" s="578"/>
      <c r="AL5" s="580"/>
      <c r="AM5" s="244"/>
      <c r="AO5" s="67">
        <v>2013</v>
      </c>
      <c r="AP5" s="209">
        <v>48856466.990000002</v>
      </c>
      <c r="AQ5" s="81"/>
      <c r="AR5" s="81"/>
      <c r="AT5" s="67">
        <v>2013</v>
      </c>
      <c r="AU5" s="209">
        <v>113130787.66999999</v>
      </c>
      <c r="AV5" s="81"/>
      <c r="AW5" s="646"/>
      <c r="BO5" s="43" t="s">
        <v>900</v>
      </c>
      <c r="BP5" s="43" t="s">
        <v>890</v>
      </c>
    </row>
    <row r="6" spans="1:68" s="43" customFormat="1" ht="15.75" thickBot="1" x14ac:dyDescent="0.3">
      <c r="A6" s="67">
        <v>2014</v>
      </c>
      <c r="C6" s="81"/>
      <c r="E6" s="67">
        <v>2014</v>
      </c>
      <c r="F6" s="209">
        <f>G37</f>
        <v>322926</v>
      </c>
      <c r="G6" s="241">
        <f>F6/F5-1</f>
        <v>-3.0097883446914997E-2</v>
      </c>
      <c r="I6" s="67">
        <v>2014</v>
      </c>
      <c r="J6" s="209">
        <f>K37</f>
        <v>91581</v>
      </c>
      <c r="K6" s="241">
        <f>J6/J5-1</f>
        <v>0.16607247447095674</v>
      </c>
      <c r="M6" s="67">
        <v>2014</v>
      </c>
      <c r="N6" s="209">
        <f>O37</f>
        <v>231345</v>
      </c>
      <c r="O6" s="241">
        <f>N6/N5-1</f>
        <v>-9.0657170147282473E-2</v>
      </c>
      <c r="Q6" s="575">
        <v>2014</v>
      </c>
      <c r="R6" s="585">
        <f>S37</f>
        <v>366019</v>
      </c>
      <c r="S6" s="116">
        <f>R6/R5-1</f>
        <v>-2.0394419345252102E-3</v>
      </c>
      <c r="T6" s="1979">
        <f>AVERAGE(S6:S13)</f>
        <v>6.0470214244821185E-2</v>
      </c>
      <c r="U6" s="116"/>
      <c r="W6" s="67"/>
      <c r="X6" s="244"/>
      <c r="Y6" s="81"/>
      <c r="AA6" s="67">
        <v>2014</v>
      </c>
      <c r="AB6" s="209">
        <f>AC37</f>
        <v>0</v>
      </c>
      <c r="AC6" s="241"/>
      <c r="AE6" s="67">
        <v>2014</v>
      </c>
      <c r="AF6" s="209">
        <f>AG37</f>
        <v>0</v>
      </c>
      <c r="AG6" s="241"/>
      <c r="AI6" s="575" t="s">
        <v>843</v>
      </c>
      <c r="AJ6" s="578">
        <v>160.53466299999999</v>
      </c>
      <c r="AK6" s="581">
        <f>AJ6/AJ5-1</f>
        <v>-8.9673206885869661E-3</v>
      </c>
      <c r="AL6" s="1971">
        <f>AVERAGE(AK6:AK13)</f>
        <v>7.1606694673483101E-2</v>
      </c>
      <c r="AM6" s="116"/>
      <c r="AO6" s="67">
        <v>2014</v>
      </c>
      <c r="AP6" s="209">
        <v>49711306</v>
      </c>
      <c r="AQ6" s="241">
        <f t="shared" ref="AQ6:AQ12" si="0">AP6/AP5-1</f>
        <v>1.7496946927721302E-2</v>
      </c>
      <c r="AR6" s="241">
        <f>'Group Totals'!CN21</f>
        <v>0.16607247447095674</v>
      </c>
      <c r="AT6" s="67">
        <v>2014</v>
      </c>
      <c r="AU6" s="209">
        <v>110823357</v>
      </c>
      <c r="AV6" s="241">
        <f t="shared" ref="AV6:AV12" si="1">AU6/AU5-1</f>
        <v>-2.039613369201243E-2</v>
      </c>
      <c r="AW6" s="1312">
        <f>'Group Totals'!CM21</f>
        <v>-9.0657170147282473E-2</v>
      </c>
      <c r="BA6" s="1752" t="s">
        <v>358</v>
      </c>
      <c r="BB6" s="1753"/>
      <c r="BC6" s="1756"/>
      <c r="BD6" s="1752" t="s">
        <v>354</v>
      </c>
      <c r="BE6" s="1753"/>
      <c r="BF6" s="1756"/>
    </row>
    <row r="7" spans="1:68" s="43" customFormat="1" ht="15.75" thickBot="1" x14ac:dyDescent="0.3">
      <c r="A7" s="67">
        <v>2015</v>
      </c>
      <c r="C7" s="81"/>
      <c r="E7" s="67">
        <v>2015</v>
      </c>
      <c r="F7" s="209">
        <f>G49</f>
        <v>356716</v>
      </c>
      <c r="G7" s="241">
        <f t="shared" ref="G7:G12" si="2">F7/F6-1</f>
        <v>0.10463697565386498</v>
      </c>
      <c r="I7" s="67">
        <v>2015</v>
      </c>
      <c r="J7" s="209">
        <f>K49</f>
        <v>102770</v>
      </c>
      <c r="K7" s="241">
        <f t="shared" ref="K7:K12" si="3">J7/J6-1</f>
        <v>0.12217599720466032</v>
      </c>
      <c r="M7" s="67">
        <v>2015</v>
      </c>
      <c r="N7" s="209">
        <f>O49</f>
        <v>253946</v>
      </c>
      <c r="O7" s="241">
        <f t="shared" ref="O7:O12" si="4">N7/N6-1</f>
        <v>9.7693920335429674E-2</v>
      </c>
      <c r="Q7" s="575">
        <v>2015</v>
      </c>
      <c r="R7" s="585">
        <f>S49</f>
        <v>396489</v>
      </c>
      <c r="S7" s="116">
        <f t="shared" ref="S7:S12" si="5">R7/R6-1</f>
        <v>8.3247044552331895E-2</v>
      </c>
      <c r="T7" s="1979"/>
      <c r="U7" s="116"/>
      <c r="W7" s="67"/>
      <c r="X7" s="244"/>
      <c r="Y7" s="81"/>
      <c r="AA7" s="67">
        <v>2015</v>
      </c>
      <c r="AB7" s="209">
        <f>AC49</f>
        <v>0</v>
      </c>
      <c r="AC7" s="241"/>
      <c r="AE7" s="67">
        <v>2015</v>
      </c>
      <c r="AF7" s="209">
        <f>AG49</f>
        <v>0</v>
      </c>
      <c r="AG7" s="241"/>
      <c r="AI7" s="575" t="s">
        <v>845</v>
      </c>
      <c r="AJ7" s="578">
        <v>176.227149</v>
      </c>
      <c r="AK7" s="581">
        <f t="shared" ref="AK7:AK24" si="6">AJ7/AJ6-1</f>
        <v>9.7751387187949623E-2</v>
      </c>
      <c r="AL7" s="1971"/>
      <c r="AM7" s="116"/>
      <c r="AO7" s="67">
        <v>2015</v>
      </c>
      <c r="AP7" s="209">
        <v>52194489</v>
      </c>
      <c r="AQ7" s="241">
        <f t="shared" si="0"/>
        <v>4.9952077300081443E-2</v>
      </c>
      <c r="AR7" s="241">
        <f>'Group Totals'!CN33</f>
        <v>0.12217599720466032</v>
      </c>
      <c r="AT7" s="67">
        <v>2015</v>
      </c>
      <c r="AU7" s="209">
        <v>124032660</v>
      </c>
      <c r="AV7" s="241">
        <f t="shared" si="1"/>
        <v>0.1191924099537971</v>
      </c>
      <c r="AW7" s="1312">
        <f>'Group Totals'!CM33</f>
        <v>9.7693920335429674E-2</v>
      </c>
      <c r="AZ7" s="411" t="s">
        <v>842</v>
      </c>
      <c r="BA7" s="526" t="s">
        <v>869</v>
      </c>
      <c r="BB7" s="527" t="s">
        <v>952</v>
      </c>
      <c r="BC7" s="528" t="s">
        <v>890</v>
      </c>
      <c r="BD7" s="526" t="s">
        <v>869</v>
      </c>
      <c r="BE7" s="527" t="s">
        <v>953</v>
      </c>
      <c r="BF7" s="528" t="s">
        <v>890</v>
      </c>
      <c r="BI7" s="43" t="s">
        <v>954</v>
      </c>
      <c r="BJ7" s="43" t="s">
        <v>955</v>
      </c>
      <c r="BK7" s="43" t="s">
        <v>956</v>
      </c>
      <c r="BL7" s="43" t="s">
        <v>957</v>
      </c>
    </row>
    <row r="8" spans="1:68" s="43" customFormat="1" ht="15.75" customHeight="1" thickBot="1" x14ac:dyDescent="0.3">
      <c r="A8" s="67">
        <v>2016</v>
      </c>
      <c r="C8" s="81"/>
      <c r="E8" s="67">
        <v>2016</v>
      </c>
      <c r="F8" s="209">
        <f>G61</f>
        <v>322153</v>
      </c>
      <c r="G8" s="241">
        <f t="shared" si="2"/>
        <v>-9.6892205564090172E-2</v>
      </c>
      <c r="I8" s="67">
        <v>2016</v>
      </c>
      <c r="J8" s="209">
        <f>K61</f>
        <v>110889</v>
      </c>
      <c r="K8" s="241">
        <f t="shared" si="3"/>
        <v>7.9001654179235103E-2</v>
      </c>
      <c r="M8" s="67">
        <v>2016</v>
      </c>
      <c r="N8" s="209">
        <f>O61</f>
        <v>211264</v>
      </c>
      <c r="O8" s="241">
        <f t="shared" si="4"/>
        <v>-0.16807510258086367</v>
      </c>
      <c r="Q8" s="575">
        <v>2016</v>
      </c>
      <c r="R8" s="585">
        <f>S61</f>
        <v>401516</v>
      </c>
      <c r="S8" s="116">
        <f t="shared" si="5"/>
        <v>1.2678788062216118E-2</v>
      </c>
      <c r="T8" s="1979"/>
      <c r="U8" s="116"/>
      <c r="W8" s="67"/>
      <c r="X8" s="244"/>
      <c r="Y8" s="81"/>
      <c r="AA8" s="67">
        <v>2016</v>
      </c>
      <c r="AB8" s="209">
        <f>AC61</f>
        <v>0</v>
      </c>
      <c r="AC8" s="241"/>
      <c r="AE8" s="67">
        <v>2016</v>
      </c>
      <c r="AF8" s="209">
        <f>AG61</f>
        <v>0</v>
      </c>
      <c r="AG8" s="241"/>
      <c r="AI8" s="575" t="s">
        <v>846</v>
      </c>
      <c r="AJ8" s="578">
        <v>191.91344081</v>
      </c>
      <c r="AK8" s="581">
        <f t="shared" si="6"/>
        <v>8.9011777691529348E-2</v>
      </c>
      <c r="AL8" s="1971"/>
      <c r="AM8" s="116"/>
      <c r="AO8" s="67">
        <v>2016</v>
      </c>
      <c r="AP8" s="209">
        <v>60354136.829999991</v>
      </c>
      <c r="AQ8" s="241">
        <f t="shared" si="0"/>
        <v>0.15633159719218614</v>
      </c>
      <c r="AR8" s="241">
        <f>'Group Totals'!CN45</f>
        <v>7.9001654179235103E-2</v>
      </c>
      <c r="AT8" s="67">
        <v>2016</v>
      </c>
      <c r="AU8" s="209">
        <v>131559303.97999999</v>
      </c>
      <c r="AV8" s="241">
        <f t="shared" si="1"/>
        <v>6.0682758718550334E-2</v>
      </c>
      <c r="AW8" s="1312">
        <f>'Group Totals'!CM45</f>
        <v>-0.16807510258086367</v>
      </c>
      <c r="AZ8" s="218">
        <v>2016</v>
      </c>
      <c r="BA8" s="540">
        <f t="shared" ref="BA8:BA24" si="7">AP8/1000000</f>
        <v>60.354136829999987</v>
      </c>
      <c r="BB8" s="541">
        <v>8</v>
      </c>
      <c r="BC8" s="542">
        <f>BA8/BB8</f>
        <v>7.5442671037499984</v>
      </c>
      <c r="BD8" s="543">
        <f>AU8/1000000</f>
        <v>131.55930397999998</v>
      </c>
      <c r="BE8" s="541">
        <v>20</v>
      </c>
      <c r="BF8" s="1317">
        <f>BD8/BE8</f>
        <v>6.5779651989999994</v>
      </c>
      <c r="BG8" s="1558" t="s">
        <v>958</v>
      </c>
      <c r="BI8" s="43">
        <v>18</v>
      </c>
      <c r="BJ8" s="1314">
        <f>BD8/BI8</f>
        <v>7.3088502211111104</v>
      </c>
      <c r="BK8" s="43">
        <f>BE8+BI8</f>
        <v>38</v>
      </c>
      <c r="BL8" s="1314">
        <f>BD8/BK8</f>
        <v>3.4620869468421049</v>
      </c>
      <c r="BO8" s="387">
        <v>72</v>
      </c>
      <c r="BP8" s="337">
        <f t="shared" ref="BP8:BP13" si="8">AJ8/BO8</f>
        <v>2.6654644556944445</v>
      </c>
    </row>
    <row r="9" spans="1:68" s="43" customFormat="1" ht="15.75" thickBot="1" x14ac:dyDescent="0.3">
      <c r="A9" s="67">
        <v>2017</v>
      </c>
      <c r="C9" s="81"/>
      <c r="E9" s="67">
        <v>2017</v>
      </c>
      <c r="F9" s="209">
        <f>G73</f>
        <v>298836</v>
      </c>
      <c r="G9" s="241">
        <f t="shared" si="2"/>
        <v>-7.2378652379459396E-2</v>
      </c>
      <c r="I9" s="67">
        <v>2017</v>
      </c>
      <c r="J9" s="209">
        <f>K73</f>
        <v>115573</v>
      </c>
      <c r="K9" s="241">
        <f t="shared" si="3"/>
        <v>4.2240438636835131E-2</v>
      </c>
      <c r="M9" s="67">
        <v>2017</v>
      </c>
      <c r="N9" s="209">
        <f>O73</f>
        <v>183263</v>
      </c>
      <c r="O9" s="241">
        <f t="shared" si="4"/>
        <v>-0.13254032868827625</v>
      </c>
      <c r="Q9" s="575">
        <v>2017</v>
      </c>
      <c r="R9" s="585">
        <f>S73</f>
        <v>375386</v>
      </c>
      <c r="S9" s="116">
        <f t="shared" si="5"/>
        <v>-6.507835304197096E-2</v>
      </c>
      <c r="T9" s="1979"/>
      <c r="U9" s="116"/>
      <c r="W9" s="67"/>
      <c r="X9" s="244"/>
      <c r="Y9" s="81"/>
      <c r="AA9" s="67">
        <v>2017</v>
      </c>
      <c r="AB9" s="209">
        <f>AC73</f>
        <v>73.333333333333329</v>
      </c>
      <c r="AC9" s="241"/>
      <c r="AE9" s="67">
        <v>2017</v>
      </c>
      <c r="AF9" s="209">
        <f>AG73</f>
        <v>0</v>
      </c>
      <c r="AG9" s="241"/>
      <c r="AI9" s="575" t="s">
        <v>847</v>
      </c>
      <c r="AJ9" s="578">
        <v>198.39828446000001</v>
      </c>
      <c r="AK9" s="581">
        <f t="shared" si="6"/>
        <v>3.3790461067394473E-2</v>
      </c>
      <c r="AL9" s="1971"/>
      <c r="AM9" s="116"/>
      <c r="AO9" s="67">
        <v>2017</v>
      </c>
      <c r="AP9" s="209">
        <v>67888515</v>
      </c>
      <c r="AQ9" s="241">
        <f t="shared" si="0"/>
        <v>0.12483615151720517</v>
      </c>
      <c r="AR9" s="241">
        <f>'Group Totals'!CN57</f>
        <v>4.2240438636835131E-2</v>
      </c>
      <c r="AT9" s="67">
        <v>2017</v>
      </c>
      <c r="AU9" s="209">
        <v>132891830.30500001</v>
      </c>
      <c r="AV9" s="241">
        <f t="shared" si="1"/>
        <v>1.01287121829301E-2</v>
      </c>
      <c r="AW9" s="1312">
        <f>'Group Totals'!CM57</f>
        <v>-0.13254032868827625</v>
      </c>
      <c r="AZ9" s="218">
        <v>2017</v>
      </c>
      <c r="BA9" s="544">
        <f t="shared" si="7"/>
        <v>67.888514999999998</v>
      </c>
      <c r="BB9" s="236">
        <v>9</v>
      </c>
      <c r="BC9" s="542">
        <f t="shared" ref="BC9:BC13" si="9">BA9/BB9</f>
        <v>7.543168333333333</v>
      </c>
      <c r="BD9" s="525">
        <f t="shared" ref="BD9:BD24" si="10">AU9/1000000</f>
        <v>132.89183030500001</v>
      </c>
      <c r="BE9" s="236">
        <v>18</v>
      </c>
      <c r="BF9" s="1317">
        <f t="shared" ref="BF9:BF14" si="11">BD9/BE9</f>
        <v>7.3828794613888897</v>
      </c>
      <c r="BG9" s="1559"/>
      <c r="BI9" s="43">
        <v>20</v>
      </c>
      <c r="BJ9" s="1314">
        <f t="shared" ref="BJ9:BJ14" si="12">BD9/BI9</f>
        <v>6.644591515250001</v>
      </c>
      <c r="BK9" s="43">
        <f t="shared" ref="BK9:BK14" si="13">BE9+BI9</f>
        <v>38</v>
      </c>
      <c r="BL9" s="1314">
        <f t="shared" ref="BL9:BL14" si="14">BD9/BK9</f>
        <v>3.4971534290789479</v>
      </c>
      <c r="BO9" s="387">
        <v>76</v>
      </c>
      <c r="BP9" s="337">
        <f t="shared" si="8"/>
        <v>2.6105037428947369</v>
      </c>
    </row>
    <row r="10" spans="1:68" s="43" customFormat="1" ht="15.75" thickBot="1" x14ac:dyDescent="0.3">
      <c r="A10" s="67">
        <v>2018</v>
      </c>
      <c r="C10" s="81"/>
      <c r="E10" s="67">
        <v>2018</v>
      </c>
      <c r="F10" s="209">
        <f>G85</f>
        <v>435379</v>
      </c>
      <c r="G10" s="241">
        <f t="shared" si="2"/>
        <v>0.45691616806542723</v>
      </c>
      <c r="I10" s="67">
        <v>2018</v>
      </c>
      <c r="J10" s="209">
        <f>K85</f>
        <v>148209</v>
      </c>
      <c r="K10" s="241">
        <f t="shared" si="3"/>
        <v>0.28238429390947717</v>
      </c>
      <c r="M10" s="67">
        <v>2018</v>
      </c>
      <c r="N10" s="209">
        <f>O85</f>
        <v>287170</v>
      </c>
      <c r="O10" s="241">
        <f t="shared" si="4"/>
        <v>0.56698296983024399</v>
      </c>
      <c r="Q10" s="575">
        <v>2018</v>
      </c>
      <c r="R10" s="585">
        <f>S85</f>
        <v>515534</v>
      </c>
      <c r="S10" s="116">
        <f t="shared" si="5"/>
        <v>0.37334370487977697</v>
      </c>
      <c r="T10" s="1979"/>
      <c r="U10" s="116"/>
      <c r="W10" s="67"/>
      <c r="X10" s="244"/>
      <c r="Y10" s="81"/>
      <c r="AA10" s="67">
        <v>2018</v>
      </c>
      <c r="AB10" s="209">
        <f>AC85</f>
        <v>101.5</v>
      </c>
      <c r="AC10" s="241">
        <f>AB10/AB9-1</f>
        <v>0.38409090909090926</v>
      </c>
      <c r="AE10" s="67">
        <v>2018</v>
      </c>
      <c r="AF10" s="209">
        <f>AG85</f>
        <v>0</v>
      </c>
      <c r="AG10" s="241"/>
      <c r="AI10" s="575" t="s">
        <v>848</v>
      </c>
      <c r="AJ10" s="578">
        <v>224.80885925999999</v>
      </c>
      <c r="AK10" s="581">
        <f t="shared" si="6"/>
        <v>0.13311896759533082</v>
      </c>
      <c r="AL10" s="1971"/>
      <c r="AM10" s="116"/>
      <c r="AO10" s="67">
        <v>2018</v>
      </c>
      <c r="AP10" s="209">
        <v>79584639.149999991</v>
      </c>
      <c r="AQ10" s="241">
        <f t="shared" si="0"/>
        <v>0.17228428328414602</v>
      </c>
      <c r="AR10" s="241">
        <f>'Group Totals'!CN69</f>
        <v>0.28238429390947717</v>
      </c>
      <c r="AT10" s="67">
        <v>2018</v>
      </c>
      <c r="AU10" s="209">
        <v>143642828.76999998</v>
      </c>
      <c r="AV10" s="241">
        <f t="shared" si="1"/>
        <v>8.0900371680677097E-2</v>
      </c>
      <c r="AW10" s="1312">
        <f>'Group Totals'!CM69</f>
        <v>0.56698296983024399</v>
      </c>
      <c r="AZ10" s="218">
        <v>2018</v>
      </c>
      <c r="BA10" s="544">
        <f t="shared" si="7"/>
        <v>79.584639149999987</v>
      </c>
      <c r="BB10" s="236">
        <v>12</v>
      </c>
      <c r="BC10" s="542">
        <f t="shared" si="9"/>
        <v>6.6320532624999986</v>
      </c>
      <c r="BD10" s="525">
        <f t="shared" si="10"/>
        <v>143.64282876999999</v>
      </c>
      <c r="BE10" s="236">
        <v>24</v>
      </c>
      <c r="BF10" s="1317">
        <f t="shared" si="11"/>
        <v>5.9851178654166661</v>
      </c>
      <c r="BG10" s="1559"/>
      <c r="BI10" s="43">
        <v>27</v>
      </c>
      <c r="BJ10" s="1314">
        <f t="shared" si="12"/>
        <v>5.3201047692592587</v>
      </c>
      <c r="BK10" s="43">
        <f t="shared" si="13"/>
        <v>51</v>
      </c>
      <c r="BL10" s="1314">
        <f t="shared" si="14"/>
        <v>2.8165260543137252</v>
      </c>
      <c r="BO10">
        <v>76</v>
      </c>
      <c r="BP10" s="337">
        <f t="shared" si="8"/>
        <v>2.9580113060526316</v>
      </c>
    </row>
    <row r="11" spans="1:68" s="43" customFormat="1" ht="15.75" thickBot="1" x14ac:dyDescent="0.3">
      <c r="A11" s="67">
        <v>2019</v>
      </c>
      <c r="B11" s="245">
        <f>C21</f>
        <v>60666682.159999996</v>
      </c>
      <c r="C11" s="81"/>
      <c r="E11" s="67">
        <v>2019</v>
      </c>
      <c r="F11" s="209">
        <f>G97</f>
        <v>418343</v>
      </c>
      <c r="G11" s="241">
        <f t="shared" si="2"/>
        <v>-3.9129126577074236E-2</v>
      </c>
      <c r="I11" s="67">
        <v>2019</v>
      </c>
      <c r="J11" s="209">
        <f>K97</f>
        <v>169440</v>
      </c>
      <c r="K11" s="241">
        <f t="shared" si="3"/>
        <v>0.14325040989413607</v>
      </c>
      <c r="M11" s="67">
        <v>2019</v>
      </c>
      <c r="N11" s="209">
        <f>O97</f>
        <v>248903</v>
      </c>
      <c r="O11" s="241">
        <f t="shared" si="4"/>
        <v>-0.13325556290698892</v>
      </c>
      <c r="Q11" s="575">
        <v>2019</v>
      </c>
      <c r="R11" s="585">
        <f>S97</f>
        <v>490070</v>
      </c>
      <c r="S11" s="116">
        <f t="shared" si="5"/>
        <v>-4.9393444467290215E-2</v>
      </c>
      <c r="T11" s="1979"/>
      <c r="U11" s="116"/>
      <c r="W11" s="67">
        <v>2019</v>
      </c>
      <c r="X11" s="209">
        <f>Y20</f>
        <v>101085.76999999999</v>
      </c>
      <c r="Y11" s="81"/>
      <c r="AA11" s="67">
        <v>2019</v>
      </c>
      <c r="AB11" s="209">
        <f>AC97</f>
        <v>125.66666666666667</v>
      </c>
      <c r="AC11" s="241">
        <f>AB11/AB10-1</f>
        <v>0.23809523809523814</v>
      </c>
      <c r="AE11" s="67">
        <v>2019</v>
      </c>
      <c r="AF11" s="209">
        <f>AG97</f>
        <v>82.545454545454547</v>
      </c>
      <c r="AG11" s="241"/>
      <c r="AI11" s="575" t="s">
        <v>850</v>
      </c>
      <c r="AJ11" s="578">
        <v>244.16158966</v>
      </c>
      <c r="AK11" s="581">
        <f t="shared" si="6"/>
        <v>8.6085265784022535E-2</v>
      </c>
      <c r="AL11" s="1971"/>
      <c r="AM11" s="116"/>
      <c r="AO11" s="67">
        <v>2019</v>
      </c>
      <c r="AP11" s="209">
        <v>96792388.790000007</v>
      </c>
      <c r="AQ11" s="241">
        <f t="shared" si="0"/>
        <v>0.21621948436012994</v>
      </c>
      <c r="AR11" s="241">
        <f>'Group Totals'!CN81</f>
        <v>0.14325040989413607</v>
      </c>
      <c r="AT11" s="67">
        <v>2019</v>
      </c>
      <c r="AU11" s="209">
        <v>149007069.84999996</v>
      </c>
      <c r="AV11" s="241">
        <f t="shared" si="1"/>
        <v>3.7344301319693241E-2</v>
      </c>
      <c r="AW11" s="1312">
        <f>'Group Totals'!CM81</f>
        <v>-0.13325556290698892</v>
      </c>
      <c r="AZ11" s="218">
        <v>2019</v>
      </c>
      <c r="BA11" s="544">
        <f t="shared" si="7"/>
        <v>96.792388790000004</v>
      </c>
      <c r="BB11" s="417">
        <v>19</v>
      </c>
      <c r="BC11" s="542">
        <f t="shared" si="9"/>
        <v>5.0943362521052631</v>
      </c>
      <c r="BD11" s="524">
        <f t="shared" si="10"/>
        <v>149.00706984999997</v>
      </c>
      <c r="BE11" s="417">
        <v>25</v>
      </c>
      <c r="BF11" s="1317">
        <f t="shared" si="11"/>
        <v>5.9602827939999985</v>
      </c>
      <c r="BG11" s="1559"/>
      <c r="BI11" s="43">
        <v>31</v>
      </c>
      <c r="BJ11" s="1314">
        <f t="shared" si="12"/>
        <v>4.8066796725806444</v>
      </c>
      <c r="BK11" s="43">
        <f t="shared" si="13"/>
        <v>56</v>
      </c>
      <c r="BL11" s="1314">
        <f t="shared" si="14"/>
        <v>2.6608405330357137</v>
      </c>
      <c r="BO11">
        <v>80</v>
      </c>
      <c r="BP11" s="337">
        <f t="shared" si="8"/>
        <v>3.0520198707500001</v>
      </c>
    </row>
    <row r="12" spans="1:68" s="43" customFormat="1" ht="15.75" thickBot="1" x14ac:dyDescent="0.3">
      <c r="A12" s="67">
        <v>2020</v>
      </c>
      <c r="B12" s="245">
        <f>C33</f>
        <v>58653276.969999999</v>
      </c>
      <c r="C12" s="241">
        <f>B12/B11-1</f>
        <v>-3.3187989161660769E-2</v>
      </c>
      <c r="E12" s="67">
        <v>2020</v>
      </c>
      <c r="F12" s="209">
        <f>G109</f>
        <v>417246</v>
      </c>
      <c r="G12" s="241">
        <f t="shared" si="2"/>
        <v>-2.6222501631436579E-3</v>
      </c>
      <c r="I12" s="67">
        <v>2020</v>
      </c>
      <c r="J12" s="209">
        <f>K109</f>
        <v>183331</v>
      </c>
      <c r="K12" s="241">
        <f t="shared" si="3"/>
        <v>8.1981822474032073E-2</v>
      </c>
      <c r="M12" s="67">
        <v>2020</v>
      </c>
      <c r="N12" s="209">
        <f>O109</f>
        <v>233915</v>
      </c>
      <c r="O12" s="241">
        <f t="shared" si="4"/>
        <v>-6.021622881202715E-2</v>
      </c>
      <c r="Q12" s="575">
        <v>2020</v>
      </c>
      <c r="R12" s="585">
        <f>S109</f>
        <v>571535</v>
      </c>
      <c r="S12" s="116">
        <f t="shared" si="5"/>
        <v>0.16623135470443007</v>
      </c>
      <c r="T12" s="1979"/>
      <c r="U12" s="116"/>
      <c r="W12" s="67">
        <v>2020</v>
      </c>
      <c r="X12" s="209">
        <f>Y32</f>
        <v>89332.229000000021</v>
      </c>
      <c r="Y12" s="241">
        <f>X12/X11-1</f>
        <v>-0.1162729531565122</v>
      </c>
      <c r="AA12" s="67">
        <v>2020</v>
      </c>
      <c r="AB12" s="209">
        <f>AC109</f>
        <v>127.33333333333333</v>
      </c>
      <c r="AC12" s="241">
        <f>AB12/AB11-1</f>
        <v>1.3262599469495928E-2</v>
      </c>
      <c r="AE12" s="67">
        <v>2020</v>
      </c>
      <c r="AF12" s="209">
        <f>AG109</f>
        <v>75.416666666666671</v>
      </c>
      <c r="AG12" s="241">
        <f>AF12/AF11-1</f>
        <v>-8.6361967694566721E-2</v>
      </c>
      <c r="AI12" s="575" t="s">
        <v>851</v>
      </c>
      <c r="AJ12" s="578">
        <v>276.59375619000002</v>
      </c>
      <c r="AK12" s="581">
        <f t="shared" si="6"/>
        <v>0.1328307477648818</v>
      </c>
      <c r="AL12" s="1971"/>
      <c r="AM12" s="116"/>
      <c r="AO12" s="67">
        <v>2020</v>
      </c>
      <c r="AP12" s="209">
        <v>125840391.42</v>
      </c>
      <c r="AQ12" s="241">
        <f t="shared" si="0"/>
        <v>0.30010626861397438</v>
      </c>
      <c r="AR12" s="241">
        <f>'Group Totals'!CN93</f>
        <v>8.1981822474032073E-2</v>
      </c>
      <c r="AT12" s="67">
        <v>2020</v>
      </c>
      <c r="AU12" s="209">
        <v>151660946.27000001</v>
      </c>
      <c r="AV12" s="241">
        <f t="shared" si="1"/>
        <v>1.7810406061078865E-2</v>
      </c>
      <c r="AW12" s="1312">
        <f>'Group Totals'!CM93</f>
        <v>-6.021622881202715E-2</v>
      </c>
      <c r="AZ12" s="218">
        <v>2020</v>
      </c>
      <c r="BA12" s="544">
        <f t="shared" si="7"/>
        <v>125.84039142</v>
      </c>
      <c r="BB12" s="417">
        <v>14</v>
      </c>
      <c r="BC12" s="542">
        <f t="shared" si="9"/>
        <v>8.9885993871428571</v>
      </c>
      <c r="BD12" s="524">
        <f t="shared" si="10"/>
        <v>151.66094627000001</v>
      </c>
      <c r="BE12" s="417">
        <v>34</v>
      </c>
      <c r="BF12" s="1317">
        <f t="shared" si="11"/>
        <v>4.4606160667647066</v>
      </c>
      <c r="BG12" s="1559"/>
      <c r="BI12" s="43">
        <v>27</v>
      </c>
      <c r="BJ12" s="1314">
        <f t="shared" si="12"/>
        <v>5.6170720840740742</v>
      </c>
      <c r="BK12" s="43">
        <f t="shared" si="13"/>
        <v>61</v>
      </c>
      <c r="BL12" s="1314">
        <f t="shared" si="14"/>
        <v>2.4862450208196725</v>
      </c>
      <c r="BO12">
        <v>64</v>
      </c>
      <c r="BP12" s="337">
        <f t="shared" si="8"/>
        <v>4.3217774404687503</v>
      </c>
    </row>
    <row r="13" spans="1:68" s="43" customFormat="1" ht="15.75" thickBot="1" x14ac:dyDescent="0.3">
      <c r="A13" s="67">
        <v>2021</v>
      </c>
      <c r="B13" s="245">
        <f>C45</f>
        <v>65258850.600000001</v>
      </c>
      <c r="C13" s="241">
        <f>B13/B12-1</f>
        <v>0.11262070887153719</v>
      </c>
      <c r="E13" s="67">
        <v>2021</v>
      </c>
      <c r="F13" s="209">
        <f>G121</f>
        <v>470642</v>
      </c>
      <c r="G13" s="241">
        <f>F13/F12-1</f>
        <v>0.12797246708176946</v>
      </c>
      <c r="I13" s="67">
        <v>2021</v>
      </c>
      <c r="J13" s="209">
        <f>K121</f>
        <v>187978</v>
      </c>
      <c r="K13" s="241">
        <f>J13/J12-1</f>
        <v>2.5347595333031547E-2</v>
      </c>
      <c r="M13" s="67">
        <v>2021</v>
      </c>
      <c r="N13" s="209">
        <f>O121</f>
        <v>282664</v>
      </c>
      <c r="O13" s="241">
        <f>N13/N12-1</f>
        <v>0.20840476241369732</v>
      </c>
      <c r="Q13" s="576">
        <v>2021</v>
      </c>
      <c r="R13" s="591">
        <f>S121</f>
        <v>551401</v>
      </c>
      <c r="S13" s="577">
        <f>R13/R12-1</f>
        <v>-3.5227938796399183E-2</v>
      </c>
      <c r="T13" s="1980"/>
      <c r="U13" s="116"/>
      <c r="W13" s="67">
        <v>2021</v>
      </c>
      <c r="X13" s="209">
        <f>Y44</f>
        <v>100707.285</v>
      </c>
      <c r="Y13" s="241">
        <f>X13/X12-1</f>
        <v>0.12733429051680756</v>
      </c>
      <c r="AA13" s="67">
        <v>2021</v>
      </c>
      <c r="AB13" s="209">
        <f>AC121</f>
        <v>132.66666666666666</v>
      </c>
      <c r="AC13" s="241">
        <f>AB13/AB12-1</f>
        <v>4.1884816753926746E-2</v>
      </c>
      <c r="AE13" s="67">
        <v>2021</v>
      </c>
      <c r="AF13" s="209">
        <f>AG121</f>
        <v>80.916666666666671</v>
      </c>
      <c r="AG13" s="241">
        <f>AF13/AF12-1</f>
        <v>7.2928176795580058E-2</v>
      </c>
      <c r="AI13" s="576" t="s">
        <v>852</v>
      </c>
      <c r="AJ13" s="582">
        <v>279.14734470000002</v>
      </c>
      <c r="AK13" s="583">
        <f t="shared" si="6"/>
        <v>9.2322709853431828E-3</v>
      </c>
      <c r="AL13" s="1972"/>
      <c r="AM13" s="116"/>
      <c r="AO13" s="67">
        <v>2021</v>
      </c>
      <c r="AP13" s="209">
        <v>107960180.55138202</v>
      </c>
      <c r="AQ13" s="241">
        <f>AP13/AP12-1</f>
        <v>-0.14208642127424476</v>
      </c>
      <c r="AR13" s="241">
        <f>'Group Totals'!CN105</f>
        <v>2.5347595333031547E-2</v>
      </c>
      <c r="AT13" s="67">
        <v>2021</v>
      </c>
      <c r="AU13" s="209">
        <v>171223252.60456344</v>
      </c>
      <c r="AV13" s="241">
        <f>AU13/AU12-1</f>
        <v>0.12898710456241602</v>
      </c>
      <c r="AW13" s="1312">
        <f>'Group Totals'!CM105</f>
        <v>0.16736421349635555</v>
      </c>
      <c r="AZ13" s="218">
        <v>2021</v>
      </c>
      <c r="BA13" s="545">
        <f t="shared" si="7"/>
        <v>107.96018055138202</v>
      </c>
      <c r="BB13" s="190">
        <v>15</v>
      </c>
      <c r="BC13" s="542">
        <f t="shared" si="9"/>
        <v>7.197345370092135</v>
      </c>
      <c r="BD13" s="533">
        <f t="shared" si="10"/>
        <v>171.22325260456344</v>
      </c>
      <c r="BE13" s="190">
        <v>29</v>
      </c>
      <c r="BF13" s="1317">
        <f t="shared" si="11"/>
        <v>5.9042500898125327</v>
      </c>
      <c r="BG13" s="1559"/>
      <c r="BI13" s="43">
        <v>35</v>
      </c>
      <c r="BJ13" s="1314">
        <f t="shared" si="12"/>
        <v>4.8920929315589552</v>
      </c>
      <c r="BK13" s="43">
        <f t="shared" si="13"/>
        <v>64</v>
      </c>
      <c r="BL13" s="1314">
        <f t="shared" si="14"/>
        <v>2.6753633219463038</v>
      </c>
      <c r="BO13">
        <v>89</v>
      </c>
      <c r="BP13" s="337">
        <f t="shared" si="8"/>
        <v>3.1364870191011236</v>
      </c>
    </row>
    <row r="14" spans="1:68" s="43" customFormat="1" ht="15.75" thickBot="1" x14ac:dyDescent="0.3">
      <c r="A14" s="235">
        <v>2022</v>
      </c>
      <c r="B14" s="246">
        <f>C57</f>
        <v>68281143</v>
      </c>
      <c r="C14" s="243">
        <f>B14/B13-1</f>
        <v>4.6312375596759159E-2</v>
      </c>
      <c r="E14" s="235">
        <v>2022</v>
      </c>
      <c r="F14" s="242">
        <f>G133</f>
        <v>555900</v>
      </c>
      <c r="G14" s="243">
        <f>F14/F13-1</f>
        <v>0.18115255332078317</v>
      </c>
      <c r="I14" s="235">
        <v>2022</v>
      </c>
      <c r="J14" s="242">
        <f>K133</f>
        <v>187803</v>
      </c>
      <c r="K14" s="243">
        <f>J14/J13-1</f>
        <v>-9.3096000595815909E-4</v>
      </c>
      <c r="M14" s="235">
        <v>2022</v>
      </c>
      <c r="N14" s="242">
        <f>O133</f>
        <v>368097</v>
      </c>
      <c r="O14" s="243">
        <f>N14/N13-1</f>
        <v>0.30224223813432194</v>
      </c>
      <c r="Q14" s="235">
        <v>2022</v>
      </c>
      <c r="R14" s="586">
        <f>S133</f>
        <v>569259</v>
      </c>
      <c r="S14" s="243">
        <f>R14/R13-1</f>
        <v>3.2386593422935483E-2</v>
      </c>
      <c r="T14" s="116"/>
      <c r="U14" s="116"/>
      <c r="W14" s="235">
        <v>2022</v>
      </c>
      <c r="X14" s="242">
        <f>Y56</f>
        <v>119136</v>
      </c>
      <c r="Y14" s="243">
        <f>X14/X13-1</f>
        <v>0.18299286888729038</v>
      </c>
      <c r="AA14" s="235">
        <v>2022</v>
      </c>
      <c r="AB14" s="242">
        <f>AC133</f>
        <v>140.25</v>
      </c>
      <c r="AC14" s="243">
        <f>AB14/AB13-1</f>
        <v>5.7160804020100597E-2</v>
      </c>
      <c r="AE14" s="235">
        <v>2022</v>
      </c>
      <c r="AF14" s="242">
        <f>AG133</f>
        <v>89.25</v>
      </c>
      <c r="AG14" s="243">
        <f>AF14/AF13-1</f>
        <v>0.10298661174047363</v>
      </c>
      <c r="AI14" s="67" t="s">
        <v>853</v>
      </c>
      <c r="AJ14" s="244">
        <v>321.019446405</v>
      </c>
      <c r="AK14" s="116">
        <f t="shared" si="6"/>
        <v>0.14999999999999991</v>
      </c>
      <c r="AL14" s="116"/>
      <c r="AM14" s="116"/>
      <c r="AO14" s="235">
        <v>2022</v>
      </c>
      <c r="AP14" s="242">
        <v>160000000</v>
      </c>
      <c r="AQ14" s="243">
        <f>AP14/AP13-1</f>
        <v>0.48202790309201471</v>
      </c>
      <c r="AR14" s="243">
        <f>'Group Totals'!CN117</f>
        <v>0.58102543914713434</v>
      </c>
      <c r="AT14" s="235">
        <v>2022</v>
      </c>
      <c r="AU14" s="242">
        <v>198000000</v>
      </c>
      <c r="AV14" s="243">
        <f>AU14/AU13-1</f>
        <v>0.15638499437501574</v>
      </c>
      <c r="AW14" s="1313">
        <f>'Group Totals'!CM117</f>
        <v>0.22804543989687409</v>
      </c>
      <c r="AZ14" s="538">
        <v>2022</v>
      </c>
      <c r="BA14" s="546">
        <f t="shared" si="7"/>
        <v>160</v>
      </c>
      <c r="BB14" s="535">
        <v>26</v>
      </c>
      <c r="BC14" s="542">
        <f>BA14/BB14</f>
        <v>6.1538461538461542</v>
      </c>
      <c r="BD14" s="536">
        <f>AU14/1000000</f>
        <v>198</v>
      </c>
      <c r="BE14" s="537">
        <v>38</v>
      </c>
      <c r="BF14" s="1317">
        <f t="shared" si="11"/>
        <v>5.2105263157894735</v>
      </c>
      <c r="BG14" s="1560"/>
      <c r="BI14" s="43">
        <v>38</v>
      </c>
      <c r="BJ14" s="34">
        <f t="shared" si="12"/>
        <v>5.2105263157894735</v>
      </c>
      <c r="BK14" s="43">
        <f t="shared" si="13"/>
        <v>76</v>
      </c>
      <c r="BL14" s="34">
        <f t="shared" si="14"/>
        <v>2.6052631578947367</v>
      </c>
      <c r="BO14" s="11">
        <f t="shared" ref="BO14:BO24" si="15">AJ14/BP14</f>
        <v>91.630093815520027</v>
      </c>
      <c r="BP14" s="523">
        <f>AVERAGE(BP11:BP13)</f>
        <v>3.5034281101066242</v>
      </c>
    </row>
    <row r="15" spans="1:68" x14ac:dyDescent="0.25">
      <c r="AB15"/>
      <c r="AI15" s="67" t="s">
        <v>959</v>
      </c>
      <c r="AJ15" s="244">
        <v>369.17236336574996</v>
      </c>
      <c r="AK15" s="116">
        <f t="shared" si="6"/>
        <v>0.14999999999999991</v>
      </c>
      <c r="AL15" s="116"/>
      <c r="AM15" s="116"/>
      <c r="AO15" s="67">
        <v>2023</v>
      </c>
      <c r="AP15" s="209">
        <f>AP14*AQ15+AP14</f>
        <v>192000000</v>
      </c>
      <c r="AQ15" s="241">
        <v>0.2</v>
      </c>
      <c r="AR15" s="116"/>
      <c r="AT15" s="67">
        <v>2023</v>
      </c>
      <c r="AU15" s="209">
        <f t="shared" ref="AU15:AU24" si="16">AU14*AV15+AU14</f>
        <v>229680000</v>
      </c>
      <c r="AV15" s="241">
        <v>0.16</v>
      </c>
      <c r="AW15" s="116"/>
      <c r="AZ15" s="218">
        <v>2023</v>
      </c>
      <c r="BA15" s="547">
        <f t="shared" si="7"/>
        <v>192</v>
      </c>
      <c r="BB15" s="63">
        <f t="shared" ref="BB15:BB24" si="17">AP15/1000000/BC15</f>
        <v>30.967741935483868</v>
      </c>
      <c r="BC15" s="531">
        <v>6.2</v>
      </c>
      <c r="BD15" s="532">
        <f t="shared" si="10"/>
        <v>229.68</v>
      </c>
      <c r="BE15" s="63">
        <f t="shared" ref="BE15:BE24" si="18">AU15/1000000/BF15</f>
        <v>44.169230769230772</v>
      </c>
      <c r="BF15" s="1318">
        <v>5.2</v>
      </c>
      <c r="BG15" s="1968" t="s">
        <v>960</v>
      </c>
      <c r="BI15" s="95">
        <f>BD15/BJ15</f>
        <v>46.873469387755101</v>
      </c>
      <c r="BJ15">
        <v>4.9000000000000004</v>
      </c>
      <c r="BK15" s="95">
        <f>BD15/BL15</f>
        <v>88.338461538461544</v>
      </c>
      <c r="BL15">
        <v>2.6</v>
      </c>
      <c r="BO15" s="11">
        <f t="shared" si="15"/>
        <v>105.47781810449999</v>
      </c>
      <c r="BP15" s="453">
        <v>3.5</v>
      </c>
    </row>
    <row r="16" spans="1:68" x14ac:dyDescent="0.25">
      <c r="AA16" t="s">
        <v>961</v>
      </c>
      <c r="AB16"/>
      <c r="AI16" s="67" t="s">
        <v>962</v>
      </c>
      <c r="AJ16" s="244">
        <v>424.5482178706124</v>
      </c>
      <c r="AK16" s="116">
        <f t="shared" si="6"/>
        <v>0.14999999999999991</v>
      </c>
      <c r="AL16" s="116"/>
      <c r="AM16" s="116"/>
      <c r="AO16" s="67">
        <v>2024</v>
      </c>
      <c r="AP16" s="209">
        <f t="shared" ref="AP16:AP24" si="19">AP15*AQ16+AP15</f>
        <v>230400000</v>
      </c>
      <c r="AQ16" s="241">
        <v>0.2</v>
      </c>
      <c r="AR16" s="116"/>
      <c r="AT16" s="67">
        <v>2024</v>
      </c>
      <c r="AU16" s="209">
        <f t="shared" si="16"/>
        <v>280209600</v>
      </c>
      <c r="AV16" s="241">
        <v>0.22</v>
      </c>
      <c r="AW16" s="116"/>
      <c r="AZ16" s="218">
        <v>2024</v>
      </c>
      <c r="BA16" s="544">
        <f t="shared" si="7"/>
        <v>230.4</v>
      </c>
      <c r="BB16" s="340">
        <f t="shared" si="17"/>
        <v>37.161290322580648</v>
      </c>
      <c r="BC16" s="531">
        <v>6.2</v>
      </c>
      <c r="BD16" s="525">
        <f t="shared" si="10"/>
        <v>280.20960000000002</v>
      </c>
      <c r="BE16" s="340">
        <f t="shared" si="18"/>
        <v>53.886461538461539</v>
      </c>
      <c r="BF16" s="1318">
        <v>5.2</v>
      </c>
      <c r="BG16" s="1969"/>
      <c r="BI16" s="95">
        <f t="shared" ref="BI16:BI24" si="20">BD16/BJ16</f>
        <v>57.185632653061226</v>
      </c>
      <c r="BJ16">
        <v>4.9000000000000004</v>
      </c>
      <c r="BK16" s="95">
        <f t="shared" ref="BK16:BK24" si="21">BD16/BL16</f>
        <v>107.77292307692308</v>
      </c>
      <c r="BL16">
        <v>2.6</v>
      </c>
      <c r="BO16" s="11">
        <f t="shared" si="15"/>
        <v>121.29949082017497</v>
      </c>
      <c r="BP16" s="453">
        <v>3.5</v>
      </c>
    </row>
    <row r="17" spans="1:69" ht="15.75" thickBot="1" x14ac:dyDescent="0.3">
      <c r="AI17" s="67" t="s">
        <v>963</v>
      </c>
      <c r="AJ17" s="244">
        <v>488.23045055120423</v>
      </c>
      <c r="AK17" s="116">
        <f t="shared" si="6"/>
        <v>0.14999999999999991</v>
      </c>
      <c r="AL17" s="116"/>
      <c r="AM17" s="116"/>
      <c r="AO17" s="67">
        <v>2025</v>
      </c>
      <c r="AP17" s="209">
        <f t="shared" si="19"/>
        <v>276480000</v>
      </c>
      <c r="AQ17" s="241">
        <v>0.2</v>
      </c>
      <c r="AR17" s="116"/>
      <c r="AT17" s="67">
        <v>2025</v>
      </c>
      <c r="AU17" s="209">
        <f t="shared" si="16"/>
        <v>333449424</v>
      </c>
      <c r="AV17" s="241">
        <v>0.19</v>
      </c>
      <c r="AW17" s="116"/>
      <c r="AZ17" s="218">
        <v>2025</v>
      </c>
      <c r="BA17" s="545">
        <f t="shared" si="7"/>
        <v>276.48</v>
      </c>
      <c r="BB17" s="530">
        <f t="shared" si="17"/>
        <v>44.593548387096774</v>
      </c>
      <c r="BC17" s="531">
        <v>6.2</v>
      </c>
      <c r="BD17" s="529">
        <f t="shared" si="10"/>
        <v>333.44942400000002</v>
      </c>
      <c r="BE17" s="530">
        <f t="shared" si="18"/>
        <v>64.124889230769227</v>
      </c>
      <c r="BF17" s="1318">
        <v>5.2</v>
      </c>
      <c r="BG17" s="1969"/>
      <c r="BI17" s="95">
        <f t="shared" si="20"/>
        <v>68.050902857142859</v>
      </c>
      <c r="BJ17">
        <v>4.9000000000000004</v>
      </c>
      <c r="BK17" s="95">
        <f t="shared" si="21"/>
        <v>128.24977846153845</v>
      </c>
      <c r="BL17">
        <v>2.6</v>
      </c>
      <c r="BO17" s="11">
        <f t="shared" si="15"/>
        <v>139.49441444320121</v>
      </c>
      <c r="BP17" s="453">
        <v>3.5</v>
      </c>
    </row>
    <row r="18" spans="1:69" ht="15.75" thickBot="1" x14ac:dyDescent="0.3">
      <c r="AI18" s="67" t="s">
        <v>864</v>
      </c>
      <c r="AJ18" s="244">
        <v>561.46501813388477</v>
      </c>
      <c r="AK18" s="116">
        <f t="shared" si="6"/>
        <v>0.14999999999999991</v>
      </c>
      <c r="AL18" s="116"/>
      <c r="AM18" s="116"/>
      <c r="AO18" s="67">
        <v>2026</v>
      </c>
      <c r="AP18" s="209">
        <f t="shared" si="19"/>
        <v>331776000</v>
      </c>
      <c r="AQ18" s="241">
        <v>0.2</v>
      </c>
      <c r="AR18" s="116"/>
      <c r="AT18" s="67">
        <v>2026</v>
      </c>
      <c r="AU18" s="209">
        <f t="shared" si="16"/>
        <v>393470320.31999999</v>
      </c>
      <c r="AV18" s="116">
        <v>0.18</v>
      </c>
      <c r="AW18" s="116"/>
      <c r="AZ18" s="538">
        <v>2026</v>
      </c>
      <c r="BA18" s="546">
        <f t="shared" si="7"/>
        <v>331.77600000000001</v>
      </c>
      <c r="BB18" s="537">
        <f t="shared" si="17"/>
        <v>53.512258064516132</v>
      </c>
      <c r="BC18" s="531">
        <v>6.2</v>
      </c>
      <c r="BD18" s="534">
        <f t="shared" si="10"/>
        <v>393.47032031999998</v>
      </c>
      <c r="BE18" s="537">
        <f>AU18/1000000/BF18</f>
        <v>75.667369292307683</v>
      </c>
      <c r="BF18" s="1318">
        <v>5.2</v>
      </c>
      <c r="BG18" s="1969"/>
      <c r="BI18" s="95">
        <f t="shared" si="20"/>
        <v>80.300065371428559</v>
      </c>
      <c r="BJ18">
        <v>4.9000000000000004</v>
      </c>
      <c r="BK18" s="95">
        <f t="shared" si="21"/>
        <v>151.33473858461537</v>
      </c>
      <c r="BL18">
        <v>2.6</v>
      </c>
      <c r="BO18" s="454">
        <f t="shared" si="15"/>
        <v>160.41857660968137</v>
      </c>
      <c r="BP18" s="455">
        <v>3.5</v>
      </c>
    </row>
    <row r="19" spans="1:69" x14ac:dyDescent="0.25">
      <c r="E19" s="212" t="s">
        <v>964</v>
      </c>
      <c r="F19" s="95" t="s">
        <v>965</v>
      </c>
      <c r="I19" s="212" t="s">
        <v>964</v>
      </c>
      <c r="J19" s="95" t="s">
        <v>966</v>
      </c>
      <c r="M19" s="212" t="s">
        <v>964</v>
      </c>
      <c r="N19" s="95" t="s">
        <v>967</v>
      </c>
      <c r="Q19" s="212" t="s">
        <v>964</v>
      </c>
      <c r="R19" s="95" t="s">
        <v>968</v>
      </c>
      <c r="W19" s="212" t="s">
        <v>964</v>
      </c>
      <c r="X19" s="95" t="s">
        <v>969</v>
      </c>
      <c r="AA19" s="212" t="s">
        <v>964</v>
      </c>
      <c r="AB19" s="95" t="s">
        <v>970</v>
      </c>
      <c r="AE19" s="212" t="s">
        <v>964</v>
      </c>
      <c r="AF19" s="95" t="s">
        <v>971</v>
      </c>
      <c r="AI19" s="67" t="s">
        <v>972</v>
      </c>
      <c r="AJ19" s="244">
        <v>645.68477085396739</v>
      </c>
      <c r="AK19" s="116">
        <f t="shared" si="6"/>
        <v>0.14999999999999991</v>
      </c>
      <c r="AL19" s="116"/>
      <c r="AM19" s="116"/>
      <c r="AO19" s="67">
        <v>2027</v>
      </c>
      <c r="AP19" s="209">
        <f t="shared" si="19"/>
        <v>398131200</v>
      </c>
      <c r="AQ19" s="241">
        <v>0.2</v>
      </c>
      <c r="AR19" s="116"/>
      <c r="AT19" s="67">
        <v>2027</v>
      </c>
      <c r="AU19" s="209">
        <f t="shared" si="16"/>
        <v>432817352.352</v>
      </c>
      <c r="AV19" s="241">
        <v>0.1</v>
      </c>
      <c r="AW19" s="116"/>
      <c r="AZ19" s="218">
        <v>2027</v>
      </c>
      <c r="BA19" s="548">
        <f t="shared" si="7"/>
        <v>398.13119999999998</v>
      </c>
      <c r="BB19" s="63">
        <f t="shared" si="17"/>
        <v>64.21470967741935</v>
      </c>
      <c r="BC19" s="531">
        <v>6.2</v>
      </c>
      <c r="BD19" s="539">
        <f t="shared" si="10"/>
        <v>432.817352352</v>
      </c>
      <c r="BE19" s="63">
        <f t="shared" si="18"/>
        <v>83.234106221538454</v>
      </c>
      <c r="BF19" s="1318">
        <v>5.2</v>
      </c>
      <c r="BG19" s="1969"/>
      <c r="BI19" s="95">
        <f t="shared" si="20"/>
        <v>88.330071908571426</v>
      </c>
      <c r="BJ19">
        <v>4.9000000000000004</v>
      </c>
      <c r="BK19" s="95">
        <f t="shared" si="21"/>
        <v>166.46821244307691</v>
      </c>
      <c r="BL19">
        <v>2.6</v>
      </c>
      <c r="BO19" s="11">
        <f t="shared" si="15"/>
        <v>184.48136310113355</v>
      </c>
      <c r="BP19" s="453">
        <v>3.5</v>
      </c>
    </row>
    <row r="20" spans="1:69" x14ac:dyDescent="0.25">
      <c r="A20" s="212" t="s">
        <v>964</v>
      </c>
      <c r="B20" t="s">
        <v>973</v>
      </c>
      <c r="C20" t="s">
        <v>842</v>
      </c>
      <c r="E20" s="238">
        <v>40848</v>
      </c>
      <c r="F20" s="95">
        <v>28128</v>
      </c>
      <c r="I20" s="238">
        <v>40848</v>
      </c>
      <c r="J20" s="95">
        <v>11273</v>
      </c>
      <c r="M20" s="238">
        <v>40848</v>
      </c>
      <c r="N20" s="95">
        <v>16855</v>
      </c>
      <c r="Q20" s="238">
        <v>40848</v>
      </c>
      <c r="R20" s="95">
        <v>33535</v>
      </c>
      <c r="W20" s="238">
        <v>43191</v>
      </c>
      <c r="X20" s="95">
        <v>8269.494999999999</v>
      </c>
      <c r="Y20" s="1978">
        <f>SUM(X20:X31)</f>
        <v>101085.76999999999</v>
      </c>
      <c r="AA20" s="238">
        <v>40848</v>
      </c>
      <c r="AB20" s="95"/>
      <c r="AE20" s="238">
        <v>40848</v>
      </c>
      <c r="AF20" s="95"/>
      <c r="AI20" s="67" t="s">
        <v>974</v>
      </c>
      <c r="AJ20" s="244">
        <v>742.53748648206249</v>
      </c>
      <c r="AK20" s="116">
        <f t="shared" si="6"/>
        <v>0.14999999999999991</v>
      </c>
      <c r="AL20" s="116"/>
      <c r="AM20" s="116"/>
      <c r="AO20" s="67">
        <v>2028</v>
      </c>
      <c r="AP20" s="209">
        <f t="shared" si="19"/>
        <v>477757440</v>
      </c>
      <c r="AQ20" s="241">
        <v>0.2</v>
      </c>
      <c r="AR20" s="116"/>
      <c r="AT20" s="67">
        <v>2028</v>
      </c>
      <c r="AU20" s="209">
        <f t="shared" si="16"/>
        <v>467442740.54016</v>
      </c>
      <c r="AV20" s="241">
        <v>0.08</v>
      </c>
      <c r="AW20" s="116"/>
      <c r="AZ20" s="218">
        <v>2028</v>
      </c>
      <c r="BA20" s="545">
        <f t="shared" si="7"/>
        <v>477.75743999999997</v>
      </c>
      <c r="BB20" s="340">
        <f t="shared" si="17"/>
        <v>77.057651612903214</v>
      </c>
      <c r="BC20" s="531">
        <v>6.2</v>
      </c>
      <c r="BD20" s="529">
        <f t="shared" si="10"/>
        <v>467.44274054016</v>
      </c>
      <c r="BE20" s="340">
        <f t="shared" si="18"/>
        <v>89.892834719261529</v>
      </c>
      <c r="BF20" s="1318">
        <v>5.2</v>
      </c>
      <c r="BG20" s="1969"/>
      <c r="BI20" s="95">
        <f t="shared" si="20"/>
        <v>95.396477661257137</v>
      </c>
      <c r="BJ20">
        <v>4.9000000000000004</v>
      </c>
      <c r="BK20" s="95">
        <f t="shared" si="21"/>
        <v>179.78566943852306</v>
      </c>
      <c r="BL20">
        <v>2.6</v>
      </c>
      <c r="BO20" s="11">
        <f t="shared" si="15"/>
        <v>212.15356756630356</v>
      </c>
      <c r="BP20" s="453">
        <v>3.5</v>
      </c>
    </row>
    <row r="21" spans="1:69" x14ac:dyDescent="0.25">
      <c r="A21" s="238">
        <v>43191</v>
      </c>
      <c r="B21" s="118">
        <v>4277600.4800000004</v>
      </c>
      <c r="C21" s="1976">
        <f>SUM(B21:B32)</f>
        <v>60666682.159999996</v>
      </c>
      <c r="E21" s="238">
        <v>40878</v>
      </c>
      <c r="F21" s="95">
        <v>23350</v>
      </c>
      <c r="I21" s="238">
        <v>40878</v>
      </c>
      <c r="J21" s="95">
        <v>6609</v>
      </c>
      <c r="M21" s="238">
        <v>40878</v>
      </c>
      <c r="N21" s="95">
        <v>16741</v>
      </c>
      <c r="Q21" s="238">
        <v>40878</v>
      </c>
      <c r="R21" s="95">
        <v>24467</v>
      </c>
      <c r="W21" s="238">
        <v>43221</v>
      </c>
      <c r="X21" s="95">
        <v>8575.8559999999998</v>
      </c>
      <c r="Y21" s="1977"/>
      <c r="AA21" s="238">
        <v>40878</v>
      </c>
      <c r="AB21" s="95"/>
      <c r="AE21" s="238">
        <v>40878</v>
      </c>
      <c r="AF21" s="95"/>
      <c r="AI21" s="67" t="s">
        <v>975</v>
      </c>
      <c r="AJ21" s="244">
        <v>853.9181094543718</v>
      </c>
      <c r="AK21" s="116">
        <f t="shared" si="6"/>
        <v>0.14999999999999991</v>
      </c>
      <c r="AL21" s="116"/>
      <c r="AM21" s="116"/>
      <c r="AO21" s="67">
        <v>2029</v>
      </c>
      <c r="AP21" s="209">
        <f t="shared" si="19"/>
        <v>549421056</v>
      </c>
      <c r="AQ21" s="241">
        <v>0.15</v>
      </c>
      <c r="AR21" s="116"/>
      <c r="AT21" s="67">
        <v>2029</v>
      </c>
      <c r="AU21" s="209">
        <f t="shared" si="16"/>
        <v>504838159.78337282</v>
      </c>
      <c r="AV21" s="241">
        <v>0.08</v>
      </c>
      <c r="AW21" s="116"/>
      <c r="AZ21" s="218">
        <v>2029</v>
      </c>
      <c r="BA21" s="545">
        <f t="shared" si="7"/>
        <v>549.42105600000002</v>
      </c>
      <c r="BB21" s="340">
        <f t="shared" si="17"/>
        <v>88.616299354838716</v>
      </c>
      <c r="BC21" s="531">
        <v>6.2</v>
      </c>
      <c r="BD21" s="529">
        <f t="shared" si="10"/>
        <v>504.83815978337282</v>
      </c>
      <c r="BE21" s="340">
        <f t="shared" si="18"/>
        <v>97.084261496802455</v>
      </c>
      <c r="BF21" s="1318">
        <v>5.2</v>
      </c>
      <c r="BG21" s="1969"/>
      <c r="BI21" s="95">
        <f t="shared" si="20"/>
        <v>103.02819587415772</v>
      </c>
      <c r="BJ21">
        <v>4.9000000000000004</v>
      </c>
      <c r="BK21" s="95">
        <f t="shared" si="21"/>
        <v>194.16852299360491</v>
      </c>
      <c r="BL21">
        <v>2.6</v>
      </c>
      <c r="BO21" s="11">
        <f t="shared" si="15"/>
        <v>243.97660270124908</v>
      </c>
      <c r="BP21" s="453">
        <v>3.5</v>
      </c>
    </row>
    <row r="22" spans="1:69" ht="15.75" thickBot="1" x14ac:dyDescent="0.3">
      <c r="A22" s="238">
        <v>43221</v>
      </c>
      <c r="B22" s="118">
        <v>4635382.55</v>
      </c>
      <c r="C22" s="1977"/>
      <c r="E22" s="238">
        <v>40909</v>
      </c>
      <c r="F22" s="95">
        <v>21991</v>
      </c>
      <c r="I22" s="238">
        <v>40909</v>
      </c>
      <c r="J22" s="95">
        <v>4929</v>
      </c>
      <c r="M22" s="238">
        <v>40909</v>
      </c>
      <c r="N22" s="95">
        <v>17062</v>
      </c>
      <c r="Q22" s="238">
        <v>40909</v>
      </c>
      <c r="R22" s="95">
        <v>31484</v>
      </c>
      <c r="W22" s="238">
        <v>43252</v>
      </c>
      <c r="X22" s="95">
        <v>8159.5599999999986</v>
      </c>
      <c r="Y22" s="1977"/>
      <c r="AA22" s="238">
        <v>40909</v>
      </c>
      <c r="AB22" s="95"/>
      <c r="AE22" s="238">
        <v>40909</v>
      </c>
      <c r="AF22" s="95"/>
      <c r="AI22" s="67" t="s">
        <v>865</v>
      </c>
      <c r="AJ22" s="244">
        <v>982.00582587252745</v>
      </c>
      <c r="AK22" s="116">
        <f t="shared" si="6"/>
        <v>0.14999999999999991</v>
      </c>
      <c r="AL22" s="116"/>
      <c r="AM22" s="116"/>
      <c r="AO22" s="67">
        <v>2030</v>
      </c>
      <c r="AP22" s="209">
        <f t="shared" si="19"/>
        <v>615351582.72000003</v>
      </c>
      <c r="AQ22" s="241">
        <v>0.12</v>
      </c>
      <c r="AR22" s="116"/>
      <c r="AT22" s="67">
        <v>2030</v>
      </c>
      <c r="AU22" s="209">
        <f t="shared" si="16"/>
        <v>545225212.56604266</v>
      </c>
      <c r="AV22" s="116">
        <v>0.08</v>
      </c>
      <c r="AW22" s="116"/>
      <c r="AZ22" s="218">
        <v>2030</v>
      </c>
      <c r="BA22" s="545">
        <f t="shared" si="7"/>
        <v>615.35158272000001</v>
      </c>
      <c r="BB22" s="530">
        <f t="shared" si="17"/>
        <v>99.250255277419356</v>
      </c>
      <c r="BC22" s="531">
        <v>6.2</v>
      </c>
      <c r="BD22" s="529">
        <f t="shared" si="10"/>
        <v>545.22521256604261</v>
      </c>
      <c r="BE22" s="530">
        <f t="shared" si="18"/>
        <v>104.85100241654665</v>
      </c>
      <c r="BF22" s="1318">
        <v>5.2</v>
      </c>
      <c r="BG22" s="1969"/>
      <c r="BI22" s="95">
        <f t="shared" si="20"/>
        <v>111.27045154409032</v>
      </c>
      <c r="BJ22">
        <v>4.9000000000000004</v>
      </c>
      <c r="BK22" s="95">
        <f t="shared" si="21"/>
        <v>209.7020048330933</v>
      </c>
      <c r="BL22">
        <v>2.6</v>
      </c>
      <c r="BO22" s="11">
        <f t="shared" si="15"/>
        <v>280.57309310643643</v>
      </c>
      <c r="BP22" s="453">
        <v>3.5</v>
      </c>
    </row>
    <row r="23" spans="1:69" ht="15.75" thickBot="1" x14ac:dyDescent="0.3">
      <c r="A23" s="238">
        <v>43252</v>
      </c>
      <c r="B23" s="118">
        <v>4695293.38</v>
      </c>
      <c r="C23" s="1977"/>
      <c r="E23" s="238">
        <v>40940</v>
      </c>
      <c r="F23" s="95">
        <v>33777</v>
      </c>
      <c r="I23" s="238">
        <v>40940</v>
      </c>
      <c r="J23" s="95">
        <v>5199</v>
      </c>
      <c r="M23" s="238">
        <v>40940</v>
      </c>
      <c r="N23" s="95">
        <v>28578</v>
      </c>
      <c r="Q23" s="238">
        <v>40940</v>
      </c>
      <c r="R23" s="95">
        <v>32651</v>
      </c>
      <c r="W23" s="238">
        <v>43282</v>
      </c>
      <c r="X23" s="95">
        <v>8355.7690000000002</v>
      </c>
      <c r="Y23" s="1977"/>
      <c r="AA23" s="238">
        <v>40940</v>
      </c>
      <c r="AB23" s="95"/>
      <c r="AE23" s="238">
        <v>40940</v>
      </c>
      <c r="AF23" s="95"/>
      <c r="AI23" s="67" t="s">
        <v>976</v>
      </c>
      <c r="AJ23" s="244">
        <v>1129.3066997534065</v>
      </c>
      <c r="AK23" s="116">
        <f t="shared" si="6"/>
        <v>0.14999999999999991</v>
      </c>
      <c r="AL23" s="116"/>
      <c r="AM23" s="116"/>
      <c r="AO23" s="67">
        <v>2031</v>
      </c>
      <c r="AP23" s="209">
        <f t="shared" si="19"/>
        <v>676886740.99199998</v>
      </c>
      <c r="AQ23" s="241">
        <v>0.1</v>
      </c>
      <c r="AR23" s="116"/>
      <c r="AT23" s="67">
        <v>2031</v>
      </c>
      <c r="AU23" s="209">
        <f t="shared" si="16"/>
        <v>588843229.57132602</v>
      </c>
      <c r="AV23" s="241">
        <v>0.08</v>
      </c>
      <c r="AW23" s="116"/>
      <c r="AZ23" s="538">
        <v>2031</v>
      </c>
      <c r="BA23" s="546">
        <f t="shared" si="7"/>
        <v>676.886740992</v>
      </c>
      <c r="BB23" s="537">
        <f t="shared" si="17"/>
        <v>109.17528080516129</v>
      </c>
      <c r="BC23" s="531">
        <v>6.2</v>
      </c>
      <c r="BD23" s="534">
        <f t="shared" si="10"/>
        <v>588.84322957132599</v>
      </c>
      <c r="BE23" s="537">
        <f t="shared" si="18"/>
        <v>113.23908260987038</v>
      </c>
      <c r="BF23" s="1318">
        <v>5.2</v>
      </c>
      <c r="BG23" s="1969"/>
      <c r="BI23" s="95">
        <f t="shared" si="20"/>
        <v>120.17208766761755</v>
      </c>
      <c r="BJ23">
        <v>4.9000000000000004</v>
      </c>
      <c r="BK23" s="95">
        <f t="shared" si="21"/>
        <v>226.47816521974076</v>
      </c>
      <c r="BL23">
        <v>2.6</v>
      </c>
      <c r="BO23" s="454">
        <f t="shared" si="15"/>
        <v>322.65905707240188</v>
      </c>
      <c r="BP23" s="455">
        <v>3.5</v>
      </c>
    </row>
    <row r="24" spans="1:69" ht="15.75" thickBot="1" x14ac:dyDescent="0.3">
      <c r="A24" s="238">
        <v>43282</v>
      </c>
      <c r="B24" s="118">
        <v>5173418.8499999996</v>
      </c>
      <c r="C24" s="1977"/>
      <c r="E24" s="238">
        <v>40969</v>
      </c>
      <c r="F24" s="95">
        <v>41233</v>
      </c>
      <c r="I24" s="238">
        <v>40969</v>
      </c>
      <c r="J24" s="95">
        <v>7178</v>
      </c>
      <c r="M24" s="238">
        <v>40969</v>
      </c>
      <c r="N24" s="95">
        <v>34055</v>
      </c>
      <c r="Q24" s="238">
        <v>40969</v>
      </c>
      <c r="R24" s="95">
        <v>36444</v>
      </c>
      <c r="W24" s="238">
        <v>43313</v>
      </c>
      <c r="X24" s="95">
        <v>9609.4089999999997</v>
      </c>
      <c r="Y24" s="1977"/>
      <c r="AA24" s="238">
        <v>40969</v>
      </c>
      <c r="AB24" s="95"/>
      <c r="AE24" s="238">
        <v>40969</v>
      </c>
      <c r="AF24" s="95"/>
      <c r="AI24" s="235" t="s">
        <v>977</v>
      </c>
      <c r="AJ24" s="247">
        <v>1298.7027047164174</v>
      </c>
      <c r="AK24" s="248">
        <f t="shared" si="6"/>
        <v>0.14999999999999991</v>
      </c>
      <c r="AL24" s="116"/>
      <c r="AM24" s="116"/>
      <c r="AO24" s="235">
        <v>2032</v>
      </c>
      <c r="AP24" s="242">
        <f t="shared" si="19"/>
        <v>744575415.09119999</v>
      </c>
      <c r="AQ24" s="243">
        <v>0.1</v>
      </c>
      <c r="AR24" s="116"/>
      <c r="AT24" s="67">
        <v>2032</v>
      </c>
      <c r="AU24" s="242">
        <f t="shared" si="16"/>
        <v>635950687.9370321</v>
      </c>
      <c r="AV24" s="243">
        <v>0.08</v>
      </c>
      <c r="AW24" s="116"/>
      <c r="AZ24" s="271">
        <v>2032</v>
      </c>
      <c r="BA24" s="549">
        <f t="shared" si="7"/>
        <v>744.57541509119994</v>
      </c>
      <c r="BB24" s="550">
        <f t="shared" si="17"/>
        <v>120.09280888567741</v>
      </c>
      <c r="BC24" s="531">
        <v>6.2</v>
      </c>
      <c r="BD24" s="551">
        <f t="shared" si="10"/>
        <v>635.95068793703206</v>
      </c>
      <c r="BE24" s="550">
        <f t="shared" si="18"/>
        <v>122.29820921866001</v>
      </c>
      <c r="BF24" s="1318">
        <v>5.2</v>
      </c>
      <c r="BG24" s="1970"/>
      <c r="BI24" s="95">
        <f t="shared" si="20"/>
        <v>129.78585468102693</v>
      </c>
      <c r="BJ24">
        <v>4.9000000000000004</v>
      </c>
      <c r="BK24" s="95">
        <f t="shared" si="21"/>
        <v>244.59641843732001</v>
      </c>
      <c r="BL24">
        <v>2.6</v>
      </c>
      <c r="BO24" s="11">
        <f t="shared" si="15"/>
        <v>371.0579156332621</v>
      </c>
      <c r="BP24" s="453">
        <v>3.5</v>
      </c>
    </row>
    <row r="25" spans="1:69" x14ac:dyDescent="0.25">
      <c r="A25" s="238">
        <v>43313</v>
      </c>
      <c r="B25" s="118">
        <v>6032358.25</v>
      </c>
      <c r="C25" s="1977"/>
      <c r="E25" s="238">
        <v>41000</v>
      </c>
      <c r="F25" s="95">
        <v>36339</v>
      </c>
      <c r="G25" s="1978">
        <f>SUM(F25:F36)</f>
        <v>332947</v>
      </c>
      <c r="I25" s="238">
        <v>41000</v>
      </c>
      <c r="J25" s="95">
        <v>6802</v>
      </c>
      <c r="K25" s="1978">
        <f>SUM(J25:J36)</f>
        <v>78538</v>
      </c>
      <c r="M25" s="238">
        <v>41000</v>
      </c>
      <c r="N25" s="95">
        <v>29537</v>
      </c>
      <c r="O25" s="1978">
        <f>SUM(N25:N36)</f>
        <v>254409</v>
      </c>
      <c r="Q25" s="238">
        <v>41000</v>
      </c>
      <c r="R25" s="95">
        <v>36853</v>
      </c>
      <c r="S25" s="1978">
        <f>SUM(R25:R36)</f>
        <v>366767</v>
      </c>
      <c r="T25" s="584"/>
      <c r="U25" s="584"/>
      <c r="W25" s="238">
        <v>43344</v>
      </c>
      <c r="X25" s="95">
        <v>8618.5689999999995</v>
      </c>
      <c r="Y25" s="1977"/>
      <c r="AA25" s="238">
        <v>41000</v>
      </c>
      <c r="AB25" s="95"/>
      <c r="AC25" s="1978">
        <f>SUM(AB25:AB36)</f>
        <v>0</v>
      </c>
      <c r="AE25" s="238">
        <v>41000</v>
      </c>
      <c r="AF25" s="95"/>
      <c r="AG25" s="1978">
        <f>SUM(AF25:AF36)</f>
        <v>0</v>
      </c>
    </row>
    <row r="26" spans="1:69" x14ac:dyDescent="0.25">
      <c r="A26" s="238">
        <v>43344</v>
      </c>
      <c r="B26" s="118">
        <v>5549339.4800000004</v>
      </c>
      <c r="C26" s="1977"/>
      <c r="E26" s="238">
        <v>41030</v>
      </c>
      <c r="F26" s="95">
        <v>34359</v>
      </c>
      <c r="G26" s="1977"/>
      <c r="I26" s="238">
        <v>41030</v>
      </c>
      <c r="J26" s="95">
        <v>6297</v>
      </c>
      <c r="K26" s="1977"/>
      <c r="M26" s="238">
        <v>41030</v>
      </c>
      <c r="N26" s="95">
        <v>28062</v>
      </c>
      <c r="O26" s="1977"/>
      <c r="Q26" s="238">
        <v>41030</v>
      </c>
      <c r="R26" s="95">
        <v>33983</v>
      </c>
      <c r="S26" s="1977"/>
      <c r="T26" s="6"/>
      <c r="U26" s="6"/>
      <c r="W26" s="238">
        <v>43374</v>
      </c>
      <c r="X26" s="95">
        <v>9460.8809999999994</v>
      </c>
      <c r="Y26" s="1977"/>
      <c r="AA26" s="238">
        <v>41030</v>
      </c>
      <c r="AB26" s="95"/>
      <c r="AC26" s="1977"/>
      <c r="AE26" s="238">
        <v>41030</v>
      </c>
      <c r="AF26" s="95"/>
      <c r="AG26" s="1977"/>
    </row>
    <row r="27" spans="1:69" x14ac:dyDescent="0.25">
      <c r="A27" s="238">
        <v>43374</v>
      </c>
      <c r="B27" s="118">
        <v>5670790.04</v>
      </c>
      <c r="C27" s="1977"/>
      <c r="E27" s="238">
        <v>41061</v>
      </c>
      <c r="F27" s="95">
        <v>34609</v>
      </c>
      <c r="G27" s="1977"/>
      <c r="I27" s="238">
        <v>41061</v>
      </c>
      <c r="J27" s="95">
        <v>7326</v>
      </c>
      <c r="K27" s="1977"/>
      <c r="M27" s="238">
        <v>41061</v>
      </c>
      <c r="N27" s="95">
        <v>27283</v>
      </c>
      <c r="O27" s="1977"/>
      <c r="Q27" s="238">
        <v>41061</v>
      </c>
      <c r="R27" s="95">
        <v>29250</v>
      </c>
      <c r="S27" s="1977"/>
      <c r="T27" s="6"/>
      <c r="U27" s="6"/>
      <c r="W27" s="238">
        <v>43405</v>
      </c>
      <c r="X27" s="95">
        <v>9748.7119999999995</v>
      </c>
      <c r="Y27" s="1977"/>
      <c r="AA27" s="238">
        <v>41061</v>
      </c>
      <c r="AB27" s="95"/>
      <c r="AC27" s="1977"/>
      <c r="AE27" s="238">
        <v>41061</v>
      </c>
      <c r="AF27" s="95"/>
      <c r="AG27" s="1977"/>
    </row>
    <row r="28" spans="1:69" x14ac:dyDescent="0.25">
      <c r="A28" s="238">
        <v>43405</v>
      </c>
      <c r="B28" s="118">
        <v>6463959.3300000001</v>
      </c>
      <c r="C28" s="1977"/>
      <c r="E28" s="238">
        <v>41091</v>
      </c>
      <c r="F28" s="95">
        <v>31616</v>
      </c>
      <c r="G28" s="1977"/>
      <c r="I28" s="238">
        <v>41091</v>
      </c>
      <c r="J28" s="95">
        <v>9335</v>
      </c>
      <c r="K28" s="1977"/>
      <c r="M28" s="238">
        <v>41091</v>
      </c>
      <c r="N28" s="95">
        <v>22281</v>
      </c>
      <c r="O28" s="1977"/>
      <c r="Q28" s="238">
        <v>41091</v>
      </c>
      <c r="R28" s="95">
        <v>36694</v>
      </c>
      <c r="S28" s="1977"/>
      <c r="T28" s="6"/>
      <c r="U28" s="6"/>
      <c r="W28" s="238">
        <v>43435</v>
      </c>
      <c r="X28" s="95">
        <v>6091.4870000000001</v>
      </c>
      <c r="Y28" s="1977"/>
      <c r="AA28" s="238">
        <v>41091</v>
      </c>
      <c r="AB28" s="95"/>
      <c r="AC28" s="1977"/>
      <c r="AE28" s="238">
        <v>41091</v>
      </c>
      <c r="AF28" s="95"/>
      <c r="AG28" s="1977"/>
    </row>
    <row r="29" spans="1:69" x14ac:dyDescent="0.25">
      <c r="A29" s="238">
        <v>43435</v>
      </c>
      <c r="B29" s="118">
        <v>3456165.31</v>
      </c>
      <c r="C29" s="1977"/>
      <c r="E29" s="238">
        <v>41122</v>
      </c>
      <c r="F29" s="95">
        <v>25948</v>
      </c>
      <c r="G29" s="1977"/>
      <c r="I29" s="238">
        <v>41122</v>
      </c>
      <c r="J29" s="95">
        <v>7473</v>
      </c>
      <c r="K29" s="1977"/>
      <c r="M29" s="238">
        <v>41122</v>
      </c>
      <c r="N29" s="95">
        <v>18475</v>
      </c>
      <c r="O29" s="1977"/>
      <c r="Q29" s="238">
        <v>41122</v>
      </c>
      <c r="R29" s="95">
        <v>28996</v>
      </c>
      <c r="S29" s="1977"/>
      <c r="T29" s="6"/>
      <c r="U29" s="6"/>
      <c r="W29" s="238">
        <v>43466</v>
      </c>
      <c r="X29" s="95">
        <v>7515.1549999999997</v>
      </c>
      <c r="Y29" s="1977"/>
      <c r="AA29" s="238">
        <v>41122</v>
      </c>
      <c r="AB29" s="95"/>
      <c r="AC29" s="1977"/>
      <c r="AE29" s="238">
        <v>41122</v>
      </c>
      <c r="AF29" s="95"/>
      <c r="AG29" s="1977"/>
    </row>
    <row r="30" spans="1:69" ht="15.75" thickBot="1" x14ac:dyDescent="0.3">
      <c r="A30" s="238">
        <v>43466</v>
      </c>
      <c r="B30" s="118">
        <v>4410960.1100000003</v>
      </c>
      <c r="C30" s="1977"/>
      <c r="E30" s="238">
        <v>41153</v>
      </c>
      <c r="F30" s="95">
        <v>25083</v>
      </c>
      <c r="G30" s="1977"/>
      <c r="I30" s="238">
        <v>41153</v>
      </c>
      <c r="J30" s="95">
        <v>8059</v>
      </c>
      <c r="K30" s="1977"/>
      <c r="M30" s="238">
        <v>41153</v>
      </c>
      <c r="N30" s="95">
        <v>17024</v>
      </c>
      <c r="O30" s="1977"/>
      <c r="Q30" s="238">
        <v>41153</v>
      </c>
      <c r="R30" s="95">
        <v>32303</v>
      </c>
      <c r="S30" s="1977"/>
      <c r="T30" s="6"/>
      <c r="U30" s="6"/>
      <c r="W30" s="238">
        <v>43497</v>
      </c>
      <c r="X30" s="95">
        <v>8136.732</v>
      </c>
      <c r="Y30" s="1977"/>
      <c r="AA30" s="238">
        <v>41153</v>
      </c>
      <c r="AB30" s="95"/>
      <c r="AC30" s="1977"/>
      <c r="AE30" s="238">
        <v>41153</v>
      </c>
      <c r="AF30" s="95"/>
      <c r="AG30" s="1977"/>
    </row>
    <row r="31" spans="1:69" ht="15.75" thickBot="1" x14ac:dyDescent="0.3">
      <c r="A31" s="238">
        <v>43497</v>
      </c>
      <c r="B31" s="118">
        <v>4759440.4000000004</v>
      </c>
      <c r="C31" s="1977"/>
      <c r="E31" s="238">
        <v>41183</v>
      </c>
      <c r="F31" s="95">
        <v>26991</v>
      </c>
      <c r="G31" s="1977"/>
      <c r="I31" s="238">
        <v>41183</v>
      </c>
      <c r="J31" s="95">
        <v>7137</v>
      </c>
      <c r="K31" s="1977"/>
      <c r="M31" s="238">
        <v>41183</v>
      </c>
      <c r="N31" s="95">
        <v>19854</v>
      </c>
      <c r="O31" s="1977"/>
      <c r="Q31" s="238">
        <v>41183</v>
      </c>
      <c r="R31" s="95">
        <v>30241</v>
      </c>
      <c r="S31" s="1977"/>
      <c r="T31" s="6"/>
      <c r="U31" s="6"/>
      <c r="W31" s="238">
        <v>43525</v>
      </c>
      <c r="X31" s="95">
        <v>8544.1450000000004</v>
      </c>
      <c r="Y31" s="1977"/>
      <c r="AA31" s="238">
        <v>41183</v>
      </c>
      <c r="AB31" s="95"/>
      <c r="AC31" s="1977"/>
      <c r="AE31" s="238">
        <v>41183</v>
      </c>
      <c r="AF31" s="95"/>
      <c r="AG31" s="1977"/>
      <c r="BA31" s="499"/>
      <c r="BB31" s="1838" t="s">
        <v>358</v>
      </c>
      <c r="BC31" s="1839"/>
      <c r="BD31" s="1840" t="s">
        <v>354</v>
      </c>
      <c r="BE31" s="1840"/>
      <c r="BF31" s="1614" t="s">
        <v>978</v>
      </c>
      <c r="BG31" s="1615"/>
      <c r="BH31" s="1615"/>
      <c r="BI31" s="1616"/>
      <c r="BJ31" s="1556" t="s">
        <v>979</v>
      </c>
      <c r="BK31" s="1557"/>
    </row>
    <row r="32" spans="1:69" ht="15.75" thickBot="1" x14ac:dyDescent="0.3">
      <c r="A32" s="238">
        <v>43525</v>
      </c>
      <c r="B32" s="118">
        <v>5541973.9800000004</v>
      </c>
      <c r="C32" s="1977"/>
      <c r="E32" s="238">
        <v>41214</v>
      </c>
      <c r="F32" s="95">
        <v>23531</v>
      </c>
      <c r="G32" s="1977"/>
      <c r="I32" s="238">
        <v>41214</v>
      </c>
      <c r="J32" s="95">
        <v>6454</v>
      </c>
      <c r="K32" s="1977"/>
      <c r="M32" s="238">
        <v>41214</v>
      </c>
      <c r="N32" s="95">
        <v>17077</v>
      </c>
      <c r="O32" s="1977"/>
      <c r="Q32" s="238">
        <v>41214</v>
      </c>
      <c r="R32" s="95">
        <v>32527</v>
      </c>
      <c r="S32" s="1977"/>
      <c r="T32" s="6"/>
      <c r="U32" s="6"/>
      <c r="W32" s="238">
        <v>43556</v>
      </c>
      <c r="X32" s="95">
        <v>6315.357</v>
      </c>
      <c r="Y32" s="1978">
        <f>SUM(X32:X43)</f>
        <v>89332.229000000021</v>
      </c>
      <c r="AA32" s="238">
        <v>41214</v>
      </c>
      <c r="AB32" s="95"/>
      <c r="AC32" s="1977"/>
      <c r="AE32" s="238">
        <v>41214</v>
      </c>
      <c r="AF32" s="95"/>
      <c r="AG32" s="1977"/>
      <c r="BA32" s="500" t="s">
        <v>842</v>
      </c>
      <c r="BB32" s="503" t="s">
        <v>889</v>
      </c>
      <c r="BC32" s="502" t="s">
        <v>908</v>
      </c>
      <c r="BD32" s="504" t="s">
        <v>889</v>
      </c>
      <c r="BE32" s="552" t="s">
        <v>909</v>
      </c>
      <c r="BF32" s="1316" t="s">
        <v>889</v>
      </c>
      <c r="BG32" s="1557" t="s">
        <v>909</v>
      </c>
      <c r="BH32" s="1557"/>
      <c r="BI32" s="1569"/>
      <c r="BJ32" s="1315" t="s">
        <v>889</v>
      </c>
      <c r="BP32" s="1983" t="s">
        <v>980</v>
      </c>
      <c r="BQ32" s="1984"/>
    </row>
    <row r="33" spans="1:69" x14ac:dyDescent="0.25">
      <c r="A33" s="238">
        <v>43556</v>
      </c>
      <c r="B33" s="118">
        <v>3712412.31</v>
      </c>
      <c r="C33" s="1976">
        <f>SUM(B33:B44)</f>
        <v>58653276.969999999</v>
      </c>
      <c r="D33" s="239"/>
      <c r="E33" s="238">
        <v>41244</v>
      </c>
      <c r="F33" s="95">
        <v>18951</v>
      </c>
      <c r="G33" s="1977"/>
      <c r="I33" s="238">
        <v>41244</v>
      </c>
      <c r="J33" s="95">
        <v>5070</v>
      </c>
      <c r="K33" s="1977"/>
      <c r="M33" s="238">
        <v>41244</v>
      </c>
      <c r="N33" s="95">
        <v>13881</v>
      </c>
      <c r="O33" s="1977"/>
      <c r="Q33" s="238">
        <v>41244</v>
      </c>
      <c r="R33" s="95">
        <v>22586</v>
      </c>
      <c r="S33" s="1977"/>
      <c r="T33" s="6"/>
      <c r="U33" s="6"/>
      <c r="W33" s="238">
        <v>43586</v>
      </c>
      <c r="X33" s="95">
        <v>9087.7580000000016</v>
      </c>
      <c r="Y33" s="1977"/>
      <c r="AA33" s="238">
        <v>41244</v>
      </c>
      <c r="AB33" s="95"/>
      <c r="AC33" s="1977"/>
      <c r="AE33" s="238">
        <v>41244</v>
      </c>
      <c r="AF33" s="95"/>
      <c r="AG33" s="1977"/>
      <c r="BA33" s="461">
        <v>2016</v>
      </c>
      <c r="BB33" s="521">
        <v>8</v>
      </c>
      <c r="BC33" s="1887"/>
      <c r="BD33" s="522">
        <v>20</v>
      </c>
      <c r="BE33" s="1890"/>
      <c r="BF33" s="9"/>
      <c r="BI33" s="49"/>
      <c r="BP33" s="412" t="s">
        <v>981</v>
      </c>
      <c r="BQ33" s="412" t="s">
        <v>982</v>
      </c>
    </row>
    <row r="34" spans="1:69" ht="15.75" thickBot="1" x14ac:dyDescent="0.3">
      <c r="A34" s="238">
        <v>43586</v>
      </c>
      <c r="B34" s="118">
        <v>5567479.9299999997</v>
      </c>
      <c r="C34" s="1977"/>
      <c r="D34" s="239"/>
      <c r="E34" s="238">
        <v>41275</v>
      </c>
      <c r="F34" s="95">
        <v>20549</v>
      </c>
      <c r="G34" s="1977"/>
      <c r="I34" s="238">
        <v>41275</v>
      </c>
      <c r="J34" s="95">
        <v>3659</v>
      </c>
      <c r="K34" s="1977"/>
      <c r="M34" s="238">
        <v>41275</v>
      </c>
      <c r="N34" s="95">
        <v>16890</v>
      </c>
      <c r="O34" s="1977"/>
      <c r="Q34" s="238">
        <v>41275</v>
      </c>
      <c r="R34" s="95">
        <v>17710</v>
      </c>
      <c r="S34" s="1977"/>
      <c r="T34" s="6"/>
      <c r="U34" s="6"/>
      <c r="W34" s="238">
        <v>43617</v>
      </c>
      <c r="X34" s="95">
        <v>7852.0690000000004</v>
      </c>
      <c r="Y34" s="1977"/>
      <c r="AA34" s="238">
        <v>41275</v>
      </c>
      <c r="AB34" s="95"/>
      <c r="AC34" s="1977"/>
      <c r="AE34" s="238">
        <v>41275</v>
      </c>
      <c r="AF34" s="95"/>
      <c r="AG34" s="1977"/>
      <c r="BA34" s="466">
        <v>2017</v>
      </c>
      <c r="BB34" s="469">
        <v>9</v>
      </c>
      <c r="BC34" s="1888"/>
      <c r="BD34" s="470">
        <v>18</v>
      </c>
      <c r="BE34" s="1891"/>
      <c r="BF34" s="9"/>
      <c r="BI34" s="49"/>
      <c r="BP34" s="414" t="s">
        <v>983</v>
      </c>
      <c r="BQ34" s="414" t="s">
        <v>983</v>
      </c>
    </row>
    <row r="35" spans="1:69" ht="15.75" thickBot="1" x14ac:dyDescent="0.3">
      <c r="A35" s="238">
        <v>43617</v>
      </c>
      <c r="B35" s="118">
        <v>4504290.1900000004</v>
      </c>
      <c r="C35" s="1977"/>
      <c r="D35" s="239"/>
      <c r="E35" s="238">
        <v>41306</v>
      </c>
      <c r="F35" s="95">
        <v>25691</v>
      </c>
      <c r="G35" s="1977"/>
      <c r="I35" s="238">
        <v>41306</v>
      </c>
      <c r="J35" s="95">
        <v>5707</v>
      </c>
      <c r="K35" s="1977"/>
      <c r="M35" s="238">
        <v>41306</v>
      </c>
      <c r="N35" s="95">
        <v>19984</v>
      </c>
      <c r="O35" s="1977"/>
      <c r="Q35" s="238">
        <v>41306</v>
      </c>
      <c r="R35" s="95">
        <v>29768</v>
      </c>
      <c r="S35" s="1977"/>
      <c r="T35" s="6"/>
      <c r="U35" s="6"/>
      <c r="W35" s="238">
        <v>43647</v>
      </c>
      <c r="X35" s="95">
        <v>8179.0410000000002</v>
      </c>
      <c r="Y35" s="1977"/>
      <c r="AA35" s="238">
        <v>41306</v>
      </c>
      <c r="AB35" s="95"/>
      <c r="AC35" s="1977"/>
      <c r="AE35" s="238">
        <v>41306</v>
      </c>
      <c r="AF35" s="95"/>
      <c r="AG35" s="1977"/>
      <c r="BA35" s="458">
        <v>2018</v>
      </c>
      <c r="BB35" s="457">
        <v>12</v>
      </c>
      <c r="BC35" s="1888"/>
      <c r="BD35" s="415">
        <v>24</v>
      </c>
      <c r="BE35" s="1891"/>
      <c r="BF35" s="9"/>
      <c r="BI35" s="49"/>
      <c r="BO35" s="1321">
        <v>2026</v>
      </c>
      <c r="BP35" s="509">
        <v>29</v>
      </c>
      <c r="BQ35" s="509">
        <v>28</v>
      </c>
    </row>
    <row r="36" spans="1:69" x14ac:dyDescent="0.25">
      <c r="A36" s="238">
        <v>43647</v>
      </c>
      <c r="B36" s="118">
        <v>5013074.53</v>
      </c>
      <c r="C36" s="1977"/>
      <c r="D36" s="239"/>
      <c r="E36" s="238">
        <v>41334</v>
      </c>
      <c r="F36" s="95">
        <v>29280</v>
      </c>
      <c r="G36" s="1977"/>
      <c r="I36" s="238">
        <v>41334</v>
      </c>
      <c r="J36" s="95">
        <v>5219</v>
      </c>
      <c r="K36" s="1977"/>
      <c r="M36" s="238">
        <v>41334</v>
      </c>
      <c r="N36" s="95">
        <v>24061</v>
      </c>
      <c r="O36" s="1977"/>
      <c r="Q36" s="238">
        <v>41334</v>
      </c>
      <c r="R36" s="95">
        <v>35856</v>
      </c>
      <c r="S36" s="1977"/>
      <c r="T36" s="6"/>
      <c r="U36" s="6"/>
      <c r="W36" s="238">
        <v>43678</v>
      </c>
      <c r="X36" s="95">
        <v>8543.8629999999994</v>
      </c>
      <c r="Y36" s="1977"/>
      <c r="AA36" s="238">
        <v>41334</v>
      </c>
      <c r="AB36" s="95"/>
      <c r="AC36" s="1977"/>
      <c r="AE36" s="238">
        <v>41334</v>
      </c>
      <c r="AF36" s="95"/>
      <c r="AG36" s="1977"/>
      <c r="BA36" s="466">
        <v>2019</v>
      </c>
      <c r="BB36" s="469">
        <v>19</v>
      </c>
      <c r="BC36" s="1888"/>
      <c r="BD36" s="470">
        <v>25</v>
      </c>
      <c r="BE36" s="1891"/>
      <c r="BF36" s="9"/>
      <c r="BI36" s="49"/>
      <c r="BO36" s="1320">
        <v>2028</v>
      </c>
      <c r="BP36" s="797">
        <v>35</v>
      </c>
      <c r="BQ36" s="797">
        <v>34</v>
      </c>
    </row>
    <row r="37" spans="1:69" ht="15.75" thickBot="1" x14ac:dyDescent="0.3">
      <c r="A37" s="238">
        <v>43678</v>
      </c>
      <c r="B37" s="118">
        <v>5510141.6299999999</v>
      </c>
      <c r="C37" s="1977"/>
      <c r="D37" s="239"/>
      <c r="E37" s="238">
        <v>41365</v>
      </c>
      <c r="F37" s="95">
        <v>31196</v>
      </c>
      <c r="G37" s="1978">
        <f>SUM(F37:F48)</f>
        <v>322926</v>
      </c>
      <c r="I37" s="238">
        <v>41365</v>
      </c>
      <c r="J37" s="95">
        <v>5946</v>
      </c>
      <c r="K37" s="1978">
        <f>SUM(J37:J48)</f>
        <v>91581</v>
      </c>
      <c r="M37" s="238">
        <v>41365</v>
      </c>
      <c r="N37" s="95">
        <v>25250</v>
      </c>
      <c r="O37" s="1978">
        <f>SUM(N37:N48)</f>
        <v>231345</v>
      </c>
      <c r="Q37" s="238">
        <v>41365</v>
      </c>
      <c r="R37" s="95">
        <v>37309</v>
      </c>
      <c r="S37" s="1978">
        <f>SUM(R37:R48)</f>
        <v>366019</v>
      </c>
      <c r="T37" s="584"/>
      <c r="U37" s="584"/>
      <c r="W37" s="238">
        <v>43709</v>
      </c>
      <c r="X37" s="95">
        <v>7726.2220000000007</v>
      </c>
      <c r="Y37" s="1977"/>
      <c r="AA37" s="238">
        <v>41365</v>
      </c>
      <c r="AB37" s="95"/>
      <c r="AC37" s="1978">
        <f>SUM(AB37:AB48)</f>
        <v>0</v>
      </c>
      <c r="AE37" s="238">
        <v>41365</v>
      </c>
      <c r="AF37" s="95"/>
      <c r="AG37" s="1978">
        <f>SUM(AF37:AF48)</f>
        <v>0</v>
      </c>
      <c r="BA37" s="458">
        <v>2020</v>
      </c>
      <c r="BB37" s="457">
        <v>17</v>
      </c>
      <c r="BC37" s="1888"/>
      <c r="BD37" s="415">
        <v>21</v>
      </c>
      <c r="BE37" s="1891"/>
      <c r="BF37" s="9"/>
      <c r="BI37" s="49"/>
      <c r="BO37" s="1319">
        <v>2030</v>
      </c>
      <c r="BP37" s="414">
        <v>39</v>
      </c>
      <c r="BQ37" s="414">
        <v>41</v>
      </c>
    </row>
    <row r="38" spans="1:69" x14ac:dyDescent="0.25">
      <c r="A38" s="238">
        <v>43709</v>
      </c>
      <c r="B38" s="118">
        <v>5463230.4400000004</v>
      </c>
      <c r="C38" s="1977"/>
      <c r="D38" s="239"/>
      <c r="E38" s="238">
        <v>41395</v>
      </c>
      <c r="F38" s="95">
        <v>35649</v>
      </c>
      <c r="G38" s="1977"/>
      <c r="I38" s="238">
        <v>41395</v>
      </c>
      <c r="J38" s="95">
        <v>5823</v>
      </c>
      <c r="K38" s="1977"/>
      <c r="M38" s="238">
        <v>41395</v>
      </c>
      <c r="N38" s="95">
        <v>29826</v>
      </c>
      <c r="O38" s="1977"/>
      <c r="Q38" s="238">
        <v>41395</v>
      </c>
      <c r="R38" s="95">
        <v>34075</v>
      </c>
      <c r="S38" s="1977"/>
      <c r="T38" s="6"/>
      <c r="U38" s="6"/>
      <c r="W38" s="238">
        <v>43739</v>
      </c>
      <c r="X38" s="95">
        <v>7970.4460000000008</v>
      </c>
      <c r="Y38" s="1977"/>
      <c r="AA38" s="238">
        <v>41395</v>
      </c>
      <c r="AB38" s="95"/>
      <c r="AC38" s="1977"/>
      <c r="AE38" s="238">
        <v>41395</v>
      </c>
      <c r="AF38" s="95"/>
      <c r="AG38" s="1977"/>
      <c r="BA38" s="466">
        <v>2021</v>
      </c>
      <c r="BB38" s="469">
        <v>13</v>
      </c>
      <c r="BC38" s="1889"/>
      <c r="BD38" s="470">
        <v>33</v>
      </c>
      <c r="BE38" s="1892"/>
      <c r="BF38" s="9"/>
      <c r="BI38" s="49"/>
    </row>
    <row r="39" spans="1:69" x14ac:dyDescent="0.25">
      <c r="A39" s="238">
        <v>43739</v>
      </c>
      <c r="B39" s="118">
        <v>5494825.4500000002</v>
      </c>
      <c r="C39" s="1977"/>
      <c r="D39" s="239"/>
      <c r="E39" s="238">
        <v>41426</v>
      </c>
      <c r="F39" s="95">
        <v>21345</v>
      </c>
      <c r="G39" s="1977"/>
      <c r="I39" s="238">
        <v>41426</v>
      </c>
      <c r="J39" s="95">
        <v>5710</v>
      </c>
      <c r="K39" s="1977"/>
      <c r="M39" s="238">
        <v>41426</v>
      </c>
      <c r="N39" s="95">
        <v>15635</v>
      </c>
      <c r="O39" s="1977"/>
      <c r="Q39" s="238">
        <v>41426</v>
      </c>
      <c r="R39" s="95">
        <v>30584</v>
      </c>
      <c r="S39" s="1977"/>
      <c r="T39" s="6"/>
      <c r="U39" s="6"/>
      <c r="W39" s="238">
        <v>43770</v>
      </c>
      <c r="X39" s="95">
        <v>7625.1850000000004</v>
      </c>
      <c r="Y39" s="1977"/>
      <c r="AA39" s="238">
        <v>41426</v>
      </c>
      <c r="AB39" s="95"/>
      <c r="AC39" s="1977"/>
      <c r="AE39" s="238">
        <v>41426</v>
      </c>
      <c r="AF39" s="95"/>
      <c r="AG39" s="1977"/>
      <c r="BA39" s="458">
        <v>2022</v>
      </c>
      <c r="BB39" s="457">
        <f>BB14</f>
        <v>26</v>
      </c>
      <c r="BC39" s="483">
        <f>ROUNDUP(BB39/2/4,0)</f>
        <v>4</v>
      </c>
      <c r="BD39" s="415">
        <f>BE14</f>
        <v>38</v>
      </c>
      <c r="BE39" s="553">
        <f>ROUNDUP(BD39/2/4,0)</f>
        <v>5</v>
      </c>
      <c r="BF39" s="105"/>
      <c r="BI39" s="49"/>
    </row>
    <row r="40" spans="1:69" x14ac:dyDescent="0.25">
      <c r="A40" s="238">
        <v>43770</v>
      </c>
      <c r="B40" s="118">
        <v>5484324.0700000003</v>
      </c>
      <c r="C40" s="1977"/>
      <c r="D40" s="239"/>
      <c r="E40" s="238">
        <v>41456</v>
      </c>
      <c r="F40" s="95">
        <v>32091</v>
      </c>
      <c r="G40" s="1977"/>
      <c r="I40" s="238">
        <v>41456</v>
      </c>
      <c r="J40" s="95">
        <v>8707</v>
      </c>
      <c r="K40" s="1977"/>
      <c r="M40" s="238">
        <v>41456</v>
      </c>
      <c r="N40" s="95">
        <v>23384</v>
      </c>
      <c r="O40" s="1977"/>
      <c r="Q40" s="238">
        <v>41456</v>
      </c>
      <c r="R40" s="95">
        <v>33525</v>
      </c>
      <c r="S40" s="1977"/>
      <c r="T40" s="6"/>
      <c r="U40" s="6"/>
      <c r="W40" s="238">
        <v>43800</v>
      </c>
      <c r="X40" s="95">
        <v>5470.2740000000003</v>
      </c>
      <c r="Y40" s="1977"/>
      <c r="AA40" s="238">
        <v>41456</v>
      </c>
      <c r="AB40" s="95"/>
      <c r="AC40" s="1977"/>
      <c r="AE40" s="238">
        <v>41456</v>
      </c>
      <c r="AF40" s="95"/>
      <c r="AG40" s="1977"/>
      <c r="BA40" s="493">
        <v>2023</v>
      </c>
      <c r="BB40" s="457">
        <f t="shared" ref="BB40:BB49" si="22">BB15</f>
        <v>30.967741935483868</v>
      </c>
      <c r="BC40" s="483">
        <f t="shared" ref="BC40:BC49" si="23">ROUNDUP(BB40/2/4,0)</f>
        <v>4</v>
      </c>
      <c r="BD40" s="415">
        <f t="shared" ref="BD40:BD49" si="24">BE15</f>
        <v>44.169230769230772</v>
      </c>
      <c r="BE40" s="553">
        <f t="shared" ref="BE40:BG49" si="25">ROUNDUP(BD40/2/4,0)</f>
        <v>6</v>
      </c>
      <c r="BF40" s="105">
        <f>BI15</f>
        <v>46.873469387755101</v>
      </c>
      <c r="BG40" s="1981">
        <f t="shared" si="25"/>
        <v>6</v>
      </c>
      <c r="BH40" s="1981"/>
      <c r="BI40" s="1982"/>
      <c r="BJ40" s="95">
        <f>BF40+BD40</f>
        <v>91.042700156985873</v>
      </c>
      <c r="BK40" s="553">
        <f t="shared" ref="BK40:BK49" si="26">ROUNDUP(BJ40/2/4,0)</f>
        <v>12</v>
      </c>
      <c r="BM40" s="49"/>
    </row>
    <row r="41" spans="1:69" x14ac:dyDescent="0.25">
      <c r="A41" s="238">
        <v>43800</v>
      </c>
      <c r="B41" s="118">
        <v>3832569.98</v>
      </c>
      <c r="C41" s="1977"/>
      <c r="D41" s="239"/>
      <c r="E41" s="238">
        <v>41487</v>
      </c>
      <c r="F41" s="95">
        <v>22295</v>
      </c>
      <c r="G41" s="1977"/>
      <c r="I41" s="238">
        <v>41487</v>
      </c>
      <c r="J41" s="95">
        <v>7474</v>
      </c>
      <c r="K41" s="1977"/>
      <c r="M41" s="238">
        <v>41487</v>
      </c>
      <c r="N41" s="95">
        <v>14821</v>
      </c>
      <c r="O41" s="1977"/>
      <c r="Q41" s="238">
        <v>41487</v>
      </c>
      <c r="R41" s="95">
        <v>22249</v>
      </c>
      <c r="S41" s="1977"/>
      <c r="T41" s="6"/>
      <c r="U41" s="6"/>
      <c r="W41" s="238">
        <v>43831</v>
      </c>
      <c r="X41" s="95">
        <v>7737.16</v>
      </c>
      <c r="Y41" s="1977"/>
      <c r="AA41" s="238">
        <v>41487</v>
      </c>
      <c r="AB41" s="95"/>
      <c r="AC41" s="1977"/>
      <c r="AE41" s="238">
        <v>41487</v>
      </c>
      <c r="AF41" s="95"/>
      <c r="AG41" s="1977"/>
      <c r="BA41" s="480">
        <v>2024</v>
      </c>
      <c r="BB41" s="457">
        <f t="shared" si="22"/>
        <v>37.161290322580648</v>
      </c>
      <c r="BC41" s="483">
        <f t="shared" si="23"/>
        <v>5</v>
      </c>
      <c r="BD41" s="415">
        <f t="shared" si="24"/>
        <v>53.886461538461539</v>
      </c>
      <c r="BE41" s="553">
        <f t="shared" si="25"/>
        <v>7</v>
      </c>
      <c r="BF41" s="105">
        <f t="shared" ref="BF41:BF49" si="27">BI16</f>
        <v>57.185632653061226</v>
      </c>
      <c r="BG41" s="1981">
        <f t="shared" ref="BG41" si="28">ROUNDUP(BF41/2/4,0)</f>
        <v>8</v>
      </c>
      <c r="BH41" s="1981"/>
      <c r="BI41" s="1982"/>
      <c r="BJ41" s="95">
        <f t="shared" ref="BJ41:BJ49" si="29">BF41+BD41</f>
        <v>111.07209419152277</v>
      </c>
      <c r="BK41" s="553">
        <f t="shared" si="26"/>
        <v>14</v>
      </c>
    </row>
    <row r="42" spans="1:69" ht="15.75" thickBot="1" x14ac:dyDescent="0.3">
      <c r="A42" s="238">
        <v>43831</v>
      </c>
      <c r="B42" s="118">
        <v>5219122.3</v>
      </c>
      <c r="C42" s="1977"/>
      <c r="D42" s="239"/>
      <c r="E42" s="238">
        <v>41518</v>
      </c>
      <c r="F42" s="95">
        <v>24245</v>
      </c>
      <c r="G42" s="1977"/>
      <c r="I42" s="238">
        <v>41518</v>
      </c>
      <c r="J42" s="95">
        <v>9721</v>
      </c>
      <c r="K42" s="1977"/>
      <c r="M42" s="238">
        <v>41518</v>
      </c>
      <c r="N42" s="95">
        <v>14524</v>
      </c>
      <c r="O42" s="1977"/>
      <c r="Q42" s="238">
        <v>41518</v>
      </c>
      <c r="R42" s="95">
        <v>25564</v>
      </c>
      <c r="S42" s="1977"/>
      <c r="T42" s="6"/>
      <c r="U42" s="6"/>
      <c r="W42" s="238">
        <v>43862</v>
      </c>
      <c r="X42" s="95">
        <v>7124.28</v>
      </c>
      <c r="Y42" s="1977"/>
      <c r="AA42" s="238">
        <v>41518</v>
      </c>
      <c r="AB42" s="95"/>
      <c r="AC42" s="1977"/>
      <c r="AE42" s="238">
        <v>41518</v>
      </c>
      <c r="AF42" s="95"/>
      <c r="AG42" s="1977"/>
      <c r="BA42" s="484">
        <v>2025</v>
      </c>
      <c r="BB42" s="457">
        <f t="shared" si="22"/>
        <v>44.593548387096774</v>
      </c>
      <c r="BC42" s="483">
        <f t="shared" si="23"/>
        <v>6</v>
      </c>
      <c r="BD42" s="415">
        <f t="shared" si="24"/>
        <v>64.124889230769227</v>
      </c>
      <c r="BE42" s="553">
        <f t="shared" si="25"/>
        <v>9</v>
      </c>
      <c r="BF42" s="105">
        <f t="shared" si="27"/>
        <v>68.050902857142859</v>
      </c>
      <c r="BG42" s="1981">
        <f t="shared" ref="BG42" si="30">ROUNDUP(BF42/2/4,0)</f>
        <v>9</v>
      </c>
      <c r="BH42" s="1981"/>
      <c r="BI42" s="1982"/>
      <c r="BJ42" s="95">
        <f t="shared" si="29"/>
        <v>132.1757920879121</v>
      </c>
      <c r="BK42" s="553">
        <f t="shared" si="26"/>
        <v>17</v>
      </c>
    </row>
    <row r="43" spans="1:69" ht="19.5" thickBot="1" x14ac:dyDescent="0.3">
      <c r="A43" s="238">
        <v>43862</v>
      </c>
      <c r="B43" s="118">
        <v>4998390.04</v>
      </c>
      <c r="C43" s="1977"/>
      <c r="D43" s="239"/>
      <c r="E43" s="238">
        <v>41548</v>
      </c>
      <c r="F43" s="95">
        <v>23074</v>
      </c>
      <c r="G43" s="1977"/>
      <c r="I43" s="238">
        <v>41548</v>
      </c>
      <c r="J43" s="95">
        <v>7762</v>
      </c>
      <c r="K43" s="1977"/>
      <c r="M43" s="238">
        <v>41548</v>
      </c>
      <c r="N43" s="95">
        <v>15312</v>
      </c>
      <c r="O43" s="1977"/>
      <c r="Q43" s="238">
        <v>41548</v>
      </c>
      <c r="R43" s="95">
        <v>30297</v>
      </c>
      <c r="S43" s="1977"/>
      <c r="T43" s="6"/>
      <c r="U43" s="6"/>
      <c r="W43" s="238">
        <v>43891</v>
      </c>
      <c r="X43" s="95">
        <v>5700.5740000000005</v>
      </c>
      <c r="Y43" s="1977"/>
      <c r="AA43" s="238">
        <v>41548</v>
      </c>
      <c r="AB43" s="95"/>
      <c r="AC43" s="1977"/>
      <c r="AE43" s="238">
        <v>41548</v>
      </c>
      <c r="AF43" s="95"/>
      <c r="AG43" s="1977"/>
      <c r="BA43" s="471">
        <v>2026</v>
      </c>
      <c r="BB43" s="457">
        <f t="shared" si="22"/>
        <v>53.512258064516132</v>
      </c>
      <c r="BC43" s="483">
        <f t="shared" si="23"/>
        <v>7</v>
      </c>
      <c r="BD43" s="415">
        <f t="shared" si="24"/>
        <v>75.667369292307683</v>
      </c>
      <c r="BE43" s="553">
        <f t="shared" si="25"/>
        <v>10</v>
      </c>
      <c r="BF43" s="105">
        <f t="shared" si="27"/>
        <v>80.300065371428559</v>
      </c>
      <c r="BG43" s="1981">
        <f t="shared" ref="BG43" si="31">ROUNDUP(BF43/2/4,0)</f>
        <v>11</v>
      </c>
      <c r="BH43" s="1981"/>
      <c r="BI43" s="1982"/>
      <c r="BJ43" s="95">
        <f t="shared" si="29"/>
        <v>155.96743466373624</v>
      </c>
      <c r="BK43" s="553">
        <f t="shared" si="26"/>
        <v>20</v>
      </c>
    </row>
    <row r="44" spans="1:69" x14ac:dyDescent="0.25">
      <c r="A44" s="238">
        <v>43891</v>
      </c>
      <c r="B44" s="118">
        <v>3853416.1</v>
      </c>
      <c r="C44" s="1977"/>
      <c r="D44" s="239"/>
      <c r="E44" s="238">
        <v>41579</v>
      </c>
      <c r="F44" s="95">
        <v>26348</v>
      </c>
      <c r="G44" s="1977"/>
      <c r="I44" s="238">
        <v>41579</v>
      </c>
      <c r="J44" s="95">
        <v>7811</v>
      </c>
      <c r="K44" s="1977"/>
      <c r="M44" s="238">
        <v>41579</v>
      </c>
      <c r="N44" s="95">
        <v>18537</v>
      </c>
      <c r="O44" s="1977"/>
      <c r="Q44" s="238">
        <v>41579</v>
      </c>
      <c r="R44" s="95">
        <v>31605</v>
      </c>
      <c r="S44" s="1977"/>
      <c r="T44" s="6"/>
      <c r="U44" s="6"/>
      <c r="W44" s="238">
        <v>43922</v>
      </c>
      <c r="X44" s="95">
        <v>2996.288</v>
      </c>
      <c r="Y44" s="1978">
        <f>SUM(X44:X55)</f>
        <v>100707.285</v>
      </c>
      <c r="AA44" s="238">
        <v>41579</v>
      </c>
      <c r="AB44" s="95"/>
      <c r="AC44" s="1977"/>
      <c r="AE44" s="238">
        <v>41579</v>
      </c>
      <c r="AF44" s="95"/>
      <c r="AG44" s="1977"/>
      <c r="BA44" s="476">
        <v>2027</v>
      </c>
      <c r="BB44" s="457">
        <f t="shared" si="22"/>
        <v>64.21470967741935</v>
      </c>
      <c r="BC44" s="483">
        <f t="shared" si="23"/>
        <v>9</v>
      </c>
      <c r="BD44" s="415">
        <f t="shared" si="24"/>
        <v>83.234106221538454</v>
      </c>
      <c r="BE44" s="553">
        <f t="shared" si="25"/>
        <v>11</v>
      </c>
      <c r="BF44" s="105">
        <f t="shared" si="27"/>
        <v>88.330071908571426</v>
      </c>
      <c r="BG44" s="1981">
        <f t="shared" ref="BG44" si="32">ROUNDUP(BF44/2/4,0)</f>
        <v>12</v>
      </c>
      <c r="BH44" s="1981"/>
      <c r="BI44" s="1982"/>
      <c r="BJ44" s="95">
        <f t="shared" si="29"/>
        <v>171.56417813010989</v>
      </c>
      <c r="BK44" s="553">
        <f t="shared" si="26"/>
        <v>22</v>
      </c>
    </row>
    <row r="45" spans="1:69" x14ac:dyDescent="0.25">
      <c r="A45" s="238">
        <v>43922</v>
      </c>
      <c r="B45" s="118">
        <v>2311650.86</v>
      </c>
      <c r="C45" s="1976">
        <f>SUM(B45:B56)</f>
        <v>65258850.600000001</v>
      </c>
      <c r="D45" s="239"/>
      <c r="E45" s="238">
        <v>41609</v>
      </c>
      <c r="F45" s="95">
        <v>21029</v>
      </c>
      <c r="G45" s="1977"/>
      <c r="I45" s="238">
        <v>41609</v>
      </c>
      <c r="J45" s="95">
        <v>6813</v>
      </c>
      <c r="K45" s="1977"/>
      <c r="M45" s="238">
        <v>41609</v>
      </c>
      <c r="N45" s="95">
        <v>14216</v>
      </c>
      <c r="O45" s="1977"/>
      <c r="Q45" s="238">
        <v>41609</v>
      </c>
      <c r="R45" s="95">
        <v>24957</v>
      </c>
      <c r="S45" s="1977"/>
      <c r="T45" s="6"/>
      <c r="U45" s="6"/>
      <c r="W45" s="238">
        <v>43952</v>
      </c>
      <c r="X45" s="95">
        <v>8154.9969999999994</v>
      </c>
      <c r="Y45" s="1977"/>
      <c r="AA45" s="238">
        <v>41609</v>
      </c>
      <c r="AB45" s="95"/>
      <c r="AC45" s="1977"/>
      <c r="AE45" s="238">
        <v>41609</v>
      </c>
      <c r="AF45" s="95"/>
      <c r="AG45" s="1977"/>
      <c r="BA45" s="480">
        <v>2028</v>
      </c>
      <c r="BB45" s="457">
        <f t="shared" si="22"/>
        <v>77.057651612903214</v>
      </c>
      <c r="BC45" s="483">
        <f t="shared" si="23"/>
        <v>10</v>
      </c>
      <c r="BD45" s="415">
        <f t="shared" si="24"/>
        <v>89.892834719261529</v>
      </c>
      <c r="BE45" s="553">
        <f t="shared" si="25"/>
        <v>12</v>
      </c>
      <c r="BF45" s="105">
        <f t="shared" si="27"/>
        <v>95.396477661257137</v>
      </c>
      <c r="BG45" s="1981">
        <f t="shared" ref="BG45" si="33">ROUNDUP(BF45/2/4,0)</f>
        <v>12</v>
      </c>
      <c r="BH45" s="1981"/>
      <c r="BI45" s="1982"/>
      <c r="BJ45" s="95">
        <f t="shared" si="29"/>
        <v>185.28931238051865</v>
      </c>
      <c r="BK45" s="553">
        <f t="shared" si="26"/>
        <v>24</v>
      </c>
    </row>
    <row r="46" spans="1:69" x14ac:dyDescent="0.25">
      <c r="A46" s="238">
        <v>43952</v>
      </c>
      <c r="B46" s="118">
        <v>6138751.7400000002</v>
      </c>
      <c r="C46" s="1977"/>
      <c r="D46" s="239"/>
      <c r="E46" s="238">
        <v>41640</v>
      </c>
      <c r="F46" s="95">
        <v>23137</v>
      </c>
      <c r="G46" s="1977"/>
      <c r="I46" s="238">
        <v>41640</v>
      </c>
      <c r="J46" s="95">
        <v>7401</v>
      </c>
      <c r="K46" s="1977"/>
      <c r="M46" s="238">
        <v>41640</v>
      </c>
      <c r="N46" s="95">
        <v>15736</v>
      </c>
      <c r="O46" s="1977"/>
      <c r="Q46" s="238">
        <v>41640</v>
      </c>
      <c r="R46" s="95">
        <v>28779</v>
      </c>
      <c r="S46" s="1977"/>
      <c r="T46" s="6"/>
      <c r="U46" s="6"/>
      <c r="W46" s="238">
        <v>43983</v>
      </c>
      <c r="X46" s="95">
        <v>8968</v>
      </c>
      <c r="Y46" s="1977"/>
      <c r="AA46" s="238">
        <v>41640</v>
      </c>
      <c r="AB46" s="95"/>
      <c r="AC46" s="1977"/>
      <c r="AE46" s="238">
        <v>41640</v>
      </c>
      <c r="AF46" s="95"/>
      <c r="AG46" s="1977"/>
      <c r="BA46" s="484">
        <v>2029</v>
      </c>
      <c r="BB46" s="457">
        <f t="shared" si="22"/>
        <v>88.616299354838716</v>
      </c>
      <c r="BC46" s="483">
        <f t="shared" si="23"/>
        <v>12</v>
      </c>
      <c r="BD46" s="415">
        <f t="shared" si="24"/>
        <v>97.084261496802455</v>
      </c>
      <c r="BE46" s="553">
        <f t="shared" si="25"/>
        <v>13</v>
      </c>
      <c r="BF46" s="105">
        <f t="shared" si="27"/>
        <v>103.02819587415772</v>
      </c>
      <c r="BG46" s="1981">
        <f t="shared" ref="BG46" si="34">ROUNDUP(BF46/2/4,0)</f>
        <v>13</v>
      </c>
      <c r="BH46" s="1981"/>
      <c r="BI46" s="1982"/>
      <c r="BJ46" s="95">
        <f t="shared" si="29"/>
        <v>200.11245737096016</v>
      </c>
      <c r="BK46" s="553">
        <f t="shared" si="26"/>
        <v>26</v>
      </c>
    </row>
    <row r="47" spans="1:69" ht="15.75" thickBot="1" x14ac:dyDescent="0.3">
      <c r="A47" s="238">
        <v>43983</v>
      </c>
      <c r="B47" s="118">
        <v>6430948</v>
      </c>
      <c r="C47" s="1977"/>
      <c r="D47" s="239"/>
      <c r="E47" s="238">
        <v>41671</v>
      </c>
      <c r="F47" s="95">
        <v>26175</v>
      </c>
      <c r="G47" s="1977"/>
      <c r="I47" s="238">
        <v>41671</v>
      </c>
      <c r="J47" s="95">
        <v>7749</v>
      </c>
      <c r="K47" s="1977"/>
      <c r="M47" s="238">
        <v>41671</v>
      </c>
      <c r="N47" s="95">
        <v>18426</v>
      </c>
      <c r="O47" s="1977"/>
      <c r="Q47" s="238">
        <v>41671</v>
      </c>
      <c r="R47" s="95">
        <v>27233</v>
      </c>
      <c r="S47" s="1977"/>
      <c r="T47" s="6"/>
      <c r="U47" s="6"/>
      <c r="W47" s="238">
        <v>44013</v>
      </c>
      <c r="X47" s="95">
        <v>10438</v>
      </c>
      <c r="Y47" s="1977"/>
      <c r="AA47" s="238">
        <v>41671</v>
      </c>
      <c r="AB47" s="95"/>
      <c r="AC47" s="1977"/>
      <c r="AE47" s="238">
        <v>41671</v>
      </c>
      <c r="AF47" s="95"/>
      <c r="AG47" s="1977"/>
      <c r="BA47" s="480">
        <v>2030</v>
      </c>
      <c r="BB47" s="457">
        <f t="shared" si="22"/>
        <v>99.250255277419356</v>
      </c>
      <c r="BC47" s="483">
        <f t="shared" si="23"/>
        <v>13</v>
      </c>
      <c r="BD47" s="415">
        <f t="shared" si="24"/>
        <v>104.85100241654665</v>
      </c>
      <c r="BE47" s="553">
        <f t="shared" si="25"/>
        <v>14</v>
      </c>
      <c r="BF47" s="105">
        <f t="shared" si="27"/>
        <v>111.27045154409032</v>
      </c>
      <c r="BG47" s="1981">
        <f t="shared" ref="BG47" si="35">ROUNDUP(BF47/2/4,0)</f>
        <v>14</v>
      </c>
      <c r="BH47" s="1981"/>
      <c r="BI47" s="1982"/>
      <c r="BJ47" s="95">
        <f t="shared" si="29"/>
        <v>216.12145396063698</v>
      </c>
      <c r="BK47" s="553">
        <f t="shared" si="26"/>
        <v>28</v>
      </c>
    </row>
    <row r="48" spans="1:69" ht="19.5" thickBot="1" x14ac:dyDescent="0.3">
      <c r="A48" s="238">
        <v>44013</v>
      </c>
      <c r="B48" s="118">
        <v>7451275</v>
      </c>
      <c r="C48" s="1977"/>
      <c r="D48" s="239"/>
      <c r="E48" s="238">
        <v>41699</v>
      </c>
      <c r="F48" s="95">
        <v>36342</v>
      </c>
      <c r="G48" s="1977"/>
      <c r="I48" s="238">
        <v>41699</v>
      </c>
      <c r="J48" s="95">
        <v>10664</v>
      </c>
      <c r="K48" s="1977"/>
      <c r="M48" s="238">
        <v>41699</v>
      </c>
      <c r="N48" s="95">
        <v>25678</v>
      </c>
      <c r="O48" s="1977"/>
      <c r="Q48" s="238">
        <v>41699</v>
      </c>
      <c r="R48" s="95">
        <v>39842</v>
      </c>
      <c r="S48" s="1977"/>
      <c r="T48" s="6"/>
      <c r="U48" s="6"/>
      <c r="W48" s="238">
        <v>44044</v>
      </c>
      <c r="X48" s="95">
        <v>9155</v>
      </c>
      <c r="Y48" s="1977"/>
      <c r="AA48" s="238">
        <v>41699</v>
      </c>
      <c r="AB48" s="95"/>
      <c r="AC48" s="1977"/>
      <c r="AE48" s="238">
        <v>41699</v>
      </c>
      <c r="AF48" s="95"/>
      <c r="AG48" s="1977"/>
      <c r="BA48" s="566">
        <v>2031</v>
      </c>
      <c r="BB48" s="457">
        <f t="shared" si="22"/>
        <v>109.17528080516129</v>
      </c>
      <c r="BC48" s="483">
        <f t="shared" si="23"/>
        <v>14</v>
      </c>
      <c r="BD48" s="415">
        <f t="shared" si="24"/>
        <v>113.23908260987038</v>
      </c>
      <c r="BE48" s="553">
        <f t="shared" si="25"/>
        <v>15</v>
      </c>
      <c r="BF48" s="105">
        <f t="shared" si="27"/>
        <v>120.17208766761755</v>
      </c>
      <c r="BG48" s="1981">
        <f t="shared" ref="BG48" si="36">ROUNDUP(BF48/2/4,0)</f>
        <v>16</v>
      </c>
      <c r="BH48" s="1981"/>
      <c r="BI48" s="1982"/>
      <c r="BJ48" s="95">
        <f t="shared" si="29"/>
        <v>233.41117027748794</v>
      </c>
      <c r="BK48" s="553">
        <f t="shared" si="26"/>
        <v>30</v>
      </c>
    </row>
    <row r="49" spans="1:63" ht="15.75" thickBot="1" x14ac:dyDescent="0.3">
      <c r="A49" s="238">
        <v>44044</v>
      </c>
      <c r="B49" s="118">
        <v>5621755</v>
      </c>
      <c r="C49" s="1977"/>
      <c r="D49" s="239"/>
      <c r="E49" s="238">
        <v>41730</v>
      </c>
      <c r="F49" s="95">
        <v>29124</v>
      </c>
      <c r="G49" s="1978">
        <f>SUM(F49:F60)</f>
        <v>356716</v>
      </c>
      <c r="I49" s="238">
        <v>41730</v>
      </c>
      <c r="J49" s="95">
        <v>6020</v>
      </c>
      <c r="K49" s="1978">
        <f>SUM(J49:J60)</f>
        <v>102770</v>
      </c>
      <c r="M49" s="238">
        <v>41730</v>
      </c>
      <c r="N49" s="95">
        <v>23104</v>
      </c>
      <c r="O49" s="1978">
        <f>SUM(N49:N60)</f>
        <v>253946</v>
      </c>
      <c r="Q49" s="238">
        <v>41730</v>
      </c>
      <c r="R49" s="95">
        <v>24245</v>
      </c>
      <c r="S49" s="1978">
        <f>SUM(R49:R60)</f>
        <v>396489</v>
      </c>
      <c r="T49" s="584"/>
      <c r="U49" s="584"/>
      <c r="W49" s="238">
        <v>44075</v>
      </c>
      <c r="X49" s="95">
        <v>9603</v>
      </c>
      <c r="Y49" s="1977"/>
      <c r="AA49" s="238">
        <v>41730</v>
      </c>
      <c r="AB49" s="95"/>
      <c r="AC49" s="1978">
        <f>SUM(AB49:AB60)</f>
        <v>0</v>
      </c>
      <c r="AE49" s="238">
        <v>41730</v>
      </c>
      <c r="AF49" s="95"/>
      <c r="AG49" s="1978">
        <f>SUM(AF49:AF60)</f>
        <v>0</v>
      </c>
      <c r="BA49" s="489">
        <v>2032</v>
      </c>
      <c r="BB49" s="457">
        <f t="shared" si="22"/>
        <v>120.09280888567741</v>
      </c>
      <c r="BC49" s="483">
        <f t="shared" si="23"/>
        <v>16</v>
      </c>
      <c r="BD49" s="415">
        <f t="shared" si="24"/>
        <v>122.29820921866001</v>
      </c>
      <c r="BE49" s="553">
        <f t="shared" si="25"/>
        <v>16</v>
      </c>
      <c r="BF49" s="1306">
        <f t="shared" si="27"/>
        <v>129.78585468102693</v>
      </c>
      <c r="BG49" s="1981">
        <f t="shared" ref="BG49" si="37">ROUNDUP(BF49/2/4,0)</f>
        <v>17</v>
      </c>
      <c r="BH49" s="1981"/>
      <c r="BI49" s="1982"/>
      <c r="BJ49" s="95">
        <f t="shared" si="29"/>
        <v>252.08406389968695</v>
      </c>
      <c r="BK49" s="553">
        <f t="shared" si="26"/>
        <v>32</v>
      </c>
    </row>
    <row r="50" spans="1:63" x14ac:dyDescent="0.25">
      <c r="A50" s="238">
        <v>44075</v>
      </c>
      <c r="B50" s="118">
        <v>5924969</v>
      </c>
      <c r="C50" s="1977"/>
      <c r="D50" s="239"/>
      <c r="E50" s="238">
        <v>41760</v>
      </c>
      <c r="F50" s="95">
        <v>30773</v>
      </c>
      <c r="G50" s="1977"/>
      <c r="I50" s="238">
        <v>41760</v>
      </c>
      <c r="J50" s="95">
        <v>7584</v>
      </c>
      <c r="K50" s="1977"/>
      <c r="M50" s="238">
        <v>41760</v>
      </c>
      <c r="N50" s="95">
        <v>23189</v>
      </c>
      <c r="O50" s="1977"/>
      <c r="Q50" s="238">
        <v>41760</v>
      </c>
      <c r="R50" s="95">
        <v>34148</v>
      </c>
      <c r="S50" s="1977"/>
      <c r="T50" s="6"/>
      <c r="U50" s="6"/>
      <c r="W50" s="238">
        <v>44105</v>
      </c>
      <c r="X50" s="95">
        <v>9571</v>
      </c>
      <c r="Y50" s="1977"/>
      <c r="AA50" s="238">
        <v>41760</v>
      </c>
      <c r="AB50" s="95"/>
      <c r="AC50" s="1977"/>
      <c r="AE50" s="238">
        <v>41760</v>
      </c>
      <c r="AF50" s="95"/>
      <c r="AG50" s="1977"/>
    </row>
    <row r="51" spans="1:63" x14ac:dyDescent="0.25">
      <c r="A51" s="238">
        <v>44105</v>
      </c>
      <c r="B51" s="118">
        <v>5648569</v>
      </c>
      <c r="C51" s="1977"/>
      <c r="D51" s="239"/>
      <c r="E51" s="238">
        <v>41791</v>
      </c>
      <c r="F51" s="95">
        <v>29256</v>
      </c>
      <c r="G51" s="1977"/>
      <c r="I51" s="238">
        <v>41791</v>
      </c>
      <c r="J51" s="95">
        <v>8342</v>
      </c>
      <c r="K51" s="1977"/>
      <c r="M51" s="238">
        <v>41791</v>
      </c>
      <c r="N51" s="95">
        <v>20914</v>
      </c>
      <c r="O51" s="1977"/>
      <c r="Q51" s="238">
        <v>41791</v>
      </c>
      <c r="R51" s="95">
        <v>39607</v>
      </c>
      <c r="S51" s="1977"/>
      <c r="T51" s="6"/>
      <c r="U51" s="6"/>
      <c r="W51" s="238">
        <v>44136</v>
      </c>
      <c r="X51" s="95">
        <v>9935</v>
      </c>
      <c r="Y51" s="1977"/>
      <c r="AA51" s="238">
        <v>41791</v>
      </c>
      <c r="AB51" s="95"/>
      <c r="AC51" s="1977"/>
      <c r="AE51" s="238">
        <v>41791</v>
      </c>
      <c r="AF51" s="95"/>
      <c r="AG51" s="1977"/>
    </row>
    <row r="52" spans="1:63" x14ac:dyDescent="0.25">
      <c r="A52" s="238">
        <v>44136</v>
      </c>
      <c r="B52" s="118">
        <v>6154335</v>
      </c>
      <c r="C52" s="1977"/>
      <c r="D52" s="239"/>
      <c r="E52" s="238">
        <v>41821</v>
      </c>
      <c r="F52" s="95">
        <v>33141</v>
      </c>
      <c r="G52" s="1977"/>
      <c r="I52" s="238">
        <v>41821</v>
      </c>
      <c r="J52" s="95">
        <v>8072</v>
      </c>
      <c r="K52" s="1977"/>
      <c r="M52" s="238">
        <v>41821</v>
      </c>
      <c r="N52" s="95">
        <v>25069</v>
      </c>
      <c r="O52" s="1977"/>
      <c r="Q52" s="238">
        <v>41821</v>
      </c>
      <c r="R52" s="95">
        <v>31017</v>
      </c>
      <c r="S52" s="1977"/>
      <c r="T52" s="6"/>
      <c r="U52" s="6"/>
      <c r="W52" s="238">
        <v>44166</v>
      </c>
      <c r="X52" s="95">
        <v>7227</v>
      </c>
      <c r="Y52" s="1977"/>
      <c r="AA52" s="238">
        <v>41821</v>
      </c>
      <c r="AB52" s="95"/>
      <c r="AC52" s="1977"/>
      <c r="AE52" s="238">
        <v>41821</v>
      </c>
      <c r="AF52" s="95"/>
      <c r="AG52" s="1977"/>
    </row>
    <row r="53" spans="1:63" x14ac:dyDescent="0.25">
      <c r="A53" s="238">
        <v>44166</v>
      </c>
      <c r="B53" s="118">
        <v>4568308</v>
      </c>
      <c r="C53" s="1977"/>
      <c r="D53" s="239"/>
      <c r="E53" s="238">
        <v>41852</v>
      </c>
      <c r="F53" s="95">
        <v>28932</v>
      </c>
      <c r="G53" s="1977"/>
      <c r="I53" s="238">
        <v>41852</v>
      </c>
      <c r="J53" s="95">
        <v>8169</v>
      </c>
      <c r="K53" s="1977"/>
      <c r="M53" s="238">
        <v>41852</v>
      </c>
      <c r="N53" s="95">
        <v>20763</v>
      </c>
      <c r="O53" s="1977"/>
      <c r="Q53" s="238">
        <v>41852</v>
      </c>
      <c r="R53" s="95">
        <v>35217</v>
      </c>
      <c r="S53" s="1977"/>
      <c r="T53" s="6"/>
      <c r="U53" s="6"/>
      <c r="W53" s="238">
        <v>44197</v>
      </c>
      <c r="X53" s="95">
        <v>7664</v>
      </c>
      <c r="Y53" s="1977"/>
      <c r="AA53" s="238">
        <v>41852</v>
      </c>
      <c r="AB53" s="95"/>
      <c r="AC53" s="1977"/>
      <c r="AE53" s="238">
        <v>41852</v>
      </c>
      <c r="AF53" s="95"/>
      <c r="AG53" s="1977"/>
    </row>
    <row r="54" spans="1:63" x14ac:dyDescent="0.25">
      <c r="A54" s="238">
        <v>44197</v>
      </c>
      <c r="B54" s="118">
        <v>4840134</v>
      </c>
      <c r="C54" s="1977"/>
      <c r="D54" s="239"/>
      <c r="E54" s="238">
        <v>41883</v>
      </c>
      <c r="F54" s="95">
        <v>33981</v>
      </c>
      <c r="G54" s="1977"/>
      <c r="I54" s="238">
        <v>41883</v>
      </c>
      <c r="J54" s="95">
        <v>11567</v>
      </c>
      <c r="K54" s="1977"/>
      <c r="M54" s="238">
        <v>41883</v>
      </c>
      <c r="N54" s="95">
        <v>22414</v>
      </c>
      <c r="O54" s="1977"/>
      <c r="Q54" s="238">
        <v>41883</v>
      </c>
      <c r="R54" s="95">
        <v>47299</v>
      </c>
      <c r="S54" s="1977"/>
      <c r="T54" s="6"/>
      <c r="U54" s="6"/>
      <c r="W54" s="238">
        <v>44228</v>
      </c>
      <c r="X54" s="95">
        <v>7342</v>
      </c>
      <c r="Y54" s="1977"/>
      <c r="AA54" s="238">
        <v>41883</v>
      </c>
      <c r="AB54" s="95"/>
      <c r="AC54" s="1977"/>
      <c r="AE54" s="238">
        <v>41883</v>
      </c>
      <c r="AF54" s="95"/>
      <c r="AG54" s="1977"/>
    </row>
    <row r="55" spans="1:63" x14ac:dyDescent="0.25">
      <c r="A55" s="238">
        <v>44228</v>
      </c>
      <c r="B55" s="118">
        <v>4600143</v>
      </c>
      <c r="C55" s="1977"/>
      <c r="D55" s="239"/>
      <c r="E55" s="238">
        <v>41913</v>
      </c>
      <c r="F55" s="95">
        <v>29060</v>
      </c>
      <c r="G55" s="1977"/>
      <c r="I55" s="238">
        <v>41913</v>
      </c>
      <c r="J55" s="95">
        <v>9726</v>
      </c>
      <c r="K55" s="1977"/>
      <c r="M55" s="238">
        <v>41913</v>
      </c>
      <c r="N55" s="95">
        <v>19334</v>
      </c>
      <c r="O55" s="1977"/>
      <c r="Q55" s="238">
        <v>41913</v>
      </c>
      <c r="R55" s="95">
        <v>38249</v>
      </c>
      <c r="S55" s="1977"/>
      <c r="T55" s="6"/>
      <c r="U55" s="6"/>
      <c r="W55" s="238">
        <v>44256</v>
      </c>
      <c r="X55" s="95">
        <v>9653</v>
      </c>
      <c r="Y55" s="1977"/>
      <c r="AA55" s="238">
        <v>41913</v>
      </c>
      <c r="AB55" s="95"/>
      <c r="AC55" s="1977"/>
      <c r="AE55" s="238">
        <v>41913</v>
      </c>
      <c r="AF55" s="95"/>
      <c r="AG55" s="1977"/>
    </row>
    <row r="56" spans="1:63" x14ac:dyDescent="0.25">
      <c r="A56" s="238">
        <v>44256</v>
      </c>
      <c r="B56" s="118">
        <v>5568012</v>
      </c>
      <c r="C56" s="1977"/>
      <c r="D56" s="239"/>
      <c r="E56" s="238">
        <v>41944</v>
      </c>
      <c r="F56" s="95">
        <v>29813</v>
      </c>
      <c r="G56" s="1977"/>
      <c r="I56" s="238">
        <v>41944</v>
      </c>
      <c r="J56" s="95">
        <v>9499</v>
      </c>
      <c r="K56" s="1977"/>
      <c r="M56" s="238">
        <v>41944</v>
      </c>
      <c r="N56" s="95">
        <v>20314</v>
      </c>
      <c r="O56" s="1977"/>
      <c r="Q56" s="238">
        <v>41944</v>
      </c>
      <c r="R56" s="95">
        <v>36920</v>
      </c>
      <c r="S56" s="1977"/>
      <c r="T56" s="6"/>
      <c r="U56" s="6"/>
      <c r="W56" s="238">
        <v>44287</v>
      </c>
      <c r="X56" s="95">
        <v>7965</v>
      </c>
      <c r="Y56" s="1978">
        <f>SUM(X56:X64)*3</f>
        <v>119136</v>
      </c>
      <c r="AA56" s="238">
        <v>41944</v>
      </c>
      <c r="AB56" s="95"/>
      <c r="AC56" s="1977"/>
      <c r="AE56" s="238">
        <v>41944</v>
      </c>
      <c r="AF56" s="95"/>
      <c r="AG56" s="1977"/>
    </row>
    <row r="57" spans="1:63" x14ac:dyDescent="0.25">
      <c r="A57" s="238">
        <v>44287</v>
      </c>
      <c r="B57" s="118">
        <v>4844169</v>
      </c>
      <c r="C57" s="1976">
        <f>SUM(B57:B65)*3</f>
        <v>68281143</v>
      </c>
      <c r="D57" s="239"/>
      <c r="E57" s="238">
        <v>41974</v>
      </c>
      <c r="F57" s="95">
        <v>27720</v>
      </c>
      <c r="G57" s="1977"/>
      <c r="I57" s="238">
        <v>41974</v>
      </c>
      <c r="J57" s="95">
        <v>10661</v>
      </c>
      <c r="K57" s="1977"/>
      <c r="M57" s="238">
        <v>41974</v>
      </c>
      <c r="N57" s="95">
        <v>17059</v>
      </c>
      <c r="O57" s="1977"/>
      <c r="Q57" s="238">
        <v>41974</v>
      </c>
      <c r="R57" s="95">
        <v>36740</v>
      </c>
      <c r="S57" s="1977"/>
      <c r="T57" s="6"/>
      <c r="U57" s="6"/>
      <c r="W57" s="238">
        <v>44317</v>
      </c>
      <c r="X57" s="95">
        <v>9093</v>
      </c>
      <c r="Y57" s="1977"/>
      <c r="AA57" s="238">
        <v>41974</v>
      </c>
      <c r="AB57" s="95"/>
      <c r="AC57" s="1977"/>
      <c r="AE57" s="238">
        <v>41974</v>
      </c>
      <c r="AF57" s="95"/>
      <c r="AG57" s="1977"/>
    </row>
    <row r="58" spans="1:63" x14ac:dyDescent="0.25">
      <c r="A58" s="238">
        <v>44317</v>
      </c>
      <c r="B58" s="118">
        <v>5464720</v>
      </c>
      <c r="C58" s="1977"/>
      <c r="D58" s="239"/>
      <c r="E58" s="238">
        <v>42005</v>
      </c>
      <c r="F58" s="95">
        <v>17781</v>
      </c>
      <c r="G58" s="1977"/>
      <c r="I58" s="238">
        <v>42005</v>
      </c>
      <c r="J58" s="95">
        <v>4736</v>
      </c>
      <c r="K58" s="1977"/>
      <c r="M58" s="238">
        <v>42005</v>
      </c>
      <c r="N58" s="95">
        <v>13045</v>
      </c>
      <c r="O58" s="1977"/>
      <c r="Q58" s="238">
        <v>42005</v>
      </c>
      <c r="R58" s="95">
        <v>12695</v>
      </c>
      <c r="S58" s="1977"/>
      <c r="T58" s="6"/>
      <c r="U58" s="6"/>
      <c r="W58" s="238">
        <v>44348</v>
      </c>
      <c r="X58" s="95">
        <v>10523</v>
      </c>
      <c r="Y58" s="1977"/>
      <c r="AA58" s="238">
        <v>42005</v>
      </c>
      <c r="AB58" s="95"/>
      <c r="AC58" s="1977"/>
      <c r="AE58" s="238">
        <v>42005</v>
      </c>
      <c r="AF58" s="95"/>
      <c r="AG58" s="1977"/>
    </row>
    <row r="59" spans="1:63" x14ac:dyDescent="0.25">
      <c r="A59" s="238">
        <v>44348</v>
      </c>
      <c r="B59" s="118">
        <v>5464721</v>
      </c>
      <c r="C59" s="1977"/>
      <c r="D59" s="239"/>
      <c r="E59" s="238">
        <v>42036</v>
      </c>
      <c r="F59" s="95">
        <v>30635</v>
      </c>
      <c r="G59" s="1977"/>
      <c r="I59" s="238">
        <v>42036</v>
      </c>
      <c r="J59" s="95">
        <v>8288</v>
      </c>
      <c r="K59" s="1977"/>
      <c r="M59" s="238">
        <v>42036</v>
      </c>
      <c r="N59" s="95">
        <v>22347</v>
      </c>
      <c r="O59" s="1977"/>
      <c r="Q59" s="238">
        <v>42036</v>
      </c>
      <c r="R59" s="95">
        <v>24534</v>
      </c>
      <c r="S59" s="1977"/>
      <c r="T59" s="6"/>
      <c r="U59" s="6"/>
      <c r="W59" s="238">
        <v>44378</v>
      </c>
      <c r="X59" s="95">
        <v>12131</v>
      </c>
      <c r="Y59" s="1977"/>
      <c r="AA59" s="238">
        <v>42036</v>
      </c>
      <c r="AB59" s="95"/>
      <c r="AC59" s="1977"/>
      <c r="AE59" s="238">
        <v>42036</v>
      </c>
      <c r="AF59" s="95"/>
      <c r="AG59" s="1977"/>
    </row>
    <row r="60" spans="1:63" x14ac:dyDescent="0.25">
      <c r="A60" s="238">
        <v>44378</v>
      </c>
      <c r="B60" s="118">
        <v>6986771</v>
      </c>
      <c r="C60" s="1977"/>
      <c r="D60" s="239"/>
      <c r="E60" s="238">
        <v>42064</v>
      </c>
      <c r="F60" s="95">
        <v>36500</v>
      </c>
      <c r="G60" s="1977"/>
      <c r="I60" s="238">
        <v>42064</v>
      </c>
      <c r="J60" s="95">
        <v>10106</v>
      </c>
      <c r="K60" s="1977"/>
      <c r="M60" s="238">
        <v>42064</v>
      </c>
      <c r="N60" s="95">
        <v>26394</v>
      </c>
      <c r="O60" s="1977"/>
      <c r="Q60" s="238">
        <v>42064</v>
      </c>
      <c r="R60" s="95">
        <v>35818</v>
      </c>
      <c r="S60" s="1977"/>
      <c r="T60" s="6"/>
      <c r="U60" s="6"/>
      <c r="W60" s="238">
        <v>44409</v>
      </c>
      <c r="X60" s="95"/>
      <c r="Y60" s="1977"/>
      <c r="AA60" s="238">
        <v>42064</v>
      </c>
      <c r="AB60" s="95"/>
      <c r="AC60" s="1977"/>
      <c r="AE60" s="238">
        <v>42064</v>
      </c>
      <c r="AF60" s="95"/>
      <c r="AG60" s="1977"/>
    </row>
    <row r="61" spans="1:63" x14ac:dyDescent="0.25">
      <c r="A61" s="238">
        <v>44409</v>
      </c>
      <c r="B61" s="118"/>
      <c r="C61" s="1977"/>
      <c r="D61" s="239"/>
      <c r="E61" s="238">
        <v>42095</v>
      </c>
      <c r="F61" s="95">
        <v>27404</v>
      </c>
      <c r="G61" s="1978">
        <f>SUM(F61:F72)</f>
        <v>322153</v>
      </c>
      <c r="I61" s="238">
        <v>42095</v>
      </c>
      <c r="J61" s="95">
        <v>7568</v>
      </c>
      <c r="K61" s="1978">
        <f>SUM(J61:J72)</f>
        <v>110889</v>
      </c>
      <c r="M61" s="238">
        <v>42095</v>
      </c>
      <c r="N61" s="95">
        <v>19836</v>
      </c>
      <c r="O61" s="1978">
        <f>SUM(N61:N72)</f>
        <v>211264</v>
      </c>
      <c r="Q61" s="238">
        <v>42095</v>
      </c>
      <c r="R61" s="95">
        <v>27206</v>
      </c>
      <c r="S61" s="1978">
        <f>SUM(R61:R72)</f>
        <v>401516</v>
      </c>
      <c r="T61" s="584"/>
      <c r="U61" s="584"/>
      <c r="W61" s="238">
        <v>44440</v>
      </c>
      <c r="X61" s="95"/>
      <c r="Y61" s="1977"/>
      <c r="AA61" s="238">
        <v>42095</v>
      </c>
      <c r="AB61" s="95"/>
      <c r="AC61" s="1978">
        <f>SUM(AB61:AB72)</f>
        <v>0</v>
      </c>
      <c r="AE61" s="238">
        <v>42095</v>
      </c>
      <c r="AF61" s="95"/>
      <c r="AG61" s="1978">
        <f>SUM(AF61:AF72)</f>
        <v>0</v>
      </c>
    </row>
    <row r="62" spans="1:63" x14ac:dyDescent="0.25">
      <c r="A62" s="238">
        <v>44440</v>
      </c>
      <c r="B62" s="118"/>
      <c r="C62" s="1977"/>
      <c r="D62" s="239"/>
      <c r="E62" s="238">
        <v>42125</v>
      </c>
      <c r="F62" s="95">
        <v>28530</v>
      </c>
      <c r="G62" s="1977"/>
      <c r="I62" s="238">
        <v>42125</v>
      </c>
      <c r="J62" s="95">
        <v>8272</v>
      </c>
      <c r="K62" s="1977"/>
      <c r="M62" s="238">
        <v>42125</v>
      </c>
      <c r="N62" s="95">
        <v>20258</v>
      </c>
      <c r="O62" s="1977"/>
      <c r="Q62" s="238">
        <v>42125</v>
      </c>
      <c r="R62" s="95">
        <v>26719</v>
      </c>
      <c r="S62" s="1977"/>
      <c r="T62" s="6"/>
      <c r="U62" s="6"/>
      <c r="W62" s="238">
        <v>44470</v>
      </c>
      <c r="X62" s="95"/>
      <c r="Y62" s="1977"/>
      <c r="AA62" s="238">
        <v>42125</v>
      </c>
      <c r="AB62" s="95"/>
      <c r="AC62" s="1977"/>
      <c r="AE62" s="238">
        <v>42125</v>
      </c>
      <c r="AF62" s="95"/>
      <c r="AG62" s="1977"/>
    </row>
    <row r="63" spans="1:63" x14ac:dyDescent="0.25">
      <c r="A63" s="238">
        <v>44470</v>
      </c>
      <c r="B63" s="118"/>
      <c r="C63" s="1977"/>
      <c r="D63" s="239"/>
      <c r="E63" s="238">
        <v>42156</v>
      </c>
      <c r="F63" s="95">
        <v>29009</v>
      </c>
      <c r="G63" s="1977"/>
      <c r="I63" s="238">
        <v>42156</v>
      </c>
      <c r="J63" s="95">
        <v>9757</v>
      </c>
      <c r="K63" s="1977"/>
      <c r="M63" s="238">
        <v>42156</v>
      </c>
      <c r="N63" s="95">
        <v>19252</v>
      </c>
      <c r="O63" s="1977"/>
      <c r="Q63" s="238">
        <v>42156</v>
      </c>
      <c r="R63" s="95">
        <v>39952</v>
      </c>
      <c r="S63" s="1977"/>
      <c r="T63" s="6"/>
      <c r="U63" s="6"/>
      <c r="W63" s="238">
        <v>44501</v>
      </c>
      <c r="X63" s="95"/>
      <c r="Y63" s="1977"/>
      <c r="AA63" s="238">
        <v>42156</v>
      </c>
      <c r="AB63" s="95"/>
      <c r="AC63" s="1977"/>
      <c r="AE63" s="238">
        <v>42156</v>
      </c>
      <c r="AF63" s="95"/>
      <c r="AG63" s="1977"/>
    </row>
    <row r="64" spans="1:63" x14ac:dyDescent="0.25">
      <c r="A64" s="238">
        <v>44501</v>
      </c>
      <c r="B64" s="118"/>
      <c r="C64" s="1977"/>
      <c r="D64" s="239"/>
      <c r="E64" s="238">
        <v>42186</v>
      </c>
      <c r="F64" s="95">
        <v>27468</v>
      </c>
      <c r="G64" s="1977"/>
      <c r="I64" s="238">
        <v>42186</v>
      </c>
      <c r="J64" s="95">
        <v>7863</v>
      </c>
      <c r="K64" s="1977"/>
      <c r="M64" s="238">
        <v>42186</v>
      </c>
      <c r="N64" s="95">
        <v>19605</v>
      </c>
      <c r="O64" s="1977"/>
      <c r="Q64" s="238">
        <v>42186</v>
      </c>
      <c r="R64" s="95">
        <v>34863</v>
      </c>
      <c r="S64" s="1977"/>
      <c r="T64" s="6"/>
      <c r="U64" s="6"/>
      <c r="W64" s="238">
        <v>44531</v>
      </c>
      <c r="X64" s="95"/>
      <c r="Y64" s="1977"/>
      <c r="AA64" s="238">
        <v>42186</v>
      </c>
      <c r="AB64" s="95"/>
      <c r="AC64" s="1977"/>
      <c r="AE64" s="238">
        <v>42186</v>
      </c>
      <c r="AF64" s="95"/>
      <c r="AG64" s="1977"/>
    </row>
    <row r="65" spans="1:33" x14ac:dyDescent="0.25">
      <c r="A65" s="238">
        <v>44531</v>
      </c>
      <c r="B65" s="118"/>
      <c r="C65" s="1977"/>
      <c r="D65" s="239"/>
      <c r="E65" s="238">
        <v>42217</v>
      </c>
      <c r="F65" s="95">
        <v>26543</v>
      </c>
      <c r="G65" s="1977"/>
      <c r="I65" s="238">
        <v>42217</v>
      </c>
      <c r="J65" s="95">
        <v>9407</v>
      </c>
      <c r="K65" s="1977"/>
      <c r="M65" s="238">
        <v>42217</v>
      </c>
      <c r="N65" s="95">
        <v>17136</v>
      </c>
      <c r="O65" s="1977"/>
      <c r="Q65" s="238">
        <v>42217</v>
      </c>
      <c r="R65" s="95">
        <v>42626</v>
      </c>
      <c r="S65" s="1977"/>
      <c r="T65" s="6"/>
      <c r="U65" s="6"/>
      <c r="W65" s="238" t="s">
        <v>520</v>
      </c>
      <c r="X65" s="95">
        <v>330837.28399999999</v>
      </c>
      <c r="Y65" s="1977"/>
      <c r="AA65" s="238">
        <v>42217</v>
      </c>
      <c r="AB65" s="95"/>
      <c r="AC65" s="1977"/>
      <c r="AE65" s="238">
        <v>42217</v>
      </c>
      <c r="AF65" s="95"/>
      <c r="AG65" s="1977"/>
    </row>
    <row r="66" spans="1:33" x14ac:dyDescent="0.25">
      <c r="A66" s="238" t="s">
        <v>520</v>
      </c>
      <c r="B66" s="118">
        <v>207339190.73000002</v>
      </c>
      <c r="C66" s="1977"/>
      <c r="D66" s="239"/>
      <c r="E66" s="238">
        <v>42248</v>
      </c>
      <c r="F66" s="95">
        <v>28583</v>
      </c>
      <c r="G66" s="1977"/>
      <c r="I66" s="238">
        <v>42248</v>
      </c>
      <c r="J66" s="95">
        <v>10698</v>
      </c>
      <c r="K66" s="1977"/>
      <c r="M66" s="238">
        <v>42248</v>
      </c>
      <c r="N66" s="95">
        <v>17885</v>
      </c>
      <c r="O66" s="1977"/>
      <c r="Q66" s="238">
        <v>42248</v>
      </c>
      <c r="R66" s="95">
        <v>34417</v>
      </c>
      <c r="S66" s="1977"/>
      <c r="T66" s="6"/>
      <c r="U66" s="6"/>
      <c r="X66"/>
      <c r="Y66" s="1977"/>
      <c r="AA66" s="238">
        <v>42248</v>
      </c>
      <c r="AB66" s="95"/>
      <c r="AC66" s="1977"/>
      <c r="AE66" s="238">
        <v>42248</v>
      </c>
      <c r="AF66" s="95"/>
      <c r="AG66" s="1977"/>
    </row>
    <row r="67" spans="1:33" x14ac:dyDescent="0.25">
      <c r="C67" s="1977"/>
      <c r="D67" s="239"/>
      <c r="E67" s="238">
        <v>42278</v>
      </c>
      <c r="F67" s="95">
        <v>27675</v>
      </c>
      <c r="G67" s="1977"/>
      <c r="I67" s="238">
        <v>42278</v>
      </c>
      <c r="J67" s="95">
        <v>10659</v>
      </c>
      <c r="K67" s="1977"/>
      <c r="M67" s="238">
        <v>42278</v>
      </c>
      <c r="N67" s="95">
        <v>17016</v>
      </c>
      <c r="O67" s="1977"/>
      <c r="Q67" s="238">
        <v>42278</v>
      </c>
      <c r="R67" s="95">
        <v>35287</v>
      </c>
      <c r="S67" s="1977"/>
      <c r="T67" s="6"/>
      <c r="U67" s="6"/>
      <c r="X67"/>
      <c r="Y67" s="1977"/>
      <c r="AA67" s="238">
        <v>42278</v>
      </c>
      <c r="AB67" s="95"/>
      <c r="AC67" s="1977"/>
      <c r="AE67" s="238">
        <v>42278</v>
      </c>
      <c r="AF67" s="95"/>
      <c r="AG67" s="1977"/>
    </row>
    <row r="68" spans="1:33" x14ac:dyDescent="0.25">
      <c r="C68" s="1977"/>
      <c r="D68" s="239"/>
      <c r="E68" s="238">
        <v>42309</v>
      </c>
      <c r="F68" s="95">
        <v>31347</v>
      </c>
      <c r="G68" s="1977"/>
      <c r="I68" s="238">
        <v>42309</v>
      </c>
      <c r="J68" s="95">
        <v>14024</v>
      </c>
      <c r="K68" s="1977"/>
      <c r="M68" s="238">
        <v>42309</v>
      </c>
      <c r="N68" s="95">
        <v>17323</v>
      </c>
      <c r="O68" s="1977"/>
      <c r="Q68" s="238">
        <v>42309</v>
      </c>
      <c r="R68" s="95">
        <v>43002</v>
      </c>
      <c r="S68" s="1977"/>
      <c r="T68" s="6"/>
      <c r="U68" s="6"/>
      <c r="X68"/>
      <c r="Y68" s="12"/>
      <c r="AA68" s="238">
        <v>42309</v>
      </c>
      <c r="AB68" s="95"/>
      <c r="AC68" s="1977"/>
      <c r="AE68" s="238">
        <v>42309</v>
      </c>
      <c r="AF68" s="95"/>
      <c r="AG68" s="1977"/>
    </row>
    <row r="69" spans="1:33" x14ac:dyDescent="0.25">
      <c r="E69" s="238">
        <v>42339</v>
      </c>
      <c r="F69" s="95">
        <v>21715</v>
      </c>
      <c r="G69" s="1977"/>
      <c r="I69" s="238">
        <v>42339</v>
      </c>
      <c r="J69" s="95">
        <v>8676</v>
      </c>
      <c r="K69" s="1977"/>
      <c r="M69" s="238">
        <v>42339</v>
      </c>
      <c r="N69" s="95">
        <v>13039</v>
      </c>
      <c r="O69" s="1977"/>
      <c r="Q69" s="238">
        <v>42339</v>
      </c>
      <c r="R69" s="95">
        <v>28170</v>
      </c>
      <c r="S69" s="1977"/>
      <c r="T69" s="6"/>
      <c r="U69" s="6"/>
      <c r="X69"/>
      <c r="Y69" s="12"/>
      <c r="AA69" s="238">
        <v>42339</v>
      </c>
      <c r="AB69" s="95"/>
      <c r="AC69" s="1977"/>
      <c r="AE69" s="238">
        <v>42339</v>
      </c>
      <c r="AF69" s="95"/>
      <c r="AG69" s="1977"/>
    </row>
    <row r="70" spans="1:33" x14ac:dyDescent="0.25">
      <c r="E70" s="238">
        <v>42370</v>
      </c>
      <c r="F70" s="95">
        <v>23193</v>
      </c>
      <c r="G70" s="1977"/>
      <c r="I70" s="238">
        <v>42370</v>
      </c>
      <c r="J70" s="95">
        <v>6426</v>
      </c>
      <c r="K70" s="1977"/>
      <c r="M70" s="238">
        <v>42370</v>
      </c>
      <c r="N70" s="95">
        <v>16767</v>
      </c>
      <c r="O70" s="1977"/>
      <c r="Q70" s="238">
        <v>42370</v>
      </c>
      <c r="R70" s="95">
        <v>22716</v>
      </c>
      <c r="S70" s="1977"/>
      <c r="T70" s="6"/>
      <c r="U70" s="6"/>
      <c r="X70"/>
      <c r="Y70" s="12"/>
      <c r="AA70" s="238">
        <v>42370</v>
      </c>
      <c r="AB70" s="95"/>
      <c r="AC70" s="1977"/>
      <c r="AE70" s="238">
        <v>42370</v>
      </c>
      <c r="AF70" s="95"/>
      <c r="AG70" s="1977"/>
    </row>
    <row r="71" spans="1:33" x14ac:dyDescent="0.25">
      <c r="E71" s="238">
        <v>42401</v>
      </c>
      <c r="F71" s="95">
        <v>24546</v>
      </c>
      <c r="G71" s="1977"/>
      <c r="I71" s="238">
        <v>42401</v>
      </c>
      <c r="J71" s="95">
        <v>8482</v>
      </c>
      <c r="K71" s="1977"/>
      <c r="M71" s="238">
        <v>42401</v>
      </c>
      <c r="N71" s="95">
        <v>16064</v>
      </c>
      <c r="O71" s="1977"/>
      <c r="Q71" s="238">
        <v>42401</v>
      </c>
      <c r="R71" s="95">
        <v>39204</v>
      </c>
      <c r="S71" s="1977"/>
      <c r="T71" s="6"/>
      <c r="U71" s="6"/>
      <c r="X71"/>
      <c r="Y71" s="12"/>
      <c r="AA71" s="238">
        <v>42401</v>
      </c>
      <c r="AB71" s="95"/>
      <c r="AC71" s="1977"/>
      <c r="AE71" s="238">
        <v>42401</v>
      </c>
      <c r="AF71" s="95"/>
      <c r="AG71" s="1977"/>
    </row>
    <row r="72" spans="1:33" x14ac:dyDescent="0.25">
      <c r="E72" s="238">
        <v>42430</v>
      </c>
      <c r="F72" s="95">
        <v>26140</v>
      </c>
      <c r="G72" s="1977"/>
      <c r="I72" s="238">
        <v>42430</v>
      </c>
      <c r="J72" s="95">
        <v>9057</v>
      </c>
      <c r="K72" s="1977"/>
      <c r="M72" s="238">
        <v>42430</v>
      </c>
      <c r="N72" s="95">
        <v>17083</v>
      </c>
      <c r="O72" s="1977"/>
      <c r="Q72" s="238">
        <v>42430</v>
      </c>
      <c r="R72" s="95">
        <v>27354</v>
      </c>
      <c r="S72" s="1977"/>
      <c r="T72" s="6"/>
      <c r="U72" s="6"/>
      <c r="X72"/>
      <c r="Y72" s="12"/>
      <c r="AA72" s="238">
        <v>42430</v>
      </c>
      <c r="AB72" s="95"/>
      <c r="AC72" s="1977"/>
      <c r="AE72" s="238">
        <v>42430</v>
      </c>
      <c r="AF72" s="95"/>
      <c r="AG72" s="1977"/>
    </row>
    <row r="73" spans="1:33" x14ac:dyDescent="0.25">
      <c r="E73" s="238">
        <v>42461</v>
      </c>
      <c r="F73" s="95">
        <v>22012</v>
      </c>
      <c r="G73" s="1978">
        <f>SUM(F73:F84)</f>
        <v>298836</v>
      </c>
      <c r="I73" s="238">
        <v>42461</v>
      </c>
      <c r="J73" s="95">
        <v>6515</v>
      </c>
      <c r="K73" s="1978">
        <f>SUM(J73:J84)</f>
        <v>115573</v>
      </c>
      <c r="M73" s="238">
        <v>42461</v>
      </c>
      <c r="N73" s="95">
        <v>15497</v>
      </c>
      <c r="O73" s="1978">
        <f>SUM(N73:N84)</f>
        <v>183263</v>
      </c>
      <c r="Q73" s="238">
        <v>42461</v>
      </c>
      <c r="R73" s="95">
        <v>24138</v>
      </c>
      <c r="S73" s="1978">
        <f>SUM(R73:R84)</f>
        <v>375386</v>
      </c>
      <c r="T73" s="584"/>
      <c r="U73" s="584"/>
      <c r="X73"/>
      <c r="Y73" s="240"/>
      <c r="AA73" s="238">
        <v>42461</v>
      </c>
      <c r="AB73" s="95">
        <v>72</v>
      </c>
      <c r="AC73" s="1978">
        <f>SUM(AB73:AB84)/12</f>
        <v>73.333333333333329</v>
      </c>
      <c r="AE73" s="238">
        <v>42461</v>
      </c>
      <c r="AF73" s="95">
        <v>0</v>
      </c>
      <c r="AG73" s="1978">
        <f>SUM(AF73:AF84)/12</f>
        <v>0</v>
      </c>
    </row>
    <row r="74" spans="1:33" x14ac:dyDescent="0.25">
      <c r="E74" s="238">
        <v>42491</v>
      </c>
      <c r="F74" s="95">
        <v>21868</v>
      </c>
      <c r="G74" s="1977"/>
      <c r="I74" s="238">
        <v>42491</v>
      </c>
      <c r="J74" s="95">
        <v>6415</v>
      </c>
      <c r="K74" s="1977"/>
      <c r="M74" s="238">
        <v>42491</v>
      </c>
      <c r="N74" s="95">
        <v>15453</v>
      </c>
      <c r="O74" s="1977"/>
      <c r="Q74" s="238">
        <v>42491</v>
      </c>
      <c r="R74" s="95">
        <v>27123</v>
      </c>
      <c r="S74" s="1977"/>
      <c r="T74" s="6"/>
      <c r="U74" s="6"/>
      <c r="X74"/>
      <c r="Y74" s="12"/>
      <c r="AA74" s="238">
        <v>42491</v>
      </c>
      <c r="AB74" s="95">
        <v>70</v>
      </c>
      <c r="AC74" s="1977"/>
      <c r="AE74" s="238">
        <v>42491</v>
      </c>
      <c r="AF74" s="95"/>
      <c r="AG74" s="1977"/>
    </row>
    <row r="75" spans="1:33" x14ac:dyDescent="0.25">
      <c r="E75" s="238">
        <v>42522</v>
      </c>
      <c r="F75" s="95">
        <v>20533</v>
      </c>
      <c r="G75" s="1977"/>
      <c r="I75" s="238">
        <v>42522</v>
      </c>
      <c r="J75" s="95">
        <v>5291</v>
      </c>
      <c r="K75" s="1977"/>
      <c r="M75" s="238">
        <v>42522</v>
      </c>
      <c r="N75" s="95">
        <v>15242</v>
      </c>
      <c r="O75" s="1977"/>
      <c r="Q75" s="238">
        <v>42522</v>
      </c>
      <c r="R75" s="95">
        <v>25646</v>
      </c>
      <c r="S75" s="1977"/>
      <c r="T75" s="6"/>
      <c r="U75" s="6"/>
      <c r="X75"/>
      <c r="Y75" s="12"/>
      <c r="AA75" s="238">
        <v>42522</v>
      </c>
      <c r="AB75" s="95">
        <v>68</v>
      </c>
      <c r="AC75" s="1977"/>
      <c r="AE75" s="238">
        <v>42522</v>
      </c>
      <c r="AF75" s="95"/>
      <c r="AG75" s="1977"/>
    </row>
    <row r="76" spans="1:33" x14ac:dyDescent="0.25">
      <c r="E76" s="238">
        <v>42552</v>
      </c>
      <c r="F76" s="95">
        <v>25126</v>
      </c>
      <c r="G76" s="1977"/>
      <c r="I76" s="238">
        <v>42552</v>
      </c>
      <c r="J76" s="95">
        <v>8242</v>
      </c>
      <c r="K76" s="1977"/>
      <c r="M76" s="238">
        <v>42552</v>
      </c>
      <c r="N76" s="95">
        <v>16884</v>
      </c>
      <c r="O76" s="1977"/>
      <c r="Q76" s="238">
        <v>42552</v>
      </c>
      <c r="R76" s="95">
        <v>27047</v>
      </c>
      <c r="S76" s="1977"/>
      <c r="T76" s="6"/>
      <c r="U76" s="6"/>
      <c r="X76"/>
      <c r="Y76" s="12"/>
      <c r="AA76" s="238">
        <v>42552</v>
      </c>
      <c r="AB76" s="95">
        <v>67</v>
      </c>
      <c r="AC76" s="1977"/>
      <c r="AE76" s="238">
        <v>42552</v>
      </c>
      <c r="AF76" s="95"/>
      <c r="AG76" s="1977"/>
    </row>
    <row r="77" spans="1:33" x14ac:dyDescent="0.25">
      <c r="E77" s="238">
        <v>42583</v>
      </c>
      <c r="F77" s="95">
        <v>24732</v>
      </c>
      <c r="G77" s="1977"/>
      <c r="I77" s="238">
        <v>42583</v>
      </c>
      <c r="J77" s="95">
        <v>11506</v>
      </c>
      <c r="K77" s="1977"/>
      <c r="M77" s="238">
        <v>42583</v>
      </c>
      <c r="N77" s="95">
        <v>13226</v>
      </c>
      <c r="O77" s="1977"/>
      <c r="Q77" s="238">
        <v>42583</v>
      </c>
      <c r="R77" s="95">
        <v>29459</v>
      </c>
      <c r="S77" s="1977"/>
      <c r="T77" s="6"/>
      <c r="U77" s="6"/>
      <c r="X77"/>
      <c r="Y77" s="12"/>
      <c r="AA77" s="238">
        <v>42583</v>
      </c>
      <c r="AB77" s="95">
        <v>71</v>
      </c>
      <c r="AC77" s="1977"/>
      <c r="AE77" s="238">
        <v>42583</v>
      </c>
      <c r="AF77" s="95"/>
      <c r="AG77" s="1977"/>
    </row>
    <row r="78" spans="1:33" x14ac:dyDescent="0.25">
      <c r="E78" s="238">
        <v>42614</v>
      </c>
      <c r="F78" s="95">
        <v>21681</v>
      </c>
      <c r="G78" s="1977"/>
      <c r="I78" s="238">
        <v>42614</v>
      </c>
      <c r="J78" s="95">
        <v>8829</v>
      </c>
      <c r="K78" s="1977"/>
      <c r="M78" s="238">
        <v>42614</v>
      </c>
      <c r="N78" s="95">
        <v>12852</v>
      </c>
      <c r="O78" s="1977"/>
      <c r="Q78" s="238">
        <v>42614</v>
      </c>
      <c r="R78" s="95">
        <v>31209</v>
      </c>
      <c r="S78" s="1977"/>
      <c r="T78" s="6"/>
      <c r="U78" s="6"/>
      <c r="X78"/>
      <c r="Y78" s="12"/>
      <c r="AA78" s="238">
        <v>42614</v>
      </c>
      <c r="AB78" s="95">
        <v>71</v>
      </c>
      <c r="AC78" s="1977"/>
      <c r="AE78" s="238">
        <v>42614</v>
      </c>
      <c r="AF78" s="95"/>
      <c r="AG78" s="1977"/>
    </row>
    <row r="79" spans="1:33" x14ac:dyDescent="0.25">
      <c r="E79" s="238">
        <v>42644</v>
      </c>
      <c r="F79" s="95">
        <v>29219</v>
      </c>
      <c r="G79" s="1977"/>
      <c r="I79" s="238">
        <v>42644</v>
      </c>
      <c r="J79" s="95">
        <v>13416</v>
      </c>
      <c r="K79" s="1977"/>
      <c r="M79" s="238">
        <v>42644</v>
      </c>
      <c r="N79" s="95">
        <v>15803</v>
      </c>
      <c r="O79" s="1977"/>
      <c r="Q79" s="238">
        <v>42644</v>
      </c>
      <c r="R79" s="95">
        <v>43022</v>
      </c>
      <c r="S79" s="1977"/>
      <c r="T79" s="6"/>
      <c r="U79" s="6"/>
      <c r="X79"/>
      <c r="Y79" s="12"/>
      <c r="AA79" s="238">
        <v>42644</v>
      </c>
      <c r="AB79" s="95">
        <v>73</v>
      </c>
      <c r="AC79" s="1977"/>
      <c r="AE79" s="238">
        <v>42644</v>
      </c>
      <c r="AF79" s="95"/>
      <c r="AG79" s="1977"/>
    </row>
    <row r="80" spans="1:33" x14ac:dyDescent="0.25">
      <c r="E80" s="238">
        <v>42675</v>
      </c>
      <c r="F80" s="95">
        <v>28484</v>
      </c>
      <c r="G80" s="1977"/>
      <c r="I80" s="238">
        <v>42675</v>
      </c>
      <c r="J80" s="95">
        <v>10255</v>
      </c>
      <c r="K80" s="1977"/>
      <c r="M80" s="238">
        <v>42675</v>
      </c>
      <c r="N80" s="95">
        <v>18229</v>
      </c>
      <c r="O80" s="1977"/>
      <c r="Q80" s="238">
        <v>42675</v>
      </c>
      <c r="R80" s="95">
        <v>33259</v>
      </c>
      <c r="S80" s="1977"/>
      <c r="T80" s="6"/>
      <c r="U80" s="6"/>
      <c r="X80"/>
      <c r="Y80" s="12"/>
      <c r="AA80" s="238">
        <v>42675</v>
      </c>
      <c r="AB80" s="95">
        <v>79</v>
      </c>
      <c r="AC80" s="1977"/>
      <c r="AE80" s="238">
        <v>42675</v>
      </c>
      <c r="AF80" s="95"/>
      <c r="AG80" s="1977"/>
    </row>
    <row r="81" spans="5:33" x14ac:dyDescent="0.25">
      <c r="E81" s="238">
        <v>42705</v>
      </c>
      <c r="F81" s="95">
        <v>21276</v>
      </c>
      <c r="G81" s="1977"/>
      <c r="I81" s="238">
        <v>42705</v>
      </c>
      <c r="J81" s="95">
        <v>7566</v>
      </c>
      <c r="K81" s="1977"/>
      <c r="M81" s="238">
        <v>42705</v>
      </c>
      <c r="N81" s="95">
        <v>13710</v>
      </c>
      <c r="O81" s="1977"/>
      <c r="Q81" s="238">
        <v>42705</v>
      </c>
      <c r="R81" s="95">
        <v>29928</v>
      </c>
      <c r="S81" s="1977"/>
      <c r="T81" s="6"/>
      <c r="U81" s="6"/>
      <c r="X81"/>
      <c r="Y81" s="12"/>
      <c r="AA81" s="238">
        <v>42705</v>
      </c>
      <c r="AB81" s="95">
        <v>76</v>
      </c>
      <c r="AC81" s="1977"/>
      <c r="AE81" s="238">
        <v>42705</v>
      </c>
      <c r="AF81" s="95"/>
      <c r="AG81" s="1977"/>
    </row>
    <row r="82" spans="5:33" x14ac:dyDescent="0.25">
      <c r="E82" s="238">
        <v>42736</v>
      </c>
      <c r="F82" s="95">
        <v>22014</v>
      </c>
      <c r="G82" s="1977"/>
      <c r="I82" s="238">
        <v>42736</v>
      </c>
      <c r="J82" s="95">
        <v>10985</v>
      </c>
      <c r="K82" s="1977"/>
      <c r="M82" s="238">
        <v>42736</v>
      </c>
      <c r="N82" s="95">
        <v>11029</v>
      </c>
      <c r="O82" s="1977"/>
      <c r="Q82" s="238">
        <v>42736</v>
      </c>
      <c r="R82" s="95">
        <v>38897</v>
      </c>
      <c r="S82" s="1977"/>
      <c r="T82" s="6"/>
      <c r="U82" s="6"/>
      <c r="X82"/>
      <c r="Y82" s="12"/>
      <c r="AA82" s="238">
        <v>42736</v>
      </c>
      <c r="AB82" s="95">
        <v>75</v>
      </c>
      <c r="AC82" s="1977"/>
      <c r="AE82" s="238">
        <v>42736</v>
      </c>
      <c r="AF82" s="95"/>
      <c r="AG82" s="1977"/>
    </row>
    <row r="83" spans="5:33" x14ac:dyDescent="0.25">
      <c r="E83" s="238">
        <v>42767</v>
      </c>
      <c r="F83" s="95">
        <v>28194</v>
      </c>
      <c r="G83" s="1977"/>
      <c r="I83" s="238">
        <v>42767</v>
      </c>
      <c r="J83" s="95">
        <v>12644</v>
      </c>
      <c r="K83" s="1977"/>
      <c r="M83" s="238">
        <v>42767</v>
      </c>
      <c r="N83" s="95">
        <v>15550</v>
      </c>
      <c r="O83" s="1977"/>
      <c r="Q83" s="238">
        <v>42767</v>
      </c>
      <c r="R83" s="95">
        <v>34499</v>
      </c>
      <c r="S83" s="1977"/>
      <c r="T83" s="6"/>
      <c r="U83" s="6"/>
      <c r="X83"/>
      <c r="Y83" s="12"/>
      <c r="AA83" s="238">
        <v>42767</v>
      </c>
      <c r="AB83" s="95">
        <v>78</v>
      </c>
      <c r="AC83" s="1977"/>
      <c r="AE83" s="238">
        <v>42767</v>
      </c>
      <c r="AF83" s="95"/>
      <c r="AG83" s="1977"/>
    </row>
    <row r="84" spans="5:33" x14ac:dyDescent="0.25">
      <c r="E84" s="238">
        <v>42795</v>
      </c>
      <c r="F84" s="95">
        <v>33697</v>
      </c>
      <c r="G84" s="1977"/>
      <c r="I84" s="238">
        <v>42795</v>
      </c>
      <c r="J84" s="95">
        <v>13909</v>
      </c>
      <c r="K84" s="1977"/>
      <c r="M84" s="238">
        <v>42795</v>
      </c>
      <c r="N84" s="95">
        <v>19788</v>
      </c>
      <c r="O84" s="1977"/>
      <c r="Q84" s="238">
        <v>42795</v>
      </c>
      <c r="R84" s="95">
        <v>31159</v>
      </c>
      <c r="S84" s="1977"/>
      <c r="T84" s="6"/>
      <c r="U84" s="6"/>
      <c r="X84"/>
      <c r="Y84" s="12"/>
      <c r="AA84" s="238">
        <v>42795</v>
      </c>
      <c r="AB84" s="95">
        <v>80</v>
      </c>
      <c r="AC84" s="1977"/>
      <c r="AE84" s="238">
        <v>42795</v>
      </c>
      <c r="AF84" s="95"/>
      <c r="AG84" s="1977"/>
    </row>
    <row r="85" spans="5:33" x14ac:dyDescent="0.25">
      <c r="E85" s="238">
        <v>42826</v>
      </c>
      <c r="F85" s="95">
        <v>25538</v>
      </c>
      <c r="G85" s="1978">
        <f>SUM(F85:F96)</f>
        <v>435379</v>
      </c>
      <c r="I85" s="238">
        <v>42826</v>
      </c>
      <c r="J85" s="95">
        <v>11388</v>
      </c>
      <c r="K85" s="1978">
        <f>SUM(J85:J96)</f>
        <v>148209</v>
      </c>
      <c r="M85" s="238">
        <v>42826</v>
      </c>
      <c r="N85" s="95">
        <v>14150</v>
      </c>
      <c r="O85" s="1978">
        <f>SUM(N85:N96)</f>
        <v>287170</v>
      </c>
      <c r="Q85" s="238">
        <v>42826</v>
      </c>
      <c r="R85" s="95">
        <v>28229</v>
      </c>
      <c r="S85" s="1978">
        <f>SUM(R85:R96)</f>
        <v>515534</v>
      </c>
      <c r="T85" s="584"/>
      <c r="U85" s="584"/>
      <c r="X85"/>
      <c r="Y85" s="240"/>
      <c r="AA85" s="238">
        <v>42826</v>
      </c>
      <c r="AB85" s="95">
        <v>83</v>
      </c>
      <c r="AC85" s="1978">
        <f>SUM(AB85:AB96)/12</f>
        <v>101.5</v>
      </c>
      <c r="AE85" s="238">
        <v>42826</v>
      </c>
      <c r="AF85" s="95"/>
      <c r="AG85" s="1978">
        <f>SUM(AF85:AF96)/12</f>
        <v>0</v>
      </c>
    </row>
    <row r="86" spans="5:33" x14ac:dyDescent="0.25">
      <c r="E86" s="238">
        <v>42856</v>
      </c>
      <c r="F86" s="95">
        <v>38817</v>
      </c>
      <c r="G86" s="1977"/>
      <c r="I86" s="238">
        <v>42856</v>
      </c>
      <c r="J86" s="95">
        <v>16170</v>
      </c>
      <c r="K86" s="1977"/>
      <c r="M86" s="238">
        <v>42856</v>
      </c>
      <c r="N86" s="95">
        <v>22647</v>
      </c>
      <c r="O86" s="1977"/>
      <c r="Q86" s="238">
        <v>42856</v>
      </c>
      <c r="R86" s="95">
        <v>45914</v>
      </c>
      <c r="S86" s="1977"/>
      <c r="T86" s="6"/>
      <c r="U86" s="6"/>
      <c r="X86"/>
      <c r="Y86" s="12"/>
      <c r="AA86" s="238">
        <v>42856</v>
      </c>
      <c r="AB86" s="95">
        <v>90</v>
      </c>
      <c r="AC86" s="1977"/>
      <c r="AE86" s="238">
        <v>42856</v>
      </c>
      <c r="AF86" s="95"/>
      <c r="AG86" s="1977"/>
    </row>
    <row r="87" spans="5:33" x14ac:dyDescent="0.25">
      <c r="E87" s="238">
        <v>42887</v>
      </c>
      <c r="F87" s="95">
        <v>34929</v>
      </c>
      <c r="G87" s="1977"/>
      <c r="I87" s="238">
        <v>42887</v>
      </c>
      <c r="J87" s="95">
        <v>12617</v>
      </c>
      <c r="K87" s="1977"/>
      <c r="M87" s="238">
        <v>42887</v>
      </c>
      <c r="N87" s="95">
        <v>22312</v>
      </c>
      <c r="O87" s="1977"/>
      <c r="Q87" s="238">
        <v>42887</v>
      </c>
      <c r="R87" s="95">
        <v>42676</v>
      </c>
      <c r="S87" s="1977"/>
      <c r="T87" s="6"/>
      <c r="U87" s="6"/>
      <c r="X87"/>
      <c r="Y87" s="12"/>
      <c r="AA87" s="238">
        <v>42887</v>
      </c>
      <c r="AB87" s="95">
        <v>94</v>
      </c>
      <c r="AC87" s="1977"/>
      <c r="AE87" s="238">
        <v>42887</v>
      </c>
      <c r="AF87" s="95"/>
      <c r="AG87" s="1977"/>
    </row>
    <row r="88" spans="5:33" x14ac:dyDescent="0.25">
      <c r="E88" s="238">
        <v>42917</v>
      </c>
      <c r="F88" s="95">
        <v>43591</v>
      </c>
      <c r="G88" s="1977"/>
      <c r="I88" s="238">
        <v>42917</v>
      </c>
      <c r="J88" s="95">
        <v>16163</v>
      </c>
      <c r="K88" s="1977"/>
      <c r="M88" s="238">
        <v>42917</v>
      </c>
      <c r="N88" s="95">
        <v>27428</v>
      </c>
      <c r="O88" s="1977"/>
      <c r="Q88" s="238">
        <v>42917</v>
      </c>
      <c r="R88" s="95">
        <v>56141</v>
      </c>
      <c r="S88" s="1977"/>
      <c r="T88" s="6"/>
      <c r="U88" s="6"/>
      <c r="X88"/>
      <c r="Y88" s="12"/>
      <c r="AA88" s="238">
        <v>42917</v>
      </c>
      <c r="AB88" s="95">
        <v>98</v>
      </c>
      <c r="AC88" s="1977"/>
      <c r="AE88" s="238">
        <v>42917</v>
      </c>
      <c r="AF88" s="95"/>
      <c r="AG88" s="1977"/>
    </row>
    <row r="89" spans="5:33" x14ac:dyDescent="0.25">
      <c r="E89" s="238">
        <v>42948</v>
      </c>
      <c r="F89" s="95">
        <v>39520</v>
      </c>
      <c r="G89" s="1977"/>
      <c r="I89" s="238">
        <v>42948</v>
      </c>
      <c r="J89" s="95">
        <v>11758</v>
      </c>
      <c r="K89" s="1977"/>
      <c r="M89" s="238">
        <v>42948</v>
      </c>
      <c r="N89" s="95">
        <v>27762</v>
      </c>
      <c r="O89" s="1977"/>
      <c r="Q89" s="238">
        <v>42948</v>
      </c>
      <c r="R89" s="95">
        <v>43361</v>
      </c>
      <c r="S89" s="1977"/>
      <c r="T89" s="6"/>
      <c r="U89" s="6"/>
      <c r="X89"/>
      <c r="Y89" s="12"/>
      <c r="AA89" s="238">
        <v>42948</v>
      </c>
      <c r="AB89" s="95">
        <v>101</v>
      </c>
      <c r="AC89" s="1977"/>
      <c r="AE89" s="238">
        <v>42948</v>
      </c>
      <c r="AF89" s="95"/>
      <c r="AG89" s="1977"/>
    </row>
    <row r="90" spans="5:33" x14ac:dyDescent="0.25">
      <c r="E90" s="238">
        <v>42979</v>
      </c>
      <c r="F90" s="95">
        <v>43633</v>
      </c>
      <c r="G90" s="1977"/>
      <c r="I90" s="238">
        <v>42979</v>
      </c>
      <c r="J90" s="95">
        <v>14743</v>
      </c>
      <c r="K90" s="1977"/>
      <c r="M90" s="238">
        <v>42979</v>
      </c>
      <c r="N90" s="95">
        <v>28890</v>
      </c>
      <c r="O90" s="1977"/>
      <c r="Q90" s="238">
        <v>42979</v>
      </c>
      <c r="R90" s="95">
        <v>44947</v>
      </c>
      <c r="S90" s="1977"/>
      <c r="T90" s="6"/>
      <c r="U90" s="6"/>
      <c r="X90"/>
      <c r="Y90" s="12"/>
      <c r="AA90" s="238">
        <v>42979</v>
      </c>
      <c r="AB90" s="95">
        <v>103</v>
      </c>
      <c r="AC90" s="1977"/>
      <c r="AE90" s="238">
        <v>42979</v>
      </c>
      <c r="AF90" s="95"/>
      <c r="AG90" s="1977"/>
    </row>
    <row r="91" spans="5:33" x14ac:dyDescent="0.25">
      <c r="E91" s="238">
        <v>43009</v>
      </c>
      <c r="F91" s="95">
        <v>42874</v>
      </c>
      <c r="G91" s="1977"/>
      <c r="I91" s="238">
        <v>43009</v>
      </c>
      <c r="J91" s="95">
        <v>14271</v>
      </c>
      <c r="K91" s="1977"/>
      <c r="M91" s="238">
        <v>43009</v>
      </c>
      <c r="N91" s="95">
        <v>28603</v>
      </c>
      <c r="O91" s="1977"/>
      <c r="Q91" s="238">
        <v>43009</v>
      </c>
      <c r="R91" s="95">
        <v>58413</v>
      </c>
      <c r="S91" s="1977"/>
      <c r="T91" s="6"/>
      <c r="U91" s="6"/>
      <c r="X91"/>
      <c r="Y91" s="12"/>
      <c r="AA91" s="238">
        <v>43009</v>
      </c>
      <c r="AB91" s="95">
        <v>103</v>
      </c>
      <c r="AC91" s="1977"/>
      <c r="AE91" s="238">
        <v>43009</v>
      </c>
      <c r="AF91" s="95"/>
      <c r="AG91" s="1977"/>
    </row>
    <row r="92" spans="5:33" x14ac:dyDescent="0.25">
      <c r="E92" s="238">
        <v>43040</v>
      </c>
      <c r="F92" s="95">
        <v>40351</v>
      </c>
      <c r="G92" s="1977"/>
      <c r="I92" s="238">
        <v>43040</v>
      </c>
      <c r="J92" s="95">
        <v>13164</v>
      </c>
      <c r="K92" s="1977"/>
      <c r="M92" s="238">
        <v>43040</v>
      </c>
      <c r="N92" s="95">
        <v>27187</v>
      </c>
      <c r="O92" s="1977"/>
      <c r="Q92" s="238">
        <v>43040</v>
      </c>
      <c r="R92" s="95">
        <v>46531</v>
      </c>
      <c r="S92" s="1977"/>
      <c r="T92" s="6"/>
      <c r="U92" s="6"/>
      <c r="X92"/>
      <c r="Y92" s="12"/>
      <c r="AA92" s="238">
        <v>43040</v>
      </c>
      <c r="AB92" s="95">
        <v>107</v>
      </c>
      <c r="AC92" s="1977"/>
      <c r="AE92" s="238">
        <v>43040</v>
      </c>
      <c r="AF92" s="95"/>
      <c r="AG92" s="1977"/>
    </row>
    <row r="93" spans="5:33" x14ac:dyDescent="0.25">
      <c r="E93" s="238">
        <v>43070</v>
      </c>
      <c r="F93" s="95">
        <v>28812</v>
      </c>
      <c r="G93" s="1977"/>
      <c r="I93" s="238">
        <v>43070</v>
      </c>
      <c r="J93" s="95">
        <v>9374</v>
      </c>
      <c r="K93" s="1977"/>
      <c r="M93" s="238">
        <v>43070</v>
      </c>
      <c r="N93" s="95">
        <v>19438</v>
      </c>
      <c r="O93" s="1977"/>
      <c r="Q93" s="238">
        <v>43070</v>
      </c>
      <c r="R93" s="95">
        <v>28444</v>
      </c>
      <c r="S93" s="1977"/>
      <c r="T93" s="6"/>
      <c r="U93" s="6"/>
      <c r="X93"/>
      <c r="Y93" s="12"/>
      <c r="AA93" s="238">
        <v>43070</v>
      </c>
      <c r="AB93" s="95">
        <v>107</v>
      </c>
      <c r="AC93" s="1977"/>
      <c r="AE93" s="238">
        <v>43070</v>
      </c>
      <c r="AF93" s="95"/>
      <c r="AG93" s="1977"/>
    </row>
    <row r="94" spans="5:33" x14ac:dyDescent="0.25">
      <c r="E94" s="238">
        <v>43101</v>
      </c>
      <c r="F94" s="95">
        <v>26796</v>
      </c>
      <c r="G94" s="1977"/>
      <c r="I94" s="238">
        <v>43101</v>
      </c>
      <c r="J94" s="95">
        <v>8530</v>
      </c>
      <c r="K94" s="1977"/>
      <c r="M94" s="238">
        <v>43101</v>
      </c>
      <c r="N94" s="95">
        <v>18266</v>
      </c>
      <c r="O94" s="1977"/>
      <c r="Q94" s="238">
        <v>43101</v>
      </c>
      <c r="R94" s="95">
        <v>39857</v>
      </c>
      <c r="S94" s="1977"/>
      <c r="T94" s="6"/>
      <c r="U94" s="6"/>
      <c r="X94"/>
      <c r="Y94" s="12"/>
      <c r="AA94" s="238">
        <v>43101</v>
      </c>
      <c r="AB94" s="95">
        <v>106</v>
      </c>
      <c r="AC94" s="1977"/>
      <c r="AE94" s="238">
        <v>43101</v>
      </c>
      <c r="AF94" s="95"/>
      <c r="AG94" s="1977"/>
    </row>
    <row r="95" spans="5:33" x14ac:dyDescent="0.25">
      <c r="E95" s="238">
        <v>43132</v>
      </c>
      <c r="F95" s="95">
        <v>31207</v>
      </c>
      <c r="G95" s="1977"/>
      <c r="I95" s="238">
        <v>43132</v>
      </c>
      <c r="J95" s="95">
        <v>8729</v>
      </c>
      <c r="K95" s="1977"/>
      <c r="M95" s="238">
        <v>43132</v>
      </c>
      <c r="N95" s="95">
        <v>22478</v>
      </c>
      <c r="O95" s="1977"/>
      <c r="Q95" s="238">
        <v>43132</v>
      </c>
      <c r="R95" s="95">
        <v>38455</v>
      </c>
      <c r="S95" s="1977"/>
      <c r="T95" s="6"/>
      <c r="U95" s="6"/>
      <c r="X95"/>
      <c r="Y95" s="12"/>
      <c r="AA95" s="238">
        <v>43132</v>
      </c>
      <c r="AB95" s="95">
        <v>112</v>
      </c>
      <c r="AC95" s="1977"/>
      <c r="AE95" s="238">
        <v>43132</v>
      </c>
      <c r="AF95" s="95"/>
      <c r="AG95" s="1977"/>
    </row>
    <row r="96" spans="5:33" x14ac:dyDescent="0.25">
      <c r="E96" s="238">
        <v>43160</v>
      </c>
      <c r="F96" s="95">
        <v>39311</v>
      </c>
      <c r="G96" s="1977"/>
      <c r="I96" s="238">
        <v>43160</v>
      </c>
      <c r="J96" s="95">
        <v>11302</v>
      </c>
      <c r="K96" s="1977"/>
      <c r="M96" s="238">
        <v>43160</v>
      </c>
      <c r="N96" s="95">
        <v>28009</v>
      </c>
      <c r="O96" s="1977"/>
      <c r="Q96" s="238">
        <v>43160</v>
      </c>
      <c r="R96" s="95">
        <v>42566</v>
      </c>
      <c r="S96" s="1977"/>
      <c r="T96" s="6"/>
      <c r="U96" s="6"/>
      <c r="X96"/>
      <c r="Y96" s="12"/>
      <c r="AA96" s="238">
        <v>43160</v>
      </c>
      <c r="AB96" s="95">
        <v>114</v>
      </c>
      <c r="AC96" s="1977"/>
      <c r="AE96" s="238">
        <v>43160</v>
      </c>
      <c r="AF96" s="95"/>
      <c r="AG96" s="1977"/>
    </row>
    <row r="97" spans="5:36" x14ac:dyDescent="0.25">
      <c r="E97" s="238">
        <v>43191</v>
      </c>
      <c r="F97" s="95">
        <v>33146</v>
      </c>
      <c r="G97" s="1978">
        <f>SUM(F97:F108)</f>
        <v>418343</v>
      </c>
      <c r="I97" s="238">
        <v>43191</v>
      </c>
      <c r="J97" s="95">
        <v>12245</v>
      </c>
      <c r="K97" s="1978">
        <f>SUM(J97:J108)</f>
        <v>169440</v>
      </c>
      <c r="M97" s="238">
        <v>43191</v>
      </c>
      <c r="N97" s="95">
        <v>20901</v>
      </c>
      <c r="O97" s="1978">
        <f>SUM(N97:N108)</f>
        <v>248903</v>
      </c>
      <c r="Q97" s="238">
        <v>43191</v>
      </c>
      <c r="R97" s="95">
        <v>43329</v>
      </c>
      <c r="S97" s="1978">
        <f>SUM(R97:R108)</f>
        <v>490070</v>
      </c>
      <c r="T97" s="584"/>
      <c r="U97" s="584"/>
      <c r="X97"/>
      <c r="Y97" s="240"/>
      <c r="AA97" s="238">
        <v>43191</v>
      </c>
      <c r="AB97" s="95">
        <v>115</v>
      </c>
      <c r="AC97" s="1978">
        <f>SUM(AB97:AB108)/12</f>
        <v>125.66666666666667</v>
      </c>
      <c r="AE97" s="238">
        <v>43191</v>
      </c>
      <c r="AF97" s="95"/>
      <c r="AG97" s="1978">
        <f>SUM(AF97:AF108)/11</f>
        <v>82.545454545454547</v>
      </c>
    </row>
    <row r="98" spans="5:36" x14ac:dyDescent="0.25">
      <c r="E98" s="238">
        <v>43221</v>
      </c>
      <c r="F98" s="95">
        <v>34966</v>
      </c>
      <c r="G98" s="1977"/>
      <c r="I98" s="238">
        <v>43221</v>
      </c>
      <c r="J98" s="95">
        <v>11890</v>
      </c>
      <c r="K98" s="1977"/>
      <c r="M98" s="238">
        <v>43221</v>
      </c>
      <c r="N98" s="95">
        <v>23076</v>
      </c>
      <c r="O98" s="1977"/>
      <c r="Q98" s="238">
        <v>43221</v>
      </c>
      <c r="R98" s="95">
        <v>36292</v>
      </c>
      <c r="S98" s="1977"/>
      <c r="T98" s="6"/>
      <c r="U98" s="6"/>
      <c r="X98"/>
      <c r="Y98" s="12"/>
      <c r="AA98" s="238">
        <v>43221</v>
      </c>
      <c r="AB98" s="95">
        <v>122</v>
      </c>
      <c r="AC98" s="1977"/>
      <c r="AE98" s="238">
        <v>43221</v>
      </c>
      <c r="AF98" s="95">
        <v>76</v>
      </c>
      <c r="AG98" s="1977"/>
      <c r="AI98">
        <v>76</v>
      </c>
    </row>
    <row r="99" spans="5:36" x14ac:dyDescent="0.25">
      <c r="E99" s="238">
        <v>43252</v>
      </c>
      <c r="F99" s="95">
        <v>28441</v>
      </c>
      <c r="G99" s="1977"/>
      <c r="I99" s="238">
        <v>43252</v>
      </c>
      <c r="J99" s="95">
        <v>12296</v>
      </c>
      <c r="K99" s="1977"/>
      <c r="M99" s="238">
        <v>43252</v>
      </c>
      <c r="N99" s="95">
        <v>16145</v>
      </c>
      <c r="O99" s="1977"/>
      <c r="Q99" s="238">
        <v>43252</v>
      </c>
      <c r="R99" s="95">
        <v>31555</v>
      </c>
      <c r="S99" s="1977"/>
      <c r="T99" s="6"/>
      <c r="U99" s="6"/>
      <c r="X99"/>
      <c r="Y99" s="12"/>
      <c r="AA99" s="238">
        <v>43252</v>
      </c>
      <c r="AB99" s="95">
        <v>121</v>
      </c>
      <c r="AC99" s="1977"/>
      <c r="AE99" s="238">
        <v>43252</v>
      </c>
      <c r="AF99" s="95">
        <v>76</v>
      </c>
      <c r="AG99" s="1977"/>
      <c r="AI99">
        <v>80</v>
      </c>
      <c r="AJ99" s="84">
        <f>AI99/AI98-1</f>
        <v>5.2631578947368363E-2</v>
      </c>
    </row>
    <row r="100" spans="5:36" x14ac:dyDescent="0.25">
      <c r="E100" s="238">
        <v>43282</v>
      </c>
      <c r="F100" s="95">
        <v>34818</v>
      </c>
      <c r="G100" s="1977"/>
      <c r="I100" s="238">
        <v>43282</v>
      </c>
      <c r="J100" s="95">
        <v>14150</v>
      </c>
      <c r="K100" s="1977"/>
      <c r="M100" s="238">
        <v>43282</v>
      </c>
      <c r="N100" s="95">
        <v>20668</v>
      </c>
      <c r="O100" s="1977"/>
      <c r="Q100" s="238">
        <v>43282</v>
      </c>
      <c r="R100" s="95">
        <v>48803</v>
      </c>
      <c r="S100" s="1977"/>
      <c r="T100" s="6"/>
      <c r="U100" s="6"/>
      <c r="X100"/>
      <c r="Y100" s="12"/>
      <c r="AA100" s="238">
        <v>43282</v>
      </c>
      <c r="AB100" s="95">
        <v>121</v>
      </c>
      <c r="AC100" s="1977"/>
      <c r="AE100" s="238">
        <v>43282</v>
      </c>
      <c r="AF100" s="95">
        <v>77</v>
      </c>
      <c r="AG100" s="1977"/>
      <c r="AI100">
        <v>64</v>
      </c>
      <c r="AJ100" s="84">
        <f>AI100/AI99-1</f>
        <v>-0.19999999999999996</v>
      </c>
    </row>
    <row r="101" spans="5:36" x14ac:dyDescent="0.25">
      <c r="E101" s="238">
        <v>43313</v>
      </c>
      <c r="F101" s="95">
        <v>32778</v>
      </c>
      <c r="G101" s="1977"/>
      <c r="I101" s="238">
        <v>43313</v>
      </c>
      <c r="J101" s="95">
        <v>13703</v>
      </c>
      <c r="K101" s="1977"/>
      <c r="M101" s="238">
        <v>43313</v>
      </c>
      <c r="N101" s="95">
        <v>19075</v>
      </c>
      <c r="O101" s="1977"/>
      <c r="Q101" s="238">
        <v>43313</v>
      </c>
      <c r="R101" s="95">
        <v>47529</v>
      </c>
      <c r="S101" s="1977"/>
      <c r="T101" s="6"/>
      <c r="U101" s="6"/>
      <c r="X101"/>
      <c r="Y101" s="12"/>
      <c r="AA101" s="238">
        <v>43313</v>
      </c>
      <c r="AB101" s="95">
        <v>126</v>
      </c>
      <c r="AC101" s="1977"/>
      <c r="AE101" s="238">
        <v>43313</v>
      </c>
      <c r="AF101" s="95">
        <v>83</v>
      </c>
      <c r="AG101" s="1977"/>
      <c r="AI101">
        <v>89</v>
      </c>
      <c r="AJ101" s="84">
        <f>AI101/AI100-1</f>
        <v>0.390625</v>
      </c>
    </row>
    <row r="102" spans="5:36" x14ac:dyDescent="0.25">
      <c r="E102" s="238">
        <v>43344</v>
      </c>
      <c r="F102" s="95">
        <v>34930</v>
      </c>
      <c r="G102" s="1977"/>
      <c r="I102" s="238">
        <v>43344</v>
      </c>
      <c r="J102" s="95">
        <v>15542</v>
      </c>
      <c r="K102" s="1977"/>
      <c r="M102" s="238">
        <v>43344</v>
      </c>
      <c r="N102" s="95">
        <v>19388</v>
      </c>
      <c r="O102" s="1977"/>
      <c r="Q102" s="238">
        <v>43344</v>
      </c>
      <c r="R102" s="95">
        <v>46660</v>
      </c>
      <c r="S102" s="1977"/>
      <c r="T102" s="6"/>
      <c r="U102" s="6"/>
      <c r="X102"/>
      <c r="Y102" s="12"/>
      <c r="AA102" s="238">
        <v>43344</v>
      </c>
      <c r="AB102" s="95">
        <v>128</v>
      </c>
      <c r="AC102" s="1977"/>
      <c r="AE102" s="238">
        <v>43344</v>
      </c>
      <c r="AF102" s="95">
        <v>85</v>
      </c>
      <c r="AG102" s="1977"/>
      <c r="AI102">
        <v>95</v>
      </c>
      <c r="AJ102" s="84">
        <f>AI102/AI101-1</f>
        <v>6.7415730337078594E-2</v>
      </c>
    </row>
    <row r="103" spans="5:36" x14ac:dyDescent="0.25">
      <c r="E103" s="238">
        <v>43374</v>
      </c>
      <c r="F103" s="95">
        <v>42726</v>
      </c>
      <c r="G103" s="1977"/>
      <c r="I103" s="238">
        <v>43374</v>
      </c>
      <c r="J103" s="95">
        <v>19987</v>
      </c>
      <c r="K103" s="1977"/>
      <c r="M103" s="238">
        <v>43374</v>
      </c>
      <c r="N103" s="95">
        <v>22739</v>
      </c>
      <c r="O103" s="1977"/>
      <c r="Q103" s="238">
        <v>43374</v>
      </c>
      <c r="R103" s="95">
        <v>56609</v>
      </c>
      <c r="S103" s="1977"/>
      <c r="T103" s="6"/>
      <c r="U103" s="6"/>
      <c r="X103"/>
      <c r="Y103" s="12"/>
      <c r="AA103" s="238">
        <v>43374</v>
      </c>
      <c r="AB103" s="95">
        <v>127</v>
      </c>
      <c r="AC103" s="1977"/>
      <c r="AE103" s="238">
        <v>43374</v>
      </c>
      <c r="AF103" s="95">
        <v>83</v>
      </c>
      <c r="AG103" s="1977"/>
    </row>
    <row r="104" spans="5:36" x14ac:dyDescent="0.25">
      <c r="E104" s="238">
        <v>43405</v>
      </c>
      <c r="F104" s="95">
        <v>45182</v>
      </c>
      <c r="G104" s="1977"/>
      <c r="I104" s="238">
        <v>43405</v>
      </c>
      <c r="J104" s="95">
        <v>17834</v>
      </c>
      <c r="K104" s="1977"/>
      <c r="M104" s="238">
        <v>43405</v>
      </c>
      <c r="N104" s="95">
        <v>27348</v>
      </c>
      <c r="O104" s="1977"/>
      <c r="Q104" s="238">
        <v>43405</v>
      </c>
      <c r="R104" s="95">
        <v>44085</v>
      </c>
      <c r="S104" s="1977"/>
      <c r="T104" s="6"/>
      <c r="U104" s="6"/>
      <c r="X104"/>
      <c r="Y104" s="12"/>
      <c r="AA104" s="238">
        <v>43405</v>
      </c>
      <c r="AB104" s="95">
        <v>129</v>
      </c>
      <c r="AC104" s="1977"/>
      <c r="AE104" s="238">
        <v>43405</v>
      </c>
      <c r="AF104" s="95">
        <v>88</v>
      </c>
      <c r="AG104" s="1977"/>
    </row>
    <row r="105" spans="5:36" x14ac:dyDescent="0.25">
      <c r="E105" s="238">
        <v>43435</v>
      </c>
      <c r="F105" s="95">
        <v>27625</v>
      </c>
      <c r="G105" s="1977"/>
      <c r="I105" s="238">
        <v>43435</v>
      </c>
      <c r="J105" s="95">
        <v>12768</v>
      </c>
      <c r="K105" s="1977"/>
      <c r="M105" s="238">
        <v>43435</v>
      </c>
      <c r="N105" s="95">
        <v>14857</v>
      </c>
      <c r="O105" s="1977"/>
      <c r="Q105" s="238">
        <v>43435</v>
      </c>
      <c r="R105" s="95">
        <v>29618</v>
      </c>
      <c r="S105" s="1977"/>
      <c r="T105" s="6"/>
      <c r="U105" s="6"/>
      <c r="X105"/>
      <c r="Y105" s="12"/>
      <c r="AA105" s="238">
        <v>43435</v>
      </c>
      <c r="AB105" s="95">
        <v>135</v>
      </c>
      <c r="AC105" s="1977"/>
      <c r="AE105" s="238">
        <v>43435</v>
      </c>
      <c r="AF105" s="95">
        <v>91</v>
      </c>
      <c r="AG105" s="1977"/>
    </row>
    <row r="106" spans="5:36" x14ac:dyDescent="0.25">
      <c r="E106" s="238">
        <v>43466</v>
      </c>
      <c r="F106" s="95">
        <v>30488</v>
      </c>
      <c r="G106" s="1977"/>
      <c r="I106" s="238">
        <v>43466</v>
      </c>
      <c r="J106" s="95">
        <v>11865</v>
      </c>
      <c r="K106" s="1977"/>
      <c r="M106" s="238">
        <v>43466</v>
      </c>
      <c r="N106" s="95">
        <v>18623</v>
      </c>
      <c r="O106" s="1977"/>
      <c r="Q106" s="238">
        <v>43466</v>
      </c>
      <c r="R106" s="95">
        <v>32500</v>
      </c>
      <c r="S106" s="1977"/>
      <c r="T106" s="6"/>
      <c r="U106" s="6"/>
      <c r="X106"/>
      <c r="Y106" s="12"/>
      <c r="AA106" s="238">
        <v>43466</v>
      </c>
      <c r="AB106" s="95">
        <v>130</v>
      </c>
      <c r="AC106" s="1977"/>
      <c r="AE106" s="238">
        <v>43466</v>
      </c>
      <c r="AF106" s="95">
        <v>81</v>
      </c>
      <c r="AG106" s="1977"/>
    </row>
    <row r="107" spans="5:36" x14ac:dyDescent="0.25">
      <c r="E107" s="238">
        <v>43497</v>
      </c>
      <c r="F107" s="95">
        <v>38286</v>
      </c>
      <c r="G107" s="1977"/>
      <c r="I107" s="238">
        <v>43497</v>
      </c>
      <c r="J107" s="95">
        <v>15780</v>
      </c>
      <c r="K107" s="1977"/>
      <c r="M107" s="238">
        <v>43497</v>
      </c>
      <c r="N107" s="95">
        <v>22506</v>
      </c>
      <c r="O107" s="1977"/>
      <c r="Q107" s="238">
        <v>43497</v>
      </c>
      <c r="R107" s="95">
        <v>33054</v>
      </c>
      <c r="S107" s="1977"/>
      <c r="T107" s="6"/>
      <c r="U107" s="6"/>
      <c r="X107"/>
      <c r="Y107" s="12"/>
      <c r="AA107" s="238">
        <v>43497</v>
      </c>
      <c r="AB107" s="95">
        <v>128</v>
      </c>
      <c r="AC107" s="1977"/>
      <c r="AE107" s="238">
        <v>43497</v>
      </c>
      <c r="AF107" s="95">
        <v>88</v>
      </c>
      <c r="AG107" s="1977"/>
    </row>
    <row r="108" spans="5:36" x14ac:dyDescent="0.25">
      <c r="E108" s="238">
        <v>43525</v>
      </c>
      <c r="F108" s="95">
        <v>34957</v>
      </c>
      <c r="G108" s="1977"/>
      <c r="I108" s="238">
        <v>43525</v>
      </c>
      <c r="J108" s="95">
        <v>11380</v>
      </c>
      <c r="K108" s="1977"/>
      <c r="M108" s="238">
        <v>43525</v>
      </c>
      <c r="N108" s="95">
        <v>23577</v>
      </c>
      <c r="O108" s="1977"/>
      <c r="Q108" s="238">
        <v>43525</v>
      </c>
      <c r="R108" s="95">
        <v>40036</v>
      </c>
      <c r="S108" s="1977"/>
      <c r="T108" s="6"/>
      <c r="U108" s="6"/>
      <c r="X108"/>
      <c r="Y108" s="12"/>
      <c r="AA108" s="238">
        <v>43525</v>
      </c>
      <c r="AB108" s="95">
        <v>126</v>
      </c>
      <c r="AC108" s="1977"/>
      <c r="AE108" s="238">
        <v>43525</v>
      </c>
      <c r="AF108" s="95">
        <v>80</v>
      </c>
      <c r="AG108" s="1977"/>
    </row>
    <row r="109" spans="5:36" x14ac:dyDescent="0.25">
      <c r="E109" s="238">
        <v>43556</v>
      </c>
      <c r="F109" s="95">
        <v>29592</v>
      </c>
      <c r="G109" s="1978">
        <f>SUM(F109:F120)</f>
        <v>417246</v>
      </c>
      <c r="I109" s="238">
        <v>43556</v>
      </c>
      <c r="J109" s="95">
        <v>11960</v>
      </c>
      <c r="K109" s="1978">
        <f>SUM(J109:J120)</f>
        <v>183331</v>
      </c>
      <c r="M109" s="238">
        <v>43556</v>
      </c>
      <c r="N109" s="95">
        <v>17632</v>
      </c>
      <c r="O109" s="1978">
        <f>SUM(N109:N120)</f>
        <v>233915</v>
      </c>
      <c r="Q109" s="238">
        <v>43556</v>
      </c>
      <c r="R109" s="95">
        <v>31642</v>
      </c>
      <c r="S109" s="1978">
        <f>SUM(R109:R120)</f>
        <v>571535</v>
      </c>
      <c r="T109" s="584"/>
      <c r="U109" s="584"/>
      <c r="X109"/>
      <c r="Y109" s="240"/>
      <c r="AA109" s="238">
        <v>43556</v>
      </c>
      <c r="AB109" s="95">
        <v>127</v>
      </c>
      <c r="AC109" s="1978">
        <f>SUM(AB109:AB120)/12</f>
        <v>127.33333333333333</v>
      </c>
      <c r="AE109" s="238">
        <v>43556</v>
      </c>
      <c r="AF109" s="95">
        <v>81</v>
      </c>
      <c r="AG109" s="1978">
        <f>SUM(AF109:AF120)/12</f>
        <v>75.416666666666671</v>
      </c>
    </row>
    <row r="110" spans="5:36" x14ac:dyDescent="0.25">
      <c r="E110" s="238">
        <v>43586</v>
      </c>
      <c r="F110" s="95">
        <v>37780</v>
      </c>
      <c r="G110" s="1977"/>
      <c r="I110" s="238">
        <v>43586</v>
      </c>
      <c r="J110" s="95">
        <v>12625</v>
      </c>
      <c r="K110" s="1977"/>
      <c r="M110" s="238">
        <v>43586</v>
      </c>
      <c r="N110" s="95">
        <v>25155</v>
      </c>
      <c r="O110" s="1977"/>
      <c r="Q110" s="238">
        <v>43586</v>
      </c>
      <c r="R110" s="95">
        <v>42571</v>
      </c>
      <c r="S110" s="1977"/>
      <c r="T110" s="6"/>
      <c r="U110" s="6"/>
      <c r="X110"/>
      <c r="Y110" s="12"/>
      <c r="AA110" s="238">
        <v>43586</v>
      </c>
      <c r="AB110" s="95">
        <v>131</v>
      </c>
      <c r="AC110" s="1977"/>
      <c r="AE110" s="238">
        <v>43586</v>
      </c>
      <c r="AF110" s="95">
        <v>82</v>
      </c>
      <c r="AG110" s="1977"/>
    </row>
    <row r="111" spans="5:36" x14ac:dyDescent="0.25">
      <c r="E111" s="238">
        <v>43617</v>
      </c>
      <c r="F111" s="95">
        <v>32686</v>
      </c>
      <c r="G111" s="1977"/>
      <c r="I111" s="238">
        <v>43617</v>
      </c>
      <c r="J111" s="95">
        <v>12902</v>
      </c>
      <c r="K111" s="1977"/>
      <c r="M111" s="238">
        <v>43617</v>
      </c>
      <c r="N111" s="95">
        <v>19784</v>
      </c>
      <c r="O111" s="1977"/>
      <c r="Q111" s="238">
        <v>43617</v>
      </c>
      <c r="R111" s="95">
        <v>42661</v>
      </c>
      <c r="S111" s="1977"/>
      <c r="T111" s="6"/>
      <c r="U111" s="6"/>
      <c r="X111"/>
      <c r="Y111" s="12"/>
      <c r="AA111" s="238">
        <v>43617</v>
      </c>
      <c r="AB111" s="95">
        <v>131</v>
      </c>
      <c r="AC111" s="1977"/>
      <c r="AE111" s="238">
        <v>43617</v>
      </c>
      <c r="AF111" s="95">
        <v>84</v>
      </c>
      <c r="AG111" s="1977"/>
    </row>
    <row r="112" spans="5:36" x14ac:dyDescent="0.25">
      <c r="E112" s="238">
        <v>43647</v>
      </c>
      <c r="F112" s="95">
        <v>36077</v>
      </c>
      <c r="G112" s="1977"/>
      <c r="I112" s="238">
        <v>43647</v>
      </c>
      <c r="J112" s="95">
        <v>15477</v>
      </c>
      <c r="K112" s="1977"/>
      <c r="M112" s="238">
        <v>43647</v>
      </c>
      <c r="N112" s="95">
        <v>20600</v>
      </c>
      <c r="O112" s="1977"/>
      <c r="Q112" s="238">
        <v>43647</v>
      </c>
      <c r="R112" s="95">
        <v>62701</v>
      </c>
      <c r="S112" s="1977"/>
      <c r="T112" s="6"/>
      <c r="U112" s="6"/>
      <c r="X112"/>
      <c r="Y112" s="12"/>
      <c r="AA112" s="238">
        <v>43647</v>
      </c>
      <c r="AB112" s="95">
        <v>133</v>
      </c>
      <c r="AC112" s="1977"/>
      <c r="AE112" s="238">
        <v>43647</v>
      </c>
      <c r="AF112" s="95">
        <v>79</v>
      </c>
      <c r="AG112" s="1977"/>
    </row>
    <row r="113" spans="5:33" x14ac:dyDescent="0.25">
      <c r="E113" s="238">
        <v>43678</v>
      </c>
      <c r="F113" s="95">
        <v>38941</v>
      </c>
      <c r="G113" s="1977"/>
      <c r="I113" s="238">
        <v>43678</v>
      </c>
      <c r="J113" s="95">
        <v>16558</v>
      </c>
      <c r="K113" s="1977"/>
      <c r="M113" s="238">
        <v>43678</v>
      </c>
      <c r="N113" s="95">
        <v>22383</v>
      </c>
      <c r="O113" s="1977"/>
      <c r="Q113" s="238">
        <v>43678</v>
      </c>
      <c r="R113" s="95">
        <v>47148</v>
      </c>
      <c r="S113" s="1977"/>
      <c r="T113" s="6"/>
      <c r="U113" s="6"/>
      <c r="X113"/>
      <c r="Y113" s="12"/>
      <c r="AA113" s="238">
        <v>43678</v>
      </c>
      <c r="AB113" s="95">
        <v>132</v>
      </c>
      <c r="AC113" s="1977"/>
      <c r="AE113" s="238">
        <v>43678</v>
      </c>
      <c r="AF113" s="95">
        <v>80</v>
      </c>
      <c r="AG113" s="1977"/>
    </row>
    <row r="114" spans="5:33" x14ac:dyDescent="0.25">
      <c r="E114" s="238">
        <v>43709</v>
      </c>
      <c r="F114" s="95">
        <v>37953</v>
      </c>
      <c r="G114" s="1977"/>
      <c r="I114" s="238">
        <v>43709</v>
      </c>
      <c r="J114" s="95">
        <v>19241</v>
      </c>
      <c r="K114" s="1977"/>
      <c r="M114" s="238">
        <v>43709</v>
      </c>
      <c r="N114" s="95">
        <v>18712</v>
      </c>
      <c r="O114" s="1977"/>
      <c r="Q114" s="238">
        <v>43709</v>
      </c>
      <c r="R114" s="95">
        <v>52455</v>
      </c>
      <c r="S114" s="1977"/>
      <c r="T114" s="6"/>
      <c r="U114" s="6"/>
      <c r="X114"/>
      <c r="Y114" s="12"/>
      <c r="AA114" s="238">
        <v>43709</v>
      </c>
      <c r="AB114" s="95">
        <v>128</v>
      </c>
      <c r="AC114" s="1977"/>
      <c r="AE114" s="238">
        <v>43709</v>
      </c>
      <c r="AF114" s="95">
        <v>75</v>
      </c>
      <c r="AG114" s="1977"/>
    </row>
    <row r="115" spans="5:33" x14ac:dyDescent="0.25">
      <c r="E115" s="238">
        <v>43739</v>
      </c>
      <c r="F115" s="95">
        <v>36110</v>
      </c>
      <c r="G115" s="1977"/>
      <c r="I115" s="238">
        <v>43739</v>
      </c>
      <c r="J115" s="95">
        <v>15291</v>
      </c>
      <c r="K115" s="1977"/>
      <c r="M115" s="238">
        <v>43739</v>
      </c>
      <c r="N115" s="95">
        <v>20819</v>
      </c>
      <c r="O115" s="1977"/>
      <c r="Q115" s="238">
        <v>43739</v>
      </c>
      <c r="R115" s="95">
        <v>55404</v>
      </c>
      <c r="S115" s="1977"/>
      <c r="T115" s="6"/>
      <c r="U115" s="6"/>
      <c r="X115"/>
      <c r="Y115" s="12"/>
      <c r="AA115" s="238">
        <v>43739</v>
      </c>
      <c r="AB115" s="95">
        <v>128</v>
      </c>
      <c r="AC115" s="1977"/>
      <c r="AE115" s="238">
        <v>43739</v>
      </c>
      <c r="AF115" s="95">
        <v>77</v>
      </c>
      <c r="AG115" s="1977"/>
    </row>
    <row r="116" spans="5:33" x14ac:dyDescent="0.25">
      <c r="E116" s="238">
        <v>43770</v>
      </c>
      <c r="F116" s="95">
        <v>34330</v>
      </c>
      <c r="G116" s="1977"/>
      <c r="I116" s="238">
        <v>43770</v>
      </c>
      <c r="J116" s="95">
        <v>15252</v>
      </c>
      <c r="K116" s="1977"/>
      <c r="M116" s="238">
        <v>43770</v>
      </c>
      <c r="N116" s="95">
        <v>19078</v>
      </c>
      <c r="O116" s="1977"/>
      <c r="Q116" s="238">
        <v>43770</v>
      </c>
      <c r="R116" s="95">
        <v>44484</v>
      </c>
      <c r="S116" s="1977"/>
      <c r="T116" s="6"/>
      <c r="U116" s="6"/>
      <c r="X116"/>
      <c r="Y116" s="12"/>
      <c r="AA116" s="238">
        <v>43770</v>
      </c>
      <c r="AB116" s="95">
        <v>128</v>
      </c>
      <c r="AC116" s="1977"/>
      <c r="AE116" s="238">
        <v>43770</v>
      </c>
      <c r="AF116" s="95">
        <v>77</v>
      </c>
      <c r="AG116" s="1977"/>
    </row>
    <row r="117" spans="5:33" x14ac:dyDescent="0.25">
      <c r="E117" s="238">
        <v>43800</v>
      </c>
      <c r="F117" s="95">
        <v>30474</v>
      </c>
      <c r="G117" s="1977"/>
      <c r="I117" s="238">
        <v>43800</v>
      </c>
      <c r="J117" s="95">
        <v>14238</v>
      </c>
      <c r="K117" s="1977"/>
      <c r="M117" s="238">
        <v>43800</v>
      </c>
      <c r="N117" s="95">
        <v>16236</v>
      </c>
      <c r="O117" s="1977"/>
      <c r="Q117" s="238">
        <v>43800</v>
      </c>
      <c r="R117" s="95">
        <v>42262</v>
      </c>
      <c r="S117" s="1977"/>
      <c r="T117" s="6"/>
      <c r="U117" s="6"/>
      <c r="X117"/>
      <c r="Y117" s="12"/>
      <c r="AA117" s="238">
        <v>43800</v>
      </c>
      <c r="AB117" s="95">
        <v>124</v>
      </c>
      <c r="AC117" s="1977"/>
      <c r="AE117" s="238">
        <v>43800</v>
      </c>
      <c r="AF117" s="95">
        <v>73</v>
      </c>
      <c r="AG117" s="1977"/>
    </row>
    <row r="118" spans="5:33" x14ac:dyDescent="0.25">
      <c r="E118" s="238">
        <v>43831</v>
      </c>
      <c r="F118" s="95">
        <v>39057</v>
      </c>
      <c r="G118" s="1977"/>
      <c r="I118" s="238">
        <v>43831</v>
      </c>
      <c r="J118" s="95">
        <v>18241</v>
      </c>
      <c r="K118" s="1977"/>
      <c r="M118" s="238">
        <v>43831</v>
      </c>
      <c r="N118" s="95">
        <v>20816</v>
      </c>
      <c r="O118" s="1977"/>
      <c r="Q118" s="238">
        <v>43831</v>
      </c>
      <c r="R118" s="95">
        <v>50058</v>
      </c>
      <c r="S118" s="1977"/>
      <c r="T118" s="6"/>
      <c r="U118" s="6"/>
      <c r="X118"/>
      <c r="Y118" s="12"/>
      <c r="AA118" s="238">
        <v>43831</v>
      </c>
      <c r="AB118" s="95">
        <v>126</v>
      </c>
      <c r="AC118" s="1977"/>
      <c r="AE118" s="238">
        <v>43831</v>
      </c>
      <c r="AF118" s="95">
        <v>68</v>
      </c>
      <c r="AG118" s="1977"/>
    </row>
    <row r="119" spans="5:33" x14ac:dyDescent="0.25">
      <c r="E119" s="238">
        <v>43862</v>
      </c>
      <c r="F119" s="95">
        <v>33516</v>
      </c>
      <c r="G119" s="1977"/>
      <c r="I119" s="238">
        <v>43862</v>
      </c>
      <c r="J119" s="95">
        <v>15062</v>
      </c>
      <c r="K119" s="1977"/>
      <c r="M119" s="238">
        <v>43862</v>
      </c>
      <c r="N119" s="95">
        <v>18454</v>
      </c>
      <c r="O119" s="1977"/>
      <c r="Q119" s="238">
        <v>43862</v>
      </c>
      <c r="R119" s="95">
        <v>46023</v>
      </c>
      <c r="S119" s="1977"/>
      <c r="T119" s="6"/>
      <c r="U119" s="6"/>
      <c r="X119"/>
      <c r="Y119" s="12"/>
      <c r="AA119" s="238">
        <v>43862</v>
      </c>
      <c r="AB119" s="95">
        <v>121</v>
      </c>
      <c r="AC119" s="1977"/>
      <c r="AE119" s="238">
        <v>43862</v>
      </c>
      <c r="AF119" s="95">
        <v>65</v>
      </c>
      <c r="AG119" s="1977"/>
    </row>
    <row r="120" spans="5:33" x14ac:dyDescent="0.25">
      <c r="E120" s="238">
        <v>43891</v>
      </c>
      <c r="F120" s="95">
        <v>30730</v>
      </c>
      <c r="G120" s="1977"/>
      <c r="I120" s="238">
        <v>43891</v>
      </c>
      <c r="J120" s="95">
        <v>16484</v>
      </c>
      <c r="K120" s="1977"/>
      <c r="M120" s="238">
        <v>43891</v>
      </c>
      <c r="N120" s="95">
        <v>14246</v>
      </c>
      <c r="O120" s="1977"/>
      <c r="Q120" s="238">
        <v>43891</v>
      </c>
      <c r="R120" s="95">
        <v>54126</v>
      </c>
      <c r="S120" s="1977"/>
      <c r="T120" s="6"/>
      <c r="U120" s="6"/>
      <c r="X120"/>
      <c r="Y120" s="12"/>
      <c r="AA120" s="238">
        <v>43891</v>
      </c>
      <c r="AB120" s="95">
        <v>119</v>
      </c>
      <c r="AC120" s="1977"/>
      <c r="AE120" s="238">
        <v>43891</v>
      </c>
      <c r="AF120" s="95">
        <v>64</v>
      </c>
      <c r="AG120" s="1977"/>
    </row>
    <row r="121" spans="5:33" x14ac:dyDescent="0.25">
      <c r="E121" s="238">
        <v>43922</v>
      </c>
      <c r="F121" s="95">
        <v>8390</v>
      </c>
      <c r="G121" s="1978">
        <f>SUM(F121:F132)</f>
        <v>470642</v>
      </c>
      <c r="I121" s="238">
        <v>43922</v>
      </c>
      <c r="J121" s="95">
        <v>5724</v>
      </c>
      <c r="K121" s="1978">
        <f>SUM(J121:J132)</f>
        <v>187978</v>
      </c>
      <c r="M121" s="238">
        <v>43922</v>
      </c>
      <c r="N121" s="95">
        <v>2666</v>
      </c>
      <c r="O121" s="1978">
        <f>SUM(N121:N132)</f>
        <v>282664</v>
      </c>
      <c r="Q121" s="238">
        <v>43922</v>
      </c>
      <c r="R121" s="95">
        <v>7734</v>
      </c>
      <c r="S121" s="1978">
        <f>SUM(R121:R132)</f>
        <v>551401</v>
      </c>
      <c r="T121" s="584"/>
      <c r="U121" s="584"/>
      <c r="X121"/>
      <c r="Y121" s="240"/>
      <c r="AA121" s="238">
        <v>43922</v>
      </c>
      <c r="AB121" s="95">
        <v>117</v>
      </c>
      <c r="AC121" s="1978">
        <f>SUM(AB121:AB132)/12</f>
        <v>132.66666666666666</v>
      </c>
      <c r="AE121" s="238">
        <v>43922</v>
      </c>
      <c r="AF121" s="95">
        <v>62</v>
      </c>
      <c r="AG121" s="1978">
        <f>SUM(AF121:AF132)/12</f>
        <v>80.916666666666671</v>
      </c>
    </row>
    <row r="122" spans="5:33" x14ac:dyDescent="0.25">
      <c r="E122" s="238">
        <v>43952</v>
      </c>
      <c r="F122" s="95">
        <v>36921</v>
      </c>
      <c r="G122" s="1977"/>
      <c r="I122" s="238">
        <v>43952</v>
      </c>
      <c r="J122" s="95">
        <v>16868</v>
      </c>
      <c r="K122" s="1977"/>
      <c r="M122" s="238">
        <v>43952</v>
      </c>
      <c r="N122" s="95">
        <v>20053</v>
      </c>
      <c r="O122" s="1977"/>
      <c r="Q122" s="238">
        <v>43952</v>
      </c>
      <c r="R122" s="95">
        <v>46990</v>
      </c>
      <c r="S122" s="1977"/>
      <c r="T122" s="6"/>
      <c r="U122" s="6"/>
      <c r="X122"/>
      <c r="Y122" s="12"/>
      <c r="AA122" s="238">
        <v>43952</v>
      </c>
      <c r="AB122" s="95">
        <v>118</v>
      </c>
      <c r="AC122" s="1977"/>
      <c r="AE122" s="238">
        <v>43952</v>
      </c>
      <c r="AF122" s="95">
        <v>66</v>
      </c>
      <c r="AG122" s="1977"/>
    </row>
    <row r="123" spans="5:33" x14ac:dyDescent="0.25">
      <c r="E123" s="238">
        <v>43983</v>
      </c>
      <c r="F123" s="95">
        <v>47833</v>
      </c>
      <c r="G123" s="1977"/>
      <c r="I123" s="238">
        <v>43983</v>
      </c>
      <c r="J123" s="95">
        <v>26657</v>
      </c>
      <c r="K123" s="1977"/>
      <c r="M123" s="238">
        <v>43983</v>
      </c>
      <c r="N123" s="95">
        <v>21176</v>
      </c>
      <c r="O123" s="1977"/>
      <c r="Q123" s="238">
        <v>43983</v>
      </c>
      <c r="R123" s="95">
        <v>61357</v>
      </c>
      <c r="S123" s="1977"/>
      <c r="T123" s="6"/>
      <c r="U123" s="6"/>
      <c r="X123"/>
      <c r="Y123" s="12"/>
      <c r="AA123" s="238">
        <v>43983</v>
      </c>
      <c r="AB123" s="95">
        <v>128</v>
      </c>
      <c r="AC123" s="1977"/>
      <c r="AE123" s="238">
        <v>43983</v>
      </c>
      <c r="AF123" s="95">
        <v>77</v>
      </c>
      <c r="AG123" s="1977"/>
    </row>
    <row r="124" spans="5:33" x14ac:dyDescent="0.25">
      <c r="E124" s="238">
        <v>44013</v>
      </c>
      <c r="F124" s="95">
        <v>47950</v>
      </c>
      <c r="G124" s="1977"/>
      <c r="I124" s="238">
        <v>44013</v>
      </c>
      <c r="J124" s="95">
        <v>24139</v>
      </c>
      <c r="K124" s="1977"/>
      <c r="M124" s="238">
        <v>44013</v>
      </c>
      <c r="N124" s="95">
        <v>23811</v>
      </c>
      <c r="O124" s="1977"/>
      <c r="Q124" s="238">
        <v>44013</v>
      </c>
      <c r="R124" s="95">
        <v>52884</v>
      </c>
      <c r="S124" s="1977"/>
      <c r="T124" s="6"/>
      <c r="U124" s="6"/>
      <c r="X124"/>
      <c r="Y124" s="12"/>
      <c r="AA124" s="238">
        <v>44013</v>
      </c>
      <c r="AB124" s="95">
        <v>135</v>
      </c>
      <c r="AC124" s="1977"/>
      <c r="AE124" s="238">
        <v>44013</v>
      </c>
      <c r="AF124" s="95">
        <v>85</v>
      </c>
      <c r="AG124" s="1977"/>
    </row>
    <row r="125" spans="5:33" x14ac:dyDescent="0.25">
      <c r="E125" s="238">
        <v>44044</v>
      </c>
      <c r="F125" s="95">
        <v>42421</v>
      </c>
      <c r="G125" s="1977"/>
      <c r="I125" s="238">
        <v>44044</v>
      </c>
      <c r="J125" s="95">
        <v>17912</v>
      </c>
      <c r="K125" s="1977"/>
      <c r="M125" s="238">
        <v>44044</v>
      </c>
      <c r="N125" s="95">
        <v>24509</v>
      </c>
      <c r="O125" s="1977"/>
      <c r="Q125" s="238">
        <v>44044</v>
      </c>
      <c r="R125" s="95">
        <v>55544</v>
      </c>
      <c r="S125" s="1977"/>
      <c r="T125" s="6"/>
      <c r="U125" s="6"/>
      <c r="X125"/>
      <c r="Y125" s="12"/>
      <c r="AA125" s="238">
        <v>44044</v>
      </c>
      <c r="AB125" s="95">
        <v>132</v>
      </c>
      <c r="AC125" s="1977"/>
      <c r="AE125" s="238">
        <v>44044</v>
      </c>
      <c r="AF125" s="95">
        <v>83</v>
      </c>
      <c r="AG125" s="1977"/>
    </row>
    <row r="126" spans="5:33" x14ac:dyDescent="0.25">
      <c r="E126" s="238">
        <v>44075</v>
      </c>
      <c r="F126" s="95">
        <v>42639</v>
      </c>
      <c r="G126" s="1977"/>
      <c r="I126" s="238">
        <v>44075</v>
      </c>
      <c r="J126" s="95">
        <v>14201</v>
      </c>
      <c r="K126" s="1977"/>
      <c r="M126" s="238">
        <v>44075</v>
      </c>
      <c r="N126" s="95">
        <v>28438</v>
      </c>
      <c r="O126" s="1977"/>
      <c r="Q126" s="238">
        <v>44075</v>
      </c>
      <c r="R126" s="95">
        <v>45106</v>
      </c>
      <c r="S126" s="1977"/>
      <c r="T126" s="6"/>
      <c r="U126" s="6"/>
      <c r="X126"/>
      <c r="Y126" s="12"/>
      <c r="AA126" s="238">
        <v>44075</v>
      </c>
      <c r="AB126" s="95">
        <v>135</v>
      </c>
      <c r="AC126" s="1977"/>
      <c r="AE126" s="238">
        <v>44075</v>
      </c>
      <c r="AF126" s="95">
        <v>83</v>
      </c>
      <c r="AG126" s="1977"/>
    </row>
    <row r="127" spans="5:33" x14ac:dyDescent="0.25">
      <c r="E127" s="238">
        <v>44105</v>
      </c>
      <c r="F127" s="95">
        <v>39090</v>
      </c>
      <c r="G127" s="1977"/>
      <c r="I127" s="238">
        <v>44105</v>
      </c>
      <c r="J127" s="95">
        <v>14917</v>
      </c>
      <c r="K127" s="1977"/>
      <c r="M127" s="238">
        <v>44105</v>
      </c>
      <c r="N127" s="95">
        <v>24173</v>
      </c>
      <c r="O127" s="1977"/>
      <c r="Q127" s="238">
        <v>44105</v>
      </c>
      <c r="R127" s="95">
        <v>51740</v>
      </c>
      <c r="S127" s="1977"/>
      <c r="T127" s="6"/>
      <c r="U127" s="6"/>
      <c r="X127"/>
      <c r="Y127" s="12"/>
      <c r="AA127" s="238">
        <v>44105</v>
      </c>
      <c r="AB127" s="95">
        <v>141</v>
      </c>
      <c r="AC127" s="1977"/>
      <c r="AE127" s="238">
        <v>44105</v>
      </c>
      <c r="AF127" s="95">
        <v>89</v>
      </c>
      <c r="AG127" s="1977"/>
    </row>
    <row r="128" spans="5:33" x14ac:dyDescent="0.25">
      <c r="E128" s="238">
        <v>44136</v>
      </c>
      <c r="F128" s="95">
        <v>50273</v>
      </c>
      <c r="G128" s="1977"/>
      <c r="I128" s="238">
        <v>44136</v>
      </c>
      <c r="J128" s="95">
        <v>16963</v>
      </c>
      <c r="K128" s="1977"/>
      <c r="M128" s="238">
        <v>44136</v>
      </c>
      <c r="N128" s="95">
        <v>33310</v>
      </c>
      <c r="O128" s="1977"/>
      <c r="Q128" s="238">
        <v>44136</v>
      </c>
      <c r="R128" s="95">
        <v>65536</v>
      </c>
      <c r="S128" s="1977"/>
      <c r="T128" s="6"/>
      <c r="U128" s="6"/>
      <c r="X128"/>
      <c r="Y128" s="12"/>
      <c r="AA128" s="238">
        <v>44136</v>
      </c>
      <c r="AB128" s="95">
        <v>141</v>
      </c>
      <c r="AC128" s="1977"/>
      <c r="AE128" s="238">
        <v>44136</v>
      </c>
      <c r="AF128" s="95">
        <v>90</v>
      </c>
      <c r="AG128" s="1977"/>
    </row>
    <row r="129" spans="5:33" x14ac:dyDescent="0.25">
      <c r="E129" s="238">
        <v>44166</v>
      </c>
      <c r="F129" s="95">
        <v>33170</v>
      </c>
      <c r="G129" s="1977"/>
      <c r="I129" s="238">
        <v>44166</v>
      </c>
      <c r="J129" s="95">
        <v>7905</v>
      </c>
      <c r="K129" s="1977"/>
      <c r="M129" s="238">
        <v>44166</v>
      </c>
      <c r="N129" s="95">
        <v>25265</v>
      </c>
      <c r="O129" s="1977"/>
      <c r="Q129" s="238">
        <v>44166</v>
      </c>
      <c r="R129" s="95">
        <v>32406</v>
      </c>
      <c r="S129" s="1977"/>
      <c r="T129" s="6"/>
      <c r="U129" s="6"/>
      <c r="X129"/>
      <c r="Y129" s="12"/>
      <c r="AA129" s="238">
        <v>44166</v>
      </c>
      <c r="AB129" s="95">
        <v>139</v>
      </c>
      <c r="AC129" s="1977"/>
      <c r="AE129" s="238">
        <v>44166</v>
      </c>
      <c r="AF129" s="95">
        <v>87</v>
      </c>
      <c r="AG129" s="1977"/>
    </row>
    <row r="130" spans="5:33" x14ac:dyDescent="0.25">
      <c r="E130" s="238">
        <v>44197</v>
      </c>
      <c r="F130" s="95">
        <v>35142</v>
      </c>
      <c r="G130" s="1977"/>
      <c r="I130" s="238">
        <v>44197</v>
      </c>
      <c r="J130" s="95">
        <v>12451</v>
      </c>
      <c r="K130" s="1977"/>
      <c r="M130" s="238">
        <v>44197</v>
      </c>
      <c r="N130" s="95">
        <v>22691</v>
      </c>
      <c r="O130" s="1977"/>
      <c r="Q130" s="238">
        <v>44197</v>
      </c>
      <c r="R130" s="95">
        <v>34378</v>
      </c>
      <c r="S130" s="1977"/>
      <c r="T130" s="6"/>
      <c r="U130" s="6"/>
      <c r="X130"/>
      <c r="Y130" s="12"/>
      <c r="AA130" s="238">
        <v>44197</v>
      </c>
      <c r="AB130" s="95">
        <v>136</v>
      </c>
      <c r="AC130" s="1977"/>
      <c r="AE130" s="238">
        <v>44197</v>
      </c>
      <c r="AF130" s="95">
        <v>82</v>
      </c>
      <c r="AG130" s="1977"/>
    </row>
    <row r="131" spans="5:33" x14ac:dyDescent="0.25">
      <c r="E131" s="238">
        <v>44228</v>
      </c>
      <c r="F131" s="95">
        <v>33081</v>
      </c>
      <c r="G131" s="1977"/>
      <c r="I131" s="238">
        <v>44228</v>
      </c>
      <c r="J131" s="95">
        <v>10428</v>
      </c>
      <c r="K131" s="1977"/>
      <c r="M131" s="238">
        <v>44228</v>
      </c>
      <c r="N131" s="95">
        <v>22653</v>
      </c>
      <c r="O131" s="1977"/>
      <c r="Q131" s="238">
        <v>44228</v>
      </c>
      <c r="R131" s="95">
        <v>40800</v>
      </c>
      <c r="S131" s="1977"/>
      <c r="T131" s="6"/>
      <c r="U131" s="6"/>
      <c r="X131"/>
      <c r="Y131" s="12"/>
      <c r="AA131" s="238">
        <v>44228</v>
      </c>
      <c r="AB131" s="95">
        <v>132</v>
      </c>
      <c r="AC131" s="1977"/>
      <c r="AE131" s="238">
        <v>44228</v>
      </c>
      <c r="AF131" s="95">
        <v>78</v>
      </c>
      <c r="AG131" s="1977"/>
    </row>
    <row r="132" spans="5:33" x14ac:dyDescent="0.25">
      <c r="E132" s="238">
        <v>44256</v>
      </c>
      <c r="F132" s="95">
        <v>53732</v>
      </c>
      <c r="G132" s="1977"/>
      <c r="I132" s="238">
        <v>44256</v>
      </c>
      <c r="J132" s="95">
        <v>19813</v>
      </c>
      <c r="K132" s="1977"/>
      <c r="M132" s="238">
        <v>44256</v>
      </c>
      <c r="N132" s="95">
        <v>33919</v>
      </c>
      <c r="O132" s="1977"/>
      <c r="Q132" s="238">
        <v>44256</v>
      </c>
      <c r="R132" s="95">
        <v>56926</v>
      </c>
      <c r="S132" s="1977"/>
      <c r="T132" s="6"/>
      <c r="U132" s="6"/>
      <c r="X132"/>
      <c r="Y132" s="12"/>
      <c r="AA132" s="238">
        <v>44256</v>
      </c>
      <c r="AB132" s="95">
        <v>138</v>
      </c>
      <c r="AC132" s="1977"/>
      <c r="AE132" s="238">
        <v>44256</v>
      </c>
      <c r="AF132" s="95">
        <v>89</v>
      </c>
      <c r="AG132" s="1977"/>
    </row>
    <row r="133" spans="5:33" x14ac:dyDescent="0.25">
      <c r="E133" s="238">
        <v>44287</v>
      </c>
      <c r="F133" s="95">
        <v>38287</v>
      </c>
      <c r="G133" s="1978">
        <f>SUM(F133:F141)*3</f>
        <v>555900</v>
      </c>
      <c r="I133" s="238">
        <v>44287</v>
      </c>
      <c r="J133" s="95">
        <v>10844</v>
      </c>
      <c r="K133" s="1978">
        <f>SUM(J133:J141)*3</f>
        <v>187803</v>
      </c>
      <c r="M133" s="238">
        <v>44287</v>
      </c>
      <c r="N133" s="95">
        <v>27443</v>
      </c>
      <c r="O133" s="1978">
        <f>SUM(N133:N141)*3</f>
        <v>368097</v>
      </c>
      <c r="Q133" s="238">
        <v>44287</v>
      </c>
      <c r="R133" s="95">
        <v>44560</v>
      </c>
      <c r="S133" s="1978">
        <f>SUM(R133:R141)*3</f>
        <v>569259</v>
      </c>
      <c r="T133" s="584"/>
      <c r="U133" s="584"/>
      <c r="X133"/>
      <c r="Y133" s="240"/>
      <c r="AA133" s="238">
        <v>44287</v>
      </c>
      <c r="AB133" s="95">
        <v>136</v>
      </c>
      <c r="AC133" s="1978">
        <f>SUM(AB133:AB141)*3/12</f>
        <v>140.25</v>
      </c>
      <c r="AE133" s="238">
        <v>44287</v>
      </c>
      <c r="AF133" s="95">
        <v>87</v>
      </c>
      <c r="AG133" s="1978">
        <f>SUM(AF133:AF141)*3/12</f>
        <v>89.25</v>
      </c>
    </row>
    <row r="134" spans="5:33" x14ac:dyDescent="0.25">
      <c r="E134" s="238">
        <v>44317</v>
      </c>
      <c r="F134" s="95">
        <v>53485</v>
      </c>
      <c r="G134" s="1977"/>
      <c r="I134" s="238">
        <v>44317</v>
      </c>
      <c r="J134" s="95">
        <v>18263</v>
      </c>
      <c r="K134" s="1977"/>
      <c r="M134" s="238">
        <v>44317</v>
      </c>
      <c r="N134" s="95">
        <v>35222</v>
      </c>
      <c r="O134" s="1977"/>
      <c r="Q134" s="238">
        <v>44317</v>
      </c>
      <c r="R134" s="95">
        <v>49588</v>
      </c>
      <c r="S134" s="1977"/>
      <c r="T134" s="6"/>
      <c r="U134" s="6"/>
      <c r="X134"/>
      <c r="Y134" s="12"/>
      <c r="AA134" s="238">
        <v>44317</v>
      </c>
      <c r="AB134" s="95">
        <v>140</v>
      </c>
      <c r="AC134" s="1977"/>
      <c r="AE134" s="238">
        <v>44317</v>
      </c>
      <c r="AF134" s="95">
        <v>89</v>
      </c>
      <c r="AG134" s="1977"/>
    </row>
    <row r="135" spans="5:33" x14ac:dyDescent="0.25">
      <c r="E135" s="238">
        <v>44348</v>
      </c>
      <c r="F135" s="95">
        <v>43588</v>
      </c>
      <c r="G135" s="1977"/>
      <c r="I135" s="238">
        <v>44348</v>
      </c>
      <c r="J135" s="95">
        <v>13628</v>
      </c>
      <c r="K135" s="1977"/>
      <c r="M135" s="238">
        <v>44348</v>
      </c>
      <c r="N135" s="95">
        <v>29960</v>
      </c>
      <c r="O135" s="1977"/>
      <c r="Q135" s="238">
        <v>44348</v>
      </c>
      <c r="R135" s="95">
        <v>48437</v>
      </c>
      <c r="S135" s="1977"/>
      <c r="T135" s="6"/>
      <c r="U135" s="6"/>
      <c r="X135"/>
      <c r="Y135" s="12"/>
      <c r="AA135" s="238">
        <v>44348</v>
      </c>
      <c r="AB135" s="95">
        <v>138</v>
      </c>
      <c r="AC135" s="1977"/>
      <c r="AE135" s="238">
        <v>44348</v>
      </c>
      <c r="AF135" s="95">
        <v>86</v>
      </c>
      <c r="AG135" s="1977"/>
    </row>
    <row r="136" spans="5:33" x14ac:dyDescent="0.25">
      <c r="E136" s="238">
        <v>44378</v>
      </c>
      <c r="F136" s="95">
        <v>49940</v>
      </c>
      <c r="G136" s="1977"/>
      <c r="I136" s="238">
        <v>44378</v>
      </c>
      <c r="J136" s="95">
        <v>19866</v>
      </c>
      <c r="K136" s="1977"/>
      <c r="M136" s="238">
        <v>44378</v>
      </c>
      <c r="N136" s="95">
        <v>30074</v>
      </c>
      <c r="O136" s="1977"/>
      <c r="Q136" s="238">
        <v>44378</v>
      </c>
      <c r="R136" s="95">
        <v>47168</v>
      </c>
      <c r="S136" s="1977"/>
      <c r="T136" s="6"/>
      <c r="U136" s="6"/>
      <c r="X136"/>
      <c r="Y136" s="12"/>
      <c r="AA136" s="238">
        <v>44378</v>
      </c>
      <c r="AB136" s="95">
        <v>147</v>
      </c>
      <c r="AC136" s="1977"/>
      <c r="AE136" s="238">
        <v>44378</v>
      </c>
      <c r="AF136" s="95">
        <v>95</v>
      </c>
      <c r="AG136" s="1977"/>
    </row>
    <row r="137" spans="5:33" x14ac:dyDescent="0.25">
      <c r="E137" s="238">
        <v>44409</v>
      </c>
      <c r="F137" s="95"/>
      <c r="G137" s="1977"/>
      <c r="I137" s="238">
        <v>44409</v>
      </c>
      <c r="J137" s="95"/>
      <c r="K137" s="1977"/>
      <c r="M137" s="238">
        <v>44409</v>
      </c>
      <c r="N137" s="95"/>
      <c r="O137" s="1977"/>
      <c r="Q137" s="238">
        <v>44409</v>
      </c>
      <c r="R137" s="95"/>
      <c r="S137" s="1977"/>
      <c r="T137" s="6"/>
      <c r="U137" s="6"/>
      <c r="X137"/>
      <c r="Y137" s="12"/>
      <c r="AA137" s="238">
        <v>44409</v>
      </c>
      <c r="AB137" s="95"/>
      <c r="AC137" s="1977"/>
      <c r="AE137" s="238">
        <v>44409</v>
      </c>
      <c r="AF137" s="95"/>
      <c r="AG137" s="1977"/>
    </row>
    <row r="138" spans="5:33" x14ac:dyDescent="0.25">
      <c r="E138" s="238">
        <v>44440</v>
      </c>
      <c r="F138" s="95"/>
      <c r="G138" s="1977"/>
      <c r="I138" s="238">
        <v>44440</v>
      </c>
      <c r="J138" s="95"/>
      <c r="K138" s="1977"/>
      <c r="M138" s="238">
        <v>44440</v>
      </c>
      <c r="N138" s="95"/>
      <c r="O138" s="1977"/>
      <c r="Q138" s="238">
        <v>44440</v>
      </c>
      <c r="R138" s="95"/>
      <c r="S138" s="1977"/>
      <c r="T138" s="6"/>
      <c r="U138" s="6"/>
      <c r="X138"/>
      <c r="Y138" s="12"/>
      <c r="AA138" s="238">
        <v>44440</v>
      </c>
      <c r="AB138" s="95"/>
      <c r="AC138" s="1977"/>
      <c r="AE138" s="238">
        <v>44440</v>
      </c>
      <c r="AF138" s="95"/>
      <c r="AG138" s="1977"/>
    </row>
    <row r="139" spans="5:33" x14ac:dyDescent="0.25">
      <c r="E139" s="238">
        <v>44470</v>
      </c>
      <c r="F139" s="95"/>
      <c r="G139" s="1977"/>
      <c r="I139" s="238">
        <v>44470</v>
      </c>
      <c r="J139" s="95"/>
      <c r="K139" s="1977"/>
      <c r="M139" s="238">
        <v>44470</v>
      </c>
      <c r="N139" s="95"/>
      <c r="O139" s="1977"/>
      <c r="Q139" s="238">
        <v>44470</v>
      </c>
      <c r="R139" s="95"/>
      <c r="S139" s="1977"/>
      <c r="T139" s="6"/>
      <c r="U139" s="6"/>
      <c r="X139"/>
      <c r="Y139" s="12"/>
      <c r="AA139" s="238">
        <v>44470</v>
      </c>
      <c r="AB139" s="95"/>
      <c r="AC139" s="1977"/>
      <c r="AE139" s="238">
        <v>44470</v>
      </c>
      <c r="AF139" s="95"/>
      <c r="AG139" s="1977"/>
    </row>
    <row r="140" spans="5:33" x14ac:dyDescent="0.25">
      <c r="E140" s="238">
        <v>44501</v>
      </c>
      <c r="F140" s="95"/>
      <c r="G140" s="1977"/>
      <c r="I140" s="238">
        <v>44501</v>
      </c>
      <c r="J140" s="95"/>
      <c r="K140" s="1977"/>
      <c r="M140" s="238">
        <v>44501</v>
      </c>
      <c r="N140" s="95"/>
      <c r="O140" s="1977"/>
      <c r="Q140" s="238">
        <v>44501</v>
      </c>
      <c r="R140" s="95"/>
      <c r="S140" s="1977"/>
      <c r="T140" s="6"/>
      <c r="U140" s="6"/>
      <c r="X140"/>
      <c r="Y140" s="12"/>
      <c r="AA140" s="238">
        <v>44501</v>
      </c>
      <c r="AB140" s="95"/>
      <c r="AC140" s="1977"/>
      <c r="AE140" s="238">
        <v>44501</v>
      </c>
      <c r="AF140" s="95"/>
      <c r="AG140" s="1977"/>
    </row>
    <row r="141" spans="5:33" x14ac:dyDescent="0.25">
      <c r="E141" s="238">
        <v>44531</v>
      </c>
      <c r="F141" s="95"/>
      <c r="G141" s="1977"/>
      <c r="I141" s="238">
        <v>44531</v>
      </c>
      <c r="J141" s="95"/>
      <c r="K141" s="1977"/>
      <c r="M141" s="238">
        <v>44531</v>
      </c>
      <c r="N141" s="95"/>
      <c r="O141" s="1977"/>
      <c r="Q141" s="238">
        <v>44531</v>
      </c>
      <c r="R141" s="95"/>
      <c r="S141" s="1977"/>
      <c r="T141" s="6"/>
      <c r="U141" s="6"/>
      <c r="X141"/>
      <c r="Y141" s="12"/>
      <c r="AA141" s="238">
        <v>44531</v>
      </c>
      <c r="AB141" s="95"/>
      <c r="AC141" s="1977"/>
      <c r="AE141" s="238">
        <v>44531</v>
      </c>
      <c r="AF141" s="95"/>
      <c r="AG141" s="1977"/>
    </row>
    <row r="142" spans="5:33" x14ac:dyDescent="0.25">
      <c r="E142" s="238" t="s">
        <v>520</v>
      </c>
      <c r="F142" s="95">
        <v>3708967</v>
      </c>
      <c r="G142" s="1977"/>
      <c r="I142" s="238" t="s">
        <v>520</v>
      </c>
      <c r="J142" s="95">
        <v>1286098</v>
      </c>
      <c r="K142" s="1977"/>
      <c r="M142" s="238" t="s">
        <v>520</v>
      </c>
      <c r="N142" s="95">
        <v>2422869</v>
      </c>
      <c r="O142" s="1977"/>
      <c r="Q142" s="238" t="s">
        <v>520</v>
      </c>
      <c r="R142" s="95">
        <v>4383051</v>
      </c>
      <c r="S142" s="1977"/>
      <c r="T142" s="6"/>
      <c r="U142" s="6"/>
      <c r="X142"/>
      <c r="Y142" s="12"/>
      <c r="AA142" s="238" t="s">
        <v>520</v>
      </c>
      <c r="AB142" s="95">
        <v>7287</v>
      </c>
      <c r="AC142" s="1977"/>
      <c r="AE142" s="238" t="s">
        <v>520</v>
      </c>
      <c r="AF142" s="95">
        <v>3141</v>
      </c>
      <c r="AG142" s="1977"/>
    </row>
    <row r="143" spans="5:33" x14ac:dyDescent="0.25">
      <c r="G143" s="1977"/>
      <c r="K143" s="1977"/>
      <c r="O143" s="1977"/>
      <c r="S143" s="1977"/>
      <c r="T143" s="6"/>
      <c r="U143" s="6"/>
      <c r="Y143" s="12"/>
      <c r="AC143" s="1977"/>
      <c r="AG143" s="1977"/>
    </row>
    <row r="144" spans="5:33" x14ac:dyDescent="0.25">
      <c r="G144" s="1977"/>
      <c r="K144" s="1977"/>
      <c r="O144" s="1977"/>
      <c r="S144" s="1977"/>
      <c r="T144" s="6"/>
      <c r="U144" s="6"/>
      <c r="Y144" s="12"/>
      <c r="AC144" s="1977"/>
      <c r="AG144" s="1977"/>
    </row>
  </sheetData>
  <mergeCells count="97">
    <mergeCell ref="BG48:BI48"/>
    <mergeCell ref="BG49:BI49"/>
    <mergeCell ref="BJ31:BK31"/>
    <mergeCell ref="BP32:BQ32"/>
    <mergeCell ref="BG43:BI43"/>
    <mergeCell ref="BG44:BI44"/>
    <mergeCell ref="BG45:BI45"/>
    <mergeCell ref="BG46:BI46"/>
    <mergeCell ref="BG47:BI47"/>
    <mergeCell ref="BF31:BI31"/>
    <mergeCell ref="BG32:BI32"/>
    <mergeCell ref="BG40:BI40"/>
    <mergeCell ref="BG41:BI41"/>
    <mergeCell ref="BG42:BI42"/>
    <mergeCell ref="BB31:BC31"/>
    <mergeCell ref="BD31:BE31"/>
    <mergeCell ref="BC33:BC38"/>
    <mergeCell ref="BE33:BE38"/>
    <mergeCell ref="AC133:AC144"/>
    <mergeCell ref="AG25:AG36"/>
    <mergeCell ref="AG37:AG48"/>
    <mergeCell ref="AG49:AG60"/>
    <mergeCell ref="AC85:AC96"/>
    <mergeCell ref="AC97:AC108"/>
    <mergeCell ref="AC109:AC120"/>
    <mergeCell ref="AC49:AC60"/>
    <mergeCell ref="AC61:AC72"/>
    <mergeCell ref="AC73:AC84"/>
    <mergeCell ref="AG133:AG144"/>
    <mergeCell ref="AG97:AG108"/>
    <mergeCell ref="AG109:AG120"/>
    <mergeCell ref="AG121:AG132"/>
    <mergeCell ref="AG61:AG72"/>
    <mergeCell ref="AG73:AG84"/>
    <mergeCell ref="S49:S60"/>
    <mergeCell ref="S61:S72"/>
    <mergeCell ref="AG85:AG96"/>
    <mergeCell ref="AC121:AC132"/>
    <mergeCell ref="S109:S120"/>
    <mergeCell ref="S121:S132"/>
    <mergeCell ref="Y44:Y55"/>
    <mergeCell ref="Y56:Y67"/>
    <mergeCell ref="AC37:AC48"/>
    <mergeCell ref="K133:K144"/>
    <mergeCell ref="K121:K132"/>
    <mergeCell ref="O133:O144"/>
    <mergeCell ref="O121:O132"/>
    <mergeCell ref="S73:S84"/>
    <mergeCell ref="S85:S96"/>
    <mergeCell ref="S97:S108"/>
    <mergeCell ref="S133:S144"/>
    <mergeCell ref="O49:O60"/>
    <mergeCell ref="K97:K108"/>
    <mergeCell ref="K109:K120"/>
    <mergeCell ref="K61:K72"/>
    <mergeCell ref="K73:K84"/>
    <mergeCell ref="K85:K96"/>
    <mergeCell ref="K49:K60"/>
    <mergeCell ref="O109:O120"/>
    <mergeCell ref="O97:O108"/>
    <mergeCell ref="O61:O72"/>
    <mergeCell ref="O73:O84"/>
    <mergeCell ref="O85:O96"/>
    <mergeCell ref="G37:G48"/>
    <mergeCell ref="G49:G60"/>
    <mergeCell ref="G61:G72"/>
    <mergeCell ref="G73:G84"/>
    <mergeCell ref="G85:G96"/>
    <mergeCell ref="C57:C68"/>
    <mergeCell ref="G97:G108"/>
    <mergeCell ref="G109:G120"/>
    <mergeCell ref="G121:G132"/>
    <mergeCell ref="G133:G144"/>
    <mergeCell ref="BO4:BP4"/>
    <mergeCell ref="C21:C32"/>
    <mergeCell ref="C33:C44"/>
    <mergeCell ref="O25:O36"/>
    <mergeCell ref="O37:O48"/>
    <mergeCell ref="K25:K36"/>
    <mergeCell ref="K37:K48"/>
    <mergeCell ref="S25:S36"/>
    <mergeCell ref="S37:S48"/>
    <mergeCell ref="Y32:Y43"/>
    <mergeCell ref="AC25:AC36"/>
    <mergeCell ref="Y20:Y31"/>
    <mergeCell ref="BA6:BC6"/>
    <mergeCell ref="T6:T13"/>
    <mergeCell ref="C45:C56"/>
    <mergeCell ref="G25:G36"/>
    <mergeCell ref="Q3:T3"/>
    <mergeCell ref="BD6:BF6"/>
    <mergeCell ref="BG15:BG24"/>
    <mergeCell ref="AL6:AL13"/>
    <mergeCell ref="AI3:AL3"/>
    <mergeCell ref="AO3:AR3"/>
    <mergeCell ref="AT3:AW3"/>
    <mergeCell ref="BG8:BG14"/>
  </mergeCells>
  <conditionalFormatting sqref="BC8:B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8:BF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8:BP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9"/>
  <drawing r:id="rId1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DECBF-2719-4642-A02E-909C3CBD8344}">
  <dimension ref="A3:S197"/>
  <sheetViews>
    <sheetView showGridLines="0" topLeftCell="A58" workbookViewId="0">
      <selection activeCell="A77" sqref="A77:XFD77"/>
    </sheetView>
  </sheetViews>
  <sheetFormatPr defaultRowHeight="15" x14ac:dyDescent="0.25"/>
  <cols>
    <col min="1" max="1" width="12.5703125" bestFit="1" customWidth="1"/>
    <col min="2" max="2" width="15.28515625" bestFit="1" customWidth="1"/>
    <col min="3" max="3" width="20.85546875" bestFit="1" customWidth="1"/>
    <col min="4" max="4" width="40.140625" bestFit="1" customWidth="1"/>
    <col min="5" max="5" width="20" bestFit="1" customWidth="1"/>
    <col min="6" max="6" width="16.5703125" bestFit="1" customWidth="1"/>
    <col min="7" max="7" width="15.140625" bestFit="1" customWidth="1"/>
    <col min="8" max="8" width="14.85546875" bestFit="1" customWidth="1"/>
    <col min="9" max="9" width="16.140625" bestFit="1" customWidth="1"/>
    <col min="10" max="10" width="26.7109375" bestFit="1" customWidth="1"/>
    <col min="11" max="11" width="17.7109375" bestFit="1" customWidth="1"/>
    <col min="12" max="12" width="19.5703125" bestFit="1" customWidth="1"/>
    <col min="14" max="14" width="13.5703125" bestFit="1" customWidth="1"/>
    <col min="17" max="17" width="11" bestFit="1" customWidth="1"/>
  </cols>
  <sheetData>
    <row r="3" spans="1:7" x14ac:dyDescent="0.25">
      <c r="A3" s="212" t="s">
        <v>964</v>
      </c>
      <c r="B3" t="s">
        <v>984</v>
      </c>
      <c r="C3" t="s">
        <v>973</v>
      </c>
      <c r="D3" t="s">
        <v>965</v>
      </c>
      <c r="E3" t="s">
        <v>985</v>
      </c>
      <c r="F3" t="s">
        <v>986</v>
      </c>
      <c r="G3" t="s">
        <v>987</v>
      </c>
    </row>
    <row r="4" spans="1:7" x14ac:dyDescent="0.25">
      <c r="A4" s="208" t="s">
        <v>988</v>
      </c>
      <c r="B4" s="118"/>
      <c r="C4" s="118"/>
      <c r="D4" s="95"/>
      <c r="E4" s="118"/>
      <c r="F4" s="118"/>
      <c r="G4" s="118"/>
    </row>
    <row r="5" spans="1:7" x14ac:dyDescent="0.25">
      <c r="A5" s="208" t="s">
        <v>989</v>
      </c>
      <c r="B5" s="118"/>
      <c r="C5" s="118"/>
      <c r="D5" s="95">
        <v>51478</v>
      </c>
      <c r="E5" s="118"/>
      <c r="F5" s="118"/>
      <c r="G5" s="118"/>
    </row>
    <row r="6" spans="1:7" x14ac:dyDescent="0.25">
      <c r="A6" s="208" t="s">
        <v>990</v>
      </c>
      <c r="B6" s="118"/>
      <c r="C6" s="118"/>
      <c r="D6" s="95">
        <v>354428</v>
      </c>
      <c r="E6" s="95">
        <v>70</v>
      </c>
      <c r="F6" s="95">
        <v>56</v>
      </c>
      <c r="G6" s="118"/>
    </row>
    <row r="7" spans="1:7" x14ac:dyDescent="0.25">
      <c r="A7" s="208" t="s">
        <v>991</v>
      </c>
      <c r="B7" s="118"/>
      <c r="C7" s="118"/>
      <c r="D7" s="95">
        <v>312792</v>
      </c>
      <c r="E7" s="95">
        <v>64</v>
      </c>
      <c r="F7" s="95">
        <v>53.5</v>
      </c>
      <c r="G7" s="118"/>
    </row>
    <row r="8" spans="1:7" x14ac:dyDescent="0.25">
      <c r="A8" s="208" t="s">
        <v>992</v>
      </c>
      <c r="B8" s="118"/>
      <c r="C8" s="118"/>
      <c r="D8" s="95">
        <v>357454</v>
      </c>
      <c r="E8" s="95">
        <v>58</v>
      </c>
      <c r="F8" s="95">
        <v>46.75</v>
      </c>
      <c r="G8" s="118"/>
    </row>
    <row r="9" spans="1:7" x14ac:dyDescent="0.25">
      <c r="A9" s="208" t="s">
        <v>993</v>
      </c>
      <c r="B9" s="118"/>
      <c r="C9" s="118"/>
      <c r="D9" s="95">
        <v>333190</v>
      </c>
      <c r="E9" s="95">
        <v>66.666666666666671</v>
      </c>
      <c r="F9" s="95">
        <v>52.5</v>
      </c>
      <c r="G9" s="118"/>
    </row>
    <row r="10" spans="1:7" x14ac:dyDescent="0.25">
      <c r="A10" s="208" t="s">
        <v>994</v>
      </c>
      <c r="B10" s="118"/>
      <c r="C10" s="118"/>
      <c r="D10" s="95">
        <v>288810</v>
      </c>
      <c r="E10" s="95">
        <v>72.416666666666671</v>
      </c>
      <c r="F10" s="95">
        <v>63</v>
      </c>
      <c r="G10" s="118"/>
    </row>
    <row r="11" spans="1:7" x14ac:dyDescent="0.25">
      <c r="A11" s="208" t="s">
        <v>995</v>
      </c>
      <c r="B11" s="118"/>
      <c r="C11" s="118"/>
      <c r="D11" s="95">
        <v>421970</v>
      </c>
      <c r="E11" s="95">
        <v>93.25</v>
      </c>
      <c r="F11" s="95"/>
      <c r="G11" s="118"/>
    </row>
    <row r="12" spans="1:7" x14ac:dyDescent="0.25">
      <c r="A12" s="208" t="s">
        <v>996</v>
      </c>
      <c r="B12" s="118">
        <v>10087392.169277832</v>
      </c>
      <c r="C12" s="118">
        <v>45954307.670000002</v>
      </c>
      <c r="D12" s="95">
        <v>411926</v>
      </c>
      <c r="E12" s="95">
        <v>121.33333333333333</v>
      </c>
      <c r="F12" s="95">
        <v>82.375</v>
      </c>
      <c r="G12" s="118">
        <v>9912432.879999999</v>
      </c>
    </row>
    <row r="13" spans="1:7" x14ac:dyDescent="0.25">
      <c r="A13" s="1429" t="s">
        <v>997</v>
      </c>
      <c r="B13" s="118">
        <v>1017643.1692778319</v>
      </c>
      <c r="C13" s="118"/>
      <c r="D13" s="95">
        <v>97314</v>
      </c>
      <c r="E13" s="118">
        <v>110.66666666666667</v>
      </c>
      <c r="F13" s="118"/>
      <c r="G13" s="118">
        <v>984115.95999999903</v>
      </c>
    </row>
    <row r="14" spans="1:7" x14ac:dyDescent="0.25">
      <c r="A14" s="1429" t="s">
        <v>998</v>
      </c>
      <c r="B14" s="118">
        <v>2814756</v>
      </c>
      <c r="C14" s="118">
        <v>13608276.41</v>
      </c>
      <c r="D14" s="95">
        <v>96553</v>
      </c>
      <c r="E14" s="118">
        <v>119.33333333333333</v>
      </c>
      <c r="F14" s="118">
        <v>76</v>
      </c>
      <c r="G14" s="118">
        <v>2758759</v>
      </c>
    </row>
    <row r="15" spans="1:7" x14ac:dyDescent="0.25">
      <c r="A15" s="1429" t="s">
        <v>999</v>
      </c>
      <c r="B15" s="118">
        <v>3141109</v>
      </c>
      <c r="C15" s="118">
        <v>16755116.58</v>
      </c>
      <c r="D15" s="95">
        <v>102526</v>
      </c>
      <c r="E15" s="118">
        <v>125</v>
      </c>
      <c r="F15" s="118">
        <v>81.666666666666671</v>
      </c>
      <c r="G15" s="118">
        <v>3197319</v>
      </c>
    </row>
    <row r="16" spans="1:7" x14ac:dyDescent="0.25">
      <c r="A16" s="1429" t="s">
        <v>1000</v>
      </c>
      <c r="B16" s="118">
        <v>3113884</v>
      </c>
      <c r="C16" s="118">
        <v>15590914.680000002</v>
      </c>
      <c r="D16" s="95">
        <v>115533</v>
      </c>
      <c r="E16" s="118">
        <v>130.33333333333334</v>
      </c>
      <c r="F16" s="118">
        <v>87.333333333333329</v>
      </c>
      <c r="G16" s="118">
        <v>2972238.92</v>
      </c>
    </row>
    <row r="17" spans="1:7" x14ac:dyDescent="0.25">
      <c r="A17" s="208" t="s">
        <v>1001</v>
      </c>
      <c r="B17" s="118">
        <v>12762123</v>
      </c>
      <c r="C17" s="118">
        <v>59294723.020000003</v>
      </c>
      <c r="D17" s="95">
        <v>417674</v>
      </c>
      <c r="E17" s="95">
        <v>128.83333333333334</v>
      </c>
      <c r="F17" s="95">
        <v>79.75</v>
      </c>
      <c r="G17" s="118">
        <v>11592804.540000001</v>
      </c>
    </row>
    <row r="18" spans="1:7" x14ac:dyDescent="0.25">
      <c r="A18" s="1429" t="s">
        <v>997</v>
      </c>
      <c r="B18" s="118">
        <v>2907342</v>
      </c>
      <c r="C18" s="118">
        <v>14712374.490000002</v>
      </c>
      <c r="D18" s="95">
        <v>103731</v>
      </c>
      <c r="E18" s="118">
        <v>128</v>
      </c>
      <c r="F18" s="118">
        <v>83</v>
      </c>
      <c r="G18" s="118">
        <v>2759927.540000001</v>
      </c>
    </row>
    <row r="19" spans="1:7" x14ac:dyDescent="0.25">
      <c r="A19" s="1429" t="s">
        <v>998</v>
      </c>
      <c r="B19" s="118">
        <v>3177670</v>
      </c>
      <c r="C19" s="118">
        <v>13784182.43</v>
      </c>
      <c r="D19" s="95">
        <v>100058</v>
      </c>
      <c r="E19" s="118">
        <v>129.66666666666666</v>
      </c>
      <c r="F19" s="118">
        <v>82.333333333333329</v>
      </c>
      <c r="G19" s="118">
        <v>2640519</v>
      </c>
    </row>
    <row r="20" spans="1:7" x14ac:dyDescent="0.25">
      <c r="A20" s="1429" t="s">
        <v>999</v>
      </c>
      <c r="B20" s="118">
        <v>3475265</v>
      </c>
      <c r="C20" s="118">
        <v>15986446.600000001</v>
      </c>
      <c r="D20" s="95">
        <v>112971</v>
      </c>
      <c r="E20" s="118">
        <v>131</v>
      </c>
      <c r="F20" s="118">
        <v>78</v>
      </c>
      <c r="G20" s="118">
        <v>3186797</v>
      </c>
    </row>
    <row r="21" spans="1:7" x14ac:dyDescent="0.25">
      <c r="A21" s="1429" t="s">
        <v>1000</v>
      </c>
      <c r="B21" s="118">
        <v>3201846</v>
      </c>
      <c r="C21" s="118">
        <v>14811719.5</v>
      </c>
      <c r="D21" s="95">
        <v>100914</v>
      </c>
      <c r="E21" s="118">
        <v>126.66666666666667</v>
      </c>
      <c r="F21" s="118">
        <v>75.666666666666671</v>
      </c>
      <c r="G21" s="118">
        <v>3005561</v>
      </c>
    </row>
    <row r="22" spans="1:7" x14ac:dyDescent="0.25">
      <c r="A22" s="208" t="s">
        <v>1002</v>
      </c>
      <c r="B22" s="118">
        <v>13840622</v>
      </c>
      <c r="C22" s="118">
        <v>64321490.039999999</v>
      </c>
      <c r="D22" s="95">
        <v>448790</v>
      </c>
      <c r="E22" s="95">
        <v>129.33333333333334</v>
      </c>
      <c r="F22" s="95">
        <v>76.583333333333329</v>
      </c>
      <c r="G22" s="118">
        <v>13496788</v>
      </c>
    </row>
    <row r="23" spans="1:7" x14ac:dyDescent="0.25">
      <c r="A23" s="1429" t="s">
        <v>997</v>
      </c>
      <c r="B23" s="118">
        <v>3231590</v>
      </c>
      <c r="C23" s="118">
        <v>14070928.439999999</v>
      </c>
      <c r="D23" s="95">
        <v>103303</v>
      </c>
      <c r="E23" s="118">
        <v>122</v>
      </c>
      <c r="F23" s="118">
        <v>65.666666666666671</v>
      </c>
      <c r="G23" s="118">
        <v>2891365</v>
      </c>
    </row>
    <row r="24" spans="1:7" x14ac:dyDescent="0.25">
      <c r="A24" s="1429" t="s">
        <v>998</v>
      </c>
      <c r="B24" s="118">
        <v>3208499</v>
      </c>
      <c r="C24" s="118">
        <v>14881350.6</v>
      </c>
      <c r="D24" s="95">
        <v>93144</v>
      </c>
      <c r="E24" s="118">
        <v>121</v>
      </c>
      <c r="F24" s="118">
        <v>68.333333333333329</v>
      </c>
      <c r="G24" s="118">
        <v>3087929</v>
      </c>
    </row>
    <row r="25" spans="1:7" x14ac:dyDescent="0.25">
      <c r="A25" s="1429" t="s">
        <v>999</v>
      </c>
      <c r="B25" s="118">
        <v>3671766</v>
      </c>
      <c r="C25" s="118">
        <v>18997999</v>
      </c>
      <c r="D25" s="95">
        <v>133010</v>
      </c>
      <c r="E25" s="118">
        <v>134</v>
      </c>
      <c r="F25" s="118">
        <v>83.666666666666671</v>
      </c>
      <c r="G25" s="118">
        <v>4070297</v>
      </c>
    </row>
    <row r="26" spans="1:7" x14ac:dyDescent="0.25">
      <c r="A26" s="1429" t="s">
        <v>1000</v>
      </c>
      <c r="B26" s="118">
        <v>3728767</v>
      </c>
      <c r="C26" s="118">
        <v>16371212</v>
      </c>
      <c r="D26" s="95">
        <v>119333</v>
      </c>
      <c r="E26" s="118">
        <v>140.33333333333334</v>
      </c>
      <c r="F26" s="118">
        <v>88.666666666666671</v>
      </c>
      <c r="G26" s="118">
        <v>3447197</v>
      </c>
    </row>
    <row r="27" spans="1:7" x14ac:dyDescent="0.25">
      <c r="A27" s="208" t="s">
        <v>1003</v>
      </c>
      <c r="B27" s="118">
        <v>16290724</v>
      </c>
      <c r="C27" s="118">
        <v>108077041</v>
      </c>
      <c r="D27" s="95">
        <v>587194</v>
      </c>
      <c r="E27" s="95">
        <v>151.83333333333334</v>
      </c>
      <c r="F27" s="95">
        <v>97.916666666666671</v>
      </c>
      <c r="G27" s="118">
        <v>16470894</v>
      </c>
    </row>
    <row r="28" spans="1:7" x14ac:dyDescent="0.25">
      <c r="A28" s="1429" t="s">
        <v>997</v>
      </c>
      <c r="B28" s="118">
        <v>3513893</v>
      </c>
      <c r="C28" s="118">
        <v>15008289</v>
      </c>
      <c r="D28" s="95">
        <v>115555</v>
      </c>
      <c r="E28" s="118">
        <v>135.33333333333334</v>
      </c>
      <c r="F28" s="118">
        <v>83</v>
      </c>
      <c r="G28" s="118">
        <v>3039625</v>
      </c>
    </row>
    <row r="29" spans="1:7" x14ac:dyDescent="0.25">
      <c r="A29" s="1429" t="s">
        <v>998</v>
      </c>
      <c r="B29" s="118">
        <v>3431621</v>
      </c>
      <c r="C29" s="118">
        <v>15773610</v>
      </c>
      <c r="D29" s="95">
        <v>125760</v>
      </c>
      <c r="E29" s="118">
        <v>138</v>
      </c>
      <c r="F29" s="118">
        <v>87.333333333333329</v>
      </c>
      <c r="G29" s="118">
        <v>3194170</v>
      </c>
    </row>
    <row r="30" spans="1:7" x14ac:dyDescent="0.25">
      <c r="A30" s="1429" t="s">
        <v>999</v>
      </c>
      <c r="B30" s="118">
        <v>4426220</v>
      </c>
      <c r="C30" s="118">
        <v>33578598</v>
      </c>
      <c r="D30" s="95">
        <v>153673</v>
      </c>
      <c r="E30" s="118">
        <v>151</v>
      </c>
      <c r="F30" s="118">
        <v>98</v>
      </c>
      <c r="G30" s="118">
        <v>5249204</v>
      </c>
    </row>
    <row r="31" spans="1:7" x14ac:dyDescent="0.25">
      <c r="A31" s="1429" t="s">
        <v>1000</v>
      </c>
      <c r="B31" s="118">
        <v>4918990</v>
      </c>
      <c r="C31" s="118">
        <v>43716544</v>
      </c>
      <c r="D31" s="95">
        <v>192206</v>
      </c>
      <c r="E31" s="118">
        <v>183</v>
      </c>
      <c r="F31" s="118">
        <v>123.33333333333333</v>
      </c>
      <c r="G31" s="118">
        <v>4987895</v>
      </c>
    </row>
    <row r="32" spans="1:7" x14ac:dyDescent="0.25">
      <c r="A32" s="208" t="s">
        <v>1004</v>
      </c>
      <c r="B32" s="118">
        <v>20259642</v>
      </c>
      <c r="C32" s="118">
        <v>108820123</v>
      </c>
      <c r="D32" s="95">
        <v>607315</v>
      </c>
      <c r="E32" s="95">
        <v>186.66666666666666</v>
      </c>
      <c r="F32" s="95">
        <v>118.66666666666667</v>
      </c>
      <c r="G32" s="118">
        <v>16719401</v>
      </c>
    </row>
    <row r="33" spans="1:7" x14ac:dyDescent="0.25">
      <c r="A33" s="1429" t="s">
        <v>997</v>
      </c>
      <c r="B33" s="118">
        <v>4552688</v>
      </c>
      <c r="C33" s="118">
        <v>30798729</v>
      </c>
      <c r="D33" s="95">
        <v>160894</v>
      </c>
      <c r="E33" s="118">
        <v>197.33333333333334</v>
      </c>
      <c r="F33" s="118">
        <v>134</v>
      </c>
      <c r="G33" s="118">
        <v>4424638</v>
      </c>
    </row>
    <row r="34" spans="1:7" x14ac:dyDescent="0.25">
      <c r="A34" s="1429" t="s">
        <v>998</v>
      </c>
      <c r="B34" s="118">
        <v>4909768</v>
      </c>
      <c r="C34" s="118">
        <v>27740144</v>
      </c>
      <c r="D34" s="95">
        <v>174474</v>
      </c>
      <c r="E34" s="118">
        <v>183.33333333333334</v>
      </c>
      <c r="F34" s="118">
        <v>116</v>
      </c>
      <c r="G34" s="118">
        <v>4283439</v>
      </c>
    </row>
    <row r="35" spans="1:7" x14ac:dyDescent="0.25">
      <c r="A35" s="1429" t="s">
        <v>999</v>
      </c>
      <c r="B35" s="118">
        <v>5692814</v>
      </c>
      <c r="C35" s="118">
        <v>29018813</v>
      </c>
      <c r="D35" s="95">
        <v>162805</v>
      </c>
      <c r="E35" s="118">
        <v>192.33333333333334</v>
      </c>
      <c r="F35" s="118">
        <v>119.66666666666667</v>
      </c>
      <c r="G35" s="118">
        <v>4383806</v>
      </c>
    </row>
    <row r="36" spans="1:7" x14ac:dyDescent="0.25">
      <c r="A36" s="1429" t="s">
        <v>1000</v>
      </c>
      <c r="B36" s="118">
        <v>5104372</v>
      </c>
      <c r="C36" s="118">
        <v>21262437</v>
      </c>
      <c r="D36" s="95">
        <v>109142</v>
      </c>
      <c r="E36" s="118">
        <v>173.66666666666666</v>
      </c>
      <c r="F36" s="118">
        <v>105</v>
      </c>
      <c r="G36" s="118">
        <v>3627518</v>
      </c>
    </row>
    <row r="37" spans="1:7" x14ac:dyDescent="0.25">
      <c r="A37" s="208" t="s">
        <v>1005</v>
      </c>
      <c r="B37" s="118">
        <v>2351747</v>
      </c>
      <c r="C37" s="118">
        <v>7366640</v>
      </c>
      <c r="D37" s="95">
        <v>45069</v>
      </c>
      <c r="E37" s="95">
        <v>144.5</v>
      </c>
      <c r="F37" s="95">
        <v>87.5</v>
      </c>
      <c r="G37" s="118">
        <v>1507069</v>
      </c>
    </row>
    <row r="38" spans="1:7" x14ac:dyDescent="0.25">
      <c r="A38" s="1429" t="s">
        <v>997</v>
      </c>
      <c r="B38" s="118">
        <v>2351747</v>
      </c>
      <c r="C38" s="118">
        <v>7366640</v>
      </c>
      <c r="D38" s="95">
        <v>45069</v>
      </c>
      <c r="E38" s="118">
        <v>144.5</v>
      </c>
      <c r="F38" s="118">
        <v>87.5</v>
      </c>
      <c r="G38" s="118">
        <v>1507069</v>
      </c>
    </row>
    <row r="39" spans="1:7" x14ac:dyDescent="0.25">
      <c r="A39" s="1429" t="s">
        <v>998</v>
      </c>
      <c r="B39" s="118"/>
      <c r="C39" s="118"/>
      <c r="D39" s="95"/>
      <c r="E39" s="118"/>
      <c r="F39" s="118"/>
      <c r="G39" s="118"/>
    </row>
    <row r="40" spans="1:7" x14ac:dyDescent="0.25">
      <c r="A40" s="1429" t="s">
        <v>999</v>
      </c>
      <c r="B40" s="118"/>
      <c r="C40" s="118"/>
      <c r="D40" s="95"/>
      <c r="E40" s="118"/>
      <c r="F40" s="118"/>
      <c r="G40" s="118"/>
    </row>
    <row r="41" spans="1:7" x14ac:dyDescent="0.25">
      <c r="A41" s="208" t="s">
        <v>520</v>
      </c>
      <c r="B41" s="118">
        <v>75592250.169277832</v>
      </c>
      <c r="C41" s="118">
        <v>393834324.73000002</v>
      </c>
      <c r="D41" s="95">
        <v>4638090</v>
      </c>
      <c r="E41" s="95">
        <v>106.93600000000001</v>
      </c>
      <c r="F41" s="95">
        <v>74.989999999999995</v>
      </c>
      <c r="G41" s="118">
        <v>69699389.420000002</v>
      </c>
    </row>
    <row r="65" spans="1:18" x14ac:dyDescent="0.25">
      <c r="A65" t="s">
        <v>22</v>
      </c>
      <c r="B65" t="s">
        <v>1006</v>
      </c>
      <c r="C65" t="s">
        <v>1007</v>
      </c>
      <c r="D65" t="s">
        <v>1008</v>
      </c>
      <c r="E65" t="s">
        <v>1009</v>
      </c>
      <c r="F65" t="s">
        <v>1010</v>
      </c>
      <c r="G65" t="s">
        <v>1011</v>
      </c>
      <c r="H65" t="s">
        <v>1012</v>
      </c>
      <c r="I65" t="s">
        <v>1013</v>
      </c>
      <c r="J65" t="s">
        <v>1014</v>
      </c>
      <c r="K65" t="s">
        <v>1015</v>
      </c>
      <c r="L65" t="s">
        <v>1016</v>
      </c>
      <c r="M65" t="s">
        <v>1017</v>
      </c>
      <c r="N65" t="s">
        <v>1018</v>
      </c>
      <c r="Q65" t="s">
        <v>1019</v>
      </c>
      <c r="R65" t="s">
        <v>1020</v>
      </c>
    </row>
    <row r="66" spans="1:18" x14ac:dyDescent="0.25">
      <c r="A66" t="s">
        <v>1021</v>
      </c>
      <c r="B66" s="118">
        <f t="shared" ref="B66:F68" si="0">B14</f>
        <v>2814756</v>
      </c>
      <c r="C66" s="118">
        <f t="shared" si="0"/>
        <v>13608276.41</v>
      </c>
      <c r="D66" s="93">
        <f t="shared" si="0"/>
        <v>96553</v>
      </c>
      <c r="E66" s="93">
        <f t="shared" si="0"/>
        <v>119.33333333333333</v>
      </c>
      <c r="F66" s="93">
        <f t="shared" si="0"/>
        <v>76</v>
      </c>
      <c r="G66" s="84">
        <f t="shared" ref="G66:G84" si="1">B66/C66</f>
        <v>0.20684147758283225</v>
      </c>
      <c r="H66" s="1430">
        <f t="shared" ref="H66:H84" si="2">B66/D66</f>
        <v>29.152444771265522</v>
      </c>
      <c r="I66" s="118">
        <f>C66/E66</f>
        <v>114035.83583798884</v>
      </c>
      <c r="J66" s="134">
        <f>C66/F66</f>
        <v>179056.26855263158</v>
      </c>
      <c r="K66" s="93">
        <f>D66/E66</f>
        <v>809.10335195530729</v>
      </c>
      <c r="L66" s="93">
        <f>D66/F66</f>
        <v>1270.4342105263158</v>
      </c>
      <c r="M66" s="155">
        <v>18.5</v>
      </c>
      <c r="N66" s="134">
        <f>G14</f>
        <v>2758759</v>
      </c>
      <c r="O66" s="106">
        <v>0.05</v>
      </c>
      <c r="P66" s="106">
        <v>-0.05</v>
      </c>
      <c r="Q66" s="118">
        <f>N66-B66</f>
        <v>-55997</v>
      </c>
      <c r="R66" s="96">
        <f>Q66/B66</f>
        <v>-1.9894086734338606E-2</v>
      </c>
    </row>
    <row r="67" spans="1:18" x14ac:dyDescent="0.25">
      <c r="A67" t="s">
        <v>1022</v>
      </c>
      <c r="B67" s="118">
        <f t="shared" si="0"/>
        <v>3141109</v>
      </c>
      <c r="C67" s="118">
        <f t="shared" si="0"/>
        <v>16755116.58</v>
      </c>
      <c r="D67" s="93">
        <f t="shared" si="0"/>
        <v>102526</v>
      </c>
      <c r="E67" s="93">
        <f t="shared" si="0"/>
        <v>125</v>
      </c>
      <c r="F67" s="93">
        <f t="shared" si="0"/>
        <v>81.666666666666671</v>
      </c>
      <c r="G67" s="84">
        <f t="shared" si="1"/>
        <v>0.18747162903953962</v>
      </c>
      <c r="H67" s="1430">
        <f t="shared" si="2"/>
        <v>30.637194467744767</v>
      </c>
      <c r="I67" s="118">
        <f t="shared" ref="I67:I84" si="3">C67/E67</f>
        <v>134040.93264000001</v>
      </c>
      <c r="J67" s="134">
        <f t="shared" ref="J67:J84" si="4">C67/F67</f>
        <v>205164.69281632651</v>
      </c>
      <c r="K67" s="93">
        <f t="shared" ref="K67:K84" si="5">D67/E67</f>
        <v>820.20799999999997</v>
      </c>
      <c r="L67" s="93">
        <f t="shared" ref="L67:L84" si="6">D67/F67</f>
        <v>1255.4204081632652</v>
      </c>
      <c r="M67" s="155">
        <v>18.5</v>
      </c>
      <c r="N67" s="134">
        <f t="shared" ref="N67:N68" si="7">G15</f>
        <v>3197319</v>
      </c>
      <c r="O67" s="106">
        <v>0.05</v>
      </c>
      <c r="P67" s="106">
        <v>-0.05</v>
      </c>
      <c r="Q67" s="118">
        <f t="shared" ref="Q67:Q84" si="8">N67-B67</f>
        <v>56210</v>
      </c>
      <c r="R67" s="96">
        <f t="shared" ref="R67:R84" si="9">Q67/B67</f>
        <v>1.7894953661270589E-2</v>
      </c>
    </row>
    <row r="68" spans="1:18" x14ac:dyDescent="0.25">
      <c r="A68" t="s">
        <v>1023</v>
      </c>
      <c r="B68" s="118">
        <f t="shared" si="0"/>
        <v>3113884</v>
      </c>
      <c r="C68" s="118">
        <f t="shared" si="0"/>
        <v>15590914.680000002</v>
      </c>
      <c r="D68" s="93">
        <f t="shared" si="0"/>
        <v>115533</v>
      </c>
      <c r="E68" s="93">
        <f t="shared" si="0"/>
        <v>130.33333333333334</v>
      </c>
      <c r="F68" s="93">
        <f t="shared" si="0"/>
        <v>87.333333333333329</v>
      </c>
      <c r="G68" s="84">
        <f t="shared" si="1"/>
        <v>0.19972426659447282</v>
      </c>
      <c r="H68" s="1430">
        <f t="shared" si="2"/>
        <v>26.952333965187435</v>
      </c>
      <c r="I68" s="118">
        <f t="shared" si="3"/>
        <v>119623.38629156011</v>
      </c>
      <c r="J68" s="134">
        <f t="shared" si="4"/>
        <v>178521.92381679392</v>
      </c>
      <c r="K68" s="93">
        <f t="shared" si="5"/>
        <v>886.44245524296673</v>
      </c>
      <c r="L68" s="93">
        <f t="shared" si="6"/>
        <v>1322.8969465648856</v>
      </c>
      <c r="M68" s="155">
        <v>18.5</v>
      </c>
      <c r="N68" s="134">
        <f t="shared" si="7"/>
        <v>2972238.92</v>
      </c>
      <c r="O68" s="106">
        <v>0.05</v>
      </c>
      <c r="P68" s="106">
        <v>-0.05</v>
      </c>
      <c r="Q68" s="118">
        <f t="shared" si="8"/>
        <v>-141645.08000000007</v>
      </c>
      <c r="R68" s="96">
        <f t="shared" si="9"/>
        <v>-4.5488232702310068E-2</v>
      </c>
    </row>
    <row r="69" spans="1:18" x14ac:dyDescent="0.25">
      <c r="A69" t="s">
        <v>1024</v>
      </c>
      <c r="B69" s="118">
        <f t="shared" ref="B69:F72" si="10">B18</f>
        <v>2907342</v>
      </c>
      <c r="C69" s="118">
        <f t="shared" si="10"/>
        <v>14712374.490000002</v>
      </c>
      <c r="D69" s="93">
        <f t="shared" si="10"/>
        <v>103731</v>
      </c>
      <c r="E69" s="93">
        <f t="shared" si="10"/>
        <v>128</v>
      </c>
      <c r="F69" s="93">
        <f t="shared" si="10"/>
        <v>83</v>
      </c>
      <c r="G69" s="84">
        <f t="shared" si="1"/>
        <v>0.19761201714761406</v>
      </c>
      <c r="H69" s="1430">
        <f t="shared" si="2"/>
        <v>28.027706278740204</v>
      </c>
      <c r="I69" s="118">
        <f t="shared" si="3"/>
        <v>114940.42570312502</v>
      </c>
      <c r="J69" s="134">
        <f t="shared" si="4"/>
        <v>177257.52397590363</v>
      </c>
      <c r="K69" s="93">
        <f t="shared" si="5"/>
        <v>810.3984375</v>
      </c>
      <c r="L69" s="93">
        <f t="shared" si="6"/>
        <v>1249.7710843373493</v>
      </c>
      <c r="M69" s="155">
        <v>18.5</v>
      </c>
      <c r="N69" s="134">
        <f>G18</f>
        <v>2759927.540000001</v>
      </c>
      <c r="O69" s="106">
        <v>0.05</v>
      </c>
      <c r="P69" s="106">
        <v>-0.05</v>
      </c>
      <c r="Q69" s="118">
        <f t="shared" si="8"/>
        <v>-147414.45999999903</v>
      </c>
      <c r="R69" s="96">
        <f t="shared" si="9"/>
        <v>-5.0704203358256109E-2</v>
      </c>
    </row>
    <row r="70" spans="1:18" x14ac:dyDescent="0.25">
      <c r="A70" t="s">
        <v>1025</v>
      </c>
      <c r="B70" s="118">
        <f t="shared" si="10"/>
        <v>3177670</v>
      </c>
      <c r="C70" s="118">
        <f t="shared" si="10"/>
        <v>13784182.43</v>
      </c>
      <c r="D70" s="93">
        <f t="shared" si="10"/>
        <v>100058</v>
      </c>
      <c r="E70" s="93">
        <f t="shared" si="10"/>
        <v>129.66666666666666</v>
      </c>
      <c r="F70" s="93">
        <f t="shared" si="10"/>
        <v>82.333333333333329</v>
      </c>
      <c r="G70" s="84">
        <f t="shared" si="1"/>
        <v>0.2305301758836342</v>
      </c>
      <c r="H70" s="1430">
        <f t="shared" si="2"/>
        <v>31.758280197485458</v>
      </c>
      <c r="I70" s="118">
        <f t="shared" si="3"/>
        <v>106304.74881748072</v>
      </c>
      <c r="J70" s="134">
        <f t="shared" si="4"/>
        <v>167419.21979757087</v>
      </c>
      <c r="K70" s="93">
        <f t="shared" si="5"/>
        <v>771.65552699228795</v>
      </c>
      <c r="L70" s="93">
        <f t="shared" si="6"/>
        <v>1215.2793522267207</v>
      </c>
      <c r="M70" s="155">
        <v>19</v>
      </c>
      <c r="N70" s="134">
        <f t="shared" ref="N70:N72" si="11">G19</f>
        <v>2640519</v>
      </c>
      <c r="O70" s="106">
        <v>0.05</v>
      </c>
      <c r="P70" s="106">
        <v>-0.05</v>
      </c>
      <c r="Q70" s="118">
        <f t="shared" si="8"/>
        <v>-537151</v>
      </c>
      <c r="R70" s="96">
        <f t="shared" si="9"/>
        <v>-0.16903926461841537</v>
      </c>
    </row>
    <row r="71" spans="1:18" x14ac:dyDescent="0.25">
      <c r="A71" t="s">
        <v>1026</v>
      </c>
      <c r="B71" s="118">
        <f t="shared" si="10"/>
        <v>3475265</v>
      </c>
      <c r="C71" s="118">
        <f t="shared" si="10"/>
        <v>15986446.600000001</v>
      </c>
      <c r="D71" s="93">
        <f t="shared" si="10"/>
        <v>112971</v>
      </c>
      <c r="E71" s="93">
        <f t="shared" si="10"/>
        <v>131</v>
      </c>
      <c r="F71" s="93">
        <f t="shared" si="10"/>
        <v>78</v>
      </c>
      <c r="G71" s="84">
        <f t="shared" si="1"/>
        <v>0.21738820933477485</v>
      </c>
      <c r="H71" s="1430">
        <f t="shared" si="2"/>
        <v>30.762452310770019</v>
      </c>
      <c r="I71" s="118">
        <f t="shared" si="3"/>
        <v>122033.94351145039</v>
      </c>
      <c r="J71" s="134">
        <f t="shared" si="4"/>
        <v>204954.44358974361</v>
      </c>
      <c r="K71" s="93">
        <f t="shared" si="5"/>
        <v>862.37404580152668</v>
      </c>
      <c r="L71" s="93">
        <f t="shared" si="6"/>
        <v>1448.3461538461538</v>
      </c>
      <c r="M71" s="155">
        <v>19</v>
      </c>
      <c r="N71" s="134">
        <f t="shared" si="11"/>
        <v>3186797</v>
      </c>
      <c r="O71" s="106">
        <v>0.05</v>
      </c>
      <c r="P71" s="106">
        <v>-0.05</v>
      </c>
      <c r="Q71" s="118">
        <f t="shared" si="8"/>
        <v>-288468</v>
      </c>
      <c r="R71" s="96">
        <f t="shared" si="9"/>
        <v>-8.3006044143396254E-2</v>
      </c>
    </row>
    <row r="72" spans="1:18" x14ac:dyDescent="0.25">
      <c r="A72" t="s">
        <v>1027</v>
      </c>
      <c r="B72" s="118">
        <f t="shared" si="10"/>
        <v>3201846</v>
      </c>
      <c r="C72" s="118">
        <f t="shared" si="10"/>
        <v>14811719.5</v>
      </c>
      <c r="D72" s="93">
        <f t="shared" si="10"/>
        <v>100914</v>
      </c>
      <c r="E72" s="93">
        <f t="shared" si="10"/>
        <v>126.66666666666667</v>
      </c>
      <c r="F72" s="93">
        <f t="shared" si="10"/>
        <v>75.666666666666671</v>
      </c>
      <c r="G72" s="84">
        <f t="shared" si="1"/>
        <v>0.21616977016071631</v>
      </c>
      <c r="H72" s="1430">
        <f t="shared" si="2"/>
        <v>31.728461858612285</v>
      </c>
      <c r="I72" s="118">
        <f t="shared" si="3"/>
        <v>116934.62763157894</v>
      </c>
      <c r="J72" s="134">
        <f t="shared" si="4"/>
        <v>195749.59691629955</v>
      </c>
      <c r="K72" s="93">
        <f t="shared" si="5"/>
        <v>796.6894736842105</v>
      </c>
      <c r="L72" s="93">
        <f t="shared" si="6"/>
        <v>1333.6651982378853</v>
      </c>
      <c r="M72" s="155">
        <v>19</v>
      </c>
      <c r="N72" s="134">
        <f t="shared" si="11"/>
        <v>3005561</v>
      </c>
      <c r="O72" s="106">
        <v>0.05</v>
      </c>
      <c r="P72" s="106">
        <v>-0.05</v>
      </c>
      <c r="Q72" s="118">
        <f t="shared" si="8"/>
        <v>-196285</v>
      </c>
      <c r="R72" s="96">
        <f t="shared" si="9"/>
        <v>-6.1303697929257057E-2</v>
      </c>
    </row>
    <row r="73" spans="1:18" x14ac:dyDescent="0.25">
      <c r="A73" t="s">
        <v>1028</v>
      </c>
      <c r="B73" s="118">
        <f t="shared" ref="B73:F76" si="12">B23</f>
        <v>3231590</v>
      </c>
      <c r="C73" s="118">
        <f t="shared" si="12"/>
        <v>14070928.439999999</v>
      </c>
      <c r="D73" s="93">
        <f t="shared" si="12"/>
        <v>103303</v>
      </c>
      <c r="E73" s="93">
        <f t="shared" si="12"/>
        <v>122</v>
      </c>
      <c r="F73" s="93">
        <f t="shared" si="12"/>
        <v>65.666666666666671</v>
      </c>
      <c r="G73" s="84">
        <f t="shared" si="1"/>
        <v>0.22966430493764917</v>
      </c>
      <c r="H73" s="1430">
        <f t="shared" si="2"/>
        <v>31.282634579828272</v>
      </c>
      <c r="I73" s="118">
        <f t="shared" si="3"/>
        <v>115335.47901639344</v>
      </c>
      <c r="J73" s="134">
        <f t="shared" si="4"/>
        <v>214278.09807106596</v>
      </c>
      <c r="K73" s="93">
        <f t="shared" si="5"/>
        <v>846.74590163934431</v>
      </c>
      <c r="L73" s="93">
        <f t="shared" si="6"/>
        <v>1573.1421319796953</v>
      </c>
      <c r="M73" s="155">
        <v>19</v>
      </c>
      <c r="N73" s="134">
        <f>G23</f>
        <v>2891365</v>
      </c>
      <c r="O73" s="106">
        <v>0.05</v>
      </c>
      <c r="P73" s="106">
        <v>-0.05</v>
      </c>
      <c r="Q73" s="118">
        <f t="shared" si="8"/>
        <v>-340225</v>
      </c>
      <c r="R73" s="96">
        <f t="shared" si="9"/>
        <v>-0.1052809917099632</v>
      </c>
    </row>
    <row r="74" spans="1:18" x14ac:dyDescent="0.25">
      <c r="A74" t="s">
        <v>1029</v>
      </c>
      <c r="B74" s="118">
        <f t="shared" si="12"/>
        <v>3208499</v>
      </c>
      <c r="C74" s="118">
        <f t="shared" si="12"/>
        <v>14881350.6</v>
      </c>
      <c r="D74" s="93">
        <f t="shared" si="12"/>
        <v>93144</v>
      </c>
      <c r="E74" s="93">
        <f t="shared" si="12"/>
        <v>121</v>
      </c>
      <c r="F74" s="93">
        <f t="shared" si="12"/>
        <v>68.333333333333329</v>
      </c>
      <c r="G74" s="84">
        <f t="shared" si="1"/>
        <v>0.2156053631314889</v>
      </c>
      <c r="H74" s="1430">
        <f t="shared" si="2"/>
        <v>34.446652495061407</v>
      </c>
      <c r="I74" s="118">
        <f t="shared" si="3"/>
        <v>122986.36859504132</v>
      </c>
      <c r="J74" s="134">
        <f t="shared" si="4"/>
        <v>217775.86243902441</v>
      </c>
      <c r="K74" s="93">
        <f t="shared" si="5"/>
        <v>769.78512396694214</v>
      </c>
      <c r="L74" s="93">
        <f t="shared" si="6"/>
        <v>1363.0829268292684</v>
      </c>
      <c r="M74" s="155">
        <v>21.65</v>
      </c>
      <c r="N74" s="134">
        <f t="shared" ref="N74:N76" si="13">G24</f>
        <v>3087929</v>
      </c>
      <c r="O74" s="106">
        <v>0.05</v>
      </c>
      <c r="P74" s="106">
        <v>-0.05</v>
      </c>
      <c r="Q74" s="118">
        <f t="shared" si="8"/>
        <v>-120570</v>
      </c>
      <c r="R74" s="96">
        <f t="shared" si="9"/>
        <v>-3.7578319332497841E-2</v>
      </c>
    </row>
    <row r="75" spans="1:18" x14ac:dyDescent="0.25">
      <c r="A75" t="s">
        <v>1030</v>
      </c>
      <c r="B75" s="118">
        <f t="shared" si="12"/>
        <v>3671766</v>
      </c>
      <c r="C75" s="118">
        <f t="shared" si="12"/>
        <v>18997999</v>
      </c>
      <c r="D75" s="93">
        <f t="shared" si="12"/>
        <v>133010</v>
      </c>
      <c r="E75" s="93">
        <f t="shared" si="12"/>
        <v>134</v>
      </c>
      <c r="F75" s="93">
        <f t="shared" si="12"/>
        <v>83.666666666666671</v>
      </c>
      <c r="G75" s="84">
        <f t="shared" si="1"/>
        <v>0.19327119661391709</v>
      </c>
      <c r="H75" s="1430">
        <f t="shared" si="2"/>
        <v>27.605187579881211</v>
      </c>
      <c r="I75" s="118">
        <f t="shared" si="3"/>
        <v>141776.11194029852</v>
      </c>
      <c r="J75" s="134">
        <f t="shared" si="4"/>
        <v>227067.71713147408</v>
      </c>
      <c r="K75" s="93">
        <f t="shared" si="5"/>
        <v>992.61194029850742</v>
      </c>
      <c r="L75" s="93">
        <f t="shared" si="6"/>
        <v>1589.7609561752988</v>
      </c>
      <c r="M75" s="155">
        <v>21.65</v>
      </c>
      <c r="N75" s="134">
        <f t="shared" si="13"/>
        <v>4070297</v>
      </c>
      <c r="O75" s="106">
        <v>0.05</v>
      </c>
      <c r="P75" s="106">
        <v>-0.05</v>
      </c>
      <c r="Q75" s="118">
        <f t="shared" si="8"/>
        <v>398531</v>
      </c>
      <c r="R75" s="96">
        <f t="shared" si="9"/>
        <v>0.10853932412904309</v>
      </c>
    </row>
    <row r="76" spans="1:18" x14ac:dyDescent="0.25">
      <c r="A76" t="s">
        <v>1031</v>
      </c>
      <c r="B76" s="118">
        <f t="shared" si="12"/>
        <v>3728767</v>
      </c>
      <c r="C76" s="118">
        <f t="shared" si="12"/>
        <v>16371212</v>
      </c>
      <c r="D76" s="93">
        <f t="shared" si="12"/>
        <v>119333</v>
      </c>
      <c r="E76" s="93">
        <f t="shared" si="12"/>
        <v>140.33333333333334</v>
      </c>
      <c r="F76" s="93">
        <f t="shared" si="12"/>
        <v>88.666666666666671</v>
      </c>
      <c r="G76" s="84">
        <f t="shared" si="1"/>
        <v>0.22776364999732457</v>
      </c>
      <c r="H76" s="1430">
        <f t="shared" si="2"/>
        <v>31.246738119380222</v>
      </c>
      <c r="I76" s="118">
        <f t="shared" si="3"/>
        <v>116659.46793349167</v>
      </c>
      <c r="J76" s="134">
        <f t="shared" si="4"/>
        <v>184637.72932330827</v>
      </c>
      <c r="K76" s="93">
        <f t="shared" si="5"/>
        <v>850.35391923990494</v>
      </c>
      <c r="L76" s="93">
        <f t="shared" si="6"/>
        <v>1345.8609022556391</v>
      </c>
      <c r="M76" s="155">
        <v>21.65</v>
      </c>
      <c r="N76" s="134">
        <f t="shared" si="13"/>
        <v>3447197</v>
      </c>
      <c r="O76" s="106">
        <v>0.05</v>
      </c>
      <c r="P76" s="106">
        <v>-0.05</v>
      </c>
      <c r="Q76" s="118">
        <f t="shared" si="8"/>
        <v>-281570</v>
      </c>
      <c r="R76" s="96">
        <f t="shared" si="9"/>
        <v>-7.5512897426951053E-2</v>
      </c>
    </row>
    <row r="77" spans="1:18" x14ac:dyDescent="0.25">
      <c r="A77" t="s">
        <v>1032</v>
      </c>
      <c r="B77" s="118">
        <f t="shared" ref="B77:F80" si="14">B28</f>
        <v>3513893</v>
      </c>
      <c r="C77" s="118">
        <f t="shared" si="14"/>
        <v>15008289</v>
      </c>
      <c r="D77" s="93">
        <f t="shared" si="14"/>
        <v>115555</v>
      </c>
      <c r="E77" s="93">
        <f t="shared" si="14"/>
        <v>135.33333333333334</v>
      </c>
      <c r="F77" s="93">
        <f t="shared" si="14"/>
        <v>83</v>
      </c>
      <c r="G77" s="84">
        <f t="shared" si="1"/>
        <v>0.23413015301077958</v>
      </c>
      <c r="H77" s="1430">
        <f t="shared" si="2"/>
        <v>30.408835619402016</v>
      </c>
      <c r="I77" s="118">
        <f t="shared" si="3"/>
        <v>110898.68719211822</v>
      </c>
      <c r="J77" s="134">
        <f t="shared" si="4"/>
        <v>180822.75903614459</v>
      </c>
      <c r="K77" s="93">
        <f t="shared" si="5"/>
        <v>853.85467980295562</v>
      </c>
      <c r="L77" s="93">
        <f t="shared" si="6"/>
        <v>1392.2289156626507</v>
      </c>
      <c r="M77" s="155">
        <v>21.65</v>
      </c>
      <c r="N77" s="134">
        <f>G28</f>
        <v>3039625</v>
      </c>
      <c r="O77" s="106">
        <v>0.05</v>
      </c>
      <c r="P77" s="106">
        <v>-0.05</v>
      </c>
      <c r="Q77" s="118">
        <f t="shared" si="8"/>
        <v>-474268</v>
      </c>
      <c r="R77" s="96">
        <f t="shared" si="9"/>
        <v>-0.13496939149826134</v>
      </c>
    </row>
    <row r="78" spans="1:18" x14ac:dyDescent="0.25">
      <c r="A78" t="s">
        <v>1033</v>
      </c>
      <c r="B78" s="118">
        <f t="shared" si="14"/>
        <v>3431621</v>
      </c>
      <c r="C78" s="118">
        <f t="shared" si="14"/>
        <v>15773610</v>
      </c>
      <c r="D78" s="93">
        <f t="shared" si="14"/>
        <v>125760</v>
      </c>
      <c r="E78" s="93">
        <f t="shared" si="14"/>
        <v>138</v>
      </c>
      <c r="F78" s="93">
        <f t="shared" si="14"/>
        <v>87.333333333333329</v>
      </c>
      <c r="G78" s="84">
        <f t="shared" si="1"/>
        <v>0.21755457374691017</v>
      </c>
      <c r="H78" s="1430">
        <f t="shared" si="2"/>
        <v>27.287062659033079</v>
      </c>
      <c r="I78" s="118">
        <f t="shared" si="3"/>
        <v>114301.52173913043</v>
      </c>
      <c r="J78" s="134">
        <f t="shared" si="4"/>
        <v>180613.85496183208</v>
      </c>
      <c r="K78" s="93">
        <f t="shared" si="5"/>
        <v>911.304347826087</v>
      </c>
      <c r="L78" s="93">
        <f t="shared" si="6"/>
        <v>1440</v>
      </c>
      <c r="M78" s="155">
        <v>22.15</v>
      </c>
      <c r="N78" s="134">
        <f t="shared" ref="N78:N80" si="15">G29</f>
        <v>3194170</v>
      </c>
      <c r="O78" s="106">
        <v>0.05</v>
      </c>
      <c r="P78" s="106">
        <v>-0.05</v>
      </c>
      <c r="Q78" s="118">
        <f t="shared" si="8"/>
        <v>-237451</v>
      </c>
      <c r="R78" s="96">
        <f t="shared" si="9"/>
        <v>-6.9194995601204207E-2</v>
      </c>
    </row>
    <row r="79" spans="1:18" x14ac:dyDescent="0.25">
      <c r="A79" t="s">
        <v>1034</v>
      </c>
      <c r="B79" s="118">
        <f t="shared" si="14"/>
        <v>4426220</v>
      </c>
      <c r="C79" s="118">
        <f t="shared" si="14"/>
        <v>33578598</v>
      </c>
      <c r="D79" s="93">
        <f t="shared" si="14"/>
        <v>153673</v>
      </c>
      <c r="E79" s="93">
        <f t="shared" si="14"/>
        <v>151</v>
      </c>
      <c r="F79" s="93">
        <f t="shared" si="14"/>
        <v>98</v>
      </c>
      <c r="G79" s="84">
        <f t="shared" si="1"/>
        <v>0.13181670062579742</v>
      </c>
      <c r="H79" s="1430">
        <f t="shared" si="2"/>
        <v>28.802847604979405</v>
      </c>
      <c r="I79" s="118">
        <f t="shared" si="3"/>
        <v>222374.82119205297</v>
      </c>
      <c r="J79" s="134">
        <f t="shared" si="4"/>
        <v>342638.75510204083</v>
      </c>
      <c r="K79" s="93">
        <f t="shared" si="5"/>
        <v>1017.7019867549669</v>
      </c>
      <c r="L79" s="93">
        <f t="shared" si="6"/>
        <v>1568.091836734694</v>
      </c>
      <c r="M79" s="155">
        <v>22.15</v>
      </c>
      <c r="N79" s="134">
        <f t="shared" si="15"/>
        <v>5249204</v>
      </c>
      <c r="O79" s="106">
        <v>0.05</v>
      </c>
      <c r="P79" s="106">
        <v>-0.05</v>
      </c>
      <c r="Q79" s="118">
        <f t="shared" si="8"/>
        <v>822984</v>
      </c>
      <c r="R79" s="96">
        <f t="shared" si="9"/>
        <v>0.18593382163561684</v>
      </c>
    </row>
    <row r="80" spans="1:18" x14ac:dyDescent="0.25">
      <c r="A80" t="s">
        <v>1035</v>
      </c>
      <c r="B80" s="118">
        <f t="shared" si="14"/>
        <v>4918990</v>
      </c>
      <c r="C80" s="118">
        <f t="shared" si="14"/>
        <v>43716544</v>
      </c>
      <c r="D80" s="93">
        <f t="shared" si="14"/>
        <v>192206</v>
      </c>
      <c r="E80" s="93">
        <f t="shared" si="14"/>
        <v>183</v>
      </c>
      <c r="F80" s="93">
        <f t="shared" si="14"/>
        <v>123.33333333333333</v>
      </c>
      <c r="G80" s="84">
        <f t="shared" si="1"/>
        <v>0.11252010222949005</v>
      </c>
      <c r="H80" s="1430">
        <f t="shared" si="2"/>
        <v>25.592281198297659</v>
      </c>
      <c r="I80" s="118">
        <f t="shared" si="3"/>
        <v>238888.21857923496</v>
      </c>
      <c r="J80" s="134">
        <f t="shared" si="4"/>
        <v>354458.46486486489</v>
      </c>
      <c r="K80" s="93">
        <f t="shared" si="5"/>
        <v>1050.3060109289618</v>
      </c>
      <c r="L80" s="93">
        <f t="shared" si="6"/>
        <v>1558.4270270270272</v>
      </c>
      <c r="M80" s="155">
        <v>22.15</v>
      </c>
      <c r="N80" s="134">
        <f t="shared" si="15"/>
        <v>4987895</v>
      </c>
      <c r="O80" s="106">
        <v>0.05</v>
      </c>
      <c r="P80" s="106">
        <v>-0.05</v>
      </c>
      <c r="Q80" s="118">
        <f t="shared" si="8"/>
        <v>68905</v>
      </c>
      <c r="R80" s="96">
        <f t="shared" si="9"/>
        <v>1.4007956917985197E-2</v>
      </c>
    </row>
    <row r="81" spans="1:18" x14ac:dyDescent="0.25">
      <c r="A81" t="s">
        <v>1036</v>
      </c>
      <c r="B81" s="118">
        <f t="shared" ref="B81:F84" si="16">B33</f>
        <v>4552688</v>
      </c>
      <c r="C81" s="118">
        <f t="shared" si="16"/>
        <v>30798729</v>
      </c>
      <c r="D81" s="93">
        <f t="shared" si="16"/>
        <v>160894</v>
      </c>
      <c r="E81" s="93">
        <f t="shared" si="16"/>
        <v>197.33333333333334</v>
      </c>
      <c r="F81" s="93">
        <f t="shared" si="16"/>
        <v>134</v>
      </c>
      <c r="G81" s="84">
        <f t="shared" si="1"/>
        <v>0.1478206454558563</v>
      </c>
      <c r="H81" s="1430">
        <f t="shared" si="2"/>
        <v>28.296195010379506</v>
      </c>
      <c r="I81" s="118">
        <f t="shared" si="3"/>
        <v>156074.64020270269</v>
      </c>
      <c r="J81" s="134">
        <f t="shared" si="4"/>
        <v>229841.26119402985</v>
      </c>
      <c r="K81" s="93">
        <f t="shared" si="5"/>
        <v>815.34121621621614</v>
      </c>
      <c r="L81" s="93">
        <f t="shared" si="6"/>
        <v>1200.7014925373135</v>
      </c>
      <c r="M81" s="155">
        <v>22.15</v>
      </c>
      <c r="N81" s="134">
        <f>G33</f>
        <v>4424638</v>
      </c>
      <c r="O81" s="106">
        <v>0.05</v>
      </c>
      <c r="P81" s="106">
        <v>-0.05</v>
      </c>
      <c r="Q81" s="118">
        <f t="shared" si="8"/>
        <v>-128050</v>
      </c>
      <c r="R81" s="96">
        <f t="shared" si="9"/>
        <v>-2.8126241025082325E-2</v>
      </c>
    </row>
    <row r="82" spans="1:18" x14ac:dyDescent="0.25">
      <c r="A82" t="s">
        <v>1037</v>
      </c>
      <c r="B82" s="118">
        <f t="shared" si="16"/>
        <v>4909768</v>
      </c>
      <c r="C82" s="118">
        <f t="shared" si="16"/>
        <v>27740144</v>
      </c>
      <c r="D82" s="93">
        <f t="shared" si="16"/>
        <v>174474</v>
      </c>
      <c r="E82" s="93">
        <f t="shared" si="16"/>
        <v>183.33333333333334</v>
      </c>
      <c r="F82" s="93">
        <f t="shared" si="16"/>
        <v>116</v>
      </c>
      <c r="G82" s="84">
        <f t="shared" si="1"/>
        <v>0.17699143883319424</v>
      </c>
      <c r="H82" s="1430">
        <f t="shared" si="2"/>
        <v>28.140399142565656</v>
      </c>
      <c r="I82" s="118">
        <f t="shared" si="3"/>
        <v>151309.87636363634</v>
      </c>
      <c r="J82" s="134">
        <f t="shared" si="4"/>
        <v>239139.1724137931</v>
      </c>
      <c r="K82" s="93">
        <f t="shared" si="5"/>
        <v>951.67636363636359</v>
      </c>
      <c r="L82" s="93">
        <f t="shared" si="6"/>
        <v>1504.0862068965516</v>
      </c>
      <c r="M82" s="155">
        <v>23.25</v>
      </c>
      <c r="N82" s="134">
        <f t="shared" ref="N82:N84" si="17">G34</f>
        <v>4283439</v>
      </c>
      <c r="O82" s="106">
        <v>0.05</v>
      </c>
      <c r="P82" s="106">
        <v>-0.05</v>
      </c>
      <c r="Q82" s="118">
        <f t="shared" si="8"/>
        <v>-626329</v>
      </c>
      <c r="R82" s="96">
        <f t="shared" si="9"/>
        <v>-0.12756794211050299</v>
      </c>
    </row>
    <row r="83" spans="1:18" x14ac:dyDescent="0.25">
      <c r="A83" t="s">
        <v>1038</v>
      </c>
      <c r="B83" s="118">
        <f t="shared" si="16"/>
        <v>5692814</v>
      </c>
      <c r="C83" s="118">
        <f t="shared" si="16"/>
        <v>29018813</v>
      </c>
      <c r="D83" s="93">
        <f t="shared" si="16"/>
        <v>162805</v>
      </c>
      <c r="E83" s="93">
        <f t="shared" si="16"/>
        <v>192.33333333333334</v>
      </c>
      <c r="F83" s="93">
        <f t="shared" si="16"/>
        <v>119.66666666666667</v>
      </c>
      <c r="G83" s="84">
        <f t="shared" si="1"/>
        <v>0.1961766664956282</v>
      </c>
      <c r="H83" s="1430">
        <f t="shared" si="2"/>
        <v>34.967071035901846</v>
      </c>
      <c r="I83" s="118">
        <f t="shared" si="3"/>
        <v>150877.71057192373</v>
      </c>
      <c r="J83" s="134">
        <f t="shared" si="4"/>
        <v>242497.04456824512</v>
      </c>
      <c r="K83" s="93">
        <f t="shared" si="5"/>
        <v>846.47313691507793</v>
      </c>
      <c r="L83" s="93">
        <f t="shared" si="6"/>
        <v>1360.4874651810585</v>
      </c>
      <c r="M83" s="155">
        <v>23.25</v>
      </c>
      <c r="N83" s="134">
        <f t="shared" si="17"/>
        <v>4383806</v>
      </c>
      <c r="O83" s="106">
        <v>0.05</v>
      </c>
      <c r="P83" s="106">
        <v>-0.05</v>
      </c>
      <c r="Q83" s="118">
        <f t="shared" si="8"/>
        <v>-1309008</v>
      </c>
      <c r="R83" s="96">
        <f t="shared" si="9"/>
        <v>-0.2299404125973552</v>
      </c>
    </row>
    <row r="84" spans="1:18" x14ac:dyDescent="0.25">
      <c r="A84" t="s">
        <v>1039</v>
      </c>
      <c r="B84" s="118">
        <f t="shared" si="16"/>
        <v>5104372</v>
      </c>
      <c r="C84" s="118">
        <f t="shared" si="16"/>
        <v>21262437</v>
      </c>
      <c r="D84" s="93">
        <f t="shared" si="16"/>
        <v>109142</v>
      </c>
      <c r="E84" s="93">
        <f t="shared" si="16"/>
        <v>173.66666666666666</v>
      </c>
      <c r="F84" s="93">
        <f t="shared" si="16"/>
        <v>105</v>
      </c>
      <c r="G84" s="84">
        <f t="shared" si="1"/>
        <v>0.24006523805338023</v>
      </c>
      <c r="H84" s="1430">
        <f t="shared" si="2"/>
        <v>46.768173572043757</v>
      </c>
      <c r="I84" s="118">
        <f t="shared" si="3"/>
        <v>122432.45873320538</v>
      </c>
      <c r="J84" s="134">
        <f t="shared" si="4"/>
        <v>202499.4</v>
      </c>
      <c r="K84" s="93">
        <f t="shared" si="5"/>
        <v>628.45681381957775</v>
      </c>
      <c r="L84" s="93">
        <f t="shared" si="6"/>
        <v>1039.4476190476191</v>
      </c>
      <c r="M84" s="155">
        <v>23.25</v>
      </c>
      <c r="N84" s="134">
        <f t="shared" si="17"/>
        <v>3627518</v>
      </c>
      <c r="O84" s="106">
        <v>0.05</v>
      </c>
      <c r="P84" s="106">
        <v>-0.05</v>
      </c>
      <c r="Q84" s="118">
        <f t="shared" si="8"/>
        <v>-1476854</v>
      </c>
      <c r="R84" s="96">
        <f t="shared" si="9"/>
        <v>-0.28933118510954925</v>
      </c>
    </row>
    <row r="85" spans="1:18" x14ac:dyDescent="0.25">
      <c r="A85" t="s">
        <v>1040</v>
      </c>
      <c r="B85" s="118"/>
      <c r="C85" s="118"/>
      <c r="D85" s="93"/>
      <c r="E85" s="93"/>
      <c r="F85" s="93"/>
      <c r="G85" s="84"/>
      <c r="H85" s="1430"/>
      <c r="I85" s="118"/>
      <c r="J85" s="134"/>
      <c r="K85" s="93"/>
      <c r="L85" s="93"/>
      <c r="M85" s="155"/>
    </row>
    <row r="86" spans="1:18" x14ac:dyDescent="0.25">
      <c r="A86" t="s">
        <v>1041</v>
      </c>
      <c r="B86" s="118"/>
      <c r="C86" s="118"/>
      <c r="D86" s="93"/>
      <c r="E86" s="93"/>
      <c r="F86" s="93"/>
      <c r="G86" s="84"/>
      <c r="H86" s="1430"/>
      <c r="I86" s="118"/>
      <c r="J86" s="134"/>
      <c r="K86" s="93"/>
      <c r="L86" s="93"/>
    </row>
    <row r="87" spans="1:18" x14ac:dyDescent="0.25">
      <c r="A87" t="s">
        <v>1042</v>
      </c>
      <c r="B87" s="118"/>
      <c r="C87" s="118"/>
      <c r="D87" s="93"/>
      <c r="E87" s="93"/>
      <c r="F87" s="93"/>
      <c r="G87" s="84"/>
      <c r="H87" s="1430"/>
      <c r="I87" s="118"/>
      <c r="J87" s="134"/>
      <c r="K87" s="93"/>
      <c r="L87" s="93"/>
    </row>
    <row r="88" spans="1:18" x14ac:dyDescent="0.25">
      <c r="A88" t="s">
        <v>1043</v>
      </c>
      <c r="B88" s="118"/>
      <c r="C88" s="118"/>
      <c r="D88" s="93"/>
      <c r="E88" s="93"/>
      <c r="F88" s="93"/>
      <c r="G88" s="84"/>
      <c r="H88" s="1430"/>
      <c r="I88" s="118"/>
      <c r="J88" s="134"/>
      <c r="K88" s="93"/>
      <c r="L88" s="93"/>
    </row>
    <row r="105" spans="19:19" x14ac:dyDescent="0.25">
      <c r="S105" s="35"/>
    </row>
    <row r="126" spans="1:10" x14ac:dyDescent="0.25">
      <c r="A126" s="893" t="s">
        <v>744</v>
      </c>
      <c r="B126" s="1435" t="s">
        <v>1006</v>
      </c>
      <c r="C126" s="1435" t="s">
        <v>1044</v>
      </c>
      <c r="D126" s="893" t="s">
        <v>1045</v>
      </c>
      <c r="E126" s="87" t="s">
        <v>1046</v>
      </c>
      <c r="G126" s="212" t="s">
        <v>964</v>
      </c>
      <c r="H126" t="s">
        <v>984</v>
      </c>
      <c r="I126" t="s">
        <v>1047</v>
      </c>
      <c r="J126" t="s">
        <v>1048</v>
      </c>
    </row>
    <row r="127" spans="1:10" x14ac:dyDescent="0.25">
      <c r="A127" s="1436">
        <v>44958</v>
      </c>
      <c r="B127" s="155">
        <v>2961269.2700000005</v>
      </c>
      <c r="C127" s="155">
        <v>-2192942.4887200003</v>
      </c>
      <c r="D127" s="1437">
        <f>-SUM(B127:C127)</f>
        <v>-768326.78128000023</v>
      </c>
      <c r="E127" s="84">
        <f>D127/B127</f>
        <v>-0.25945860076412441</v>
      </c>
      <c r="G127" s="208" t="s">
        <v>995</v>
      </c>
      <c r="H127" s="118">
        <v>19519494.260000002</v>
      </c>
      <c r="I127" s="118">
        <v>-22676304.201999996</v>
      </c>
      <c r="J127" s="118">
        <v>3156809.9419999989</v>
      </c>
    </row>
    <row r="128" spans="1:10" x14ac:dyDescent="0.25">
      <c r="A128" s="1436">
        <v>44927</v>
      </c>
      <c r="B128" s="155">
        <v>2485633.0300000003</v>
      </c>
      <c r="C128" s="155">
        <v>-1279853.06</v>
      </c>
      <c r="D128" s="1437">
        <f t="shared" ref="D128:D191" si="18">-SUM(B128:C128)</f>
        <v>-1205779.9700000002</v>
      </c>
      <c r="E128" s="84">
        <f t="shared" ref="E128:E191" si="19">D128/B128</f>
        <v>-0.48509975344188278</v>
      </c>
      <c r="G128" s="208" t="s">
        <v>996</v>
      </c>
      <c r="H128" s="118">
        <v>28542667.989999998</v>
      </c>
      <c r="I128" s="118">
        <v>-28083355.609999999</v>
      </c>
      <c r="J128" s="118">
        <v>-459312.37999999733</v>
      </c>
    </row>
    <row r="129" spans="1:11" x14ac:dyDescent="0.25">
      <c r="A129" s="1436">
        <v>44896</v>
      </c>
      <c r="B129" s="155">
        <v>3025991.2900000005</v>
      </c>
      <c r="C129" s="155">
        <v>-1753630.5733600003</v>
      </c>
      <c r="D129" s="1437">
        <f t="shared" si="18"/>
        <v>-1272360.7166400002</v>
      </c>
      <c r="E129" s="84">
        <f t="shared" si="19"/>
        <v>-0.42047732286764117</v>
      </c>
      <c r="G129" s="1429" t="s">
        <v>997</v>
      </c>
      <c r="H129">
        <v>6657376.9000000004</v>
      </c>
      <c r="I129">
        <v>-6758504.358</v>
      </c>
      <c r="J129">
        <v>101127.4580000001</v>
      </c>
      <c r="K129" s="96">
        <f>J129/H129</f>
        <v>1.5190285831646409E-2</v>
      </c>
    </row>
    <row r="130" spans="1:11" x14ac:dyDescent="0.25">
      <c r="A130" s="1436">
        <v>44866</v>
      </c>
      <c r="B130" s="155">
        <v>4172935.52</v>
      </c>
      <c r="C130" s="155">
        <v>-2984655.75</v>
      </c>
      <c r="D130" s="1437">
        <f t="shared" si="18"/>
        <v>-1188279.77</v>
      </c>
      <c r="E130" s="84">
        <f t="shared" si="19"/>
        <v>-0.2847587182463821</v>
      </c>
      <c r="G130" s="1429" t="s">
        <v>998</v>
      </c>
      <c r="H130">
        <v>7267746.5699999984</v>
      </c>
      <c r="I130">
        <v>-7405188.8159999996</v>
      </c>
      <c r="J130">
        <v>137442.24600000028</v>
      </c>
      <c r="K130" s="96">
        <f t="shared" ref="K130:K154" si="20">J130/H130</f>
        <v>1.8911260137679829E-2</v>
      </c>
    </row>
    <row r="131" spans="1:11" x14ac:dyDescent="0.25">
      <c r="A131" s="1436">
        <v>44835</v>
      </c>
      <c r="B131" s="155">
        <v>3923694.9400000004</v>
      </c>
      <c r="C131" s="155">
        <v>-3012212.8065599999</v>
      </c>
      <c r="D131" s="1437">
        <f t="shared" si="18"/>
        <v>-911482.13344000047</v>
      </c>
      <c r="E131" s="84">
        <f t="shared" si="19"/>
        <v>-0.23230198763617449</v>
      </c>
      <c r="G131" s="1429" t="s">
        <v>999</v>
      </c>
      <c r="H131">
        <v>7318880.459999999</v>
      </c>
      <c r="I131">
        <v>-7272396.5020000013</v>
      </c>
      <c r="J131">
        <v>-46483.957999998704</v>
      </c>
      <c r="K131" s="96">
        <f t="shared" si="20"/>
        <v>-6.3512388614690822E-3</v>
      </c>
    </row>
    <row r="132" spans="1:11" x14ac:dyDescent="0.25">
      <c r="A132" s="1436">
        <v>44805</v>
      </c>
      <c r="B132" s="155">
        <v>4046442.5100000002</v>
      </c>
      <c r="C132" s="155">
        <v>-3249012.7701599998</v>
      </c>
      <c r="D132" s="1437">
        <f t="shared" si="18"/>
        <v>-797429.7398400004</v>
      </c>
      <c r="E132" s="84">
        <f t="shared" si="19"/>
        <v>-0.19706933630449636</v>
      </c>
      <c r="G132" s="1429" t="s">
        <v>1000</v>
      </c>
      <c r="H132">
        <v>7298664.0599999996</v>
      </c>
      <c r="I132">
        <v>-6647265.9340000004</v>
      </c>
      <c r="J132">
        <v>-651398.125999999</v>
      </c>
      <c r="K132" s="96">
        <f t="shared" si="20"/>
        <v>-8.9248953047442903E-2</v>
      </c>
    </row>
    <row r="133" spans="1:11" x14ac:dyDescent="0.25">
      <c r="A133" s="1436">
        <v>44774</v>
      </c>
      <c r="B133" s="155">
        <v>4595930.9400000004</v>
      </c>
      <c r="C133" s="155">
        <v>-3499071.6684400002</v>
      </c>
      <c r="D133" s="1437">
        <f t="shared" si="18"/>
        <v>-1096859.2715600003</v>
      </c>
      <c r="E133" s="84">
        <f t="shared" si="19"/>
        <v>-0.23865878009907612</v>
      </c>
      <c r="G133" s="208" t="s">
        <v>1001</v>
      </c>
      <c r="H133" s="118">
        <v>28806333.679999996</v>
      </c>
      <c r="I133" s="118">
        <v>-27330872.843999997</v>
      </c>
      <c r="J133" s="118">
        <v>-1475460.8359999978</v>
      </c>
      <c r="K133" s="96"/>
    </row>
    <row r="134" spans="1:11" x14ac:dyDescent="0.25">
      <c r="A134" s="1436">
        <v>44743</v>
      </c>
      <c r="B134" s="155">
        <v>3967324.2399999993</v>
      </c>
      <c r="C134" s="155">
        <v>-3172045.7541200002</v>
      </c>
      <c r="D134" s="1437">
        <f t="shared" si="18"/>
        <v>-795278.48587999912</v>
      </c>
      <c r="E134" s="84">
        <f t="shared" si="19"/>
        <v>-0.20045714385068744</v>
      </c>
      <c r="G134" s="1429" t="s">
        <v>997</v>
      </c>
      <c r="H134">
        <v>7133064.3699999992</v>
      </c>
      <c r="I134">
        <v>-6683709.993999999</v>
      </c>
      <c r="J134">
        <v>-449354.3759999997</v>
      </c>
      <c r="K134" s="96">
        <f t="shared" si="20"/>
        <v>-6.2995979384383394E-2</v>
      </c>
    </row>
    <row r="135" spans="1:11" x14ac:dyDescent="0.25">
      <c r="A135" s="1436">
        <v>44713</v>
      </c>
      <c r="B135" s="155">
        <v>4134872.9600000009</v>
      </c>
      <c r="C135" s="155">
        <v>-3323600.7657599999</v>
      </c>
      <c r="D135" s="1437">
        <f t="shared" si="18"/>
        <v>-811272.19424000103</v>
      </c>
      <c r="E135" s="84">
        <f t="shared" si="19"/>
        <v>-0.19620244735161121</v>
      </c>
      <c r="G135" s="1429" t="s">
        <v>998</v>
      </c>
      <c r="H135">
        <v>6994287.2199999988</v>
      </c>
      <c r="I135">
        <v>-6699716.5380000006</v>
      </c>
      <c r="J135">
        <v>-294570.68199999863</v>
      </c>
      <c r="K135" s="96">
        <f t="shared" si="20"/>
        <v>-4.2115897265082386E-2</v>
      </c>
    </row>
    <row r="136" spans="1:11" x14ac:dyDescent="0.25">
      <c r="A136" s="1436">
        <v>44682</v>
      </c>
      <c r="B136" s="155">
        <v>4062062.3500000006</v>
      </c>
      <c r="C136" s="155">
        <v>-3582268.4298399999</v>
      </c>
      <c r="D136" s="1437">
        <f t="shared" si="18"/>
        <v>-479793.92016000068</v>
      </c>
      <c r="E136" s="84">
        <f t="shared" si="19"/>
        <v>-0.11811584333755995</v>
      </c>
      <c r="G136" s="1429" t="s">
        <v>999</v>
      </c>
      <c r="H136">
        <v>7617013.2100000009</v>
      </c>
      <c r="I136">
        <v>-7216940.8200000003</v>
      </c>
      <c r="J136">
        <v>-400072.3900000006</v>
      </c>
      <c r="K136" s="96">
        <f t="shared" si="20"/>
        <v>-5.2523525819118351E-2</v>
      </c>
    </row>
    <row r="137" spans="1:11" x14ac:dyDescent="0.25">
      <c r="A137" s="1436">
        <v>44652</v>
      </c>
      <c r="B137" s="155">
        <v>3536160.7800000003</v>
      </c>
      <c r="C137" s="155">
        <v>-2681247.9473599996</v>
      </c>
      <c r="D137" s="1437">
        <f t="shared" si="18"/>
        <v>-854912.83264000062</v>
      </c>
      <c r="E137" s="84">
        <f t="shared" si="19"/>
        <v>-0.24176299829896325</v>
      </c>
      <c r="G137" s="1429" t="s">
        <v>1000</v>
      </c>
      <c r="H137">
        <v>7061968.879999999</v>
      </c>
      <c r="I137">
        <v>-6730505.4920000006</v>
      </c>
      <c r="J137">
        <v>-331463.38799999887</v>
      </c>
      <c r="K137" s="96">
        <f t="shared" si="20"/>
        <v>-4.6936398847455547E-2</v>
      </c>
    </row>
    <row r="138" spans="1:11" x14ac:dyDescent="0.25">
      <c r="A138" s="1436">
        <v>44621</v>
      </c>
      <c r="B138" s="155">
        <v>3289927.5200000005</v>
      </c>
      <c r="C138" s="155">
        <v>-3591948.14628</v>
      </c>
      <c r="D138" s="1437">
        <f t="shared" si="18"/>
        <v>302020.6262799995</v>
      </c>
      <c r="E138" s="84">
        <f t="shared" si="19"/>
        <v>9.1801604881556614E-2</v>
      </c>
      <c r="G138" s="208" t="s">
        <v>1002</v>
      </c>
      <c r="H138" s="118">
        <v>32536869.490000002</v>
      </c>
      <c r="I138" s="118">
        <v>-31589876.215799998</v>
      </c>
      <c r="J138" s="118">
        <v>-946993.27420000196</v>
      </c>
      <c r="K138" s="96"/>
    </row>
    <row r="139" spans="1:11" x14ac:dyDescent="0.25">
      <c r="A139" s="1436">
        <v>44593</v>
      </c>
      <c r="B139" s="155">
        <v>3791954.96</v>
      </c>
      <c r="C139" s="155">
        <v>-3100141.7067600004</v>
      </c>
      <c r="D139" s="1437">
        <f t="shared" si="18"/>
        <v>-691813.25323999953</v>
      </c>
      <c r="E139" s="84">
        <f t="shared" si="19"/>
        <v>-0.18244237089778079</v>
      </c>
      <c r="G139" s="1429" t="s">
        <v>997</v>
      </c>
      <c r="H139">
        <v>7484548.2700000005</v>
      </c>
      <c r="I139">
        <v>-6359450.4519999996</v>
      </c>
      <c r="J139">
        <v>-1125097.8180000011</v>
      </c>
      <c r="K139" s="96">
        <f t="shared" si="20"/>
        <v>-0.15032274192280692</v>
      </c>
    </row>
    <row r="140" spans="1:11" x14ac:dyDescent="0.25">
      <c r="A140" s="1436">
        <v>44562</v>
      </c>
      <c r="B140" s="155">
        <v>2778462.2600000002</v>
      </c>
      <c r="C140" s="155">
        <v>-2592451.8451199997</v>
      </c>
      <c r="D140" s="1437">
        <f t="shared" si="18"/>
        <v>-186010.41488000052</v>
      </c>
      <c r="E140" s="84">
        <f t="shared" si="19"/>
        <v>-6.6947252643266245E-2</v>
      </c>
      <c r="G140" s="1429" t="s">
        <v>998</v>
      </c>
      <c r="H140">
        <v>7309780.6199999992</v>
      </c>
      <c r="I140">
        <v>-6708724.6889200006</v>
      </c>
      <c r="J140">
        <v>-601055.93108000001</v>
      </c>
      <c r="K140" s="96">
        <f t="shared" si="20"/>
        <v>-8.2226261269110437E-2</v>
      </c>
    </row>
    <row r="141" spans="1:11" x14ac:dyDescent="0.25">
      <c r="A141" s="1436">
        <v>44531</v>
      </c>
      <c r="B141" s="155">
        <v>3454827.2099999995</v>
      </c>
      <c r="C141" s="155">
        <v>-2902839.00392</v>
      </c>
      <c r="D141" s="1437">
        <f t="shared" si="18"/>
        <v>-551988.20607999945</v>
      </c>
      <c r="E141" s="84">
        <f t="shared" si="19"/>
        <v>-0.15977302844040051</v>
      </c>
      <c r="G141" s="1429" t="s">
        <v>999</v>
      </c>
      <c r="H141">
        <v>8858792.4600000009</v>
      </c>
      <c r="I141">
        <v>-9751374.0926799998</v>
      </c>
      <c r="J141">
        <v>892581.63267999887</v>
      </c>
      <c r="K141" s="96">
        <f t="shared" si="20"/>
        <v>0.10075658016713473</v>
      </c>
    </row>
    <row r="142" spans="1:11" x14ac:dyDescent="0.25">
      <c r="A142" s="1436">
        <v>44501</v>
      </c>
      <c r="B142" s="155">
        <v>3924508.65</v>
      </c>
      <c r="C142" s="155">
        <v>-3735815.6791599994</v>
      </c>
      <c r="D142" s="1437">
        <f t="shared" si="18"/>
        <v>-188692.97084000055</v>
      </c>
      <c r="E142" s="84">
        <f t="shared" si="19"/>
        <v>-4.808066121602269E-2</v>
      </c>
      <c r="G142" s="1429" t="s">
        <v>1000</v>
      </c>
      <c r="H142">
        <v>8883748.1399999987</v>
      </c>
      <c r="I142">
        <v>-8770326.9822000004</v>
      </c>
      <c r="J142">
        <v>-113421.1577999997</v>
      </c>
      <c r="K142" s="96">
        <f t="shared" si="20"/>
        <v>-1.2767263998549121E-2</v>
      </c>
    </row>
    <row r="143" spans="1:11" x14ac:dyDescent="0.25">
      <c r="A143" s="1436">
        <v>44470</v>
      </c>
      <c r="B143" s="155">
        <v>3454131.19</v>
      </c>
      <c r="C143" s="155">
        <v>-3530304.5284799999</v>
      </c>
      <c r="D143" s="1437">
        <f t="shared" si="18"/>
        <v>76173.338479999918</v>
      </c>
      <c r="E143" s="84">
        <f t="shared" si="19"/>
        <v>2.2052821473755292E-2</v>
      </c>
      <c r="G143" s="208" t="s">
        <v>1003</v>
      </c>
      <c r="H143" s="118">
        <v>37994892.57</v>
      </c>
      <c r="I143" s="118">
        <v>-37051186.668720007</v>
      </c>
      <c r="J143" s="118">
        <v>-943705.90128000081</v>
      </c>
      <c r="K143" s="96"/>
    </row>
    <row r="144" spans="1:11" x14ac:dyDescent="0.25">
      <c r="A144" s="1436">
        <v>44440</v>
      </c>
      <c r="B144" s="155">
        <v>3573203.44</v>
      </c>
      <c r="C144" s="155">
        <v>-4206781.9336400004</v>
      </c>
      <c r="D144" s="1437">
        <f t="shared" si="18"/>
        <v>633578.49364000047</v>
      </c>
      <c r="E144" s="84">
        <f t="shared" si="19"/>
        <v>0.17731385975605141</v>
      </c>
      <c r="G144" s="1429" t="s">
        <v>997</v>
      </c>
      <c r="H144">
        <v>8341955.4399999995</v>
      </c>
      <c r="I144">
        <v>-7800118.9592000004</v>
      </c>
      <c r="J144">
        <v>-541836.48079999909</v>
      </c>
      <c r="K144" s="96">
        <f t="shared" si="20"/>
        <v>-6.4953173712948911E-2</v>
      </c>
    </row>
    <row r="145" spans="1:11" x14ac:dyDescent="0.25">
      <c r="A145" s="1436">
        <v>44409</v>
      </c>
      <c r="B145" s="155">
        <v>3117109.4200000004</v>
      </c>
      <c r="C145" s="155">
        <v>-3481307.0715999999</v>
      </c>
      <c r="D145" s="1437">
        <f t="shared" si="18"/>
        <v>364197.65159999952</v>
      </c>
      <c r="E145" s="84">
        <f t="shared" si="19"/>
        <v>0.11683826344472677</v>
      </c>
      <c r="G145" s="1429" t="s">
        <v>998</v>
      </c>
      <c r="H145">
        <v>8806302.3500000015</v>
      </c>
      <c r="I145">
        <v>-8226585.1012000004</v>
      </c>
      <c r="J145">
        <v>-579717.24880000157</v>
      </c>
      <c r="K145" s="96">
        <f t="shared" si="20"/>
        <v>-6.5829814348811397E-2</v>
      </c>
    </row>
    <row r="146" spans="1:11" x14ac:dyDescent="0.25">
      <c r="A146" s="1436">
        <v>44378</v>
      </c>
      <c r="B146" s="155">
        <v>3322854.8699999996</v>
      </c>
      <c r="C146" s="155">
        <v>-3167434.3915199996</v>
      </c>
      <c r="D146" s="1437">
        <f t="shared" si="18"/>
        <v>-155420.47848000005</v>
      </c>
      <c r="E146" s="84">
        <f t="shared" si="19"/>
        <v>-4.6773176849580572E-2</v>
      </c>
      <c r="G146" s="1429" t="s">
        <v>999</v>
      </c>
      <c r="H146">
        <v>10013167.73</v>
      </c>
      <c r="I146">
        <v>-10855523.39676</v>
      </c>
      <c r="J146">
        <v>842355.66675999993</v>
      </c>
      <c r="K146" s="96">
        <f t="shared" si="20"/>
        <v>8.4124793419394758E-2</v>
      </c>
    </row>
    <row r="147" spans="1:11" x14ac:dyDescent="0.25">
      <c r="A147" s="1436">
        <v>44348</v>
      </c>
      <c r="B147" s="155">
        <v>3132603.8200000008</v>
      </c>
      <c r="C147" s="155">
        <v>-2860720.2250800002</v>
      </c>
      <c r="D147" s="1437">
        <f t="shared" si="18"/>
        <v>-271883.59492000053</v>
      </c>
      <c r="E147" s="84">
        <f t="shared" si="19"/>
        <v>-8.67915671889848E-2</v>
      </c>
      <c r="G147" s="1429" t="s">
        <v>1000</v>
      </c>
      <c r="H147">
        <v>10833467.049999999</v>
      </c>
      <c r="I147">
        <v>-10168959.21156</v>
      </c>
      <c r="J147">
        <v>-664507.83844000008</v>
      </c>
      <c r="K147" s="96">
        <f t="shared" si="20"/>
        <v>-6.1338427981834323E-2</v>
      </c>
    </row>
    <row r="148" spans="1:11" x14ac:dyDescent="0.25">
      <c r="A148" s="1436">
        <v>44317</v>
      </c>
      <c r="B148" s="155">
        <v>2795489.5200000005</v>
      </c>
      <c r="C148" s="155">
        <v>-2878410.75104</v>
      </c>
      <c r="D148" s="1437">
        <f t="shared" si="18"/>
        <v>82921.231039999519</v>
      </c>
      <c r="E148" s="84">
        <f t="shared" si="19"/>
        <v>2.9662508282270184E-2</v>
      </c>
      <c r="G148" s="208" t="s">
        <v>1004</v>
      </c>
      <c r="H148" s="118">
        <v>45325760.270000003</v>
      </c>
      <c r="I148" s="118">
        <v>-36542288.163759999</v>
      </c>
      <c r="J148" s="118">
        <v>-8783472.1062400043</v>
      </c>
      <c r="K148" s="96"/>
    </row>
    <row r="149" spans="1:11" x14ac:dyDescent="0.25">
      <c r="A149" s="1436">
        <v>44287</v>
      </c>
      <c r="B149" s="155">
        <v>2878209.0100000002</v>
      </c>
      <c r="C149" s="155">
        <v>-2487454.1250799997</v>
      </c>
      <c r="D149" s="1437">
        <f t="shared" si="18"/>
        <v>-390754.88492000056</v>
      </c>
      <c r="E149" s="84">
        <f t="shared" si="19"/>
        <v>-0.13576320675891448</v>
      </c>
      <c r="G149" s="1429" t="s">
        <v>997</v>
      </c>
      <c r="H149">
        <v>9860344.7400000002</v>
      </c>
      <c r="I149">
        <v>-9284541.6981600001</v>
      </c>
      <c r="J149">
        <v>-575803.04184000054</v>
      </c>
      <c r="K149" s="96">
        <f t="shared" si="20"/>
        <v>-5.8395832703918273E-2</v>
      </c>
    </row>
    <row r="150" spans="1:11" x14ac:dyDescent="0.25">
      <c r="A150" s="1436">
        <v>44256</v>
      </c>
      <c r="B150" s="155">
        <v>3021335.9400000004</v>
      </c>
      <c r="C150" s="155">
        <v>-2794137.9768400001</v>
      </c>
      <c r="D150" s="1437">
        <f t="shared" si="18"/>
        <v>-227197.96316000028</v>
      </c>
      <c r="E150" s="84">
        <f t="shared" si="19"/>
        <v>-7.519784879002904E-2</v>
      </c>
      <c r="G150" s="1429" t="s">
        <v>998</v>
      </c>
      <c r="H150">
        <v>11733096.090000002</v>
      </c>
      <c r="I150">
        <v>-9587117.1429599989</v>
      </c>
      <c r="J150">
        <v>-2145978.9470400023</v>
      </c>
      <c r="K150" s="96">
        <f t="shared" si="20"/>
        <v>-0.18289963114416138</v>
      </c>
    </row>
    <row r="151" spans="1:11" x14ac:dyDescent="0.25">
      <c r="A151" s="1436">
        <v>44228</v>
      </c>
      <c r="B151" s="155">
        <v>2735454.05</v>
      </c>
      <c r="C151" s="155">
        <v>-2359787.0092000002</v>
      </c>
      <c r="D151" s="1437">
        <f t="shared" si="18"/>
        <v>-375667.04079999961</v>
      </c>
      <c r="E151" s="84">
        <f t="shared" si="19"/>
        <v>-0.13733260874917627</v>
      </c>
      <c r="G151" s="1429" t="s">
        <v>999</v>
      </c>
      <c r="H151">
        <v>12609697.690000001</v>
      </c>
      <c r="I151">
        <v>-9920130.1927199997</v>
      </c>
      <c r="J151">
        <v>-2689567.4972799998</v>
      </c>
      <c r="K151" s="96">
        <f t="shared" si="20"/>
        <v>-0.21329357478672428</v>
      </c>
    </row>
    <row r="152" spans="1:11" x14ac:dyDescent="0.25">
      <c r="A152" s="1436">
        <v>44197</v>
      </c>
      <c r="B152" s="155">
        <v>2585165.4499999997</v>
      </c>
      <c r="C152" s="155">
        <v>-2646193.9731600005</v>
      </c>
      <c r="D152" s="1437">
        <f t="shared" si="18"/>
        <v>61028.523160000797</v>
      </c>
      <c r="E152" s="84">
        <f t="shared" si="19"/>
        <v>2.3607202069020689E-2</v>
      </c>
      <c r="G152" s="1429" t="s">
        <v>1000</v>
      </c>
      <c r="H152">
        <v>11122621.75</v>
      </c>
      <c r="I152">
        <v>-7750499.1299200002</v>
      </c>
      <c r="J152">
        <v>-3372122.6200800007</v>
      </c>
      <c r="K152" s="96">
        <f t="shared" si="20"/>
        <v>-0.30317695736439126</v>
      </c>
    </row>
    <row r="153" spans="1:11" x14ac:dyDescent="0.25">
      <c r="A153" s="1436">
        <v>44166</v>
      </c>
      <c r="B153" s="155">
        <v>2930445.34</v>
      </c>
      <c r="C153" s="155">
        <v>-2388482.0791600002</v>
      </c>
      <c r="D153" s="1437">
        <f t="shared" si="18"/>
        <v>-541963.26083999965</v>
      </c>
      <c r="E153" s="84">
        <f t="shared" si="19"/>
        <v>-0.18494228622602449</v>
      </c>
      <c r="G153" s="208" t="s">
        <v>1005</v>
      </c>
      <c r="H153" s="118">
        <v>5446902.3000000007</v>
      </c>
      <c r="I153" s="118">
        <v>-3472795.5487200003</v>
      </c>
      <c r="J153" s="118">
        <v>-1974106.7512800004</v>
      </c>
      <c r="K153" s="96"/>
    </row>
    <row r="154" spans="1:11" x14ac:dyDescent="0.25">
      <c r="A154" s="1436">
        <v>44136</v>
      </c>
      <c r="B154" s="155">
        <v>3072070.58</v>
      </c>
      <c r="C154" s="155">
        <v>-3230719.2252399996</v>
      </c>
      <c r="D154" s="1437">
        <f t="shared" si="18"/>
        <v>158648.64523999952</v>
      </c>
      <c r="E154" s="84">
        <f t="shared" si="19"/>
        <v>5.1642252711524457E-2</v>
      </c>
      <c r="G154" s="1429" t="s">
        <v>997</v>
      </c>
      <c r="H154">
        <v>5446902.3000000007</v>
      </c>
      <c r="I154">
        <v>-3472795.5487200003</v>
      </c>
      <c r="J154">
        <v>-1974106.7512800004</v>
      </c>
      <c r="K154" s="96">
        <f t="shared" si="20"/>
        <v>-0.36242742067908951</v>
      </c>
    </row>
    <row r="155" spans="1:11" x14ac:dyDescent="0.25">
      <c r="A155" s="1436">
        <v>44105</v>
      </c>
      <c r="B155" s="155">
        <v>2881232.2199999993</v>
      </c>
      <c r="C155" s="155">
        <v>-3151125.6777999997</v>
      </c>
      <c r="D155" s="1437">
        <f t="shared" si="18"/>
        <v>269893.45780000044</v>
      </c>
      <c r="E155" s="84">
        <f t="shared" si="19"/>
        <v>9.3672927828080621E-2</v>
      </c>
      <c r="G155" s="208" t="s">
        <v>520</v>
      </c>
      <c r="H155">
        <v>198172920.56000003</v>
      </c>
      <c r="I155">
        <v>-186746679.25300002</v>
      </c>
      <c r="J155">
        <v>-11426241.307000002</v>
      </c>
    </row>
    <row r="156" spans="1:11" x14ac:dyDescent="0.25">
      <c r="A156" s="1436">
        <v>44075</v>
      </c>
      <c r="B156" s="155">
        <v>3108633.43</v>
      </c>
      <c r="C156" s="155">
        <v>-3258654.0147599997</v>
      </c>
      <c r="D156" s="1437">
        <f t="shared" si="18"/>
        <v>150020.58475999953</v>
      </c>
      <c r="E156" s="84">
        <f t="shared" si="19"/>
        <v>4.8259335858715099E-2</v>
      </c>
    </row>
    <row r="157" spans="1:11" x14ac:dyDescent="0.25">
      <c r="A157" s="1436">
        <v>44044</v>
      </c>
      <c r="B157" s="155">
        <v>2887257.35</v>
      </c>
      <c r="C157" s="155">
        <v>-3077730.2090400001</v>
      </c>
      <c r="D157" s="1437">
        <f t="shared" si="18"/>
        <v>190472.85904000001</v>
      </c>
      <c r="E157" s="84">
        <f t="shared" si="19"/>
        <v>6.5970170286344582E-2</v>
      </c>
    </row>
    <row r="158" spans="1:11" x14ac:dyDescent="0.25">
      <c r="A158" s="1436">
        <v>44013</v>
      </c>
      <c r="B158" s="155">
        <v>2862901.6800000006</v>
      </c>
      <c r="C158" s="155">
        <v>-3414989.86888</v>
      </c>
      <c r="D158" s="1437">
        <f t="shared" si="18"/>
        <v>552088.18887999933</v>
      </c>
      <c r="E158" s="84">
        <f t="shared" si="19"/>
        <v>0.19284217573269902</v>
      </c>
    </row>
    <row r="159" spans="1:11" x14ac:dyDescent="0.25">
      <c r="A159" s="1436">
        <v>43983</v>
      </c>
      <c r="B159" s="155">
        <v>2500832.59</v>
      </c>
      <c r="C159" s="155">
        <v>-2868941.1029599998</v>
      </c>
      <c r="D159" s="1437">
        <f t="shared" si="18"/>
        <v>368108.51295999996</v>
      </c>
      <c r="E159" s="84">
        <f t="shared" si="19"/>
        <v>0.14719438415507852</v>
      </c>
    </row>
    <row r="160" spans="1:11" x14ac:dyDescent="0.25">
      <c r="A160" s="1436">
        <v>43952</v>
      </c>
      <c r="B160" s="155">
        <v>2435344.0499999998</v>
      </c>
      <c r="C160" s="155">
        <v>-2924107.01596</v>
      </c>
      <c r="D160" s="1437">
        <f t="shared" si="18"/>
        <v>488762.96596000018</v>
      </c>
      <c r="E160" s="84">
        <f t="shared" si="19"/>
        <v>0.20069565364286013</v>
      </c>
    </row>
    <row r="161" spans="1:5" x14ac:dyDescent="0.25">
      <c r="A161" s="1436">
        <v>43922</v>
      </c>
      <c r="B161" s="155">
        <v>2373603.98</v>
      </c>
      <c r="C161" s="155">
        <v>-915676.57</v>
      </c>
      <c r="D161" s="1437">
        <f t="shared" si="18"/>
        <v>-1457927.4100000001</v>
      </c>
      <c r="E161" s="84">
        <f t="shared" si="19"/>
        <v>-0.61422521291862686</v>
      </c>
    </row>
    <row r="162" spans="1:5" x14ac:dyDescent="0.25">
      <c r="A162" s="1436">
        <v>43891</v>
      </c>
      <c r="B162" s="155">
        <v>2746266.96</v>
      </c>
      <c r="C162" s="155">
        <v>-2013328.7239999997</v>
      </c>
      <c r="D162" s="1437">
        <f t="shared" si="18"/>
        <v>-732938.23600000027</v>
      </c>
      <c r="E162" s="84">
        <f t="shared" si="19"/>
        <v>-0.26688528343216866</v>
      </c>
    </row>
    <row r="163" spans="1:5" x14ac:dyDescent="0.25">
      <c r="A163" s="1436">
        <v>43862</v>
      </c>
      <c r="B163" s="155">
        <v>2522219.66</v>
      </c>
      <c r="C163" s="155">
        <v>-2246119.8659999999</v>
      </c>
      <c r="D163" s="1437">
        <f t="shared" si="18"/>
        <v>-276099.79400000023</v>
      </c>
      <c r="E163" s="84">
        <f t="shared" si="19"/>
        <v>-0.10946698988144443</v>
      </c>
    </row>
    <row r="164" spans="1:5" x14ac:dyDescent="0.25">
      <c r="A164" s="1436">
        <v>43831</v>
      </c>
      <c r="B164" s="155">
        <v>2216061.6500000004</v>
      </c>
      <c r="C164" s="155">
        <v>-2100001.8619999997</v>
      </c>
      <c r="D164" s="1437">
        <f t="shared" si="18"/>
        <v>-116059.78800000064</v>
      </c>
      <c r="E164" s="84">
        <f t="shared" si="19"/>
        <v>-5.2372093529076964E-2</v>
      </c>
    </row>
    <row r="165" spans="1:5" x14ac:dyDescent="0.25">
      <c r="A165" s="1436">
        <v>43800</v>
      </c>
      <c r="B165" s="155">
        <v>2087412.13</v>
      </c>
      <c r="C165" s="155">
        <v>-1678444.6</v>
      </c>
      <c r="D165" s="1437">
        <f t="shared" si="18"/>
        <v>-408967.5299999998</v>
      </c>
      <c r="E165" s="84">
        <f t="shared" si="19"/>
        <v>-0.19592083619826423</v>
      </c>
    </row>
    <row r="166" spans="1:5" x14ac:dyDescent="0.25">
      <c r="A166" s="1436">
        <v>43770</v>
      </c>
      <c r="B166" s="155">
        <v>2459293.0899999994</v>
      </c>
      <c r="C166" s="155">
        <v>-2502128.2820000001</v>
      </c>
      <c r="D166" s="1437">
        <f t="shared" si="18"/>
        <v>42835.192000000738</v>
      </c>
      <c r="E166" s="84">
        <f t="shared" si="19"/>
        <v>1.7417684851869668E-2</v>
      </c>
    </row>
    <row r="167" spans="1:5" x14ac:dyDescent="0.25">
      <c r="A167" s="1436">
        <v>43739</v>
      </c>
      <c r="B167" s="155">
        <v>2515263.66</v>
      </c>
      <c r="C167" s="155">
        <v>-2549932.6100000003</v>
      </c>
      <c r="D167" s="1437">
        <f t="shared" si="18"/>
        <v>34668.950000000186</v>
      </c>
      <c r="E167" s="84">
        <f t="shared" si="19"/>
        <v>1.3783425790042299E-2</v>
      </c>
    </row>
    <row r="168" spans="1:5" x14ac:dyDescent="0.25">
      <c r="A168" s="1436">
        <v>43709</v>
      </c>
      <c r="B168" s="155">
        <v>2317009.3000000003</v>
      </c>
      <c r="C168" s="155">
        <v>-2298651.31</v>
      </c>
      <c r="D168" s="1437">
        <f t="shared" si="18"/>
        <v>-18357.990000000224</v>
      </c>
      <c r="E168" s="84">
        <f t="shared" si="19"/>
        <v>-7.9231404034503534E-3</v>
      </c>
    </row>
    <row r="169" spans="1:5" x14ac:dyDescent="0.25">
      <c r="A169" s="1436">
        <v>43678</v>
      </c>
      <c r="B169" s="155">
        <v>2549505.6500000004</v>
      </c>
      <c r="C169" s="155">
        <v>-2496812.7080000001</v>
      </c>
      <c r="D169" s="1437">
        <f t="shared" si="18"/>
        <v>-52692.942000000272</v>
      </c>
      <c r="E169" s="84">
        <f t="shared" si="19"/>
        <v>-2.0667905560436888E-2</v>
      </c>
    </row>
    <row r="170" spans="1:5" x14ac:dyDescent="0.25">
      <c r="A170" s="1436">
        <v>43647</v>
      </c>
      <c r="B170" s="155">
        <v>2750498.2600000002</v>
      </c>
      <c r="C170" s="155">
        <v>-2421476.8020000001</v>
      </c>
      <c r="D170" s="1437">
        <f t="shared" si="18"/>
        <v>-329021.4580000001</v>
      </c>
      <c r="E170" s="84">
        <f t="shared" si="19"/>
        <v>-0.11962249268974272</v>
      </c>
    </row>
    <row r="171" spans="1:5" x14ac:dyDescent="0.25">
      <c r="A171" s="1436">
        <v>43617</v>
      </c>
      <c r="B171" s="155">
        <v>2262874.0299999998</v>
      </c>
      <c r="C171" s="155">
        <v>-2142195.2140000002</v>
      </c>
      <c r="D171" s="1437">
        <f t="shared" si="18"/>
        <v>-120678.81599999964</v>
      </c>
      <c r="E171" s="84">
        <f t="shared" si="19"/>
        <v>-5.3329886860736857E-2</v>
      </c>
    </row>
    <row r="172" spans="1:5" x14ac:dyDescent="0.25">
      <c r="A172" s="1436">
        <v>43586</v>
      </c>
      <c r="B172" s="155">
        <v>2523738.2699999996</v>
      </c>
      <c r="C172" s="155">
        <v>-2666124.5680000004</v>
      </c>
      <c r="D172" s="1437">
        <f t="shared" si="18"/>
        <v>142386.29800000088</v>
      </c>
      <c r="E172" s="84">
        <f t="shared" si="19"/>
        <v>5.641880526699819E-2</v>
      </c>
    </row>
    <row r="173" spans="1:5" x14ac:dyDescent="0.25">
      <c r="A173" s="1436">
        <v>43556</v>
      </c>
      <c r="B173" s="155">
        <v>2207674.92</v>
      </c>
      <c r="C173" s="155">
        <v>-1891396.7560000001</v>
      </c>
      <c r="D173" s="1437">
        <f t="shared" si="18"/>
        <v>-316278.16399999987</v>
      </c>
      <c r="E173" s="84">
        <f t="shared" si="19"/>
        <v>-0.14326301446591597</v>
      </c>
    </row>
    <row r="174" spans="1:5" x14ac:dyDescent="0.25">
      <c r="A174" s="1436">
        <v>43525</v>
      </c>
      <c r="B174" s="155">
        <v>2453729.42</v>
      </c>
      <c r="C174" s="155">
        <v>-2492950.4380000001</v>
      </c>
      <c r="D174" s="1437">
        <f t="shared" si="18"/>
        <v>39221.018000000156</v>
      </c>
      <c r="E174" s="84">
        <f t="shared" si="19"/>
        <v>1.5984247358455748E-2</v>
      </c>
    </row>
    <row r="175" spans="1:5" x14ac:dyDescent="0.25">
      <c r="A175" s="1436">
        <v>43497</v>
      </c>
      <c r="B175" s="155">
        <v>2411217.0199999996</v>
      </c>
      <c r="C175" s="155">
        <v>-2281730.5019999999</v>
      </c>
      <c r="D175" s="1437">
        <f t="shared" si="18"/>
        <v>-129486.51799999969</v>
      </c>
      <c r="E175" s="84">
        <f t="shared" si="19"/>
        <v>-5.370172693953517E-2</v>
      </c>
    </row>
    <row r="176" spans="1:5" x14ac:dyDescent="0.25">
      <c r="A176" s="1436">
        <v>43466</v>
      </c>
      <c r="B176" s="155">
        <v>2268117.9300000002</v>
      </c>
      <c r="C176" s="155">
        <v>-1909029.054</v>
      </c>
      <c r="D176" s="1437">
        <f t="shared" si="18"/>
        <v>-359088.87600000016</v>
      </c>
      <c r="E176" s="84">
        <f t="shared" si="19"/>
        <v>-0.15832019634005545</v>
      </c>
    </row>
    <row r="177" spans="1:5" x14ac:dyDescent="0.25">
      <c r="A177" s="1436">
        <v>43435</v>
      </c>
      <c r="B177" s="155">
        <v>2120443.2499999995</v>
      </c>
      <c r="C177" s="155">
        <v>-1635518.2320000001</v>
      </c>
      <c r="D177" s="1437">
        <f t="shared" si="18"/>
        <v>-484925.01799999946</v>
      </c>
      <c r="E177" s="84">
        <f t="shared" si="19"/>
        <v>-0.22869040140546065</v>
      </c>
    </row>
    <row r="178" spans="1:5" x14ac:dyDescent="0.25">
      <c r="A178" s="1436">
        <v>43405</v>
      </c>
      <c r="B178" s="155">
        <v>2632148.6199999996</v>
      </c>
      <c r="C178" s="155">
        <v>-2603498.5680000004</v>
      </c>
      <c r="D178" s="1437">
        <f t="shared" si="18"/>
        <v>-28650.05199999921</v>
      </c>
      <c r="E178" s="84">
        <f t="shared" si="19"/>
        <v>-1.0884663495938619E-2</v>
      </c>
    </row>
    <row r="179" spans="1:5" x14ac:dyDescent="0.25">
      <c r="A179" s="1436">
        <v>43374</v>
      </c>
      <c r="B179" s="155">
        <v>2546072.1900000004</v>
      </c>
      <c r="C179" s="155">
        <v>-2408249.1340000001</v>
      </c>
      <c r="D179" s="1437">
        <f t="shared" si="18"/>
        <v>-137823.05600000033</v>
      </c>
      <c r="E179" s="84">
        <f t="shared" si="19"/>
        <v>-5.4131637170900603E-2</v>
      </c>
    </row>
    <row r="180" spans="1:5" x14ac:dyDescent="0.25">
      <c r="A180" s="1436">
        <v>43344</v>
      </c>
      <c r="B180" s="155">
        <v>2295751.62</v>
      </c>
      <c r="C180" s="155">
        <v>-2270435.0340000005</v>
      </c>
      <c r="D180" s="1437">
        <f t="shared" si="18"/>
        <v>-25316.585999999661</v>
      </c>
      <c r="E180" s="84">
        <f t="shared" si="19"/>
        <v>-1.1027580588182121E-2</v>
      </c>
    </row>
    <row r="181" spans="1:5" x14ac:dyDescent="0.25">
      <c r="A181" s="1436">
        <v>43313</v>
      </c>
      <c r="B181" s="155">
        <v>2555601.8299999996</v>
      </c>
      <c r="C181" s="155">
        <v>-2565700.5640000002</v>
      </c>
      <c r="D181" s="1437">
        <f t="shared" si="18"/>
        <v>10098.734000000637</v>
      </c>
      <c r="E181" s="84">
        <f t="shared" si="19"/>
        <v>3.9516069684457219E-3</v>
      </c>
    </row>
    <row r="182" spans="1:5" x14ac:dyDescent="0.25">
      <c r="A182" s="1436">
        <v>43282</v>
      </c>
      <c r="B182" s="155">
        <v>2467527.0099999998</v>
      </c>
      <c r="C182" s="155">
        <v>-2436260.9040000001</v>
      </c>
      <c r="D182" s="1437">
        <f t="shared" si="18"/>
        <v>-31266.10599999968</v>
      </c>
      <c r="E182" s="84">
        <f t="shared" si="19"/>
        <v>-1.2671028877612846E-2</v>
      </c>
    </row>
    <row r="183" spans="1:5" x14ac:dyDescent="0.25">
      <c r="A183" s="1436">
        <v>43252</v>
      </c>
      <c r="B183" s="155">
        <v>2537136.0599999996</v>
      </c>
      <c r="C183" s="155">
        <v>-2369728.4599999995</v>
      </c>
      <c r="D183" s="1437">
        <f t="shared" si="18"/>
        <v>-167407.60000000009</v>
      </c>
      <c r="E183" s="84">
        <f t="shared" si="19"/>
        <v>-6.5982901996986365E-2</v>
      </c>
    </row>
    <row r="184" spans="1:5" x14ac:dyDescent="0.25">
      <c r="A184" s="1436">
        <v>43221</v>
      </c>
      <c r="B184" s="155">
        <v>2489477.2399999998</v>
      </c>
      <c r="C184" s="155">
        <v>-2721375.6839999999</v>
      </c>
      <c r="D184" s="1437">
        <f t="shared" si="18"/>
        <v>231898.44400000013</v>
      </c>
      <c r="E184" s="84">
        <f t="shared" si="19"/>
        <v>9.3151461790428006E-2</v>
      </c>
    </row>
    <row r="185" spans="1:5" x14ac:dyDescent="0.25">
      <c r="A185" s="1436">
        <v>43191</v>
      </c>
      <c r="B185" s="155">
        <v>2241133.27</v>
      </c>
      <c r="C185" s="155">
        <v>-2314084.6720000003</v>
      </c>
      <c r="D185" s="1437">
        <f t="shared" si="18"/>
        <v>72951.402000000235</v>
      </c>
      <c r="E185" s="84">
        <f t="shared" si="19"/>
        <v>3.2551121781347808E-2</v>
      </c>
    </row>
    <row r="186" spans="1:5" x14ac:dyDescent="0.25">
      <c r="A186" s="1436">
        <v>43160</v>
      </c>
      <c r="B186" s="155">
        <v>2437485.39</v>
      </c>
      <c r="C186" s="155">
        <v>-2574734.1860000002</v>
      </c>
      <c r="D186" s="1437">
        <f t="shared" si="18"/>
        <v>137248.79600000009</v>
      </c>
      <c r="E186" s="84">
        <f t="shared" si="19"/>
        <v>5.6307535857681626E-2</v>
      </c>
    </row>
    <row r="187" spans="1:5" x14ac:dyDescent="0.25">
      <c r="A187" s="1436">
        <v>43132</v>
      </c>
      <c r="B187" s="155">
        <v>2181749.87</v>
      </c>
      <c r="C187" s="155">
        <v>-2299909.4960000003</v>
      </c>
      <c r="D187" s="1437">
        <f t="shared" si="18"/>
        <v>118159.62600000016</v>
      </c>
      <c r="E187" s="84">
        <f t="shared" si="19"/>
        <v>5.4158190920391876E-2</v>
      </c>
    </row>
    <row r="188" spans="1:5" x14ac:dyDescent="0.25">
      <c r="A188" s="1436">
        <v>43101</v>
      </c>
      <c r="B188" s="155">
        <v>2038141.6400000001</v>
      </c>
      <c r="C188" s="155">
        <v>-1883860.676</v>
      </c>
      <c r="D188" s="1437">
        <f t="shared" si="18"/>
        <v>-154280.96400000015</v>
      </c>
      <c r="E188" s="84">
        <f t="shared" si="19"/>
        <v>-7.5696880418968396E-2</v>
      </c>
    </row>
    <row r="189" spans="1:5" x14ac:dyDescent="0.25">
      <c r="A189" s="1436">
        <v>43070</v>
      </c>
      <c r="B189" s="155">
        <v>1895607.3699999999</v>
      </c>
      <c r="C189" s="155">
        <v>-1877479.4179999998</v>
      </c>
      <c r="D189" s="1437">
        <f t="shared" si="18"/>
        <v>-18127.952000000048</v>
      </c>
      <c r="E189" s="84">
        <f t="shared" si="19"/>
        <v>-9.5631364843237806E-3</v>
      </c>
    </row>
    <row r="190" spans="1:5" x14ac:dyDescent="0.25">
      <c r="A190" s="1436">
        <v>43040</v>
      </c>
      <c r="B190" s="155">
        <v>2366399.6799999997</v>
      </c>
      <c r="C190" s="155">
        <v>-2795966.824</v>
      </c>
      <c r="D190" s="1437">
        <f t="shared" si="18"/>
        <v>429567.14400000032</v>
      </c>
      <c r="E190" s="84">
        <f t="shared" si="19"/>
        <v>0.18152772231612219</v>
      </c>
    </row>
    <row r="191" spans="1:5" x14ac:dyDescent="0.25">
      <c r="A191" s="1436">
        <v>43009</v>
      </c>
      <c r="B191" s="155">
        <v>2280400.1399999997</v>
      </c>
      <c r="C191" s="155">
        <v>-2763127.17</v>
      </c>
      <c r="D191" s="1437">
        <f t="shared" si="18"/>
        <v>482727.03000000026</v>
      </c>
      <c r="E191" s="84">
        <f t="shared" si="19"/>
        <v>0.21168523082093843</v>
      </c>
    </row>
    <row r="192" spans="1:5" x14ac:dyDescent="0.25">
      <c r="A192" s="1436">
        <v>42979</v>
      </c>
      <c r="B192" s="155">
        <v>2278977.88</v>
      </c>
      <c r="C192" s="155">
        <v>-2604694.3739999998</v>
      </c>
      <c r="D192" s="1437">
        <f t="shared" ref="D192:D197" si="21">-SUM(B192:C192)</f>
        <v>325716.49399999995</v>
      </c>
      <c r="E192" s="84">
        <f t="shared" ref="E192:E197" si="22">D192/B192</f>
        <v>0.14292218316748206</v>
      </c>
    </row>
    <row r="193" spans="1:5" x14ac:dyDescent="0.25">
      <c r="A193" s="1436">
        <v>42948</v>
      </c>
      <c r="B193" s="155">
        <v>2345753.2000000002</v>
      </c>
      <c r="C193" s="155">
        <v>-2851217.1879999996</v>
      </c>
      <c r="D193" s="1437">
        <f t="shared" si="21"/>
        <v>505463.98799999943</v>
      </c>
      <c r="E193" s="84">
        <f t="shared" si="22"/>
        <v>0.21548046401471366</v>
      </c>
    </row>
    <row r="194" spans="1:5" x14ac:dyDescent="0.25">
      <c r="A194" s="1436">
        <v>42917</v>
      </c>
      <c r="B194" s="155">
        <v>2053200.6399999997</v>
      </c>
      <c r="C194" s="155">
        <v>-2470503.0219999999</v>
      </c>
      <c r="D194" s="1437">
        <f t="shared" si="21"/>
        <v>417302.38200000022</v>
      </c>
      <c r="E194" s="84">
        <f t="shared" si="22"/>
        <v>0.20324481391161084</v>
      </c>
    </row>
    <row r="195" spans="1:5" x14ac:dyDescent="0.25">
      <c r="A195" s="1436">
        <v>42887</v>
      </c>
      <c r="B195" s="155">
        <v>2196035.6000000006</v>
      </c>
      <c r="C195" s="155">
        <v>-2532818.142</v>
      </c>
      <c r="D195" s="1437">
        <f t="shared" si="21"/>
        <v>336782.54199999943</v>
      </c>
      <c r="E195" s="84">
        <f t="shared" si="22"/>
        <v>0.15335932714387659</v>
      </c>
    </row>
    <row r="196" spans="1:5" x14ac:dyDescent="0.25">
      <c r="A196" s="1436">
        <v>42856</v>
      </c>
      <c r="B196" s="155">
        <v>2221271.63</v>
      </c>
      <c r="C196" s="155">
        <v>-2769777.2499999995</v>
      </c>
      <c r="D196" s="1437">
        <f t="shared" si="21"/>
        <v>548505.61999999965</v>
      </c>
      <c r="E196" s="84">
        <f t="shared" si="22"/>
        <v>0.24693315873304503</v>
      </c>
    </row>
    <row r="197" spans="1:5" x14ac:dyDescent="0.25">
      <c r="A197" s="1436">
        <v>42826</v>
      </c>
      <c r="B197" s="155">
        <v>1881848.12</v>
      </c>
      <c r="C197" s="155">
        <v>-2010720.8139999998</v>
      </c>
      <c r="D197" s="1437">
        <f t="shared" si="21"/>
        <v>128872.69399999967</v>
      </c>
      <c r="E197" s="84">
        <f t="shared" si="22"/>
        <v>6.8481984614146049E-2</v>
      </c>
    </row>
  </sheetData>
  <phoneticPr fontId="11" type="noConversion"/>
  <conditionalFormatting sqref="G66:G88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6:H88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6:I8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6:J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6:K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6:L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6:Q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6:R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75939-926F-478E-AE9F-8F3F3BA45C4B}">
  <sheetPr>
    <tabColor rgb="FFFF0000"/>
    <pageSetUpPr fitToPage="1"/>
  </sheetPr>
  <dimension ref="A1:DM203"/>
  <sheetViews>
    <sheetView zoomScaleNormal="100" workbookViewId="0">
      <pane xSplit="1" ySplit="3" topLeftCell="B130" activePane="bottomRight" state="frozen"/>
      <selection pane="topRight" activeCell="B1" sqref="B1"/>
      <selection pane="bottomLeft" activeCell="A3" sqref="A3"/>
      <selection pane="bottomRight" activeCell="AG141" sqref="AG141:AH141"/>
    </sheetView>
  </sheetViews>
  <sheetFormatPr defaultRowHeight="15" outlineLevelCol="1" x14ac:dyDescent="0.25"/>
  <cols>
    <col min="2" max="2" width="11.85546875" customWidth="1"/>
    <col min="3" max="3" width="10.28515625" customWidth="1" outlineLevel="1"/>
    <col min="4" max="4" width="15.5703125" customWidth="1" outlineLevel="1"/>
    <col min="5" max="5" width="11.5703125" customWidth="1" outlineLevel="1"/>
    <col min="6" max="6" width="9.140625" customWidth="1" outlineLevel="1"/>
    <col min="7" max="7" width="12.7109375" customWidth="1" outlineLevel="1"/>
    <col min="8" max="8" width="19" customWidth="1" outlineLevel="1"/>
    <col min="9" max="10" width="19" customWidth="1"/>
    <col min="11" max="16" width="14.140625" customWidth="1" outlineLevel="1"/>
    <col min="17" max="22" width="11" customWidth="1" outlineLevel="1"/>
    <col min="23" max="28" width="11.5703125" customWidth="1" outlineLevel="1"/>
    <col min="29" max="30" width="10.28515625" customWidth="1" outlineLevel="1"/>
    <col min="31" max="31" width="9.140625" customWidth="1"/>
    <col min="32" max="36" width="9.140625" customWidth="1" outlineLevel="1"/>
    <col min="37" max="37" width="14" bestFit="1" customWidth="1"/>
    <col min="38" max="38" width="12.28515625" customWidth="1" outlineLevel="1"/>
    <col min="39" max="39" width="11.5703125" customWidth="1" outlineLevel="1"/>
    <col min="40" max="40" width="11.140625" customWidth="1" outlineLevel="1"/>
    <col min="41" max="41" width="9.140625" customWidth="1"/>
    <col min="42" max="44" width="9.140625" customWidth="1" outlineLevel="1"/>
    <col min="45" max="45" width="10.140625" customWidth="1" outlineLevel="1"/>
    <col min="46" max="46" width="10.140625" customWidth="1"/>
    <col min="47" max="48" width="9.140625" customWidth="1" outlineLevel="1"/>
    <col min="49" max="50" width="10.5703125" customWidth="1" outlineLevel="1"/>
    <col min="51" max="51" width="10.5703125" customWidth="1"/>
    <col min="52" max="53" width="10.5703125" customWidth="1" outlineLevel="1"/>
    <col min="54" max="54" width="10.28515625" customWidth="1" outlineLevel="1"/>
    <col min="55" max="55" width="9.140625" customWidth="1"/>
    <col min="56" max="56" width="9.140625" customWidth="1" outlineLevel="1"/>
    <col min="57" max="57" width="13.140625" customWidth="1" outlineLevel="1"/>
    <col min="58" max="58" width="12.28515625" customWidth="1" outlineLevel="1"/>
    <col min="59" max="59" width="14.5703125" customWidth="1" outlineLevel="1"/>
    <col min="60" max="60" width="15.42578125" customWidth="1" outlineLevel="1"/>
    <col min="61" max="61" width="14.5703125" customWidth="1" outlineLevel="1"/>
    <col min="62" max="85" width="9.140625" customWidth="1"/>
    <col min="86" max="86" width="11.85546875" customWidth="1"/>
    <col min="87" max="88" width="9.140625" customWidth="1"/>
    <col min="89" max="89" width="9.7109375" customWidth="1"/>
    <col min="90" max="96" width="9.140625" customWidth="1"/>
    <col min="97" max="97" width="11" customWidth="1"/>
    <col min="98" max="98" width="9.140625" customWidth="1"/>
    <col min="99" max="100" width="10.28515625" customWidth="1"/>
    <col min="101" max="102" width="9.140625" customWidth="1"/>
  </cols>
  <sheetData>
    <row r="1" spans="1:117" x14ac:dyDescent="0.25">
      <c r="B1" s="9"/>
      <c r="H1" s="49"/>
      <c r="I1" t="s">
        <v>1049</v>
      </c>
      <c r="K1" t="s">
        <v>1049</v>
      </c>
      <c r="M1" t="s">
        <v>1050</v>
      </c>
      <c r="O1" t="s">
        <v>1050</v>
      </c>
      <c r="Q1" t="s">
        <v>1049</v>
      </c>
      <c r="S1" t="s">
        <v>1050</v>
      </c>
      <c r="U1" t="s">
        <v>1050</v>
      </c>
      <c r="W1" t="s">
        <v>1049</v>
      </c>
      <c r="Y1" t="s">
        <v>1050</v>
      </c>
      <c r="AA1" t="s">
        <v>1050</v>
      </c>
      <c r="AC1" t="s">
        <v>1049</v>
      </c>
      <c r="AD1" t="s">
        <v>1049</v>
      </c>
      <c r="AE1" s="9"/>
      <c r="AI1" t="s">
        <v>1050</v>
      </c>
      <c r="AJ1" s="49"/>
      <c r="AK1" s="9" t="s">
        <v>1050</v>
      </c>
      <c r="AL1" t="s">
        <v>1049</v>
      </c>
      <c r="AM1" t="s">
        <v>1050</v>
      </c>
      <c r="AN1" s="49" t="s">
        <v>1049</v>
      </c>
      <c r="AO1" s="9" t="s">
        <v>1050</v>
      </c>
      <c r="AP1" t="s">
        <v>1050</v>
      </c>
      <c r="AQ1" t="s">
        <v>1050</v>
      </c>
      <c r="AR1" t="s">
        <v>1050</v>
      </c>
      <c r="AS1" s="49" t="s">
        <v>1050</v>
      </c>
      <c r="AT1" t="s">
        <v>1050</v>
      </c>
      <c r="AU1" t="s">
        <v>1050</v>
      </c>
      <c r="AV1" t="s">
        <v>1050</v>
      </c>
      <c r="AW1" t="s">
        <v>1050</v>
      </c>
      <c r="AY1" t="s">
        <v>1049</v>
      </c>
      <c r="AZ1" t="s">
        <v>1049</v>
      </c>
      <c r="BA1" t="s">
        <v>1049</v>
      </c>
      <c r="BB1" t="s">
        <v>1049</v>
      </c>
      <c r="BC1" t="s">
        <v>1049</v>
      </c>
      <c r="BD1" t="s">
        <v>1049</v>
      </c>
      <c r="BE1" t="s">
        <v>1049</v>
      </c>
      <c r="BF1" t="s">
        <v>1049</v>
      </c>
      <c r="BG1" t="s">
        <v>1049</v>
      </c>
      <c r="BH1" t="s">
        <v>1049</v>
      </c>
      <c r="BI1" t="s">
        <v>1049</v>
      </c>
    </row>
    <row r="2" spans="1:117" x14ac:dyDescent="0.25">
      <c r="B2" s="1742" t="s">
        <v>1051</v>
      </c>
      <c r="C2" s="1743"/>
      <c r="D2" s="1743"/>
      <c r="E2" s="1743"/>
      <c r="F2" s="1743"/>
      <c r="G2" s="1743"/>
      <c r="H2" s="1744"/>
      <c r="I2" s="119" t="s">
        <v>1052</v>
      </c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1"/>
      <c r="AE2" s="1742" t="s">
        <v>1053</v>
      </c>
      <c r="AF2" s="1743"/>
      <c r="AG2" s="1743"/>
      <c r="AH2" s="1743"/>
      <c r="AI2" s="1743"/>
      <c r="AJ2" s="1744"/>
      <c r="AK2" s="1742" t="s">
        <v>1054</v>
      </c>
      <c r="AL2" s="1743"/>
      <c r="AM2" s="1743"/>
      <c r="AN2" s="1744"/>
      <c r="AO2" s="1742" t="s">
        <v>1055</v>
      </c>
      <c r="AP2" s="1743"/>
      <c r="AQ2" s="1743"/>
      <c r="AR2" s="1743"/>
      <c r="AS2" s="1744"/>
      <c r="AT2" s="1742" t="s">
        <v>1006</v>
      </c>
      <c r="AU2" s="1743"/>
      <c r="AV2" s="1743"/>
      <c r="AW2" s="1744"/>
      <c r="AX2" s="201"/>
      <c r="AY2" s="1742" t="s">
        <v>1056</v>
      </c>
      <c r="AZ2" s="1743"/>
      <c r="BA2" s="1743"/>
      <c r="BB2" s="1744"/>
      <c r="BC2" s="1742" t="s">
        <v>1007</v>
      </c>
      <c r="BD2" s="1743"/>
      <c r="BE2" s="1743"/>
      <c r="BF2" s="1743"/>
      <c r="BG2" s="1743"/>
      <c r="BH2" s="1743"/>
      <c r="BI2" s="1744"/>
    </row>
    <row r="3" spans="1:117" s="100" customFormat="1" ht="90" x14ac:dyDescent="0.25">
      <c r="A3" s="100" t="s">
        <v>22</v>
      </c>
      <c r="B3" s="117" t="s">
        <v>1057</v>
      </c>
      <c r="C3" s="117" t="s">
        <v>1058</v>
      </c>
      <c r="D3" s="100" t="s">
        <v>1059</v>
      </c>
      <c r="E3" s="117" t="s">
        <v>1060</v>
      </c>
      <c r="F3" s="100" t="s">
        <v>1061</v>
      </c>
      <c r="G3" s="100" t="s">
        <v>1062</v>
      </c>
      <c r="H3" s="187" t="s">
        <v>1063</v>
      </c>
      <c r="I3" s="117" t="s">
        <v>1064</v>
      </c>
      <c r="J3" s="100" t="s">
        <v>1065</v>
      </c>
      <c r="K3" s="774" t="s">
        <v>1066</v>
      </c>
      <c r="L3" s="100" t="s">
        <v>1067</v>
      </c>
      <c r="M3" s="100" t="s">
        <v>1068</v>
      </c>
      <c r="N3" s="100" t="s">
        <v>1069</v>
      </c>
      <c r="O3" s="100" t="s">
        <v>1070</v>
      </c>
      <c r="P3" s="100" t="s">
        <v>1071</v>
      </c>
      <c r="Q3" s="117" t="s">
        <v>1072</v>
      </c>
      <c r="R3" s="100" t="s">
        <v>1073</v>
      </c>
      <c r="S3" s="117" t="s">
        <v>1074</v>
      </c>
      <c r="T3" s="100" t="s">
        <v>1075</v>
      </c>
      <c r="U3" s="117" t="s">
        <v>1076</v>
      </c>
      <c r="V3" s="100" t="s">
        <v>1077</v>
      </c>
      <c r="W3" s="117" t="s">
        <v>1078</v>
      </c>
      <c r="X3" s="100" t="s">
        <v>1079</v>
      </c>
      <c r="Y3" s="117" t="s">
        <v>1080</v>
      </c>
      <c r="Z3" s="100" t="s">
        <v>1081</v>
      </c>
      <c r="AA3" s="117" t="s">
        <v>1082</v>
      </c>
      <c r="AB3" s="100" t="s">
        <v>1083</v>
      </c>
      <c r="AC3" s="117" t="s">
        <v>1084</v>
      </c>
      <c r="AD3" s="117" t="s">
        <v>1085</v>
      </c>
      <c r="AE3" s="117" t="s">
        <v>502</v>
      </c>
      <c r="AF3" s="117" t="s">
        <v>889</v>
      </c>
      <c r="AG3" s="117" t="s">
        <v>468</v>
      </c>
      <c r="AH3" s="117" t="s">
        <v>706</v>
      </c>
      <c r="AI3" s="117" t="s">
        <v>1086</v>
      </c>
      <c r="AJ3" s="117" t="s">
        <v>1087</v>
      </c>
      <c r="AK3" s="117" t="s">
        <v>1006</v>
      </c>
      <c r="AL3" s="117" t="s">
        <v>1056</v>
      </c>
      <c r="AM3" s="117" t="s">
        <v>1055</v>
      </c>
      <c r="AN3" s="117" t="s">
        <v>1088</v>
      </c>
      <c r="AO3" s="188" t="s">
        <v>1089</v>
      </c>
      <c r="AP3" s="210" t="s">
        <v>1090</v>
      </c>
      <c r="AQ3" s="185" t="s">
        <v>1091</v>
      </c>
      <c r="AR3" s="185" t="s">
        <v>1092</v>
      </c>
      <c r="AS3" s="186" t="s">
        <v>1093</v>
      </c>
      <c r="AT3" s="189" t="s">
        <v>1094</v>
      </c>
      <c r="AU3" s="100" t="s">
        <v>1095</v>
      </c>
      <c r="AV3" s="100" t="s">
        <v>1096</v>
      </c>
      <c r="AW3" s="187" t="s">
        <v>1097</v>
      </c>
      <c r="AX3" s="100" t="s">
        <v>1046</v>
      </c>
      <c r="AY3" s="189" t="s">
        <v>1098</v>
      </c>
      <c r="AZ3" s="100" t="s">
        <v>1099</v>
      </c>
      <c r="BA3" s="100" t="s">
        <v>1100</v>
      </c>
      <c r="BB3" s="187" t="s">
        <v>1101</v>
      </c>
      <c r="BC3" s="100" t="s">
        <v>1102</v>
      </c>
      <c r="BD3" s="100" t="s">
        <v>1103</v>
      </c>
      <c r="BE3" s="100" t="s">
        <v>1104</v>
      </c>
      <c r="BF3" s="100" t="s">
        <v>1105</v>
      </c>
      <c r="BG3" s="100" t="s">
        <v>1106</v>
      </c>
      <c r="BH3" s="100" t="s">
        <v>1107</v>
      </c>
      <c r="BI3" s="187" t="s">
        <v>1108</v>
      </c>
      <c r="BJ3" s="100" t="s">
        <v>22</v>
      </c>
      <c r="BK3" s="100" t="s">
        <v>1109</v>
      </c>
      <c r="BL3" s="100" t="s">
        <v>1110</v>
      </c>
      <c r="BM3" s="100" t="s">
        <v>1111</v>
      </c>
      <c r="BN3" s="210" t="s">
        <v>1112</v>
      </c>
      <c r="BO3" s="210" t="s">
        <v>1113</v>
      </c>
      <c r="BP3" s="210" t="s">
        <v>1228</v>
      </c>
      <c r="BQ3" s="100" t="s">
        <v>1114</v>
      </c>
      <c r="BR3" s="100" t="s">
        <v>1115</v>
      </c>
      <c r="BS3" s="210" t="s">
        <v>1116</v>
      </c>
      <c r="BT3" s="100" t="s">
        <v>22</v>
      </c>
      <c r="BU3" s="210" t="s">
        <v>1117</v>
      </c>
      <c r="BV3" s="188" t="s">
        <v>1118</v>
      </c>
      <c r="BW3" s="100" t="s">
        <v>1119</v>
      </c>
      <c r="BX3" s="187" t="s">
        <v>1120</v>
      </c>
      <c r="BY3" s="100" t="s">
        <v>1121</v>
      </c>
      <c r="BZ3" s="100" t="s">
        <v>1122</v>
      </c>
      <c r="CA3" s="100" t="s">
        <v>1123</v>
      </c>
      <c r="CB3" s="100" t="s">
        <v>1124</v>
      </c>
      <c r="CC3" s="100" t="s">
        <v>1125</v>
      </c>
      <c r="CD3" s="117" t="s">
        <v>1126</v>
      </c>
      <c r="CE3" s="117" t="s">
        <v>1127</v>
      </c>
      <c r="CF3" s="117" t="s">
        <v>1128</v>
      </c>
      <c r="CG3" s="117" t="s">
        <v>1129</v>
      </c>
      <c r="CH3" s="210" t="s">
        <v>1130</v>
      </c>
      <c r="CI3" s="117" t="s">
        <v>1131</v>
      </c>
      <c r="CJ3" s="100" t="s">
        <v>1132</v>
      </c>
      <c r="CK3" s="100" t="s">
        <v>1133</v>
      </c>
      <c r="CL3" s="117" t="s">
        <v>1134</v>
      </c>
      <c r="CM3" s="100" t="s">
        <v>1135</v>
      </c>
      <c r="CN3" s="100" t="s">
        <v>1136</v>
      </c>
      <c r="CO3" s="100" t="s">
        <v>1137</v>
      </c>
      <c r="CP3" s="100" t="s">
        <v>1138</v>
      </c>
      <c r="CQ3" s="100" t="s">
        <v>1139</v>
      </c>
      <c r="CR3" s="100" t="s">
        <v>1140</v>
      </c>
      <c r="CS3" s="100" t="s">
        <v>1141</v>
      </c>
      <c r="CT3" s="100" t="s">
        <v>1142</v>
      </c>
      <c r="CU3" s="100" t="s">
        <v>1143</v>
      </c>
      <c r="CV3" s="100" t="s">
        <v>1144</v>
      </c>
      <c r="CW3" s="100" t="s">
        <v>1145</v>
      </c>
      <c r="CX3" s="100" t="s">
        <v>1146</v>
      </c>
      <c r="CY3" s="100" t="s">
        <v>1147</v>
      </c>
      <c r="CZ3" s="100" t="s">
        <v>1148</v>
      </c>
      <c r="DA3" s="100" t="s">
        <v>1149</v>
      </c>
      <c r="DB3" s="100" t="s">
        <v>1150</v>
      </c>
      <c r="DC3" s="100" t="s">
        <v>1151</v>
      </c>
      <c r="DD3" s="100" t="s">
        <v>1152</v>
      </c>
      <c r="DE3" s="100" t="s">
        <v>1153</v>
      </c>
      <c r="DF3" s="100" t="s">
        <v>1154</v>
      </c>
      <c r="DG3" s="100" t="s">
        <v>1155</v>
      </c>
      <c r="DH3" s="100" t="s">
        <v>1156</v>
      </c>
      <c r="DI3" s="100" t="s">
        <v>1157</v>
      </c>
      <c r="DJ3" s="100" t="s">
        <v>1158</v>
      </c>
      <c r="DK3" s="100" t="s">
        <v>1159</v>
      </c>
      <c r="DL3" s="100" t="s">
        <v>1160</v>
      </c>
      <c r="DM3" s="100" t="s">
        <v>1161</v>
      </c>
    </row>
    <row r="4" spans="1:117" x14ac:dyDescent="0.25">
      <c r="A4" s="80">
        <v>40848</v>
      </c>
      <c r="B4" s="105">
        <v>56196</v>
      </c>
      <c r="C4" s="95">
        <v>1264</v>
      </c>
      <c r="D4" s="104">
        <f>C4/B4</f>
        <v>2.2492704107053882E-2</v>
      </c>
      <c r="E4" s="95"/>
      <c r="F4" s="104"/>
      <c r="H4" s="110"/>
      <c r="K4" s="95">
        <f t="shared" ref="K4:K14" si="0">SUM(Q4,W4)</f>
        <v>28128</v>
      </c>
      <c r="L4" s="95"/>
      <c r="M4" s="95">
        <f>SUM(S4,Y4)</f>
        <v>308</v>
      </c>
      <c r="N4" s="95"/>
      <c r="O4" s="95"/>
      <c r="P4" s="95"/>
      <c r="Q4" s="103">
        <v>11273</v>
      </c>
      <c r="R4" s="103"/>
      <c r="S4" s="161">
        <v>142</v>
      </c>
      <c r="T4" s="161"/>
      <c r="U4" s="103"/>
      <c r="V4" s="103"/>
      <c r="W4" s="103">
        <v>16855</v>
      </c>
      <c r="X4" s="103"/>
      <c r="Y4" s="103">
        <v>166</v>
      </c>
      <c r="Z4" s="103"/>
      <c r="AA4" s="103"/>
      <c r="AB4" s="103"/>
      <c r="AC4" s="103">
        <v>33535</v>
      </c>
      <c r="AD4" s="103">
        <v>23530</v>
      </c>
      <c r="AE4" s="9"/>
      <c r="AJ4" s="159"/>
      <c r="AK4" s="9"/>
      <c r="AM4" s="101"/>
      <c r="AN4" s="49"/>
      <c r="AO4" s="9"/>
      <c r="AS4" s="49"/>
      <c r="AT4" s="9"/>
      <c r="AW4" s="49"/>
      <c r="BI4" s="49"/>
      <c r="BJ4" s="80">
        <f>A4</f>
        <v>40848</v>
      </c>
      <c r="BT4" s="80">
        <f t="shared" ref="BT4:BT67" si="1">BJ4</f>
        <v>40848</v>
      </c>
      <c r="CC4" s="155" t="e">
        <f t="shared" ref="CC4:CC67" si="2">I4/AK4</f>
        <v>#DIV/0!</v>
      </c>
      <c r="CM4" s="1557"/>
      <c r="CN4" s="1557"/>
      <c r="CO4" s="1557"/>
      <c r="CP4" s="1557"/>
    </row>
    <row r="5" spans="1:117" x14ac:dyDescent="0.25">
      <c r="A5" s="80">
        <v>40878</v>
      </c>
      <c r="B5" s="105">
        <v>40310</v>
      </c>
      <c r="C5" s="95">
        <v>1223</v>
      </c>
      <c r="D5" s="104">
        <f t="shared" ref="D5:D68" si="3">C5/B5</f>
        <v>3.0339866038203919E-2</v>
      </c>
      <c r="E5" s="95"/>
      <c r="F5" s="104"/>
      <c r="H5" s="110"/>
      <c r="K5" s="95">
        <f t="shared" si="0"/>
        <v>23350</v>
      </c>
      <c r="L5" s="95"/>
      <c r="M5" s="95">
        <f t="shared" ref="M5:M68" si="4">SUM(S5,Y5)</f>
        <v>242</v>
      </c>
      <c r="N5" s="95"/>
      <c r="O5" s="95"/>
      <c r="P5" s="95"/>
      <c r="Q5" s="103">
        <v>6609</v>
      </c>
      <c r="R5" s="103"/>
      <c r="S5" s="161">
        <v>95</v>
      </c>
      <c r="T5" s="161"/>
      <c r="U5" s="103"/>
      <c r="V5" s="103"/>
      <c r="W5" s="103">
        <v>16741</v>
      </c>
      <c r="X5" s="103"/>
      <c r="Y5" s="103">
        <v>147</v>
      </c>
      <c r="Z5" s="103"/>
      <c r="AA5" s="103"/>
      <c r="AB5" s="103"/>
      <c r="AC5" s="103">
        <v>24467</v>
      </c>
      <c r="AD5" s="103">
        <v>15871</v>
      </c>
      <c r="AE5" s="9"/>
      <c r="AJ5" s="159"/>
      <c r="AK5" s="9"/>
      <c r="AM5" s="101"/>
      <c r="AN5" s="49"/>
      <c r="AO5" s="9"/>
      <c r="AS5" s="49"/>
      <c r="AT5" s="9"/>
      <c r="AW5" s="49"/>
      <c r="BI5" s="49"/>
      <c r="BJ5" s="80">
        <f t="shared" ref="BJ5:BJ68" si="5">A5</f>
        <v>40878</v>
      </c>
      <c r="BT5" s="80">
        <f t="shared" si="1"/>
        <v>40878</v>
      </c>
      <c r="CC5" s="155" t="e">
        <f t="shared" si="2"/>
        <v>#DIV/0!</v>
      </c>
      <c r="CM5" s="1557"/>
      <c r="CN5" s="1557"/>
      <c r="CO5" s="1557"/>
      <c r="CP5" s="1557"/>
    </row>
    <row r="6" spans="1:117" x14ac:dyDescent="0.25">
      <c r="A6" s="80">
        <v>40909</v>
      </c>
      <c r="B6" s="105">
        <v>36682</v>
      </c>
      <c r="C6" s="95">
        <v>1152</v>
      </c>
      <c r="D6" s="104">
        <f t="shared" si="3"/>
        <v>3.1405048797775476E-2</v>
      </c>
      <c r="E6" s="95"/>
      <c r="F6" s="104"/>
      <c r="H6" s="110"/>
      <c r="K6" s="95">
        <f t="shared" si="0"/>
        <v>21991</v>
      </c>
      <c r="L6" s="95"/>
      <c r="M6" s="95">
        <f t="shared" si="4"/>
        <v>241</v>
      </c>
      <c r="N6" s="95"/>
      <c r="O6" s="95"/>
      <c r="P6" s="95"/>
      <c r="Q6" s="103">
        <v>4929</v>
      </c>
      <c r="R6" s="103"/>
      <c r="S6" s="161">
        <v>94</v>
      </c>
      <c r="T6" s="161"/>
      <c r="U6" s="103"/>
      <c r="V6" s="103"/>
      <c r="W6" s="103">
        <v>17062</v>
      </c>
      <c r="X6" s="103"/>
      <c r="Y6" s="103">
        <v>147</v>
      </c>
      <c r="Z6" s="103"/>
      <c r="AA6" s="103"/>
      <c r="AB6" s="103"/>
      <c r="AC6" s="103">
        <v>31484</v>
      </c>
      <c r="AD6" s="103">
        <v>15056</v>
      </c>
      <c r="AE6" s="9"/>
      <c r="AJ6" s="159"/>
      <c r="AK6" s="9"/>
      <c r="AM6" s="101"/>
      <c r="AN6" s="49"/>
      <c r="AO6" s="9"/>
      <c r="AS6" s="49"/>
      <c r="AT6" s="9"/>
      <c r="AW6" s="49"/>
      <c r="BI6" s="49"/>
      <c r="BJ6" s="80">
        <f t="shared" si="5"/>
        <v>40909</v>
      </c>
      <c r="BT6" s="80">
        <f t="shared" si="1"/>
        <v>40909</v>
      </c>
      <c r="CC6" s="155" t="e">
        <f t="shared" si="2"/>
        <v>#DIV/0!</v>
      </c>
      <c r="CM6" s="1557"/>
      <c r="CN6" s="1557"/>
      <c r="CO6" s="1557"/>
      <c r="CP6" s="1557"/>
    </row>
    <row r="7" spans="1:117" x14ac:dyDescent="0.25">
      <c r="A7" s="80">
        <v>40940</v>
      </c>
      <c r="B7" s="105">
        <v>52260</v>
      </c>
      <c r="C7" s="95">
        <v>1732</v>
      </c>
      <c r="D7" s="104">
        <f t="shared" si="3"/>
        <v>3.314198239571374E-2</v>
      </c>
      <c r="E7" s="95"/>
      <c r="F7" s="104"/>
      <c r="H7" s="110"/>
      <c r="K7" s="95">
        <f t="shared" si="0"/>
        <v>33777</v>
      </c>
      <c r="L7" s="95"/>
      <c r="M7" s="95">
        <f t="shared" si="4"/>
        <v>326</v>
      </c>
      <c r="N7" s="95"/>
      <c r="O7" s="95"/>
      <c r="P7" s="95"/>
      <c r="Q7" s="103">
        <v>5199</v>
      </c>
      <c r="R7" s="103"/>
      <c r="S7" s="161">
        <v>106</v>
      </c>
      <c r="T7" s="161"/>
      <c r="U7" s="103"/>
      <c r="V7" s="103"/>
      <c r="W7" s="103">
        <v>28578</v>
      </c>
      <c r="X7" s="103"/>
      <c r="Y7" s="103">
        <v>220</v>
      </c>
      <c r="Z7" s="103"/>
      <c r="AA7" s="103"/>
      <c r="AB7" s="103"/>
      <c r="AC7" s="103">
        <v>32651</v>
      </c>
      <c r="AD7" s="103">
        <v>20463</v>
      </c>
      <c r="AE7" s="9"/>
      <c r="AJ7" s="159"/>
      <c r="AK7" s="9"/>
      <c r="AM7" s="101"/>
      <c r="AN7" s="49"/>
      <c r="AO7" s="9"/>
      <c r="AS7" s="49"/>
      <c r="AT7" s="9"/>
      <c r="AW7" s="49"/>
      <c r="BI7" s="49"/>
      <c r="BJ7" s="80">
        <f t="shared" si="5"/>
        <v>40940</v>
      </c>
      <c r="BT7" s="80">
        <f t="shared" si="1"/>
        <v>40940</v>
      </c>
      <c r="CC7" s="155" t="e">
        <f t="shared" si="2"/>
        <v>#DIV/0!</v>
      </c>
      <c r="CM7" s="1557"/>
      <c r="CN7" s="1557"/>
      <c r="CO7" s="1557"/>
      <c r="CP7" s="1557"/>
    </row>
    <row r="8" spans="1:117" x14ac:dyDescent="0.25">
      <c r="A8" s="80">
        <v>40969</v>
      </c>
      <c r="B8" s="105">
        <v>66642</v>
      </c>
      <c r="C8" s="95">
        <v>1843</v>
      </c>
      <c r="D8" s="104">
        <f t="shared" si="3"/>
        <v>2.765523243600132E-2</v>
      </c>
      <c r="E8" s="95"/>
      <c r="F8" s="104"/>
      <c r="H8" s="110"/>
      <c r="K8" s="95">
        <f t="shared" si="0"/>
        <v>41233</v>
      </c>
      <c r="L8" s="95"/>
      <c r="M8" s="95">
        <f t="shared" si="4"/>
        <v>341</v>
      </c>
      <c r="N8" s="95"/>
      <c r="O8" s="95"/>
      <c r="P8" s="95"/>
      <c r="Q8" s="103">
        <v>7178</v>
      </c>
      <c r="R8" s="103"/>
      <c r="S8" s="161">
        <v>98</v>
      </c>
      <c r="T8" s="161"/>
      <c r="U8" s="103"/>
      <c r="V8" s="103"/>
      <c r="W8" s="103">
        <v>34055</v>
      </c>
      <c r="X8" s="103"/>
      <c r="Y8" s="103">
        <v>243</v>
      </c>
      <c r="Z8" s="103"/>
      <c r="AA8" s="103"/>
      <c r="AB8" s="103"/>
      <c r="AC8" s="103">
        <v>36444</v>
      </c>
      <c r="AD8" s="103">
        <v>25210</v>
      </c>
      <c r="AE8" s="9"/>
      <c r="AJ8" s="159"/>
      <c r="AK8" s="9"/>
      <c r="AM8" s="101"/>
      <c r="AN8" s="49"/>
      <c r="AO8" s="9"/>
      <c r="AS8" s="49"/>
      <c r="AT8" s="9"/>
      <c r="AW8" s="49"/>
      <c r="BI8" s="49"/>
      <c r="BJ8" s="80">
        <f t="shared" si="5"/>
        <v>40969</v>
      </c>
      <c r="BT8" s="80">
        <f t="shared" si="1"/>
        <v>40969</v>
      </c>
      <c r="CC8" s="155" t="e">
        <f t="shared" si="2"/>
        <v>#DIV/0!</v>
      </c>
      <c r="CM8" s="1557"/>
      <c r="CN8" s="1557"/>
      <c r="CO8" s="1557"/>
      <c r="CP8" s="1557"/>
    </row>
    <row r="9" spans="1:117" x14ac:dyDescent="0.25">
      <c r="A9" s="80">
        <v>41000</v>
      </c>
      <c r="B9" s="105">
        <v>47794</v>
      </c>
      <c r="C9" s="95">
        <v>1450</v>
      </c>
      <c r="D9" s="104">
        <f t="shared" si="3"/>
        <v>3.0338536217935305E-2</v>
      </c>
      <c r="E9" s="95"/>
      <c r="F9" s="104"/>
      <c r="H9" s="110"/>
      <c r="K9" s="95">
        <f t="shared" si="0"/>
        <v>36339</v>
      </c>
      <c r="L9" s="95"/>
      <c r="M9" s="95">
        <f t="shared" si="4"/>
        <v>353</v>
      </c>
      <c r="N9" s="95"/>
      <c r="O9" s="95"/>
      <c r="P9" s="95"/>
      <c r="Q9" s="103">
        <v>6802</v>
      </c>
      <c r="R9" s="103"/>
      <c r="S9" s="161">
        <v>135</v>
      </c>
      <c r="T9" s="161"/>
      <c r="U9" s="103"/>
      <c r="V9" s="103"/>
      <c r="W9" s="103">
        <v>29537</v>
      </c>
      <c r="X9" s="103"/>
      <c r="Y9" s="103">
        <v>218</v>
      </c>
      <c r="Z9" s="103"/>
      <c r="AA9" s="103"/>
      <c r="AB9" s="103"/>
      <c r="AC9" s="103">
        <v>36853</v>
      </c>
      <c r="AD9" s="103">
        <v>27372</v>
      </c>
      <c r="AE9" s="9"/>
      <c r="AJ9" s="159"/>
      <c r="AK9" s="9"/>
      <c r="AM9" s="101"/>
      <c r="AN9" s="49"/>
      <c r="AO9" s="9"/>
      <c r="AS9" s="49"/>
      <c r="AT9" s="9"/>
      <c r="AW9" s="49"/>
      <c r="BI9" s="49"/>
      <c r="BJ9" s="80">
        <f t="shared" si="5"/>
        <v>41000</v>
      </c>
      <c r="BT9" s="80">
        <f t="shared" si="1"/>
        <v>41000</v>
      </c>
      <c r="CC9" s="155" t="e">
        <f t="shared" si="2"/>
        <v>#DIV/0!</v>
      </c>
      <c r="CM9" s="1557"/>
      <c r="CN9" s="1557"/>
      <c r="CO9" s="1557"/>
      <c r="CP9" s="1557"/>
    </row>
    <row r="10" spans="1:117" x14ac:dyDescent="0.25">
      <c r="A10" s="80">
        <v>41030</v>
      </c>
      <c r="B10" s="105">
        <v>61375</v>
      </c>
      <c r="C10" s="95">
        <v>1777</v>
      </c>
      <c r="D10" s="104">
        <f t="shared" si="3"/>
        <v>2.8953156822810591E-2</v>
      </c>
      <c r="E10" s="95"/>
      <c r="F10" s="104"/>
      <c r="H10" s="110"/>
      <c r="K10" s="95">
        <f t="shared" si="0"/>
        <v>34359</v>
      </c>
      <c r="L10" s="95"/>
      <c r="M10" s="95">
        <f t="shared" si="4"/>
        <v>365</v>
      </c>
      <c r="N10" s="95"/>
      <c r="O10" s="95"/>
      <c r="P10" s="95"/>
      <c r="Q10" s="103">
        <v>6297</v>
      </c>
      <c r="R10" s="103"/>
      <c r="S10" s="161">
        <v>125</v>
      </c>
      <c r="T10" s="161"/>
      <c r="U10" s="103"/>
      <c r="V10" s="103"/>
      <c r="W10" s="103">
        <v>28062</v>
      </c>
      <c r="X10" s="103"/>
      <c r="Y10" s="103">
        <v>240</v>
      </c>
      <c r="Z10" s="103"/>
      <c r="AA10" s="103"/>
      <c r="AB10" s="103"/>
      <c r="AC10" s="103">
        <v>33983</v>
      </c>
      <c r="AD10" s="103">
        <v>26029</v>
      </c>
      <c r="AE10" s="9"/>
      <c r="AJ10" s="159"/>
      <c r="AK10" s="9"/>
      <c r="AM10" s="101"/>
      <c r="AN10" s="49"/>
      <c r="AO10" s="9"/>
      <c r="AS10" s="49"/>
      <c r="AT10" s="9"/>
      <c r="AW10" s="49"/>
      <c r="BI10" s="49"/>
      <c r="BJ10" s="80">
        <f t="shared" si="5"/>
        <v>41030</v>
      </c>
      <c r="BT10" s="80">
        <f t="shared" si="1"/>
        <v>41030</v>
      </c>
      <c r="CC10" s="155" t="e">
        <f t="shared" si="2"/>
        <v>#DIV/0!</v>
      </c>
      <c r="CM10" s="1557"/>
      <c r="CN10" s="1557"/>
      <c r="CO10" s="1557"/>
      <c r="CP10" s="1557"/>
    </row>
    <row r="11" spans="1:117" x14ac:dyDescent="0.25">
      <c r="A11" s="80">
        <v>41061</v>
      </c>
      <c r="B11" s="105">
        <v>48214</v>
      </c>
      <c r="C11" s="95">
        <v>1745</v>
      </c>
      <c r="D11" s="104">
        <f t="shared" si="3"/>
        <v>3.6192807068486335E-2</v>
      </c>
      <c r="E11" s="95"/>
      <c r="F11" s="104"/>
      <c r="H11" s="110"/>
      <c r="K11" s="95">
        <f t="shared" si="0"/>
        <v>34609</v>
      </c>
      <c r="L11" s="95"/>
      <c r="M11" s="95">
        <f t="shared" si="4"/>
        <v>356</v>
      </c>
      <c r="N11" s="95"/>
      <c r="O11" s="95"/>
      <c r="P11" s="95"/>
      <c r="Q11" s="103">
        <v>7326</v>
      </c>
      <c r="R11" s="103"/>
      <c r="S11" s="161">
        <v>114</v>
      </c>
      <c r="T11" s="161"/>
      <c r="U11" s="103"/>
      <c r="V11" s="103"/>
      <c r="W11" s="103">
        <v>27283</v>
      </c>
      <c r="X11" s="103"/>
      <c r="Y11" s="103">
        <v>242</v>
      </c>
      <c r="Z11" s="103"/>
      <c r="AA11" s="103"/>
      <c r="AB11" s="103"/>
      <c r="AC11" s="103">
        <v>29250</v>
      </c>
      <c r="AD11" s="103">
        <v>20235</v>
      </c>
      <c r="AE11" s="9"/>
      <c r="AJ11" s="159"/>
      <c r="AK11" s="9"/>
      <c r="AM11" s="101"/>
      <c r="AN11" s="49"/>
      <c r="AO11" s="9"/>
      <c r="AS11" s="49"/>
      <c r="AT11" s="9"/>
      <c r="AW11" s="49"/>
      <c r="BI11" s="49"/>
      <c r="BJ11" s="80">
        <f t="shared" si="5"/>
        <v>41061</v>
      </c>
      <c r="BT11" s="80">
        <f t="shared" si="1"/>
        <v>41061</v>
      </c>
      <c r="CC11" s="155" t="e">
        <f t="shared" si="2"/>
        <v>#DIV/0!</v>
      </c>
      <c r="CM11" s="1557"/>
      <c r="CN11" s="1557"/>
      <c r="CO11" s="1557"/>
      <c r="CP11" s="1557"/>
    </row>
    <row r="12" spans="1:117" x14ac:dyDescent="0.25">
      <c r="A12" s="80">
        <v>41091</v>
      </c>
      <c r="B12" s="105">
        <v>51384</v>
      </c>
      <c r="C12" s="95">
        <v>1494</v>
      </c>
      <c r="D12" s="104">
        <f t="shared" si="3"/>
        <v>2.9075198505371321E-2</v>
      </c>
      <c r="E12" s="95"/>
      <c r="F12" s="104"/>
      <c r="H12" s="110"/>
      <c r="K12" s="95">
        <f t="shared" si="0"/>
        <v>31616</v>
      </c>
      <c r="L12" s="95"/>
      <c r="M12" s="95">
        <f t="shared" si="4"/>
        <v>391</v>
      </c>
      <c r="N12" s="95"/>
      <c r="O12" s="95"/>
      <c r="P12" s="95"/>
      <c r="Q12" s="103">
        <v>9335</v>
      </c>
      <c r="R12" s="103"/>
      <c r="S12" s="161">
        <v>156</v>
      </c>
      <c r="T12" s="161"/>
      <c r="U12" s="103"/>
      <c r="V12" s="103"/>
      <c r="W12" s="103">
        <v>22281</v>
      </c>
      <c r="X12" s="103"/>
      <c r="Y12" s="103">
        <v>235</v>
      </c>
      <c r="Z12" s="103"/>
      <c r="AA12" s="103"/>
      <c r="AB12" s="103"/>
      <c r="AC12" s="103">
        <v>36694</v>
      </c>
      <c r="AD12" s="103">
        <v>26773</v>
      </c>
      <c r="AE12" s="9"/>
      <c r="AJ12" s="159"/>
      <c r="AK12" s="9"/>
      <c r="AM12" s="101"/>
      <c r="AN12" s="49"/>
      <c r="AO12" s="9"/>
      <c r="AS12" s="49"/>
      <c r="AT12" s="9"/>
      <c r="AW12" s="49"/>
      <c r="BI12" s="49"/>
      <c r="BJ12" s="80">
        <f t="shared" si="5"/>
        <v>41091</v>
      </c>
      <c r="BT12" s="80">
        <f t="shared" si="1"/>
        <v>41091</v>
      </c>
      <c r="CC12" s="155" t="e">
        <f t="shared" si="2"/>
        <v>#DIV/0!</v>
      </c>
      <c r="CM12" s="1557"/>
      <c r="CN12" s="1557"/>
      <c r="CO12" s="1557"/>
      <c r="CP12" s="1557"/>
    </row>
    <row r="13" spans="1:117" x14ac:dyDescent="0.25">
      <c r="A13" s="80">
        <v>41122</v>
      </c>
      <c r="B13" s="105">
        <v>49348</v>
      </c>
      <c r="C13" s="95">
        <v>1625</v>
      </c>
      <c r="D13" s="104">
        <f t="shared" si="3"/>
        <v>3.2929399367755532E-2</v>
      </c>
      <c r="E13" s="95"/>
      <c r="F13" s="104"/>
      <c r="H13" s="110"/>
      <c r="K13" s="95">
        <f t="shared" si="0"/>
        <v>25948</v>
      </c>
      <c r="L13" s="95"/>
      <c r="M13" s="95">
        <f t="shared" si="4"/>
        <v>358</v>
      </c>
      <c r="N13" s="95"/>
      <c r="O13" s="95"/>
      <c r="P13" s="95"/>
      <c r="Q13" s="103">
        <v>7473</v>
      </c>
      <c r="R13" s="103"/>
      <c r="S13" s="161">
        <v>121</v>
      </c>
      <c r="T13" s="161"/>
      <c r="U13" s="103"/>
      <c r="V13" s="103"/>
      <c r="W13" s="103">
        <v>18475</v>
      </c>
      <c r="X13" s="103"/>
      <c r="Y13" s="103">
        <v>237</v>
      </c>
      <c r="Z13" s="103"/>
      <c r="AA13" s="103"/>
      <c r="AB13" s="103"/>
      <c r="AC13" s="103">
        <v>28996</v>
      </c>
      <c r="AD13" s="103">
        <v>18016</v>
      </c>
      <c r="AE13" s="9"/>
      <c r="AJ13" s="159"/>
      <c r="AK13" s="9"/>
      <c r="AM13" s="101"/>
      <c r="AN13" s="49"/>
      <c r="AO13" s="9"/>
      <c r="AS13" s="49"/>
      <c r="AT13" s="9"/>
      <c r="AW13" s="49"/>
      <c r="BI13" s="49"/>
      <c r="BJ13" s="80">
        <f t="shared" si="5"/>
        <v>41122</v>
      </c>
      <c r="BT13" s="80">
        <f t="shared" si="1"/>
        <v>41122</v>
      </c>
      <c r="CC13" s="155" t="e">
        <f t="shared" si="2"/>
        <v>#DIV/0!</v>
      </c>
      <c r="CM13" s="1557"/>
      <c r="CN13" s="1557"/>
      <c r="CO13" s="1557"/>
      <c r="CP13" s="1557"/>
    </row>
    <row r="14" spans="1:117" x14ac:dyDescent="0.25">
      <c r="A14" s="80">
        <v>41153</v>
      </c>
      <c r="B14" s="105">
        <v>42668</v>
      </c>
      <c r="C14" s="95">
        <v>1308</v>
      </c>
      <c r="D14" s="104">
        <f t="shared" si="3"/>
        <v>3.065529202212431E-2</v>
      </c>
      <c r="E14" s="95"/>
      <c r="F14" s="104"/>
      <c r="H14" s="110"/>
      <c r="K14" s="95">
        <f t="shared" si="0"/>
        <v>25083</v>
      </c>
      <c r="L14" s="95"/>
      <c r="M14" s="95">
        <f t="shared" si="4"/>
        <v>316</v>
      </c>
      <c r="N14" s="95"/>
      <c r="O14" s="95"/>
      <c r="P14" s="95"/>
      <c r="Q14" s="103">
        <v>8059</v>
      </c>
      <c r="R14" s="103"/>
      <c r="S14" s="161">
        <v>125</v>
      </c>
      <c r="T14" s="161"/>
      <c r="U14" s="103"/>
      <c r="V14" s="103"/>
      <c r="W14" s="103">
        <v>17024</v>
      </c>
      <c r="X14" s="103"/>
      <c r="Y14" s="103">
        <v>191</v>
      </c>
      <c r="Z14" s="103"/>
      <c r="AA14" s="103"/>
      <c r="AB14" s="103"/>
      <c r="AC14" s="103">
        <v>32303</v>
      </c>
      <c r="AD14" s="103">
        <v>17719</v>
      </c>
      <c r="AE14" s="9"/>
      <c r="AJ14" s="159"/>
      <c r="AK14" s="9"/>
      <c r="AM14" s="101"/>
      <c r="AN14" s="49"/>
      <c r="AO14" s="9"/>
      <c r="AS14" s="49"/>
      <c r="AT14" s="9"/>
      <c r="AW14" s="49"/>
      <c r="BI14" s="49"/>
      <c r="BJ14" s="80">
        <f t="shared" si="5"/>
        <v>41153</v>
      </c>
      <c r="BT14" s="80">
        <f t="shared" si="1"/>
        <v>41153</v>
      </c>
      <c r="CC14" s="155" t="e">
        <f t="shared" si="2"/>
        <v>#DIV/0!</v>
      </c>
      <c r="CM14" s="1557"/>
      <c r="CN14" s="1557"/>
      <c r="CO14" s="1557"/>
      <c r="CP14" s="1557"/>
    </row>
    <row r="15" spans="1:117" x14ac:dyDescent="0.25">
      <c r="A15" s="80">
        <v>41183</v>
      </c>
      <c r="B15" s="105">
        <v>43789</v>
      </c>
      <c r="C15" s="95">
        <v>1305</v>
      </c>
      <c r="D15" s="104">
        <f t="shared" si="3"/>
        <v>2.980200506976638E-2</v>
      </c>
      <c r="E15" s="95"/>
      <c r="F15" s="104"/>
      <c r="H15" s="110"/>
      <c r="K15" s="95">
        <f>SUM(Q15,W15)</f>
        <v>26991</v>
      </c>
      <c r="L15" s="95">
        <f>AVERAGE(K4:K15)</f>
        <v>30285.333333333332</v>
      </c>
      <c r="M15" s="95">
        <f t="shared" si="4"/>
        <v>337</v>
      </c>
      <c r="N15" s="95">
        <f>AVERAGE(M4:M15)</f>
        <v>327.83333333333331</v>
      </c>
      <c r="O15" s="95"/>
      <c r="P15" s="95" t="e">
        <f>AVERAGE(O4:O15)</f>
        <v>#DIV/0!</v>
      </c>
      <c r="Q15" s="103">
        <v>7137</v>
      </c>
      <c r="R15" s="95">
        <f t="shared" ref="R15:R78" si="6">AVERAGE(Q4:Q15)</f>
        <v>7301.416666666667</v>
      </c>
      <c r="S15" s="161">
        <v>142</v>
      </c>
      <c r="T15" s="179">
        <f>AVERAGE(S4:S15)</f>
        <v>121.08333333333333</v>
      </c>
      <c r="U15" s="103"/>
      <c r="V15" s="179" t="e">
        <f>AVERAGE(U4:U15)</f>
        <v>#DIV/0!</v>
      </c>
      <c r="W15" s="103">
        <v>19854</v>
      </c>
      <c r="X15" s="95">
        <f t="shared" ref="X15:X78" si="7">AVERAGE(W4:W15)</f>
        <v>22983.916666666668</v>
      </c>
      <c r="Y15" s="103">
        <v>195</v>
      </c>
      <c r="Z15" s="179">
        <f>AVERAGE(Y4:Y15)</f>
        <v>206.75</v>
      </c>
      <c r="AA15" s="103"/>
      <c r="AB15" s="179" t="e">
        <f>AVERAGE(AA4:AA15)</f>
        <v>#DIV/0!</v>
      </c>
      <c r="AC15" s="103">
        <v>30241</v>
      </c>
      <c r="AD15" s="103">
        <v>30657</v>
      </c>
      <c r="AE15" s="9">
        <v>70</v>
      </c>
      <c r="AF15">
        <v>56</v>
      </c>
      <c r="AG15">
        <v>14</v>
      </c>
      <c r="AH15">
        <v>0</v>
      </c>
      <c r="AJ15" s="159"/>
      <c r="AK15" s="9"/>
      <c r="AM15" s="101"/>
      <c r="AN15" s="49"/>
      <c r="AO15" s="9"/>
      <c r="AS15" s="49"/>
      <c r="AT15" s="9"/>
      <c r="AW15" s="49"/>
      <c r="BI15" s="49"/>
      <c r="BJ15" s="80">
        <f t="shared" si="5"/>
        <v>41183</v>
      </c>
      <c r="BK15" s="95">
        <f>AVERAGE(AC4:AC15)</f>
        <v>32241.75</v>
      </c>
      <c r="BL15" s="95">
        <f>AVERAGE(AD4:AD15)</f>
        <v>22244.25</v>
      </c>
      <c r="BM15" s="95">
        <f>AVERAGE(B4:B15)</f>
        <v>49721.833333333336</v>
      </c>
      <c r="BT15" s="80">
        <f t="shared" si="1"/>
        <v>41183</v>
      </c>
      <c r="CA15" s="102">
        <f>AVERAGE(D4:D15)</f>
        <v>3.0248435737416507E-2</v>
      </c>
      <c r="CB15" s="102" t="e">
        <f>AVERAGE(H4:H15)</f>
        <v>#DIV/0!</v>
      </c>
      <c r="CC15" s="155" t="e">
        <f t="shared" si="2"/>
        <v>#DIV/0!</v>
      </c>
      <c r="CM15" s="1557"/>
      <c r="CN15" s="1557"/>
      <c r="CO15" s="1557"/>
      <c r="CP15" s="1557"/>
    </row>
    <row r="16" spans="1:117" x14ac:dyDescent="0.25">
      <c r="A16" s="80">
        <v>41214</v>
      </c>
      <c r="B16" s="105">
        <v>49971</v>
      </c>
      <c r="C16" s="95">
        <v>1281</v>
      </c>
      <c r="D16" s="104">
        <f t="shared" si="3"/>
        <v>2.5634868223569671E-2</v>
      </c>
      <c r="E16" s="95"/>
      <c r="F16" s="104"/>
      <c r="H16" s="110"/>
      <c r="K16" s="95">
        <f t="shared" ref="K16:K79" si="8">SUM(Q16,W16)</f>
        <v>23531</v>
      </c>
      <c r="L16" s="95">
        <f t="shared" ref="L16:L79" si="9">AVERAGE(K5:K16)</f>
        <v>29902.25</v>
      </c>
      <c r="M16" s="95">
        <f t="shared" si="4"/>
        <v>319</v>
      </c>
      <c r="N16" s="95">
        <f t="shared" ref="N16:N79" si="10">AVERAGE(M5:M16)</f>
        <v>328.75</v>
      </c>
      <c r="O16" s="95"/>
      <c r="P16" s="95" t="e">
        <f t="shared" ref="P16:P79" si="11">AVERAGE(O5:O16)</f>
        <v>#DIV/0!</v>
      </c>
      <c r="Q16" s="103">
        <v>6454</v>
      </c>
      <c r="R16" s="95">
        <f t="shared" si="6"/>
        <v>6899.833333333333</v>
      </c>
      <c r="S16" s="161">
        <v>144</v>
      </c>
      <c r="T16" s="179">
        <f t="shared" ref="T16:T79" si="12">AVERAGE(S5:S16)</f>
        <v>121.25</v>
      </c>
      <c r="U16" s="103"/>
      <c r="V16" s="179" t="e">
        <f t="shared" ref="V16:V79" si="13">AVERAGE(U5:U16)</f>
        <v>#DIV/0!</v>
      </c>
      <c r="W16" s="103">
        <v>17077</v>
      </c>
      <c r="X16" s="95">
        <f t="shared" si="7"/>
        <v>23002.416666666668</v>
      </c>
      <c r="Y16" s="103">
        <v>175</v>
      </c>
      <c r="Z16" s="179">
        <f t="shared" ref="Z16:Z79" si="14">AVERAGE(Y5:Y16)</f>
        <v>207.5</v>
      </c>
      <c r="AA16" s="103"/>
      <c r="AB16" s="179" t="e">
        <f t="shared" ref="AB16:AB79" si="15">AVERAGE(AA5:AA16)</f>
        <v>#DIV/0!</v>
      </c>
      <c r="AC16" s="103">
        <v>32527</v>
      </c>
      <c r="AD16" s="103">
        <v>23828</v>
      </c>
      <c r="AE16" s="9">
        <v>70</v>
      </c>
      <c r="AF16">
        <v>56</v>
      </c>
      <c r="AJ16" s="159"/>
      <c r="AK16" s="9"/>
      <c r="AM16" s="101"/>
      <c r="AN16" s="49"/>
      <c r="AO16" s="9"/>
      <c r="AS16" s="49"/>
      <c r="AT16" s="9"/>
      <c r="AW16" s="49"/>
      <c r="BI16" s="49"/>
      <c r="BJ16" s="80">
        <f t="shared" si="5"/>
        <v>41214</v>
      </c>
      <c r="BK16" s="95">
        <f t="shared" ref="BK16:BL79" si="16">AVERAGE(AC5:AC16)</f>
        <v>32157.75</v>
      </c>
      <c r="BL16" s="95">
        <f t="shared" si="16"/>
        <v>22269.083333333332</v>
      </c>
      <c r="BM16" s="95">
        <f t="shared" ref="BM16:BM79" si="17">AVERAGE(B5:B16)</f>
        <v>49203.083333333336</v>
      </c>
      <c r="BT16" s="80">
        <f t="shared" si="1"/>
        <v>41214</v>
      </c>
      <c r="CA16" s="102">
        <f t="shared" ref="CA16:CA79" si="18">AVERAGE(D5:D16)</f>
        <v>3.0510282747126156E-2</v>
      </c>
      <c r="CB16" s="102" t="e">
        <f t="shared" ref="CB16:CB79" si="19">AVERAGE(H5:H16)</f>
        <v>#DIV/0!</v>
      </c>
      <c r="CC16" s="155" t="e">
        <f t="shared" si="2"/>
        <v>#DIV/0!</v>
      </c>
      <c r="CM16" s="1557"/>
      <c r="CN16" s="1557"/>
      <c r="CO16" s="1557"/>
      <c r="CP16" s="1557"/>
    </row>
    <row r="17" spans="1:94" x14ac:dyDescent="0.25">
      <c r="A17" s="80">
        <v>41244</v>
      </c>
      <c r="B17" s="105">
        <v>32695</v>
      </c>
      <c r="C17" s="95">
        <v>696</v>
      </c>
      <c r="D17" s="104">
        <f t="shared" si="3"/>
        <v>2.128765866340419E-2</v>
      </c>
      <c r="E17" s="95"/>
      <c r="F17" s="104"/>
      <c r="H17" s="110"/>
      <c r="K17" s="95">
        <f t="shared" si="8"/>
        <v>18951</v>
      </c>
      <c r="L17" s="95">
        <f t="shared" si="9"/>
        <v>29535.666666666668</v>
      </c>
      <c r="M17" s="95">
        <f t="shared" si="4"/>
        <v>225</v>
      </c>
      <c r="N17" s="95">
        <f t="shared" si="10"/>
        <v>327.33333333333331</v>
      </c>
      <c r="O17" s="95"/>
      <c r="P17" s="95" t="e">
        <f t="shared" si="11"/>
        <v>#DIV/0!</v>
      </c>
      <c r="Q17" s="103">
        <v>5070</v>
      </c>
      <c r="R17" s="95">
        <f t="shared" si="6"/>
        <v>6771.583333333333</v>
      </c>
      <c r="S17" s="161">
        <v>95</v>
      </c>
      <c r="T17" s="179">
        <f t="shared" si="12"/>
        <v>121.25</v>
      </c>
      <c r="U17" s="103"/>
      <c r="V17" s="179" t="e">
        <f t="shared" si="13"/>
        <v>#DIV/0!</v>
      </c>
      <c r="W17" s="103">
        <v>13881</v>
      </c>
      <c r="X17" s="95">
        <f t="shared" si="7"/>
        <v>22764.083333333332</v>
      </c>
      <c r="Y17" s="103">
        <v>130</v>
      </c>
      <c r="Z17" s="179">
        <f t="shared" si="14"/>
        <v>206.08333333333334</v>
      </c>
      <c r="AA17" s="103"/>
      <c r="AB17" s="179" t="e">
        <f t="shared" si="15"/>
        <v>#DIV/0!</v>
      </c>
      <c r="AC17" s="103">
        <v>22586</v>
      </c>
      <c r="AD17" s="103">
        <v>21264</v>
      </c>
      <c r="AE17" s="9">
        <v>70</v>
      </c>
      <c r="AF17">
        <v>56</v>
      </c>
      <c r="AJ17" s="159"/>
      <c r="AK17" s="9"/>
      <c r="AM17" s="101"/>
      <c r="AN17" s="49"/>
      <c r="AO17" s="9"/>
      <c r="AS17" s="49"/>
      <c r="AT17" s="9"/>
      <c r="AW17" s="49"/>
      <c r="BI17" s="49"/>
      <c r="BJ17" s="80">
        <f t="shared" si="5"/>
        <v>41244</v>
      </c>
      <c r="BK17" s="95">
        <f t="shared" si="16"/>
        <v>32001</v>
      </c>
      <c r="BL17" s="95">
        <f t="shared" si="16"/>
        <v>22718.5</v>
      </c>
      <c r="BM17" s="95">
        <f t="shared" si="17"/>
        <v>48568.5</v>
      </c>
      <c r="BT17" s="80">
        <f t="shared" si="1"/>
        <v>41244</v>
      </c>
      <c r="CA17" s="102">
        <f t="shared" si="18"/>
        <v>2.9755932132559518E-2</v>
      </c>
      <c r="CB17" s="102" t="e">
        <f t="shared" si="19"/>
        <v>#DIV/0!</v>
      </c>
      <c r="CC17" s="155" t="e">
        <f t="shared" si="2"/>
        <v>#DIV/0!</v>
      </c>
      <c r="CM17" s="1557"/>
      <c r="CN17" s="1557"/>
      <c r="CO17" s="1557"/>
      <c r="CP17" s="1557"/>
    </row>
    <row r="18" spans="1:94" x14ac:dyDescent="0.25">
      <c r="A18" s="80">
        <v>41275</v>
      </c>
      <c r="B18" s="105">
        <v>32589</v>
      </c>
      <c r="C18" s="95">
        <v>864</v>
      </c>
      <c r="D18" s="104">
        <f t="shared" si="3"/>
        <v>2.6512013256006627E-2</v>
      </c>
      <c r="E18" s="95"/>
      <c r="F18" s="104"/>
      <c r="H18" s="110"/>
      <c r="K18" s="95">
        <f t="shared" si="8"/>
        <v>20549</v>
      </c>
      <c r="L18" s="95">
        <f t="shared" si="9"/>
        <v>29415.5</v>
      </c>
      <c r="M18" s="95">
        <f t="shared" si="4"/>
        <v>211</v>
      </c>
      <c r="N18" s="95">
        <f t="shared" si="10"/>
        <v>324.83333333333331</v>
      </c>
      <c r="O18" s="95"/>
      <c r="P18" s="95" t="e">
        <f t="shared" si="11"/>
        <v>#DIV/0!</v>
      </c>
      <c r="Q18" s="103">
        <v>3659</v>
      </c>
      <c r="R18" s="95">
        <f t="shared" si="6"/>
        <v>6665.75</v>
      </c>
      <c r="S18" s="161">
        <v>75</v>
      </c>
      <c r="T18" s="179">
        <f t="shared" si="12"/>
        <v>119.66666666666667</v>
      </c>
      <c r="U18" s="103"/>
      <c r="V18" s="179" t="e">
        <f t="shared" si="13"/>
        <v>#DIV/0!</v>
      </c>
      <c r="W18" s="103">
        <v>16890</v>
      </c>
      <c r="X18" s="95">
        <f t="shared" si="7"/>
        <v>22749.75</v>
      </c>
      <c r="Y18" s="103">
        <v>136</v>
      </c>
      <c r="Z18" s="179">
        <f t="shared" si="14"/>
        <v>205.16666666666666</v>
      </c>
      <c r="AA18" s="103"/>
      <c r="AB18" s="179" t="e">
        <f t="shared" si="15"/>
        <v>#DIV/0!</v>
      </c>
      <c r="AC18" s="103">
        <v>17710</v>
      </c>
      <c r="AD18" s="103">
        <v>15316</v>
      </c>
      <c r="AE18" s="9">
        <v>70</v>
      </c>
      <c r="AF18">
        <v>56</v>
      </c>
      <c r="AJ18" s="159"/>
      <c r="AK18" s="9"/>
      <c r="AM18" s="101"/>
      <c r="AN18" s="49"/>
      <c r="AO18" s="9"/>
      <c r="AS18" s="49"/>
      <c r="AT18" s="9"/>
      <c r="AW18" s="49"/>
      <c r="BI18" s="49"/>
      <c r="BJ18" s="80">
        <f t="shared" si="5"/>
        <v>41275</v>
      </c>
      <c r="BK18" s="95">
        <f t="shared" si="16"/>
        <v>30853.166666666668</v>
      </c>
      <c r="BL18" s="95">
        <f t="shared" si="16"/>
        <v>22740.166666666668</v>
      </c>
      <c r="BM18" s="95">
        <f t="shared" si="17"/>
        <v>48227.416666666664</v>
      </c>
      <c r="BT18" s="80">
        <f t="shared" si="1"/>
        <v>41275</v>
      </c>
      <c r="CA18" s="102">
        <f t="shared" si="18"/>
        <v>2.9348179170745444E-2</v>
      </c>
      <c r="CB18" s="102" t="e">
        <f t="shared" si="19"/>
        <v>#DIV/0!</v>
      </c>
      <c r="CC18" s="155" t="e">
        <f t="shared" si="2"/>
        <v>#DIV/0!</v>
      </c>
      <c r="CM18" s="1557"/>
      <c r="CN18" s="1557"/>
      <c r="CO18" s="1557"/>
      <c r="CP18" s="1557"/>
    </row>
    <row r="19" spans="1:94" x14ac:dyDescent="0.25">
      <c r="A19" s="80">
        <v>41306</v>
      </c>
      <c r="B19" s="105">
        <v>47417</v>
      </c>
      <c r="C19" s="95">
        <v>1474</v>
      </c>
      <c r="D19" s="104">
        <f t="shared" si="3"/>
        <v>3.1085897462935233E-2</v>
      </c>
      <c r="E19" s="95"/>
      <c r="F19" s="104"/>
      <c r="H19" s="110"/>
      <c r="K19" s="95">
        <f t="shared" si="8"/>
        <v>25691</v>
      </c>
      <c r="L19" s="95">
        <f t="shared" si="9"/>
        <v>28741.666666666668</v>
      </c>
      <c r="M19" s="95">
        <f t="shared" si="4"/>
        <v>307</v>
      </c>
      <c r="N19" s="95">
        <f t="shared" si="10"/>
        <v>323.25</v>
      </c>
      <c r="O19" s="95"/>
      <c r="P19" s="95" t="e">
        <f t="shared" si="11"/>
        <v>#DIV/0!</v>
      </c>
      <c r="Q19" s="103">
        <v>5707</v>
      </c>
      <c r="R19" s="95">
        <f t="shared" si="6"/>
        <v>6708.083333333333</v>
      </c>
      <c r="S19" s="161">
        <v>114</v>
      </c>
      <c r="T19" s="179">
        <f t="shared" si="12"/>
        <v>120.33333333333333</v>
      </c>
      <c r="U19" s="103"/>
      <c r="V19" s="179" t="e">
        <f t="shared" si="13"/>
        <v>#DIV/0!</v>
      </c>
      <c r="W19" s="103">
        <v>19984</v>
      </c>
      <c r="X19" s="95">
        <f t="shared" si="7"/>
        <v>22033.583333333332</v>
      </c>
      <c r="Y19" s="103">
        <v>193</v>
      </c>
      <c r="Z19" s="179">
        <f t="shared" si="14"/>
        <v>202.91666666666666</v>
      </c>
      <c r="AA19" s="103"/>
      <c r="AB19" s="179" t="e">
        <f t="shared" si="15"/>
        <v>#DIV/0!</v>
      </c>
      <c r="AC19" s="103">
        <v>29768</v>
      </c>
      <c r="AD19" s="103">
        <v>20129</v>
      </c>
      <c r="AE19" s="9">
        <v>70</v>
      </c>
      <c r="AF19">
        <v>56</v>
      </c>
      <c r="AJ19" s="159"/>
      <c r="AK19" s="9"/>
      <c r="AM19" s="101"/>
      <c r="AN19" s="49"/>
      <c r="AO19" s="9"/>
      <c r="AS19" s="49"/>
      <c r="AT19" s="9"/>
      <c r="AW19" s="49"/>
      <c r="BI19" s="49"/>
      <c r="BJ19" s="80">
        <f t="shared" si="5"/>
        <v>41306</v>
      </c>
      <c r="BK19" s="95">
        <f t="shared" si="16"/>
        <v>30612.916666666668</v>
      </c>
      <c r="BL19" s="95">
        <f t="shared" si="16"/>
        <v>22712.333333333332</v>
      </c>
      <c r="BM19" s="95">
        <f t="shared" si="17"/>
        <v>47823.833333333336</v>
      </c>
      <c r="BT19" s="80">
        <f t="shared" si="1"/>
        <v>41306</v>
      </c>
      <c r="CA19" s="102">
        <f t="shared" si="18"/>
        <v>2.9176838759680569E-2</v>
      </c>
      <c r="CB19" s="102" t="e">
        <f t="shared" si="19"/>
        <v>#DIV/0!</v>
      </c>
      <c r="CC19" s="155" t="e">
        <f t="shared" si="2"/>
        <v>#DIV/0!</v>
      </c>
      <c r="CM19" s="1557"/>
      <c r="CN19" s="1557"/>
      <c r="CO19" s="1557"/>
      <c r="CP19" s="1557"/>
    </row>
    <row r="20" spans="1:94" x14ac:dyDescent="0.25">
      <c r="A20" s="80">
        <v>41334</v>
      </c>
      <c r="B20" s="105">
        <v>50343</v>
      </c>
      <c r="C20" s="95">
        <v>1409</v>
      </c>
      <c r="D20" s="104">
        <f t="shared" si="3"/>
        <v>2.7988002304193235E-2</v>
      </c>
      <c r="E20" s="95"/>
      <c r="F20" s="104"/>
      <c r="H20" s="110"/>
      <c r="K20" s="95">
        <f t="shared" si="8"/>
        <v>29280</v>
      </c>
      <c r="L20" s="95">
        <f t="shared" si="9"/>
        <v>27745.583333333332</v>
      </c>
      <c r="M20" s="95">
        <f t="shared" si="4"/>
        <v>287</v>
      </c>
      <c r="N20" s="95">
        <f t="shared" si="10"/>
        <v>318.75</v>
      </c>
      <c r="O20" s="95"/>
      <c r="P20" s="95" t="e">
        <f t="shared" si="11"/>
        <v>#DIV/0!</v>
      </c>
      <c r="Q20" s="103">
        <v>5219</v>
      </c>
      <c r="R20" s="95">
        <f t="shared" si="6"/>
        <v>6544.833333333333</v>
      </c>
      <c r="S20" s="161">
        <v>103</v>
      </c>
      <c r="T20" s="179">
        <f t="shared" si="12"/>
        <v>120.75</v>
      </c>
      <c r="U20" s="103"/>
      <c r="V20" s="179" t="e">
        <f t="shared" si="13"/>
        <v>#DIV/0!</v>
      </c>
      <c r="W20" s="103">
        <v>24061</v>
      </c>
      <c r="X20" s="95">
        <f t="shared" si="7"/>
        <v>21200.75</v>
      </c>
      <c r="Y20" s="103">
        <v>184</v>
      </c>
      <c r="Z20" s="179">
        <f t="shared" si="14"/>
        <v>198</v>
      </c>
      <c r="AA20" s="103"/>
      <c r="AB20" s="179" t="e">
        <f t="shared" si="15"/>
        <v>#DIV/0!</v>
      </c>
      <c r="AC20" s="103">
        <v>35856</v>
      </c>
      <c r="AD20" s="103">
        <v>21009</v>
      </c>
      <c r="AE20" s="9">
        <v>70</v>
      </c>
      <c r="AF20">
        <v>56</v>
      </c>
      <c r="AJ20" s="159"/>
      <c r="AK20" s="9"/>
      <c r="AM20" s="101"/>
      <c r="AN20" s="49"/>
      <c r="AO20" s="9"/>
      <c r="AS20" s="49"/>
      <c r="AT20" s="9"/>
      <c r="AW20" s="49"/>
      <c r="BI20" s="49"/>
      <c r="BJ20" s="80">
        <f t="shared" si="5"/>
        <v>41334</v>
      </c>
      <c r="BK20" s="95">
        <f t="shared" si="16"/>
        <v>30563.916666666668</v>
      </c>
      <c r="BL20" s="95">
        <f t="shared" si="16"/>
        <v>22362.25</v>
      </c>
      <c r="BM20" s="95">
        <f t="shared" si="17"/>
        <v>46465.583333333336</v>
      </c>
      <c r="BT20" s="80">
        <f t="shared" si="1"/>
        <v>41334</v>
      </c>
      <c r="CA20" s="102">
        <f t="shared" si="18"/>
        <v>2.9204569582029893E-2</v>
      </c>
      <c r="CB20" s="102" t="e">
        <f t="shared" si="19"/>
        <v>#DIV/0!</v>
      </c>
      <c r="CC20" s="155" t="e">
        <f t="shared" si="2"/>
        <v>#DIV/0!</v>
      </c>
      <c r="CM20" s="1557"/>
      <c r="CN20" s="1557"/>
      <c r="CO20" s="1557"/>
      <c r="CP20" s="1557"/>
    </row>
    <row r="21" spans="1:94" x14ac:dyDescent="0.25">
      <c r="A21" s="80">
        <v>41365</v>
      </c>
      <c r="B21" s="105">
        <v>59996</v>
      </c>
      <c r="C21" s="95">
        <v>1654</v>
      </c>
      <c r="D21" s="104">
        <f t="shared" si="3"/>
        <v>2.756850456697113E-2</v>
      </c>
      <c r="E21" s="95"/>
      <c r="F21" s="104"/>
      <c r="H21" s="110"/>
      <c r="K21" s="95">
        <f t="shared" si="8"/>
        <v>31196</v>
      </c>
      <c r="L21" s="95">
        <f t="shared" si="9"/>
        <v>27317</v>
      </c>
      <c r="M21" s="95">
        <f t="shared" si="4"/>
        <v>320</v>
      </c>
      <c r="N21" s="95">
        <f t="shared" si="10"/>
        <v>316</v>
      </c>
      <c r="O21" s="95"/>
      <c r="P21" s="95" t="e">
        <f t="shared" si="11"/>
        <v>#DIV/0!</v>
      </c>
      <c r="Q21" s="103">
        <v>5946</v>
      </c>
      <c r="R21" s="95">
        <f t="shared" si="6"/>
        <v>6473.5</v>
      </c>
      <c r="S21" s="161">
        <v>116</v>
      </c>
      <c r="T21" s="179">
        <f t="shared" si="12"/>
        <v>119.16666666666667</v>
      </c>
      <c r="U21" s="103"/>
      <c r="V21" s="179" t="e">
        <f t="shared" si="13"/>
        <v>#DIV/0!</v>
      </c>
      <c r="W21" s="103">
        <v>25250</v>
      </c>
      <c r="X21" s="95">
        <f t="shared" si="7"/>
        <v>20843.5</v>
      </c>
      <c r="Y21" s="103">
        <v>204</v>
      </c>
      <c r="Z21" s="179">
        <f t="shared" si="14"/>
        <v>196.83333333333334</v>
      </c>
      <c r="AA21" s="103"/>
      <c r="AB21" s="179" t="e">
        <f t="shared" si="15"/>
        <v>#DIV/0!</v>
      </c>
      <c r="AC21" s="103">
        <v>37309</v>
      </c>
      <c r="AD21" s="103">
        <v>21969</v>
      </c>
      <c r="AE21" s="9">
        <v>64</v>
      </c>
      <c r="AF21">
        <v>56</v>
      </c>
      <c r="AJ21" s="159"/>
      <c r="AK21" s="9"/>
      <c r="AM21" s="101"/>
      <c r="AN21" s="49"/>
      <c r="AO21" s="9"/>
      <c r="AS21" s="49"/>
      <c r="AT21" s="9"/>
      <c r="AW21" s="49"/>
      <c r="BI21" s="49"/>
      <c r="BJ21" s="80">
        <f t="shared" si="5"/>
        <v>41365</v>
      </c>
      <c r="BK21" s="95">
        <f t="shared" si="16"/>
        <v>30601.916666666668</v>
      </c>
      <c r="BL21" s="95">
        <f t="shared" si="16"/>
        <v>21912</v>
      </c>
      <c r="BM21" s="95">
        <f t="shared" si="17"/>
        <v>47482.416666666664</v>
      </c>
      <c r="BT21" s="80">
        <f t="shared" si="1"/>
        <v>41365</v>
      </c>
      <c r="CA21" s="102">
        <f t="shared" si="18"/>
        <v>2.8973733611116211E-2</v>
      </c>
      <c r="CB21" s="102" t="e">
        <f t="shared" si="19"/>
        <v>#DIV/0!</v>
      </c>
      <c r="CC21" s="155" t="e">
        <f t="shared" si="2"/>
        <v>#DIV/0!</v>
      </c>
      <c r="CM21" s="1779">
        <f>SUM(W21:W32)/SUM(W9:W20)-1</f>
        <v>-9.0657170147282473E-2</v>
      </c>
      <c r="CN21" s="1779">
        <f>SUM(Q21:Q32)/SUM(Q9:Q20)-1</f>
        <v>0.16607247447095674</v>
      </c>
      <c r="CO21" s="1779">
        <f>SUM(AC21:AC32)/SUM(AC9:AC20)-1</f>
        <v>-2.0394419345252102E-3</v>
      </c>
      <c r="CP21" s="1779">
        <f>SUM(AD21:AD32)/SUM(AD9:AD20)-1</f>
        <v>-0.21523624262615193</v>
      </c>
    </row>
    <row r="22" spans="1:94" x14ac:dyDescent="0.25">
      <c r="A22" s="80">
        <v>41395</v>
      </c>
      <c r="B22" s="105">
        <v>64443</v>
      </c>
      <c r="C22" s="95">
        <v>1552</v>
      </c>
      <c r="D22" s="104">
        <f t="shared" si="3"/>
        <v>2.4083298418757663E-2</v>
      </c>
      <c r="E22" s="95"/>
      <c r="F22" s="104"/>
      <c r="H22" s="110"/>
      <c r="K22" s="95">
        <f t="shared" si="8"/>
        <v>35649</v>
      </c>
      <c r="L22" s="95">
        <f t="shared" si="9"/>
        <v>27424.5</v>
      </c>
      <c r="M22" s="95">
        <f t="shared" si="4"/>
        <v>370</v>
      </c>
      <c r="N22" s="95">
        <f t="shared" si="10"/>
        <v>316.41666666666669</v>
      </c>
      <c r="O22" s="95"/>
      <c r="P22" s="95" t="e">
        <f t="shared" si="11"/>
        <v>#DIV/0!</v>
      </c>
      <c r="Q22" s="103">
        <v>5823</v>
      </c>
      <c r="R22" s="95">
        <f t="shared" si="6"/>
        <v>6434</v>
      </c>
      <c r="S22" s="161">
        <v>108</v>
      </c>
      <c r="T22" s="179">
        <f t="shared" si="12"/>
        <v>117.75</v>
      </c>
      <c r="U22" s="103"/>
      <c r="V22" s="179" t="e">
        <f t="shared" si="13"/>
        <v>#DIV/0!</v>
      </c>
      <c r="W22" s="103">
        <v>29826</v>
      </c>
      <c r="X22" s="95">
        <f t="shared" si="7"/>
        <v>20990.5</v>
      </c>
      <c r="Y22" s="103">
        <v>262</v>
      </c>
      <c r="Z22" s="179">
        <f t="shared" si="14"/>
        <v>198.66666666666666</v>
      </c>
      <c r="AA22" s="103"/>
      <c r="AB22" s="179" t="e">
        <f t="shared" si="15"/>
        <v>#DIV/0!</v>
      </c>
      <c r="AC22" s="103">
        <v>34075</v>
      </c>
      <c r="AD22" s="103">
        <v>19506</v>
      </c>
      <c r="AE22" s="9">
        <v>64</v>
      </c>
      <c r="AF22">
        <v>56</v>
      </c>
      <c r="AJ22" s="159"/>
      <c r="AK22" s="9"/>
      <c r="AM22" s="101"/>
      <c r="AN22" s="49"/>
      <c r="AO22" s="9"/>
      <c r="AS22" s="49"/>
      <c r="AT22" s="9"/>
      <c r="AW22" s="49"/>
      <c r="BI22" s="49"/>
      <c r="BJ22" s="80">
        <f t="shared" si="5"/>
        <v>41395</v>
      </c>
      <c r="BK22" s="95">
        <f t="shared" si="16"/>
        <v>30609.583333333332</v>
      </c>
      <c r="BL22" s="95">
        <f t="shared" si="16"/>
        <v>21368.416666666668</v>
      </c>
      <c r="BM22" s="95">
        <f t="shared" si="17"/>
        <v>47738.083333333336</v>
      </c>
      <c r="BT22" s="80">
        <f t="shared" si="1"/>
        <v>41395</v>
      </c>
      <c r="CA22" s="102">
        <f t="shared" si="18"/>
        <v>2.8567912077445134E-2</v>
      </c>
      <c r="CB22" s="102" t="e">
        <f t="shared" si="19"/>
        <v>#DIV/0!</v>
      </c>
      <c r="CC22" s="155" t="e">
        <f t="shared" si="2"/>
        <v>#DIV/0!</v>
      </c>
      <c r="CM22" s="1779"/>
      <c r="CN22" s="1779"/>
      <c r="CO22" s="1779"/>
      <c r="CP22" s="1779"/>
    </row>
    <row r="23" spans="1:94" x14ac:dyDescent="0.25">
      <c r="A23" s="80">
        <v>41426</v>
      </c>
      <c r="B23" s="105">
        <v>54439</v>
      </c>
      <c r="C23" s="95">
        <v>1688</v>
      </c>
      <c r="D23" s="104">
        <f t="shared" si="3"/>
        <v>3.100718235088815E-2</v>
      </c>
      <c r="E23" s="95"/>
      <c r="F23" s="104"/>
      <c r="H23" s="110"/>
      <c r="K23" s="95">
        <f t="shared" si="8"/>
        <v>21345</v>
      </c>
      <c r="L23" s="95">
        <f t="shared" si="9"/>
        <v>26319.166666666668</v>
      </c>
      <c r="M23" s="95">
        <f t="shared" si="4"/>
        <v>250</v>
      </c>
      <c r="N23" s="95">
        <f t="shared" si="10"/>
        <v>307.58333333333331</v>
      </c>
      <c r="O23" s="95"/>
      <c r="P23" s="95" t="e">
        <f t="shared" si="11"/>
        <v>#DIV/0!</v>
      </c>
      <c r="Q23" s="103">
        <v>5710</v>
      </c>
      <c r="R23" s="95">
        <f t="shared" si="6"/>
        <v>6299.333333333333</v>
      </c>
      <c r="S23" s="161">
        <v>95</v>
      </c>
      <c r="T23" s="179">
        <f t="shared" si="12"/>
        <v>116.16666666666667</v>
      </c>
      <c r="U23" s="103"/>
      <c r="V23" s="179" t="e">
        <f t="shared" si="13"/>
        <v>#DIV/0!</v>
      </c>
      <c r="W23" s="103">
        <v>15635</v>
      </c>
      <c r="X23" s="95">
        <f t="shared" si="7"/>
        <v>20019.833333333332</v>
      </c>
      <c r="Y23" s="103">
        <v>155</v>
      </c>
      <c r="Z23" s="179">
        <f t="shared" si="14"/>
        <v>191.41666666666666</v>
      </c>
      <c r="AA23" s="103"/>
      <c r="AB23" s="179" t="e">
        <f t="shared" si="15"/>
        <v>#DIV/0!</v>
      </c>
      <c r="AC23" s="103">
        <v>30584</v>
      </c>
      <c r="AD23" s="103">
        <v>15636</v>
      </c>
      <c r="AE23" s="9">
        <v>64</v>
      </c>
      <c r="AF23">
        <v>56</v>
      </c>
      <c r="AJ23" s="159"/>
      <c r="AK23" s="9"/>
      <c r="AM23" s="101"/>
      <c r="AN23" s="49"/>
      <c r="AO23" s="108"/>
      <c r="AP23" s="101"/>
      <c r="AS23" s="49"/>
      <c r="AT23" s="9"/>
      <c r="AW23" s="49"/>
      <c r="BI23" s="49"/>
      <c r="BJ23" s="80">
        <f t="shared" si="5"/>
        <v>41426</v>
      </c>
      <c r="BK23" s="95">
        <f t="shared" si="16"/>
        <v>30720.75</v>
      </c>
      <c r="BL23" s="95">
        <f t="shared" si="16"/>
        <v>20985.166666666668</v>
      </c>
      <c r="BM23" s="95">
        <f t="shared" si="17"/>
        <v>48256.833333333336</v>
      </c>
      <c r="BT23" s="80">
        <f t="shared" si="1"/>
        <v>41426</v>
      </c>
      <c r="CA23" s="102">
        <f t="shared" si="18"/>
        <v>2.8135776684311956E-2</v>
      </c>
      <c r="CB23" s="102" t="e">
        <f t="shared" si="19"/>
        <v>#DIV/0!</v>
      </c>
      <c r="CC23" s="155" t="e">
        <f t="shared" si="2"/>
        <v>#DIV/0!</v>
      </c>
      <c r="CM23" s="1779"/>
      <c r="CN23" s="1779"/>
      <c r="CO23" s="1779"/>
      <c r="CP23" s="1779"/>
    </row>
    <row r="24" spans="1:94" x14ac:dyDescent="0.25">
      <c r="A24" s="80">
        <v>41456</v>
      </c>
      <c r="B24" s="105">
        <v>54346</v>
      </c>
      <c r="C24" s="95">
        <v>2066</v>
      </c>
      <c r="D24" s="104">
        <f t="shared" si="3"/>
        <v>3.8015677326758181E-2</v>
      </c>
      <c r="E24" s="95"/>
      <c r="F24" s="104"/>
      <c r="H24" s="110"/>
      <c r="K24" s="95">
        <f t="shared" si="8"/>
        <v>32091</v>
      </c>
      <c r="L24" s="95">
        <f t="shared" si="9"/>
        <v>26358.75</v>
      </c>
      <c r="M24" s="95">
        <f t="shared" si="4"/>
        <v>385</v>
      </c>
      <c r="N24" s="95">
        <f t="shared" si="10"/>
        <v>307.08333333333331</v>
      </c>
      <c r="O24" s="95"/>
      <c r="P24" s="95" t="e">
        <f t="shared" si="11"/>
        <v>#DIV/0!</v>
      </c>
      <c r="Q24" s="103">
        <v>8707</v>
      </c>
      <c r="R24" s="95">
        <f t="shared" si="6"/>
        <v>6247</v>
      </c>
      <c r="S24" s="161">
        <v>160</v>
      </c>
      <c r="T24" s="179">
        <f t="shared" si="12"/>
        <v>116.5</v>
      </c>
      <c r="U24" s="103"/>
      <c r="V24" s="179" t="e">
        <f t="shared" si="13"/>
        <v>#DIV/0!</v>
      </c>
      <c r="W24" s="103">
        <v>23384</v>
      </c>
      <c r="X24" s="95">
        <f t="shared" si="7"/>
        <v>20111.75</v>
      </c>
      <c r="Y24" s="103">
        <v>225</v>
      </c>
      <c r="Z24" s="179">
        <f t="shared" si="14"/>
        <v>190.58333333333334</v>
      </c>
      <c r="AA24" s="103"/>
      <c r="AB24" s="179" t="e">
        <f t="shared" si="15"/>
        <v>#DIV/0!</v>
      </c>
      <c r="AC24" s="103">
        <v>33525</v>
      </c>
      <c r="AD24" s="103">
        <v>19447</v>
      </c>
      <c r="AE24" s="9">
        <v>64</v>
      </c>
      <c r="AF24">
        <v>56</v>
      </c>
      <c r="AJ24" s="159"/>
      <c r="AK24" s="9"/>
      <c r="AM24" s="101"/>
      <c r="AN24" s="49"/>
      <c r="AO24" s="9"/>
      <c r="AS24" s="49"/>
      <c r="AT24" s="9"/>
      <c r="AW24" s="49"/>
      <c r="BI24" s="49"/>
      <c r="BJ24" s="80">
        <f t="shared" si="5"/>
        <v>41456</v>
      </c>
      <c r="BK24" s="95">
        <f t="shared" si="16"/>
        <v>30456.666666666668</v>
      </c>
      <c r="BL24" s="95">
        <f t="shared" si="16"/>
        <v>20374.666666666668</v>
      </c>
      <c r="BM24" s="95">
        <f t="shared" si="17"/>
        <v>48503.666666666664</v>
      </c>
      <c r="BT24" s="80">
        <f t="shared" si="1"/>
        <v>41456</v>
      </c>
      <c r="CA24" s="102">
        <f t="shared" si="18"/>
        <v>2.8880816586094194E-2</v>
      </c>
      <c r="CB24" s="102" t="e">
        <f t="shared" si="19"/>
        <v>#DIV/0!</v>
      </c>
      <c r="CC24" s="155" t="e">
        <f t="shared" si="2"/>
        <v>#DIV/0!</v>
      </c>
      <c r="CM24" s="1779"/>
      <c r="CN24" s="1779"/>
      <c r="CO24" s="1779"/>
      <c r="CP24" s="1779"/>
    </row>
    <row r="25" spans="1:94" x14ac:dyDescent="0.25">
      <c r="A25" s="80">
        <v>41487</v>
      </c>
      <c r="B25" s="105">
        <v>40743</v>
      </c>
      <c r="C25" s="95">
        <v>844</v>
      </c>
      <c r="D25" s="104">
        <f t="shared" si="3"/>
        <v>2.0715214883538276E-2</v>
      </c>
      <c r="E25" s="95"/>
      <c r="F25" s="104"/>
      <c r="H25" s="110"/>
      <c r="K25" s="95">
        <f t="shared" si="8"/>
        <v>22295</v>
      </c>
      <c r="L25" s="95">
        <f t="shared" si="9"/>
        <v>26054.333333333332</v>
      </c>
      <c r="M25" s="95">
        <f t="shared" si="4"/>
        <v>281</v>
      </c>
      <c r="N25" s="95">
        <f t="shared" si="10"/>
        <v>300.66666666666669</v>
      </c>
      <c r="O25" s="95"/>
      <c r="P25" s="95" t="e">
        <f t="shared" si="11"/>
        <v>#DIV/0!</v>
      </c>
      <c r="Q25" s="103">
        <v>7474</v>
      </c>
      <c r="R25" s="95">
        <f t="shared" si="6"/>
        <v>6247.083333333333</v>
      </c>
      <c r="S25" s="161">
        <v>109</v>
      </c>
      <c r="T25" s="179">
        <f t="shared" si="12"/>
        <v>115.5</v>
      </c>
      <c r="U25" s="103"/>
      <c r="V25" s="179" t="e">
        <f t="shared" si="13"/>
        <v>#DIV/0!</v>
      </c>
      <c r="W25" s="103">
        <v>14821</v>
      </c>
      <c r="X25" s="95">
        <f t="shared" si="7"/>
        <v>19807.25</v>
      </c>
      <c r="Y25" s="103">
        <v>172</v>
      </c>
      <c r="Z25" s="179">
        <f t="shared" si="14"/>
        <v>185.16666666666666</v>
      </c>
      <c r="AA25" s="103"/>
      <c r="AB25" s="179" t="e">
        <f t="shared" si="15"/>
        <v>#DIV/0!</v>
      </c>
      <c r="AC25" s="103">
        <v>22249</v>
      </c>
      <c r="AD25" s="103">
        <v>14995</v>
      </c>
      <c r="AE25" s="9">
        <v>64</v>
      </c>
      <c r="AF25">
        <v>56</v>
      </c>
      <c r="AJ25" s="159"/>
      <c r="AK25" s="9"/>
      <c r="AM25" s="101"/>
      <c r="AN25" s="49"/>
      <c r="AO25" s="9"/>
      <c r="AS25" s="49"/>
      <c r="AT25" s="9"/>
      <c r="AW25" s="49"/>
      <c r="BI25" s="49"/>
      <c r="BJ25" s="80">
        <f t="shared" si="5"/>
        <v>41487</v>
      </c>
      <c r="BK25" s="95">
        <f t="shared" si="16"/>
        <v>29894.416666666668</v>
      </c>
      <c r="BL25" s="95">
        <f t="shared" si="16"/>
        <v>20122.916666666668</v>
      </c>
      <c r="BM25" s="95">
        <f t="shared" si="17"/>
        <v>47786.583333333336</v>
      </c>
      <c r="BT25" s="80">
        <f t="shared" si="1"/>
        <v>41487</v>
      </c>
      <c r="CA25" s="102">
        <f t="shared" si="18"/>
        <v>2.7862967879076092E-2</v>
      </c>
      <c r="CB25" s="102" t="e">
        <f t="shared" si="19"/>
        <v>#DIV/0!</v>
      </c>
      <c r="CC25" s="155" t="e">
        <f t="shared" si="2"/>
        <v>#DIV/0!</v>
      </c>
      <c r="CM25" s="1779"/>
      <c r="CN25" s="1779"/>
      <c r="CO25" s="1779"/>
      <c r="CP25" s="1779"/>
    </row>
    <row r="26" spans="1:94" x14ac:dyDescent="0.25">
      <c r="A26" s="80">
        <v>41518</v>
      </c>
      <c r="B26" s="105">
        <v>40290</v>
      </c>
      <c r="C26" s="95">
        <v>900</v>
      </c>
      <c r="D26" s="104">
        <f t="shared" si="3"/>
        <v>2.2338049143708117E-2</v>
      </c>
      <c r="E26" s="95"/>
      <c r="F26" s="104"/>
      <c r="H26" s="110"/>
      <c r="K26" s="95">
        <f t="shared" si="8"/>
        <v>24245</v>
      </c>
      <c r="L26" s="95">
        <f t="shared" si="9"/>
        <v>25984.5</v>
      </c>
      <c r="M26" s="95">
        <f t="shared" si="4"/>
        <v>336</v>
      </c>
      <c r="N26" s="95">
        <f t="shared" si="10"/>
        <v>302.33333333333331</v>
      </c>
      <c r="O26" s="95"/>
      <c r="P26" s="95" t="e">
        <f t="shared" si="11"/>
        <v>#DIV/0!</v>
      </c>
      <c r="Q26" s="103">
        <v>9721</v>
      </c>
      <c r="R26" s="95">
        <f t="shared" si="6"/>
        <v>6385.583333333333</v>
      </c>
      <c r="S26" s="161">
        <v>145</v>
      </c>
      <c r="T26" s="179">
        <f t="shared" si="12"/>
        <v>117.16666666666667</v>
      </c>
      <c r="U26" s="103"/>
      <c r="V26" s="179" t="e">
        <f t="shared" si="13"/>
        <v>#DIV/0!</v>
      </c>
      <c r="W26" s="103">
        <v>14524</v>
      </c>
      <c r="X26" s="95">
        <f t="shared" si="7"/>
        <v>19598.916666666668</v>
      </c>
      <c r="Y26" s="103">
        <v>191</v>
      </c>
      <c r="Z26" s="179">
        <f t="shared" si="14"/>
        <v>185.16666666666666</v>
      </c>
      <c r="AA26" s="103"/>
      <c r="AB26" s="179" t="e">
        <f t="shared" si="15"/>
        <v>#DIV/0!</v>
      </c>
      <c r="AC26" s="103">
        <v>25564</v>
      </c>
      <c r="AD26" s="103">
        <v>16010</v>
      </c>
      <c r="AE26" s="9">
        <v>64</v>
      </c>
      <c r="AF26">
        <v>56</v>
      </c>
      <c r="AJ26" s="159"/>
      <c r="AK26" s="9"/>
      <c r="AM26" s="101"/>
      <c r="AN26" s="49"/>
      <c r="AO26" s="9"/>
      <c r="AS26" s="49"/>
      <c r="AT26" s="9"/>
      <c r="AW26" s="49"/>
      <c r="BI26" s="49"/>
      <c r="BJ26" s="80">
        <f t="shared" si="5"/>
        <v>41518</v>
      </c>
      <c r="BK26" s="95">
        <f t="shared" si="16"/>
        <v>29332.833333333332</v>
      </c>
      <c r="BL26" s="95">
        <f t="shared" si="16"/>
        <v>19980.5</v>
      </c>
      <c r="BM26" s="95">
        <f t="shared" si="17"/>
        <v>47588.416666666664</v>
      </c>
      <c r="BT26" s="80">
        <f t="shared" si="1"/>
        <v>41518</v>
      </c>
      <c r="CA26" s="102">
        <f t="shared" si="18"/>
        <v>2.7169864305874741E-2</v>
      </c>
      <c r="CB26" s="102" t="e">
        <f t="shared" si="19"/>
        <v>#DIV/0!</v>
      </c>
      <c r="CC26" s="155" t="e">
        <f t="shared" si="2"/>
        <v>#DIV/0!</v>
      </c>
      <c r="CM26" s="1779"/>
      <c r="CN26" s="1779"/>
      <c r="CO26" s="1779"/>
      <c r="CP26" s="1779"/>
    </row>
    <row r="27" spans="1:94" x14ac:dyDescent="0.25">
      <c r="A27" s="80">
        <v>41548</v>
      </c>
      <c r="B27" s="105">
        <v>50631</v>
      </c>
      <c r="C27" s="95">
        <v>1219</v>
      </c>
      <c r="D27" s="104">
        <f t="shared" si="3"/>
        <v>2.407615887499753E-2</v>
      </c>
      <c r="E27" s="95"/>
      <c r="F27" s="104"/>
      <c r="H27" s="110"/>
      <c r="K27" s="95">
        <f t="shared" si="8"/>
        <v>23074</v>
      </c>
      <c r="L27" s="95">
        <f t="shared" si="9"/>
        <v>25658.083333333332</v>
      </c>
      <c r="M27" s="95">
        <f t="shared" si="4"/>
        <v>297</v>
      </c>
      <c r="N27" s="95">
        <f t="shared" si="10"/>
        <v>299</v>
      </c>
      <c r="O27" s="95"/>
      <c r="P27" s="95" t="e">
        <f t="shared" si="11"/>
        <v>#DIV/0!</v>
      </c>
      <c r="Q27" s="103">
        <v>7762</v>
      </c>
      <c r="R27" s="95">
        <f t="shared" si="6"/>
        <v>6437.666666666667</v>
      </c>
      <c r="S27" s="161">
        <v>109</v>
      </c>
      <c r="T27" s="179">
        <f t="shared" si="12"/>
        <v>114.41666666666667</v>
      </c>
      <c r="U27" s="103"/>
      <c r="V27" s="179" t="e">
        <f t="shared" si="13"/>
        <v>#DIV/0!</v>
      </c>
      <c r="W27" s="103">
        <v>15312</v>
      </c>
      <c r="X27" s="95">
        <f t="shared" si="7"/>
        <v>19220.416666666668</v>
      </c>
      <c r="Y27" s="103">
        <v>188</v>
      </c>
      <c r="Z27" s="179">
        <f t="shared" si="14"/>
        <v>184.58333333333334</v>
      </c>
      <c r="AA27" s="103"/>
      <c r="AB27" s="179" t="e">
        <f t="shared" si="15"/>
        <v>#DIV/0!</v>
      </c>
      <c r="AC27" s="103">
        <v>30297</v>
      </c>
      <c r="AD27" s="103">
        <v>18075</v>
      </c>
      <c r="AE27" s="9">
        <v>58</v>
      </c>
      <c r="AF27">
        <v>46</v>
      </c>
      <c r="AG27">
        <v>12</v>
      </c>
      <c r="AH27">
        <v>0</v>
      </c>
      <c r="AJ27" s="159"/>
      <c r="AK27" s="9"/>
      <c r="AM27" s="101"/>
      <c r="AN27" s="49"/>
      <c r="AO27" s="9"/>
      <c r="AS27" s="49"/>
      <c r="AT27" s="9"/>
      <c r="AW27" s="49"/>
      <c r="BI27" s="49"/>
      <c r="BJ27" s="80">
        <f t="shared" si="5"/>
        <v>41548</v>
      </c>
      <c r="BK27" s="95">
        <f t="shared" si="16"/>
        <v>29337.5</v>
      </c>
      <c r="BL27" s="95">
        <f t="shared" si="16"/>
        <v>18932</v>
      </c>
      <c r="BM27" s="95">
        <f t="shared" si="17"/>
        <v>48158.583333333336</v>
      </c>
      <c r="BT27" s="80">
        <f t="shared" si="1"/>
        <v>41548</v>
      </c>
      <c r="CA27" s="102">
        <f t="shared" si="18"/>
        <v>2.6692710456310668E-2</v>
      </c>
      <c r="CB27" s="102" t="e">
        <f t="shared" si="19"/>
        <v>#DIV/0!</v>
      </c>
      <c r="CC27" s="155" t="e">
        <f t="shared" si="2"/>
        <v>#DIV/0!</v>
      </c>
      <c r="CM27" s="1779"/>
      <c r="CN27" s="1779"/>
      <c r="CO27" s="1779"/>
      <c r="CP27" s="1779"/>
    </row>
    <row r="28" spans="1:94" x14ac:dyDescent="0.25">
      <c r="A28" s="80">
        <v>41579</v>
      </c>
      <c r="B28" s="105">
        <v>54632</v>
      </c>
      <c r="C28" s="95">
        <v>1509</v>
      </c>
      <c r="D28" s="104">
        <f t="shared" si="3"/>
        <v>2.762117440328013E-2</v>
      </c>
      <c r="E28" s="95"/>
      <c r="F28" s="104"/>
      <c r="H28" s="110"/>
      <c r="K28" s="95">
        <f t="shared" si="8"/>
        <v>26348</v>
      </c>
      <c r="L28" s="95">
        <f t="shared" si="9"/>
        <v>25892.833333333332</v>
      </c>
      <c r="M28" s="95">
        <f t="shared" si="4"/>
        <v>327</v>
      </c>
      <c r="N28" s="95">
        <f t="shared" si="10"/>
        <v>299.66666666666669</v>
      </c>
      <c r="O28" s="95"/>
      <c r="P28" s="95" t="e">
        <f t="shared" si="11"/>
        <v>#DIV/0!</v>
      </c>
      <c r="Q28" s="103">
        <v>7811</v>
      </c>
      <c r="R28" s="95">
        <f t="shared" si="6"/>
        <v>6550.75</v>
      </c>
      <c r="S28" s="161">
        <v>109</v>
      </c>
      <c r="T28" s="179">
        <f t="shared" si="12"/>
        <v>111.5</v>
      </c>
      <c r="U28" s="103"/>
      <c r="V28" s="179" t="e">
        <f t="shared" si="13"/>
        <v>#DIV/0!</v>
      </c>
      <c r="W28" s="103">
        <v>18537</v>
      </c>
      <c r="X28" s="95">
        <f t="shared" si="7"/>
        <v>19342.083333333332</v>
      </c>
      <c r="Y28" s="103">
        <v>218</v>
      </c>
      <c r="Z28" s="179">
        <f t="shared" si="14"/>
        <v>188.16666666666666</v>
      </c>
      <c r="AA28" s="103"/>
      <c r="AB28" s="179" t="e">
        <f t="shared" si="15"/>
        <v>#DIV/0!</v>
      </c>
      <c r="AC28" s="103">
        <v>31605</v>
      </c>
      <c r="AD28" s="103">
        <v>16662</v>
      </c>
      <c r="AE28" s="9">
        <v>58</v>
      </c>
      <c r="AF28">
        <v>46</v>
      </c>
      <c r="AJ28" s="159"/>
      <c r="AK28" s="9"/>
      <c r="AM28" s="101"/>
      <c r="AN28" s="49"/>
      <c r="AO28" s="9"/>
      <c r="AS28" s="49"/>
      <c r="AT28" s="9"/>
      <c r="AW28" s="49"/>
      <c r="BI28" s="49"/>
      <c r="BJ28" s="80">
        <f t="shared" si="5"/>
        <v>41579</v>
      </c>
      <c r="BK28" s="95">
        <f t="shared" si="16"/>
        <v>29260.666666666668</v>
      </c>
      <c r="BL28" s="95">
        <f t="shared" si="16"/>
        <v>18334.833333333332</v>
      </c>
      <c r="BM28" s="95">
        <f t="shared" si="17"/>
        <v>48547</v>
      </c>
      <c r="BT28" s="80">
        <f t="shared" si="1"/>
        <v>41579</v>
      </c>
      <c r="CA28" s="102">
        <f t="shared" si="18"/>
        <v>2.6858235971286542E-2</v>
      </c>
      <c r="CB28" s="102" t="e">
        <f t="shared" si="19"/>
        <v>#DIV/0!</v>
      </c>
      <c r="CC28" s="155" t="e">
        <f t="shared" si="2"/>
        <v>#DIV/0!</v>
      </c>
      <c r="CM28" s="1779"/>
      <c r="CN28" s="1779"/>
      <c r="CO28" s="1779"/>
      <c r="CP28" s="1779"/>
    </row>
    <row r="29" spans="1:94" x14ac:dyDescent="0.25">
      <c r="A29" s="97">
        <v>41609</v>
      </c>
      <c r="B29" s="105">
        <v>47337</v>
      </c>
      <c r="C29" s="95">
        <v>1103</v>
      </c>
      <c r="D29" s="104">
        <f t="shared" si="3"/>
        <v>2.3301011893444874E-2</v>
      </c>
      <c r="E29" s="95"/>
      <c r="F29" s="104"/>
      <c r="H29" s="110"/>
      <c r="K29" s="95">
        <f t="shared" si="8"/>
        <v>21029</v>
      </c>
      <c r="L29" s="95">
        <f t="shared" si="9"/>
        <v>26066</v>
      </c>
      <c r="M29" s="95">
        <f t="shared" si="4"/>
        <v>239</v>
      </c>
      <c r="N29" s="95">
        <f t="shared" si="10"/>
        <v>300.83333333333331</v>
      </c>
      <c r="O29" s="95"/>
      <c r="P29" s="95" t="e">
        <f t="shared" si="11"/>
        <v>#DIV/0!</v>
      </c>
      <c r="Q29" s="103">
        <v>6813</v>
      </c>
      <c r="R29" s="95">
        <f t="shared" si="6"/>
        <v>6696</v>
      </c>
      <c r="S29" s="161">
        <v>88</v>
      </c>
      <c r="T29" s="179">
        <f t="shared" si="12"/>
        <v>110.91666666666667</v>
      </c>
      <c r="U29" s="103"/>
      <c r="V29" s="179" t="e">
        <f t="shared" si="13"/>
        <v>#DIV/0!</v>
      </c>
      <c r="W29" s="103">
        <v>14216</v>
      </c>
      <c r="X29" s="95">
        <f t="shared" si="7"/>
        <v>19370</v>
      </c>
      <c r="Y29" s="103">
        <v>151</v>
      </c>
      <c r="Z29" s="179">
        <f t="shared" si="14"/>
        <v>189.91666666666666</v>
      </c>
      <c r="AA29" s="103"/>
      <c r="AB29" s="179" t="e">
        <f t="shared" si="15"/>
        <v>#DIV/0!</v>
      </c>
      <c r="AC29" s="103">
        <v>24957</v>
      </c>
      <c r="AD29" s="103">
        <v>14224</v>
      </c>
      <c r="AE29" s="9">
        <v>58</v>
      </c>
      <c r="AF29">
        <v>46</v>
      </c>
      <c r="AJ29" s="159"/>
      <c r="AK29" s="9"/>
      <c r="AN29" s="49"/>
      <c r="AO29" s="9"/>
      <c r="AS29" s="49"/>
      <c r="AT29" s="9"/>
      <c r="AW29" s="49"/>
      <c r="BI29" s="49"/>
      <c r="BJ29" s="80">
        <f t="shared" si="5"/>
        <v>41609</v>
      </c>
      <c r="BK29" s="95">
        <f t="shared" si="16"/>
        <v>29458.25</v>
      </c>
      <c r="BL29" s="95">
        <f t="shared" si="16"/>
        <v>17748.166666666668</v>
      </c>
      <c r="BM29" s="95">
        <f t="shared" si="17"/>
        <v>49767.166666666664</v>
      </c>
      <c r="BT29" s="80">
        <f t="shared" si="1"/>
        <v>41609</v>
      </c>
      <c r="CA29" s="102">
        <f t="shared" si="18"/>
        <v>2.7026015407123263E-2</v>
      </c>
      <c r="CB29" s="102" t="e">
        <f t="shared" si="19"/>
        <v>#DIV/0!</v>
      </c>
      <c r="CC29" s="155" t="e">
        <f t="shared" si="2"/>
        <v>#DIV/0!</v>
      </c>
      <c r="CM29" s="1779"/>
      <c r="CN29" s="1779"/>
      <c r="CO29" s="1779"/>
      <c r="CP29" s="1779"/>
    </row>
    <row r="30" spans="1:94" x14ac:dyDescent="0.25">
      <c r="A30" s="98">
        <v>41640</v>
      </c>
      <c r="B30" s="105">
        <v>41085</v>
      </c>
      <c r="C30" s="95">
        <v>927</v>
      </c>
      <c r="D30" s="104">
        <f t="shared" si="3"/>
        <v>2.2562979189485213E-2</v>
      </c>
      <c r="E30" s="95"/>
      <c r="F30" s="104"/>
      <c r="H30" s="110"/>
      <c r="K30" s="95">
        <f t="shared" si="8"/>
        <v>23137</v>
      </c>
      <c r="L30" s="95">
        <f t="shared" si="9"/>
        <v>26281.666666666668</v>
      </c>
      <c r="M30" s="95">
        <f t="shared" si="4"/>
        <v>231</v>
      </c>
      <c r="N30" s="95">
        <f t="shared" si="10"/>
        <v>302.5</v>
      </c>
      <c r="O30" s="95"/>
      <c r="P30" s="95" t="e">
        <f t="shared" si="11"/>
        <v>#DIV/0!</v>
      </c>
      <c r="Q30" s="103">
        <v>7401</v>
      </c>
      <c r="R30" s="95">
        <f t="shared" si="6"/>
        <v>7007.833333333333</v>
      </c>
      <c r="S30" s="161">
        <v>78</v>
      </c>
      <c r="T30" s="179">
        <f t="shared" si="12"/>
        <v>111.16666666666667</v>
      </c>
      <c r="U30" s="103"/>
      <c r="V30" s="179" t="e">
        <f t="shared" si="13"/>
        <v>#DIV/0!</v>
      </c>
      <c r="W30" s="103">
        <v>15736</v>
      </c>
      <c r="X30" s="95">
        <f t="shared" si="7"/>
        <v>19273.833333333332</v>
      </c>
      <c r="Y30" s="103">
        <v>153</v>
      </c>
      <c r="Z30" s="179">
        <f t="shared" si="14"/>
        <v>191.33333333333334</v>
      </c>
      <c r="AA30" s="103"/>
      <c r="AB30" s="179" t="e">
        <f t="shared" si="15"/>
        <v>#DIV/0!</v>
      </c>
      <c r="AC30" s="103">
        <v>28779</v>
      </c>
      <c r="AD30" s="103">
        <v>15346</v>
      </c>
      <c r="AE30" s="9">
        <v>58</v>
      </c>
      <c r="AF30">
        <v>46</v>
      </c>
      <c r="AJ30" s="159"/>
      <c r="AK30" s="9"/>
      <c r="AM30" s="101">
        <v>6269</v>
      </c>
      <c r="AN30" s="49"/>
      <c r="AO30" s="905"/>
      <c r="AP30" s="109"/>
      <c r="AS30" s="49"/>
      <c r="AT30" s="9"/>
      <c r="AW30" s="49"/>
      <c r="BI30" s="49"/>
      <c r="BJ30" s="80">
        <f t="shared" si="5"/>
        <v>41640</v>
      </c>
      <c r="BK30" s="95">
        <f t="shared" si="16"/>
        <v>30380.666666666668</v>
      </c>
      <c r="BL30" s="95">
        <f t="shared" si="16"/>
        <v>17750.666666666668</v>
      </c>
      <c r="BM30" s="95">
        <f t="shared" si="17"/>
        <v>50475.166666666664</v>
      </c>
      <c r="BT30" s="80">
        <f t="shared" si="1"/>
        <v>41640</v>
      </c>
      <c r="CA30" s="102">
        <f t="shared" si="18"/>
        <v>2.6696929234913142E-2</v>
      </c>
      <c r="CB30" s="102" t="e">
        <f t="shared" si="19"/>
        <v>#DIV/0!</v>
      </c>
      <c r="CC30" s="155" t="e">
        <f t="shared" si="2"/>
        <v>#DIV/0!</v>
      </c>
      <c r="CM30" s="1779"/>
      <c r="CN30" s="1779"/>
      <c r="CO30" s="1779"/>
      <c r="CP30" s="1779"/>
    </row>
    <row r="31" spans="1:94" x14ac:dyDescent="0.25">
      <c r="A31" s="98">
        <v>41671</v>
      </c>
      <c r="B31" s="105">
        <v>50657</v>
      </c>
      <c r="C31" s="95">
        <v>1348</v>
      </c>
      <c r="D31" s="104">
        <f t="shared" si="3"/>
        <v>2.6610340130682829E-2</v>
      </c>
      <c r="E31" s="95"/>
      <c r="F31" s="104"/>
      <c r="H31" s="110"/>
      <c r="K31" s="95">
        <f t="shared" si="8"/>
        <v>26175</v>
      </c>
      <c r="L31" s="95">
        <f t="shared" si="9"/>
        <v>26322</v>
      </c>
      <c r="M31" s="95">
        <f t="shared" si="4"/>
        <v>277</v>
      </c>
      <c r="N31" s="95">
        <f t="shared" si="10"/>
        <v>300</v>
      </c>
      <c r="O31" s="95"/>
      <c r="P31" s="95" t="e">
        <f t="shared" si="11"/>
        <v>#DIV/0!</v>
      </c>
      <c r="Q31" s="103">
        <v>7749</v>
      </c>
      <c r="R31" s="95">
        <f t="shared" si="6"/>
        <v>7178</v>
      </c>
      <c r="S31" s="161">
        <v>90</v>
      </c>
      <c r="T31" s="179">
        <f t="shared" si="12"/>
        <v>109.16666666666667</v>
      </c>
      <c r="U31" s="103"/>
      <c r="V31" s="179" t="e">
        <f t="shared" si="13"/>
        <v>#DIV/0!</v>
      </c>
      <c r="W31" s="103">
        <v>18426</v>
      </c>
      <c r="X31" s="95">
        <f t="shared" si="7"/>
        <v>19144</v>
      </c>
      <c r="Y31" s="103">
        <v>187</v>
      </c>
      <c r="Z31" s="179">
        <f t="shared" si="14"/>
        <v>190.83333333333334</v>
      </c>
      <c r="AA31" s="103"/>
      <c r="AB31" s="179" t="e">
        <f t="shared" si="15"/>
        <v>#DIV/0!</v>
      </c>
      <c r="AC31" s="103">
        <v>27233</v>
      </c>
      <c r="AD31" s="103">
        <v>17261</v>
      </c>
      <c r="AE31" s="9">
        <v>58</v>
      </c>
      <c r="AF31">
        <v>46</v>
      </c>
      <c r="AJ31" s="159"/>
      <c r="AK31" s="9"/>
      <c r="AM31" s="101">
        <v>4899</v>
      </c>
      <c r="AN31" s="49"/>
      <c r="AO31" s="905"/>
      <c r="AP31" s="109"/>
      <c r="AS31" s="49"/>
      <c r="AT31" s="9"/>
      <c r="AW31" s="49"/>
      <c r="BI31" s="49"/>
      <c r="BJ31" s="80">
        <f t="shared" si="5"/>
        <v>41671</v>
      </c>
      <c r="BK31" s="95">
        <f t="shared" si="16"/>
        <v>30169.416666666668</v>
      </c>
      <c r="BL31" s="95">
        <f t="shared" si="16"/>
        <v>17511.666666666668</v>
      </c>
      <c r="BM31" s="95">
        <f t="shared" si="17"/>
        <v>50745.166666666664</v>
      </c>
      <c r="BT31" s="80">
        <f t="shared" si="1"/>
        <v>41671</v>
      </c>
      <c r="CA31" s="102">
        <f t="shared" si="18"/>
        <v>2.6323966123892109E-2</v>
      </c>
      <c r="CB31" s="102" t="e">
        <f t="shared" si="19"/>
        <v>#DIV/0!</v>
      </c>
      <c r="CC31" s="155" t="e">
        <f t="shared" si="2"/>
        <v>#DIV/0!</v>
      </c>
      <c r="CM31" s="1779"/>
      <c r="CN31" s="1779"/>
      <c r="CO31" s="1779"/>
      <c r="CP31" s="1779"/>
    </row>
    <row r="32" spans="1:94" x14ac:dyDescent="0.25">
      <c r="A32" s="98">
        <v>41699</v>
      </c>
      <c r="B32" s="105">
        <v>56116</v>
      </c>
      <c r="C32" s="95">
        <v>1136</v>
      </c>
      <c r="D32" s="104">
        <f t="shared" si="3"/>
        <v>2.0243780739895929E-2</v>
      </c>
      <c r="E32" s="95"/>
      <c r="F32" s="104"/>
      <c r="H32" s="110"/>
      <c r="K32" s="95">
        <f t="shared" si="8"/>
        <v>36342</v>
      </c>
      <c r="L32" s="95">
        <f t="shared" si="9"/>
        <v>26910.5</v>
      </c>
      <c r="M32" s="95">
        <f t="shared" si="4"/>
        <v>357</v>
      </c>
      <c r="N32" s="95">
        <f t="shared" si="10"/>
        <v>305.83333333333331</v>
      </c>
      <c r="O32" s="95"/>
      <c r="P32" s="95" t="e">
        <f t="shared" si="11"/>
        <v>#DIV/0!</v>
      </c>
      <c r="Q32" s="103">
        <v>10664</v>
      </c>
      <c r="R32" s="95">
        <f t="shared" si="6"/>
        <v>7631.75</v>
      </c>
      <c r="S32" s="161">
        <v>125</v>
      </c>
      <c r="T32" s="179">
        <f t="shared" si="12"/>
        <v>111</v>
      </c>
      <c r="U32" s="103"/>
      <c r="V32" s="179" t="e">
        <f t="shared" si="13"/>
        <v>#DIV/0!</v>
      </c>
      <c r="W32" s="103">
        <v>25678</v>
      </c>
      <c r="X32" s="95">
        <f t="shared" si="7"/>
        <v>19278.75</v>
      </c>
      <c r="Y32" s="103">
        <v>232</v>
      </c>
      <c r="Z32" s="179">
        <f t="shared" si="14"/>
        <v>194.83333333333334</v>
      </c>
      <c r="AA32" s="103"/>
      <c r="AB32" s="179" t="e">
        <f t="shared" si="15"/>
        <v>#DIV/0!</v>
      </c>
      <c r="AC32" s="103">
        <v>39842</v>
      </c>
      <c r="AD32" s="103">
        <v>21458</v>
      </c>
      <c r="AE32" s="9">
        <v>58</v>
      </c>
      <c r="AF32">
        <v>46</v>
      </c>
      <c r="AJ32" s="159"/>
      <c r="AK32" s="9"/>
      <c r="AM32" s="101">
        <v>9425</v>
      </c>
      <c r="AN32" s="49"/>
      <c r="AO32" s="905"/>
      <c r="AP32" s="109"/>
      <c r="AS32" s="49"/>
      <c r="AT32" s="9"/>
      <c r="AW32" s="49"/>
      <c r="BI32" s="49"/>
      <c r="BJ32" s="80">
        <f t="shared" si="5"/>
        <v>41699</v>
      </c>
      <c r="BK32" s="95">
        <f t="shared" si="16"/>
        <v>30501.583333333332</v>
      </c>
      <c r="BL32" s="95">
        <f t="shared" si="16"/>
        <v>17549.083333333332</v>
      </c>
      <c r="BM32" s="95">
        <f t="shared" si="17"/>
        <v>51226.25</v>
      </c>
      <c r="BT32" s="80">
        <f t="shared" si="1"/>
        <v>41699</v>
      </c>
      <c r="CA32" s="102">
        <f t="shared" si="18"/>
        <v>2.5678614326867331E-2</v>
      </c>
      <c r="CB32" s="102" t="e">
        <f t="shared" si="19"/>
        <v>#DIV/0!</v>
      </c>
      <c r="CC32" s="155" t="e">
        <f t="shared" si="2"/>
        <v>#DIV/0!</v>
      </c>
      <c r="CM32" s="1779"/>
      <c r="CN32" s="1779"/>
      <c r="CO32" s="1779"/>
      <c r="CP32" s="1779"/>
    </row>
    <row r="33" spans="1:94" x14ac:dyDescent="0.25">
      <c r="A33" s="98">
        <v>41730</v>
      </c>
      <c r="B33" s="105">
        <v>48690</v>
      </c>
      <c r="C33" s="95">
        <v>1208</v>
      </c>
      <c r="D33" s="104">
        <f t="shared" si="3"/>
        <v>2.4810022591907989E-2</v>
      </c>
      <c r="H33" s="110"/>
      <c r="K33" s="95">
        <f t="shared" si="8"/>
        <v>29124</v>
      </c>
      <c r="L33" s="95">
        <f t="shared" si="9"/>
        <v>26737.833333333332</v>
      </c>
      <c r="M33" s="95">
        <f t="shared" si="4"/>
        <v>318</v>
      </c>
      <c r="N33" s="95">
        <f t="shared" si="10"/>
        <v>305.66666666666669</v>
      </c>
      <c r="O33" s="95"/>
      <c r="P33" s="95" t="e">
        <f t="shared" si="11"/>
        <v>#DIV/0!</v>
      </c>
      <c r="Q33" s="103">
        <v>6020</v>
      </c>
      <c r="R33" s="95">
        <f t="shared" si="6"/>
        <v>7637.916666666667</v>
      </c>
      <c r="S33" s="161">
        <v>77</v>
      </c>
      <c r="T33" s="179">
        <f t="shared" si="12"/>
        <v>107.75</v>
      </c>
      <c r="U33" s="103"/>
      <c r="V33" s="179" t="e">
        <f t="shared" si="13"/>
        <v>#DIV/0!</v>
      </c>
      <c r="W33" s="103">
        <v>23104</v>
      </c>
      <c r="X33" s="95">
        <f t="shared" si="7"/>
        <v>19099.916666666668</v>
      </c>
      <c r="Y33" s="103">
        <v>241</v>
      </c>
      <c r="Z33" s="179">
        <f t="shared" si="14"/>
        <v>197.91666666666666</v>
      </c>
      <c r="AA33" s="103"/>
      <c r="AB33" s="179" t="e">
        <f t="shared" si="15"/>
        <v>#DIV/0!</v>
      </c>
      <c r="AC33" s="103">
        <v>24245</v>
      </c>
      <c r="AD33" s="103">
        <v>13717</v>
      </c>
      <c r="AE33" s="9">
        <v>58</v>
      </c>
      <c r="AF33">
        <v>46</v>
      </c>
      <c r="AJ33" s="159"/>
      <c r="AK33" s="9"/>
      <c r="AM33" s="101">
        <v>6683</v>
      </c>
      <c r="AN33" s="49"/>
      <c r="AO33" s="905"/>
      <c r="AP33" s="109"/>
      <c r="AS33" s="49"/>
      <c r="AT33" s="9"/>
      <c r="AW33" s="49"/>
      <c r="BI33" s="49"/>
      <c r="BJ33" s="80">
        <f t="shared" si="5"/>
        <v>41730</v>
      </c>
      <c r="BK33" s="95">
        <f t="shared" si="16"/>
        <v>29412.916666666668</v>
      </c>
      <c r="BL33" s="95">
        <f t="shared" si="16"/>
        <v>16861.416666666668</v>
      </c>
      <c r="BM33" s="95">
        <f t="shared" si="17"/>
        <v>50284.083333333336</v>
      </c>
      <c r="BT33" s="80">
        <f t="shared" si="1"/>
        <v>41730</v>
      </c>
      <c r="CA33" s="102">
        <f t="shared" si="18"/>
        <v>2.544874082894541E-2</v>
      </c>
      <c r="CB33" s="102" t="e">
        <f t="shared" si="19"/>
        <v>#DIV/0!</v>
      </c>
      <c r="CC33" s="155" t="e">
        <f t="shared" si="2"/>
        <v>#DIV/0!</v>
      </c>
      <c r="CM33" s="1779">
        <f t="shared" ref="CM33" si="20">SUM(W33:W44)/SUM(W21:W32)-1</f>
        <v>9.7693920335429674E-2</v>
      </c>
      <c r="CN33" s="1779">
        <f t="shared" ref="CN33" si="21">SUM(Q33:Q44)/SUM(Q21:Q32)-1</f>
        <v>0.12217599720466032</v>
      </c>
      <c r="CO33" s="1779">
        <f t="shared" ref="CO33:CP33" si="22">SUM(AC33:AC44)/SUM(AC21:AC32)-1</f>
        <v>8.3247044552331895E-2</v>
      </c>
      <c r="CP33" s="1779">
        <f t="shared" si="22"/>
        <v>8.6528736068835599E-2</v>
      </c>
    </row>
    <row r="34" spans="1:94" x14ac:dyDescent="0.25">
      <c r="A34" s="98">
        <v>41760</v>
      </c>
      <c r="B34" s="105">
        <v>65660</v>
      </c>
      <c r="C34" s="95">
        <v>1456</v>
      </c>
      <c r="D34" s="104">
        <f t="shared" si="3"/>
        <v>2.2174840085287847E-2</v>
      </c>
      <c r="H34" s="110"/>
      <c r="K34" s="95">
        <f t="shared" si="8"/>
        <v>30773</v>
      </c>
      <c r="L34" s="95">
        <f t="shared" si="9"/>
        <v>26331.5</v>
      </c>
      <c r="M34" s="95">
        <f t="shared" si="4"/>
        <v>334</v>
      </c>
      <c r="N34" s="95">
        <f t="shared" si="10"/>
        <v>302.66666666666669</v>
      </c>
      <c r="O34" s="95"/>
      <c r="P34" s="95" t="e">
        <f t="shared" si="11"/>
        <v>#DIV/0!</v>
      </c>
      <c r="Q34" s="103">
        <v>7584</v>
      </c>
      <c r="R34" s="95">
        <f t="shared" si="6"/>
        <v>7784.666666666667</v>
      </c>
      <c r="S34" s="161">
        <v>95</v>
      </c>
      <c r="T34" s="179">
        <f t="shared" si="12"/>
        <v>106.66666666666667</v>
      </c>
      <c r="U34" s="103"/>
      <c r="V34" s="179" t="e">
        <f t="shared" si="13"/>
        <v>#DIV/0!</v>
      </c>
      <c r="W34" s="103">
        <v>23189</v>
      </c>
      <c r="X34" s="95">
        <f t="shared" si="7"/>
        <v>18546.833333333332</v>
      </c>
      <c r="Y34" s="103">
        <v>239</v>
      </c>
      <c r="Z34" s="179">
        <f t="shared" si="14"/>
        <v>196</v>
      </c>
      <c r="AA34" s="103"/>
      <c r="AB34" s="179" t="e">
        <f t="shared" si="15"/>
        <v>#DIV/0!</v>
      </c>
      <c r="AC34" s="103">
        <v>34148</v>
      </c>
      <c r="AD34" s="103">
        <v>17172</v>
      </c>
      <c r="AE34" s="9">
        <v>58</v>
      </c>
      <c r="AF34">
        <v>46</v>
      </c>
      <c r="AJ34" s="159"/>
      <c r="AK34" s="9"/>
      <c r="AM34" s="101">
        <v>10778</v>
      </c>
      <c r="AN34" s="49"/>
      <c r="AO34" s="905"/>
      <c r="AP34" s="109"/>
      <c r="AS34" s="49"/>
      <c r="AT34" s="9"/>
      <c r="AW34" s="49"/>
      <c r="BI34" s="49"/>
      <c r="BJ34" s="80">
        <f t="shared" si="5"/>
        <v>41760</v>
      </c>
      <c r="BK34" s="95">
        <f t="shared" si="16"/>
        <v>29419</v>
      </c>
      <c r="BL34" s="95">
        <f t="shared" si="16"/>
        <v>16666.916666666668</v>
      </c>
      <c r="BM34" s="95">
        <f t="shared" si="17"/>
        <v>50385.5</v>
      </c>
      <c r="BT34" s="80">
        <f t="shared" si="1"/>
        <v>41760</v>
      </c>
      <c r="CA34" s="102">
        <f t="shared" si="18"/>
        <v>2.5289702634489594E-2</v>
      </c>
      <c r="CB34" s="102" t="e">
        <f t="shared" si="19"/>
        <v>#DIV/0!</v>
      </c>
      <c r="CC34" s="155" t="e">
        <f t="shared" si="2"/>
        <v>#DIV/0!</v>
      </c>
      <c r="CM34" s="1779"/>
      <c r="CN34" s="1779"/>
      <c r="CO34" s="1779"/>
      <c r="CP34" s="1779"/>
    </row>
    <row r="35" spans="1:94" x14ac:dyDescent="0.25">
      <c r="A35" s="98">
        <v>41791</v>
      </c>
      <c r="B35" s="105">
        <v>66768</v>
      </c>
      <c r="C35" s="95">
        <v>1540</v>
      </c>
      <c r="D35" s="104">
        <f t="shared" si="3"/>
        <v>2.3064941289240356E-2</v>
      </c>
      <c r="H35" s="110"/>
      <c r="K35" s="95">
        <f t="shared" si="8"/>
        <v>29256</v>
      </c>
      <c r="L35" s="95">
        <f t="shared" si="9"/>
        <v>26990.75</v>
      </c>
      <c r="M35" s="95">
        <f t="shared" si="4"/>
        <v>362</v>
      </c>
      <c r="N35" s="95">
        <f t="shared" si="10"/>
        <v>312</v>
      </c>
      <c r="O35" s="95"/>
      <c r="P35" s="95" t="e">
        <f t="shared" si="11"/>
        <v>#DIV/0!</v>
      </c>
      <c r="Q35" s="103">
        <v>8342</v>
      </c>
      <c r="R35" s="95">
        <f t="shared" si="6"/>
        <v>8004</v>
      </c>
      <c r="S35" s="161">
        <v>119</v>
      </c>
      <c r="T35" s="179">
        <f t="shared" si="12"/>
        <v>108.66666666666667</v>
      </c>
      <c r="U35" s="103"/>
      <c r="V35" s="179" t="e">
        <f t="shared" si="13"/>
        <v>#DIV/0!</v>
      </c>
      <c r="W35" s="103">
        <v>20914</v>
      </c>
      <c r="X35" s="95">
        <f t="shared" si="7"/>
        <v>18986.75</v>
      </c>
      <c r="Y35" s="103">
        <v>243</v>
      </c>
      <c r="Z35" s="179">
        <f t="shared" si="14"/>
        <v>203.33333333333334</v>
      </c>
      <c r="AA35" s="103"/>
      <c r="AB35" s="179" t="e">
        <f t="shared" si="15"/>
        <v>#DIV/0!</v>
      </c>
      <c r="AC35" s="103">
        <v>39607</v>
      </c>
      <c r="AD35" s="103">
        <v>17788</v>
      </c>
      <c r="AE35" s="9">
        <v>58</v>
      </c>
      <c r="AF35">
        <v>46</v>
      </c>
      <c r="AJ35" s="159"/>
      <c r="AK35" s="9"/>
      <c r="AM35" s="101">
        <v>15465</v>
      </c>
      <c r="AN35" s="49"/>
      <c r="AO35" s="905"/>
      <c r="AP35" s="109"/>
      <c r="AS35" s="49"/>
      <c r="AT35" s="9"/>
      <c r="AW35" s="49"/>
      <c r="BI35" s="49"/>
      <c r="BJ35" s="80">
        <f t="shared" si="5"/>
        <v>41791</v>
      </c>
      <c r="BK35" s="95">
        <f t="shared" si="16"/>
        <v>30170.916666666668</v>
      </c>
      <c r="BL35" s="95">
        <f t="shared" si="16"/>
        <v>16846.25</v>
      </c>
      <c r="BM35" s="95">
        <f t="shared" si="17"/>
        <v>51412.916666666664</v>
      </c>
      <c r="BT35" s="80">
        <f t="shared" si="1"/>
        <v>41791</v>
      </c>
      <c r="CA35" s="102">
        <f t="shared" si="18"/>
        <v>2.4627849212685612E-2</v>
      </c>
      <c r="CB35" s="102" t="e">
        <f t="shared" si="19"/>
        <v>#DIV/0!</v>
      </c>
      <c r="CC35" s="155" t="e">
        <f t="shared" si="2"/>
        <v>#DIV/0!</v>
      </c>
      <c r="CM35" s="1779"/>
      <c r="CN35" s="1779"/>
      <c r="CO35" s="1779"/>
      <c r="CP35" s="1779"/>
    </row>
    <row r="36" spans="1:94" x14ac:dyDescent="0.25">
      <c r="A36" s="98">
        <v>41821</v>
      </c>
      <c r="B36" s="105">
        <v>63409</v>
      </c>
      <c r="C36" s="95">
        <v>1543</v>
      </c>
      <c r="D36" s="104">
        <f t="shared" si="3"/>
        <v>2.4334085066788625E-2</v>
      </c>
      <c r="H36" s="110"/>
      <c r="K36" s="95">
        <f t="shared" si="8"/>
        <v>33141</v>
      </c>
      <c r="L36" s="95">
        <f t="shared" si="9"/>
        <v>27078.25</v>
      </c>
      <c r="M36" s="95">
        <f t="shared" si="4"/>
        <v>426</v>
      </c>
      <c r="N36" s="95">
        <f t="shared" si="10"/>
        <v>315.41666666666669</v>
      </c>
      <c r="O36" s="95"/>
      <c r="P36" s="95" t="e">
        <f t="shared" si="11"/>
        <v>#DIV/0!</v>
      </c>
      <c r="Q36" s="103">
        <v>8072</v>
      </c>
      <c r="R36" s="95">
        <f t="shared" si="6"/>
        <v>7951.083333333333</v>
      </c>
      <c r="S36" s="161">
        <v>108</v>
      </c>
      <c r="T36" s="179">
        <f t="shared" si="12"/>
        <v>104.33333333333333</v>
      </c>
      <c r="U36" s="103"/>
      <c r="V36" s="179" t="e">
        <f t="shared" si="13"/>
        <v>#DIV/0!</v>
      </c>
      <c r="W36" s="103">
        <v>25069</v>
      </c>
      <c r="X36" s="95">
        <f t="shared" si="7"/>
        <v>19127.166666666668</v>
      </c>
      <c r="Y36" s="103">
        <v>318</v>
      </c>
      <c r="Z36" s="179">
        <f t="shared" si="14"/>
        <v>211.08333333333334</v>
      </c>
      <c r="AA36" s="103"/>
      <c r="AB36" s="179" t="e">
        <f t="shared" si="15"/>
        <v>#DIV/0!</v>
      </c>
      <c r="AC36" s="103">
        <v>31017</v>
      </c>
      <c r="AD36" s="103">
        <v>21415</v>
      </c>
      <c r="AE36" s="9">
        <v>58</v>
      </c>
      <c r="AF36">
        <v>46</v>
      </c>
      <c r="AJ36" s="159"/>
      <c r="AK36" s="9"/>
      <c r="AM36" s="101">
        <v>12557</v>
      </c>
      <c r="AN36" s="49"/>
      <c r="AO36" s="905"/>
      <c r="AP36" s="109"/>
      <c r="AS36" s="49"/>
      <c r="AT36" s="9"/>
      <c r="AW36" s="49"/>
      <c r="BI36" s="49"/>
      <c r="BJ36" s="80">
        <f t="shared" si="5"/>
        <v>41821</v>
      </c>
      <c r="BK36" s="95">
        <f t="shared" si="16"/>
        <v>29961.916666666668</v>
      </c>
      <c r="BL36" s="95">
        <f t="shared" si="16"/>
        <v>17010.25</v>
      </c>
      <c r="BM36" s="95">
        <f t="shared" si="17"/>
        <v>52168.166666666664</v>
      </c>
      <c r="BT36" s="80">
        <f t="shared" si="1"/>
        <v>41821</v>
      </c>
      <c r="CA36" s="102">
        <f t="shared" si="18"/>
        <v>2.3487716524354812E-2</v>
      </c>
      <c r="CB36" s="102" t="e">
        <f t="shared" si="19"/>
        <v>#DIV/0!</v>
      </c>
      <c r="CC36" s="155" t="e">
        <f t="shared" si="2"/>
        <v>#DIV/0!</v>
      </c>
      <c r="CM36" s="1779"/>
      <c r="CN36" s="1779"/>
      <c r="CO36" s="1779"/>
      <c r="CP36" s="1779"/>
    </row>
    <row r="37" spans="1:94" x14ac:dyDescent="0.25">
      <c r="A37" s="98">
        <v>41852</v>
      </c>
      <c r="B37" s="105">
        <v>58404</v>
      </c>
      <c r="C37" s="95">
        <v>1261</v>
      </c>
      <c r="D37" s="104">
        <f t="shared" si="3"/>
        <v>2.1590986918704199E-2</v>
      </c>
      <c r="H37" s="110"/>
      <c r="K37" s="95">
        <f t="shared" si="8"/>
        <v>28932</v>
      </c>
      <c r="L37" s="95">
        <f t="shared" si="9"/>
        <v>27631.333333333332</v>
      </c>
      <c r="M37" s="95">
        <f t="shared" si="4"/>
        <v>386</v>
      </c>
      <c r="N37" s="95">
        <f t="shared" si="10"/>
        <v>324.16666666666669</v>
      </c>
      <c r="O37" s="95"/>
      <c r="P37" s="95" t="e">
        <f t="shared" si="11"/>
        <v>#DIV/0!</v>
      </c>
      <c r="Q37" s="103">
        <v>8169</v>
      </c>
      <c r="R37" s="95">
        <f t="shared" si="6"/>
        <v>8009</v>
      </c>
      <c r="S37" s="161">
        <v>110</v>
      </c>
      <c r="T37" s="179">
        <f t="shared" si="12"/>
        <v>104.41666666666667</v>
      </c>
      <c r="U37" s="103"/>
      <c r="V37" s="179" t="e">
        <f t="shared" si="13"/>
        <v>#DIV/0!</v>
      </c>
      <c r="W37" s="103">
        <v>20763</v>
      </c>
      <c r="X37" s="95">
        <f t="shared" si="7"/>
        <v>19622.333333333332</v>
      </c>
      <c r="Y37" s="103">
        <v>276</v>
      </c>
      <c r="Z37" s="179">
        <f t="shared" si="14"/>
        <v>219.75</v>
      </c>
      <c r="AA37" s="103"/>
      <c r="AB37" s="179" t="e">
        <f t="shared" si="15"/>
        <v>#DIV/0!</v>
      </c>
      <c r="AC37" s="103">
        <v>35217</v>
      </c>
      <c r="AD37" s="103">
        <v>24623</v>
      </c>
      <c r="AE37" s="9">
        <v>58</v>
      </c>
      <c r="AF37">
        <v>46</v>
      </c>
      <c r="AJ37" s="159"/>
      <c r="AK37" s="9"/>
      <c r="AM37" s="101">
        <v>17314</v>
      </c>
      <c r="AN37" s="49"/>
      <c r="AO37" s="905"/>
      <c r="AP37" s="109"/>
      <c r="AS37" s="49"/>
      <c r="AT37" s="9"/>
      <c r="AW37" s="49"/>
      <c r="BI37" s="49"/>
      <c r="BJ37" s="80">
        <f t="shared" si="5"/>
        <v>41852</v>
      </c>
      <c r="BK37" s="95">
        <f t="shared" si="16"/>
        <v>31042.583333333332</v>
      </c>
      <c r="BL37" s="95">
        <f t="shared" si="16"/>
        <v>17812.583333333332</v>
      </c>
      <c r="BM37" s="95">
        <f t="shared" si="17"/>
        <v>53639.916666666664</v>
      </c>
      <c r="BT37" s="80">
        <f t="shared" si="1"/>
        <v>41852</v>
      </c>
      <c r="CA37" s="102">
        <f t="shared" si="18"/>
        <v>2.3560697527285304E-2</v>
      </c>
      <c r="CB37" s="102" t="e">
        <f t="shared" si="19"/>
        <v>#DIV/0!</v>
      </c>
      <c r="CC37" s="155" t="e">
        <f t="shared" si="2"/>
        <v>#DIV/0!</v>
      </c>
      <c r="CM37" s="1779"/>
      <c r="CN37" s="1779"/>
      <c r="CO37" s="1779"/>
      <c r="CP37" s="1779"/>
    </row>
    <row r="38" spans="1:94" x14ac:dyDescent="0.25">
      <c r="A38" s="98">
        <v>41883</v>
      </c>
      <c r="B38" s="105">
        <v>77005</v>
      </c>
      <c r="C38" s="95">
        <v>1494</v>
      </c>
      <c r="D38" s="104">
        <f t="shared" si="3"/>
        <v>1.9401337575482111E-2</v>
      </c>
      <c r="H38" s="110"/>
      <c r="K38" s="95">
        <f t="shared" si="8"/>
        <v>33981</v>
      </c>
      <c r="L38" s="95">
        <f t="shared" si="9"/>
        <v>28442.666666666668</v>
      </c>
      <c r="M38" s="95">
        <f t="shared" si="4"/>
        <v>395</v>
      </c>
      <c r="N38" s="95">
        <f t="shared" si="10"/>
        <v>329.08333333333331</v>
      </c>
      <c r="O38" s="95"/>
      <c r="P38" s="95" t="e">
        <f t="shared" si="11"/>
        <v>#DIV/0!</v>
      </c>
      <c r="Q38" s="103">
        <v>11567</v>
      </c>
      <c r="R38" s="95">
        <f t="shared" si="6"/>
        <v>8162.833333333333</v>
      </c>
      <c r="S38" s="161">
        <v>145</v>
      </c>
      <c r="T38" s="179">
        <f t="shared" si="12"/>
        <v>104.41666666666667</v>
      </c>
      <c r="U38" s="103"/>
      <c r="V38" s="179" t="e">
        <f t="shared" si="13"/>
        <v>#DIV/0!</v>
      </c>
      <c r="W38" s="103">
        <v>22414</v>
      </c>
      <c r="X38" s="95">
        <f t="shared" si="7"/>
        <v>20279.833333333332</v>
      </c>
      <c r="Y38" s="103">
        <v>250</v>
      </c>
      <c r="Z38" s="179">
        <f t="shared" si="14"/>
        <v>224.66666666666666</v>
      </c>
      <c r="AA38" s="103"/>
      <c r="AB38" s="179" t="e">
        <f t="shared" si="15"/>
        <v>#DIV/0!</v>
      </c>
      <c r="AC38" s="103">
        <v>47299</v>
      </c>
      <c r="AD38" s="103">
        <v>27334</v>
      </c>
      <c r="AE38" s="9">
        <v>58</v>
      </c>
      <c r="AF38">
        <v>46</v>
      </c>
      <c r="AJ38" s="159"/>
      <c r="AK38" s="9"/>
      <c r="AM38" s="101">
        <v>22431</v>
      </c>
      <c r="AN38" s="49"/>
      <c r="AO38" s="905"/>
      <c r="AP38" s="109"/>
      <c r="AS38" s="49"/>
      <c r="AT38" s="9"/>
      <c r="AW38" s="49"/>
      <c r="BI38" s="49"/>
      <c r="BJ38" s="80">
        <f t="shared" si="5"/>
        <v>41883</v>
      </c>
      <c r="BK38" s="95">
        <f t="shared" si="16"/>
        <v>32853.833333333336</v>
      </c>
      <c r="BL38" s="95">
        <f t="shared" si="16"/>
        <v>18756.25</v>
      </c>
      <c r="BM38" s="95">
        <f t="shared" si="17"/>
        <v>56699.5</v>
      </c>
      <c r="BT38" s="80">
        <f t="shared" si="1"/>
        <v>41883</v>
      </c>
      <c r="CA38" s="102">
        <f t="shared" si="18"/>
        <v>2.3315971563266469E-2</v>
      </c>
      <c r="CB38" s="102" t="e">
        <f t="shared" si="19"/>
        <v>#DIV/0!</v>
      </c>
      <c r="CC38" s="155" t="e">
        <f t="shared" si="2"/>
        <v>#DIV/0!</v>
      </c>
      <c r="CM38" s="1779"/>
      <c r="CN38" s="1779"/>
      <c r="CO38" s="1779"/>
      <c r="CP38" s="1779"/>
    </row>
    <row r="39" spans="1:94" x14ac:dyDescent="0.25">
      <c r="A39" s="98">
        <v>41913</v>
      </c>
      <c r="B39" s="105">
        <v>70950</v>
      </c>
      <c r="C39" s="95">
        <v>1513</v>
      </c>
      <c r="D39" s="104">
        <f t="shared" si="3"/>
        <v>2.1324876673713883E-2</v>
      </c>
      <c r="H39" s="110"/>
      <c r="K39" s="95">
        <f t="shared" si="8"/>
        <v>29060</v>
      </c>
      <c r="L39" s="95">
        <f t="shared" si="9"/>
        <v>28941.5</v>
      </c>
      <c r="M39" s="95">
        <f t="shared" si="4"/>
        <v>338</v>
      </c>
      <c r="N39" s="95">
        <f t="shared" si="10"/>
        <v>332.5</v>
      </c>
      <c r="O39" s="95"/>
      <c r="P39" s="95" t="e">
        <f t="shared" si="11"/>
        <v>#DIV/0!</v>
      </c>
      <c r="Q39" s="103">
        <v>9726</v>
      </c>
      <c r="R39" s="95">
        <f t="shared" si="6"/>
        <v>8326.5</v>
      </c>
      <c r="S39" s="161">
        <v>124</v>
      </c>
      <c r="T39" s="179">
        <f t="shared" si="12"/>
        <v>105.66666666666667</v>
      </c>
      <c r="U39" s="103"/>
      <c r="V39" s="179" t="e">
        <f t="shared" si="13"/>
        <v>#DIV/0!</v>
      </c>
      <c r="W39" s="103">
        <v>19334</v>
      </c>
      <c r="X39" s="95">
        <f t="shared" si="7"/>
        <v>20615</v>
      </c>
      <c r="Y39" s="103">
        <v>214</v>
      </c>
      <c r="Z39" s="179">
        <f t="shared" si="14"/>
        <v>226.83333333333334</v>
      </c>
      <c r="AA39" s="103"/>
      <c r="AB39" s="179" t="e">
        <f t="shared" si="15"/>
        <v>#DIV/0!</v>
      </c>
      <c r="AC39" s="103">
        <v>38249</v>
      </c>
      <c r="AD39" s="103">
        <v>22160</v>
      </c>
      <c r="AE39" s="9">
        <v>58</v>
      </c>
      <c r="AF39">
        <v>49</v>
      </c>
      <c r="AG39">
        <v>9</v>
      </c>
      <c r="AH39">
        <v>0</v>
      </c>
      <c r="AJ39" s="159"/>
      <c r="AK39" s="9"/>
      <c r="AM39" s="101">
        <v>9684</v>
      </c>
      <c r="AN39" s="49"/>
      <c r="AO39" s="905"/>
      <c r="AP39" s="109"/>
      <c r="AS39" s="49"/>
      <c r="AT39" s="9"/>
      <c r="AW39" s="49"/>
      <c r="BI39" s="49"/>
      <c r="BJ39" s="80">
        <f t="shared" si="5"/>
        <v>41913</v>
      </c>
      <c r="BK39" s="95">
        <f t="shared" si="16"/>
        <v>33516.5</v>
      </c>
      <c r="BL39" s="95">
        <f t="shared" si="16"/>
        <v>19096.666666666668</v>
      </c>
      <c r="BM39" s="95">
        <f t="shared" si="17"/>
        <v>58392.75</v>
      </c>
      <c r="BT39" s="80">
        <f t="shared" si="1"/>
        <v>41913</v>
      </c>
      <c r="CA39" s="102">
        <f t="shared" si="18"/>
        <v>2.3086698046492837E-2</v>
      </c>
      <c r="CB39" s="102" t="e">
        <f t="shared" si="19"/>
        <v>#DIV/0!</v>
      </c>
      <c r="CC39" s="155" t="e">
        <f t="shared" si="2"/>
        <v>#DIV/0!</v>
      </c>
      <c r="CM39" s="1779"/>
      <c r="CN39" s="1779"/>
      <c r="CO39" s="1779"/>
      <c r="CP39" s="1779"/>
    </row>
    <row r="40" spans="1:94" x14ac:dyDescent="0.25">
      <c r="A40" s="98">
        <v>41944</v>
      </c>
      <c r="B40" s="105">
        <v>59164</v>
      </c>
      <c r="C40" s="95">
        <v>1503</v>
      </c>
      <c r="D40" s="104">
        <f t="shared" si="3"/>
        <v>2.5403961868703941E-2</v>
      </c>
      <c r="H40" s="110"/>
      <c r="K40" s="95">
        <f t="shared" si="8"/>
        <v>29813</v>
      </c>
      <c r="L40" s="95">
        <f t="shared" si="9"/>
        <v>29230.25</v>
      </c>
      <c r="M40" s="95">
        <f t="shared" si="4"/>
        <v>336</v>
      </c>
      <c r="N40" s="95">
        <f t="shared" si="10"/>
        <v>333.25</v>
      </c>
      <c r="O40" s="95"/>
      <c r="P40" s="95" t="e">
        <f t="shared" si="11"/>
        <v>#DIV/0!</v>
      </c>
      <c r="Q40" s="103">
        <v>9499</v>
      </c>
      <c r="R40" s="95">
        <f t="shared" si="6"/>
        <v>8467.1666666666661</v>
      </c>
      <c r="S40" s="161">
        <v>106</v>
      </c>
      <c r="T40" s="179">
        <f t="shared" si="12"/>
        <v>105.41666666666667</v>
      </c>
      <c r="U40" s="103"/>
      <c r="V40" s="179" t="e">
        <f t="shared" si="13"/>
        <v>#DIV/0!</v>
      </c>
      <c r="W40" s="103">
        <v>20314</v>
      </c>
      <c r="X40" s="95">
        <f t="shared" si="7"/>
        <v>20763.083333333332</v>
      </c>
      <c r="Y40" s="103">
        <v>230</v>
      </c>
      <c r="Z40" s="179">
        <f t="shared" si="14"/>
        <v>227.83333333333334</v>
      </c>
      <c r="AA40" s="103"/>
      <c r="AB40" s="179" t="e">
        <f t="shared" si="15"/>
        <v>#DIV/0!</v>
      </c>
      <c r="AC40" s="103">
        <v>36920</v>
      </c>
      <c r="AD40" s="103">
        <v>23749</v>
      </c>
      <c r="AE40" s="9">
        <v>58</v>
      </c>
      <c r="AF40">
        <v>49</v>
      </c>
      <c r="AJ40" s="159"/>
      <c r="AK40" s="9"/>
      <c r="AM40" s="101">
        <v>12669</v>
      </c>
      <c r="AN40" s="49"/>
      <c r="AO40" s="905"/>
      <c r="AP40" s="109"/>
      <c r="AS40" s="49"/>
      <c r="AT40" s="9"/>
      <c r="AW40" s="49"/>
      <c r="BI40" s="49"/>
      <c r="BJ40" s="80">
        <f t="shared" si="5"/>
        <v>41944</v>
      </c>
      <c r="BK40" s="95">
        <f t="shared" si="16"/>
        <v>33959.416666666664</v>
      </c>
      <c r="BL40" s="95">
        <f t="shared" si="16"/>
        <v>19687.25</v>
      </c>
      <c r="BM40" s="95">
        <f t="shared" si="17"/>
        <v>58770.416666666664</v>
      </c>
      <c r="BT40" s="80">
        <f t="shared" si="1"/>
        <v>41944</v>
      </c>
      <c r="CA40" s="102">
        <f t="shared" si="18"/>
        <v>2.2901930335278153E-2</v>
      </c>
      <c r="CB40" s="102" t="e">
        <f t="shared" si="19"/>
        <v>#DIV/0!</v>
      </c>
      <c r="CC40" s="155" t="e">
        <f t="shared" si="2"/>
        <v>#DIV/0!</v>
      </c>
      <c r="CM40" s="1779"/>
      <c r="CN40" s="1779"/>
      <c r="CO40" s="1779"/>
      <c r="CP40" s="1779"/>
    </row>
    <row r="41" spans="1:94" x14ac:dyDescent="0.25">
      <c r="A41" s="98">
        <v>41974</v>
      </c>
      <c r="B41" s="105">
        <v>47240</v>
      </c>
      <c r="C41" s="95">
        <v>1124</v>
      </c>
      <c r="D41" s="104">
        <f t="shared" si="3"/>
        <v>2.3793395427603725E-2</v>
      </c>
      <c r="H41" s="110"/>
      <c r="K41" s="95">
        <f t="shared" si="8"/>
        <v>27720</v>
      </c>
      <c r="L41" s="95">
        <f t="shared" si="9"/>
        <v>29787.833333333332</v>
      </c>
      <c r="M41" s="95">
        <f t="shared" si="4"/>
        <v>337</v>
      </c>
      <c r="N41" s="95">
        <f t="shared" si="10"/>
        <v>341.41666666666669</v>
      </c>
      <c r="O41" s="95"/>
      <c r="P41" s="95" t="e">
        <f t="shared" si="11"/>
        <v>#DIV/0!</v>
      </c>
      <c r="Q41" s="103">
        <v>10661</v>
      </c>
      <c r="R41" s="95">
        <f t="shared" si="6"/>
        <v>8787.8333333333339</v>
      </c>
      <c r="S41" s="161">
        <v>117</v>
      </c>
      <c r="T41" s="179">
        <f t="shared" si="12"/>
        <v>107.83333333333333</v>
      </c>
      <c r="U41" s="103"/>
      <c r="V41" s="179" t="e">
        <f t="shared" si="13"/>
        <v>#DIV/0!</v>
      </c>
      <c r="W41" s="103">
        <v>17059</v>
      </c>
      <c r="X41" s="95">
        <f t="shared" si="7"/>
        <v>21000</v>
      </c>
      <c r="Y41" s="103">
        <v>220</v>
      </c>
      <c r="Z41" s="179">
        <f t="shared" si="14"/>
        <v>233.58333333333334</v>
      </c>
      <c r="AA41" s="103"/>
      <c r="AB41" s="179" t="e">
        <f t="shared" si="15"/>
        <v>#DIV/0!</v>
      </c>
      <c r="AC41" s="103">
        <v>36740</v>
      </c>
      <c r="AD41" s="103">
        <v>16775</v>
      </c>
      <c r="AE41" s="9">
        <v>58</v>
      </c>
      <c r="AF41">
        <v>49</v>
      </c>
      <c r="AJ41" s="159"/>
      <c r="AK41" s="9"/>
      <c r="AM41" s="101">
        <v>12341</v>
      </c>
      <c r="AN41" s="49"/>
      <c r="AO41" s="905"/>
      <c r="AP41" s="109"/>
      <c r="AS41" s="49"/>
      <c r="AT41" s="9"/>
      <c r="AW41" s="49"/>
      <c r="BI41" s="49"/>
      <c r="BJ41" s="80">
        <f t="shared" si="5"/>
        <v>41974</v>
      </c>
      <c r="BK41" s="95">
        <f t="shared" si="16"/>
        <v>34941.333333333336</v>
      </c>
      <c r="BL41" s="95">
        <f t="shared" si="16"/>
        <v>19899.833333333332</v>
      </c>
      <c r="BM41" s="95">
        <f t="shared" si="17"/>
        <v>58762.333333333336</v>
      </c>
      <c r="BT41" s="80">
        <f t="shared" si="1"/>
        <v>41974</v>
      </c>
      <c r="BV41" s="137" t="e">
        <f>AVERAGE(AO30:AO41)</f>
        <v>#DIV/0!</v>
      </c>
      <c r="CA41" s="102">
        <f t="shared" si="18"/>
        <v>2.2942962296458053E-2</v>
      </c>
      <c r="CB41" s="102" t="e">
        <f t="shared" si="19"/>
        <v>#DIV/0!</v>
      </c>
      <c r="CC41" s="155" t="e">
        <f t="shared" si="2"/>
        <v>#DIV/0!</v>
      </c>
      <c r="CM41" s="1779"/>
      <c r="CN41" s="1779"/>
      <c r="CO41" s="1779"/>
      <c r="CP41" s="1779"/>
    </row>
    <row r="42" spans="1:94" x14ac:dyDescent="0.25">
      <c r="A42" s="98">
        <v>42005</v>
      </c>
      <c r="B42" s="105">
        <v>31586</v>
      </c>
      <c r="C42" s="95">
        <v>1029</v>
      </c>
      <c r="D42" s="104">
        <f t="shared" si="3"/>
        <v>3.2577724308237827E-2</v>
      </c>
      <c r="H42" s="110"/>
      <c r="K42" s="95">
        <f t="shared" si="8"/>
        <v>17781</v>
      </c>
      <c r="L42" s="95">
        <f t="shared" si="9"/>
        <v>29341.5</v>
      </c>
      <c r="M42" s="95">
        <f t="shared" si="4"/>
        <v>177</v>
      </c>
      <c r="N42" s="95">
        <f t="shared" si="10"/>
        <v>336.91666666666669</v>
      </c>
      <c r="O42" s="95"/>
      <c r="P42" s="95" t="e">
        <f t="shared" si="11"/>
        <v>#DIV/0!</v>
      </c>
      <c r="Q42" s="103">
        <v>4736</v>
      </c>
      <c r="R42" s="95">
        <f t="shared" si="6"/>
        <v>8565.75</v>
      </c>
      <c r="S42" s="161">
        <v>52</v>
      </c>
      <c r="T42" s="179">
        <f t="shared" si="12"/>
        <v>105.66666666666667</v>
      </c>
      <c r="U42" s="103"/>
      <c r="V42" s="179" t="e">
        <f t="shared" si="13"/>
        <v>#DIV/0!</v>
      </c>
      <c r="W42" s="103">
        <v>13045</v>
      </c>
      <c r="X42" s="95">
        <f t="shared" si="7"/>
        <v>20775.75</v>
      </c>
      <c r="Y42" s="103">
        <v>125</v>
      </c>
      <c r="Z42" s="179">
        <f t="shared" si="14"/>
        <v>231.25</v>
      </c>
      <c r="AA42" s="103"/>
      <c r="AB42" s="179" t="e">
        <f t="shared" si="15"/>
        <v>#DIV/0!</v>
      </c>
      <c r="AC42" s="103">
        <v>12695</v>
      </c>
      <c r="AD42" s="103">
        <v>7769</v>
      </c>
      <c r="AE42" s="9">
        <v>58</v>
      </c>
      <c r="AF42">
        <v>49</v>
      </c>
      <c r="AJ42" s="159"/>
      <c r="AK42" s="9"/>
      <c r="AM42" s="101">
        <v>12589</v>
      </c>
      <c r="AN42" s="49"/>
      <c r="AO42" s="905"/>
      <c r="AP42" s="109"/>
      <c r="AS42" s="49"/>
      <c r="AT42" s="9"/>
      <c r="AW42" s="49"/>
      <c r="BI42" s="49"/>
      <c r="BJ42" s="80">
        <f t="shared" si="5"/>
        <v>42005</v>
      </c>
      <c r="BK42" s="95">
        <f t="shared" si="16"/>
        <v>33601</v>
      </c>
      <c r="BL42" s="95">
        <f t="shared" si="16"/>
        <v>19268.416666666668</v>
      </c>
      <c r="BM42" s="95">
        <f t="shared" si="17"/>
        <v>57970.75</v>
      </c>
      <c r="BT42" s="80">
        <f t="shared" si="1"/>
        <v>42005</v>
      </c>
      <c r="BV42" s="137" t="e">
        <f t="shared" ref="BV42:BV105" si="23">AVERAGE(AO31:AO42)</f>
        <v>#DIV/0!</v>
      </c>
      <c r="CA42" s="102">
        <f t="shared" si="18"/>
        <v>2.3777524389687443E-2</v>
      </c>
      <c r="CB42" s="102" t="e">
        <f t="shared" si="19"/>
        <v>#DIV/0!</v>
      </c>
      <c r="CC42" s="155" t="e">
        <f t="shared" si="2"/>
        <v>#DIV/0!</v>
      </c>
      <c r="CI42">
        <v>7</v>
      </c>
      <c r="CM42" s="1779"/>
      <c r="CN42" s="1779"/>
      <c r="CO42" s="1779"/>
      <c r="CP42" s="1779"/>
    </row>
    <row r="43" spans="1:94" x14ac:dyDescent="0.25">
      <c r="A43" s="98">
        <v>42036</v>
      </c>
      <c r="B43" s="105">
        <v>49010</v>
      </c>
      <c r="C43" s="95">
        <v>1287</v>
      </c>
      <c r="D43" s="104">
        <f t="shared" si="3"/>
        <v>2.6259946949602122E-2</v>
      </c>
      <c r="H43" s="110"/>
      <c r="K43" s="95">
        <f t="shared" si="8"/>
        <v>30635</v>
      </c>
      <c r="L43" s="95">
        <f t="shared" si="9"/>
        <v>29713.166666666668</v>
      </c>
      <c r="M43" s="95">
        <f t="shared" si="4"/>
        <v>305</v>
      </c>
      <c r="N43" s="95">
        <f t="shared" si="10"/>
        <v>339.25</v>
      </c>
      <c r="O43" s="95"/>
      <c r="P43" s="95" t="e">
        <f t="shared" si="11"/>
        <v>#DIV/0!</v>
      </c>
      <c r="Q43" s="103">
        <v>8288</v>
      </c>
      <c r="R43" s="95">
        <f t="shared" si="6"/>
        <v>8610.6666666666661</v>
      </c>
      <c r="S43" s="161">
        <v>98</v>
      </c>
      <c r="T43" s="179">
        <f t="shared" si="12"/>
        <v>106.33333333333333</v>
      </c>
      <c r="U43" s="103"/>
      <c r="V43" s="179" t="e">
        <f t="shared" si="13"/>
        <v>#DIV/0!</v>
      </c>
      <c r="W43" s="103">
        <v>22347</v>
      </c>
      <c r="X43" s="95">
        <f t="shared" si="7"/>
        <v>21102.5</v>
      </c>
      <c r="Y43" s="103">
        <v>207</v>
      </c>
      <c r="Z43" s="179">
        <f t="shared" si="14"/>
        <v>232.91666666666666</v>
      </c>
      <c r="AA43" s="103"/>
      <c r="AB43" s="179" t="e">
        <f t="shared" si="15"/>
        <v>#DIV/0!</v>
      </c>
      <c r="AC43" s="103">
        <v>24534</v>
      </c>
      <c r="AD43" s="103">
        <v>14698</v>
      </c>
      <c r="AE43" s="9">
        <v>58</v>
      </c>
      <c r="AF43">
        <v>49</v>
      </c>
      <c r="AJ43" s="159"/>
      <c r="AK43" s="9"/>
      <c r="AM43" s="101">
        <v>12760</v>
      </c>
      <c r="AN43" s="49"/>
      <c r="AO43" s="905"/>
      <c r="AP43" s="109"/>
      <c r="AS43" s="49"/>
      <c r="AT43" s="9"/>
      <c r="AW43" s="49"/>
      <c r="BI43" s="49"/>
      <c r="BJ43" s="80">
        <f t="shared" si="5"/>
        <v>42036</v>
      </c>
      <c r="BK43" s="95">
        <f t="shared" si="16"/>
        <v>33376.083333333336</v>
      </c>
      <c r="BL43" s="95">
        <f t="shared" si="16"/>
        <v>19054.833333333332</v>
      </c>
      <c r="BM43" s="95">
        <f t="shared" si="17"/>
        <v>57833.5</v>
      </c>
      <c r="BT43" s="80">
        <f t="shared" si="1"/>
        <v>42036</v>
      </c>
      <c r="BV43" s="137" t="e">
        <f t="shared" si="23"/>
        <v>#DIV/0!</v>
      </c>
      <c r="CA43" s="102">
        <f t="shared" si="18"/>
        <v>2.3748324957930712E-2</v>
      </c>
      <c r="CB43" s="102" t="e">
        <f t="shared" si="19"/>
        <v>#DIV/0!</v>
      </c>
      <c r="CC43" s="155" t="e">
        <f t="shared" si="2"/>
        <v>#DIV/0!</v>
      </c>
      <c r="CI43">
        <v>6</v>
      </c>
      <c r="CM43" s="1779"/>
      <c r="CN43" s="1779"/>
      <c r="CO43" s="1779"/>
      <c r="CP43" s="1779"/>
    </row>
    <row r="44" spans="1:94" x14ac:dyDescent="0.25">
      <c r="A44" s="98">
        <v>42064</v>
      </c>
      <c r="B44" s="105">
        <v>51087</v>
      </c>
      <c r="C44" s="95">
        <v>1180</v>
      </c>
      <c r="D44" s="104">
        <f t="shared" si="3"/>
        <v>2.3097852682678569E-2</v>
      </c>
      <c r="H44" s="110"/>
      <c r="K44" s="95">
        <f t="shared" si="8"/>
        <v>36500</v>
      </c>
      <c r="L44" s="95">
        <f t="shared" si="9"/>
        <v>29726.333333333332</v>
      </c>
      <c r="M44" s="95">
        <f t="shared" si="4"/>
        <v>397</v>
      </c>
      <c r="N44" s="95">
        <f t="shared" si="10"/>
        <v>342.58333333333331</v>
      </c>
      <c r="O44" s="95"/>
      <c r="P44" s="95" t="e">
        <f t="shared" si="11"/>
        <v>#DIV/0!</v>
      </c>
      <c r="Q44" s="103">
        <v>10106</v>
      </c>
      <c r="R44" s="95">
        <f t="shared" si="6"/>
        <v>8564.1666666666661</v>
      </c>
      <c r="S44" s="161">
        <v>110</v>
      </c>
      <c r="T44" s="179">
        <f t="shared" si="12"/>
        <v>105.08333333333333</v>
      </c>
      <c r="U44" s="103"/>
      <c r="V44" s="179" t="e">
        <f t="shared" si="13"/>
        <v>#DIV/0!</v>
      </c>
      <c r="W44" s="103">
        <v>26394</v>
      </c>
      <c r="X44" s="95">
        <f t="shared" si="7"/>
        <v>21162.166666666668</v>
      </c>
      <c r="Y44" s="103">
        <v>287</v>
      </c>
      <c r="Z44" s="179">
        <f t="shared" si="14"/>
        <v>237.5</v>
      </c>
      <c r="AA44" s="103"/>
      <c r="AB44" s="179" t="e">
        <f t="shared" si="15"/>
        <v>#DIV/0!</v>
      </c>
      <c r="AC44" s="103">
        <v>35818</v>
      </c>
      <c r="AD44" s="103">
        <v>21611</v>
      </c>
      <c r="AE44" s="9">
        <v>66</v>
      </c>
      <c r="AF44">
        <v>49</v>
      </c>
      <c r="AJ44" s="159"/>
      <c r="AK44" s="9"/>
      <c r="AM44" s="101">
        <v>19930</v>
      </c>
      <c r="AN44" s="49"/>
      <c r="AO44" s="905"/>
      <c r="AP44" s="109"/>
      <c r="AS44" s="49"/>
      <c r="AT44" s="9"/>
      <c r="AW44" s="49"/>
      <c r="BI44" s="49"/>
      <c r="BJ44" s="80">
        <f t="shared" si="5"/>
        <v>42064</v>
      </c>
      <c r="BK44" s="95">
        <f t="shared" si="16"/>
        <v>33040.75</v>
      </c>
      <c r="BL44" s="95">
        <f t="shared" si="16"/>
        <v>19067.583333333332</v>
      </c>
      <c r="BM44" s="95">
        <f t="shared" si="17"/>
        <v>57414.416666666664</v>
      </c>
      <c r="BT44" s="80">
        <f t="shared" si="1"/>
        <v>42064</v>
      </c>
      <c r="BV44" s="137" t="e">
        <f t="shared" si="23"/>
        <v>#DIV/0!</v>
      </c>
      <c r="CA44" s="102">
        <f t="shared" si="18"/>
        <v>2.3986164286495932E-2</v>
      </c>
      <c r="CB44" s="102" t="e">
        <f t="shared" si="19"/>
        <v>#DIV/0!</v>
      </c>
      <c r="CC44" s="155" t="e">
        <f t="shared" si="2"/>
        <v>#DIV/0!</v>
      </c>
      <c r="CI44">
        <v>12</v>
      </c>
      <c r="CM44" s="1779"/>
      <c r="CN44" s="1779"/>
      <c r="CO44" s="1779"/>
      <c r="CP44" s="1779"/>
    </row>
    <row r="45" spans="1:94" x14ac:dyDescent="0.25">
      <c r="A45" s="98">
        <v>42095</v>
      </c>
      <c r="B45" s="105">
        <v>51612</v>
      </c>
      <c r="C45" s="95">
        <v>1215</v>
      </c>
      <c r="D45" s="104">
        <f t="shared" si="3"/>
        <v>2.3541036968146942E-2</v>
      </c>
      <c r="H45" s="110"/>
      <c r="K45" s="95">
        <f t="shared" si="8"/>
        <v>27404</v>
      </c>
      <c r="L45" s="95">
        <f t="shared" si="9"/>
        <v>29583</v>
      </c>
      <c r="M45" s="95">
        <f t="shared" si="4"/>
        <v>320</v>
      </c>
      <c r="N45" s="95">
        <f t="shared" si="10"/>
        <v>342.75</v>
      </c>
      <c r="O45" s="95"/>
      <c r="P45" s="95" t="e">
        <f t="shared" si="11"/>
        <v>#DIV/0!</v>
      </c>
      <c r="Q45" s="103">
        <v>7568</v>
      </c>
      <c r="R45" s="95">
        <f t="shared" si="6"/>
        <v>8693.1666666666661</v>
      </c>
      <c r="S45" s="161">
        <v>91</v>
      </c>
      <c r="T45" s="179">
        <f t="shared" si="12"/>
        <v>106.25</v>
      </c>
      <c r="U45" s="103"/>
      <c r="V45" s="179" t="e">
        <f t="shared" si="13"/>
        <v>#DIV/0!</v>
      </c>
      <c r="W45" s="103">
        <v>19836</v>
      </c>
      <c r="X45" s="95">
        <f t="shared" si="7"/>
        <v>20889.833333333332</v>
      </c>
      <c r="Y45" s="103">
        <v>229</v>
      </c>
      <c r="Z45" s="179">
        <f t="shared" si="14"/>
        <v>236.5</v>
      </c>
      <c r="AA45" s="103"/>
      <c r="AB45" s="179" t="e">
        <f t="shared" si="15"/>
        <v>#DIV/0!</v>
      </c>
      <c r="AC45" s="103">
        <v>27206</v>
      </c>
      <c r="AD45" s="103">
        <v>18635</v>
      </c>
      <c r="AE45" s="9">
        <v>66</v>
      </c>
      <c r="AF45">
        <v>49</v>
      </c>
      <c r="AJ45" s="159"/>
      <c r="AK45" s="9"/>
      <c r="AM45" s="101">
        <v>13624</v>
      </c>
      <c r="AN45" s="49"/>
      <c r="AO45" s="905"/>
      <c r="AP45" s="109"/>
      <c r="AS45" s="49"/>
      <c r="AT45" s="9"/>
      <c r="AW45" s="49"/>
      <c r="BI45" s="49"/>
      <c r="BJ45" s="80">
        <f t="shared" si="5"/>
        <v>42095</v>
      </c>
      <c r="BK45" s="95">
        <f t="shared" si="16"/>
        <v>33287.5</v>
      </c>
      <c r="BL45" s="95">
        <f t="shared" si="16"/>
        <v>19477.416666666668</v>
      </c>
      <c r="BM45" s="95">
        <f t="shared" si="17"/>
        <v>57657.916666666664</v>
      </c>
      <c r="BT45" s="80">
        <f t="shared" si="1"/>
        <v>42095</v>
      </c>
      <c r="BV45" s="137" t="e">
        <f t="shared" si="23"/>
        <v>#DIV/0!</v>
      </c>
      <c r="CA45" s="102">
        <f t="shared" si="18"/>
        <v>2.388041548451585E-2</v>
      </c>
      <c r="CB45" s="102" t="e">
        <f t="shared" si="19"/>
        <v>#DIV/0!</v>
      </c>
      <c r="CC45" s="155" t="e">
        <f t="shared" si="2"/>
        <v>#DIV/0!</v>
      </c>
      <c r="CI45">
        <v>7</v>
      </c>
      <c r="CM45" s="1779">
        <f t="shared" ref="CM45" si="24">SUM(W45:W56)/SUM(W33:W44)-1</f>
        <v>-0.16807510258086367</v>
      </c>
      <c r="CN45" s="1779">
        <f t="shared" ref="CN45" si="25">SUM(Q45:Q56)/SUM(Q33:Q44)-1</f>
        <v>7.9001654179235103E-2</v>
      </c>
      <c r="CO45" s="1779">
        <f t="shared" ref="CO45:CP45" si="26">SUM(AC45:AC56)/SUM(AC33:AC44)-1</f>
        <v>1.2678788062216118E-2</v>
      </c>
      <c r="CP45" s="1779">
        <f t="shared" si="26"/>
        <v>6.3336115833591888E-2</v>
      </c>
    </row>
    <row r="46" spans="1:94" x14ac:dyDescent="0.25">
      <c r="A46" s="98">
        <v>42125</v>
      </c>
      <c r="B46" s="105">
        <v>57893</v>
      </c>
      <c r="C46" s="95">
        <v>1414</v>
      </c>
      <c r="D46" s="104">
        <f t="shared" si="3"/>
        <v>2.4424369094709204E-2</v>
      </c>
      <c r="H46" s="110"/>
      <c r="K46" s="95">
        <f t="shared" si="8"/>
        <v>28530</v>
      </c>
      <c r="L46" s="95">
        <f t="shared" si="9"/>
        <v>29396.083333333332</v>
      </c>
      <c r="M46" s="95">
        <f t="shared" si="4"/>
        <v>341</v>
      </c>
      <c r="N46" s="95">
        <f t="shared" si="10"/>
        <v>343.33333333333331</v>
      </c>
      <c r="O46" s="95"/>
      <c r="P46" s="95" t="e">
        <f t="shared" si="11"/>
        <v>#DIV/0!</v>
      </c>
      <c r="Q46" s="103">
        <v>8272</v>
      </c>
      <c r="R46" s="95">
        <f t="shared" si="6"/>
        <v>8750.5</v>
      </c>
      <c r="S46" s="161">
        <v>103</v>
      </c>
      <c r="T46" s="179">
        <f t="shared" si="12"/>
        <v>106.91666666666667</v>
      </c>
      <c r="U46" s="103"/>
      <c r="V46" s="179" t="e">
        <f t="shared" si="13"/>
        <v>#DIV/0!</v>
      </c>
      <c r="W46" s="103">
        <v>20258</v>
      </c>
      <c r="X46" s="95">
        <f t="shared" si="7"/>
        <v>20645.583333333332</v>
      </c>
      <c r="Y46" s="103">
        <v>238</v>
      </c>
      <c r="Z46" s="179">
        <f t="shared" si="14"/>
        <v>236.41666666666666</v>
      </c>
      <c r="AA46" s="103"/>
      <c r="AB46" s="179" t="e">
        <f t="shared" si="15"/>
        <v>#DIV/0!</v>
      </c>
      <c r="AC46" s="103">
        <v>26719</v>
      </c>
      <c r="AD46" s="103">
        <v>16993</v>
      </c>
      <c r="AE46" s="9">
        <v>66</v>
      </c>
      <c r="AF46">
        <v>49</v>
      </c>
      <c r="AJ46" s="159"/>
      <c r="AK46" s="9"/>
      <c r="AM46" s="101">
        <v>16545</v>
      </c>
      <c r="AN46" s="49"/>
      <c r="AO46" s="905"/>
      <c r="AP46" s="109"/>
      <c r="AS46" s="49"/>
      <c r="AT46" s="9"/>
      <c r="AW46" s="49"/>
      <c r="BI46" s="49"/>
      <c r="BJ46" s="80">
        <f t="shared" si="5"/>
        <v>42125</v>
      </c>
      <c r="BK46" s="95">
        <f t="shared" si="16"/>
        <v>32668.416666666668</v>
      </c>
      <c r="BL46" s="95">
        <f t="shared" si="16"/>
        <v>19462.5</v>
      </c>
      <c r="BM46" s="95">
        <f t="shared" si="17"/>
        <v>57010.666666666664</v>
      </c>
      <c r="BT46" s="80">
        <f t="shared" si="1"/>
        <v>42125</v>
      </c>
      <c r="BV46" s="137" t="e">
        <f t="shared" si="23"/>
        <v>#DIV/0!</v>
      </c>
      <c r="CA46" s="102">
        <f t="shared" si="18"/>
        <v>2.4067876235300961E-2</v>
      </c>
      <c r="CB46" s="102" t="e">
        <f t="shared" si="19"/>
        <v>#DIV/0!</v>
      </c>
      <c r="CC46" s="155" t="e">
        <f t="shared" si="2"/>
        <v>#DIV/0!</v>
      </c>
      <c r="CI46">
        <v>12</v>
      </c>
      <c r="CM46" s="1779"/>
      <c r="CN46" s="1779"/>
      <c r="CO46" s="1779"/>
      <c r="CP46" s="1779"/>
    </row>
    <row r="47" spans="1:94" x14ac:dyDescent="0.25">
      <c r="A47" s="98">
        <v>42156</v>
      </c>
      <c r="B47" s="105">
        <v>60772</v>
      </c>
      <c r="C47" s="95">
        <v>1608</v>
      </c>
      <c r="D47" s="104">
        <f t="shared" si="3"/>
        <v>2.64595537418548E-2</v>
      </c>
      <c r="H47" s="110"/>
      <c r="K47" s="95">
        <f t="shared" si="8"/>
        <v>29009</v>
      </c>
      <c r="L47" s="95">
        <f t="shared" si="9"/>
        <v>29375.5</v>
      </c>
      <c r="M47" s="95">
        <f t="shared" si="4"/>
        <v>337</v>
      </c>
      <c r="N47" s="95">
        <f t="shared" si="10"/>
        <v>341.25</v>
      </c>
      <c r="O47" s="95"/>
      <c r="P47" s="95" t="e">
        <f t="shared" si="11"/>
        <v>#DIV/0!</v>
      </c>
      <c r="Q47" s="103">
        <v>9757</v>
      </c>
      <c r="R47" s="95">
        <f t="shared" si="6"/>
        <v>8868.4166666666661</v>
      </c>
      <c r="S47" s="161">
        <v>117</v>
      </c>
      <c r="T47" s="179">
        <f t="shared" si="12"/>
        <v>106.75</v>
      </c>
      <c r="U47" s="103"/>
      <c r="V47" s="179" t="e">
        <f t="shared" si="13"/>
        <v>#DIV/0!</v>
      </c>
      <c r="W47" s="103">
        <v>19252</v>
      </c>
      <c r="X47" s="95">
        <f t="shared" si="7"/>
        <v>20507.083333333332</v>
      </c>
      <c r="Y47" s="103">
        <v>220</v>
      </c>
      <c r="Z47" s="179">
        <f t="shared" si="14"/>
        <v>234.5</v>
      </c>
      <c r="AA47" s="103"/>
      <c r="AB47" s="179" t="e">
        <f t="shared" si="15"/>
        <v>#DIV/0!</v>
      </c>
      <c r="AC47" s="103">
        <v>39952</v>
      </c>
      <c r="AD47" s="103">
        <v>21420</v>
      </c>
      <c r="AE47" s="9">
        <v>66</v>
      </c>
      <c r="AF47">
        <v>49</v>
      </c>
      <c r="AJ47" s="159"/>
      <c r="AK47" s="9"/>
      <c r="AM47" s="101">
        <v>14869</v>
      </c>
      <c r="AN47" s="49"/>
      <c r="AO47" s="905"/>
      <c r="AP47" s="109"/>
      <c r="AS47" s="49"/>
      <c r="AT47" s="9"/>
      <c r="AW47" s="49"/>
      <c r="BI47" s="49"/>
      <c r="BJ47" s="80">
        <f t="shared" si="5"/>
        <v>42156</v>
      </c>
      <c r="BK47" s="95">
        <f t="shared" si="16"/>
        <v>32697.166666666668</v>
      </c>
      <c r="BL47" s="95">
        <f t="shared" si="16"/>
        <v>19765.166666666668</v>
      </c>
      <c r="BM47" s="95">
        <f t="shared" si="17"/>
        <v>56511</v>
      </c>
      <c r="BT47" s="80">
        <f t="shared" si="1"/>
        <v>42156</v>
      </c>
      <c r="BV47" s="137" t="e">
        <f t="shared" si="23"/>
        <v>#DIV/0!</v>
      </c>
      <c r="CA47" s="102">
        <f t="shared" si="18"/>
        <v>2.4350760606352165E-2</v>
      </c>
      <c r="CB47" s="102" t="e">
        <f t="shared" si="19"/>
        <v>#DIV/0!</v>
      </c>
      <c r="CC47" s="155" t="e">
        <f t="shared" si="2"/>
        <v>#DIV/0!</v>
      </c>
      <c r="CI47">
        <v>9</v>
      </c>
      <c r="CM47" s="1779"/>
      <c r="CN47" s="1779"/>
      <c r="CO47" s="1779"/>
      <c r="CP47" s="1779"/>
    </row>
    <row r="48" spans="1:94" x14ac:dyDescent="0.25">
      <c r="A48" s="98">
        <v>42186</v>
      </c>
      <c r="B48" s="105">
        <v>59412</v>
      </c>
      <c r="C48" s="95">
        <v>1218</v>
      </c>
      <c r="D48" s="104">
        <f t="shared" si="3"/>
        <v>2.0500908907291455E-2</v>
      </c>
      <c r="H48" s="110"/>
      <c r="K48" s="95">
        <f t="shared" si="8"/>
        <v>27468</v>
      </c>
      <c r="L48" s="95">
        <f t="shared" si="9"/>
        <v>28902.75</v>
      </c>
      <c r="M48" s="95">
        <f t="shared" si="4"/>
        <v>358</v>
      </c>
      <c r="N48" s="95">
        <f t="shared" si="10"/>
        <v>335.58333333333331</v>
      </c>
      <c r="O48" s="95"/>
      <c r="P48" s="95" t="e">
        <f t="shared" si="11"/>
        <v>#DIV/0!</v>
      </c>
      <c r="Q48" s="103">
        <v>7863</v>
      </c>
      <c r="R48" s="95">
        <f t="shared" si="6"/>
        <v>8851</v>
      </c>
      <c r="S48" s="161">
        <v>101</v>
      </c>
      <c r="T48" s="179">
        <f t="shared" si="12"/>
        <v>106.16666666666667</v>
      </c>
      <c r="U48" s="103"/>
      <c r="V48" s="179" t="e">
        <f t="shared" si="13"/>
        <v>#DIV/0!</v>
      </c>
      <c r="W48" s="103">
        <v>19605</v>
      </c>
      <c r="X48" s="95">
        <f t="shared" si="7"/>
        <v>20051.75</v>
      </c>
      <c r="Y48" s="103">
        <v>257</v>
      </c>
      <c r="Z48" s="179">
        <f t="shared" si="14"/>
        <v>229.41666666666666</v>
      </c>
      <c r="AA48" s="103"/>
      <c r="AB48" s="179" t="e">
        <f t="shared" si="15"/>
        <v>#DIV/0!</v>
      </c>
      <c r="AC48" s="103">
        <v>34863</v>
      </c>
      <c r="AD48" s="103">
        <v>33106</v>
      </c>
      <c r="AE48" s="9">
        <v>66</v>
      </c>
      <c r="AF48">
        <v>49</v>
      </c>
      <c r="AJ48" s="159"/>
      <c r="AK48" s="9"/>
      <c r="AM48" s="101">
        <v>24498</v>
      </c>
      <c r="AN48" s="49"/>
      <c r="AO48" s="905"/>
      <c r="AP48" s="109"/>
      <c r="AS48" s="49"/>
      <c r="AT48" s="9"/>
      <c r="AW48" s="49"/>
      <c r="BI48" s="49"/>
      <c r="BJ48" s="80">
        <f t="shared" si="5"/>
        <v>42186</v>
      </c>
      <c r="BK48" s="95">
        <f t="shared" si="16"/>
        <v>33017.666666666664</v>
      </c>
      <c r="BL48" s="95">
        <f t="shared" si="16"/>
        <v>20739.416666666668</v>
      </c>
      <c r="BM48" s="95">
        <f t="shared" si="17"/>
        <v>56177.916666666664</v>
      </c>
      <c r="BT48" s="80">
        <f t="shared" si="1"/>
        <v>42186</v>
      </c>
      <c r="BV48" s="137" t="e">
        <f t="shared" si="23"/>
        <v>#DIV/0!</v>
      </c>
      <c r="CA48" s="102">
        <f t="shared" si="18"/>
        <v>2.40313292597274E-2</v>
      </c>
      <c r="CB48" s="102" t="e">
        <f t="shared" si="19"/>
        <v>#DIV/0!</v>
      </c>
      <c r="CC48" s="155" t="e">
        <f t="shared" si="2"/>
        <v>#DIV/0!</v>
      </c>
      <c r="CI48">
        <v>13</v>
      </c>
      <c r="CM48" s="1779"/>
      <c r="CN48" s="1779"/>
      <c r="CO48" s="1779"/>
      <c r="CP48" s="1779"/>
    </row>
    <row r="49" spans="1:94" x14ac:dyDescent="0.25">
      <c r="A49" s="98">
        <v>42217</v>
      </c>
      <c r="B49" s="105">
        <v>60090</v>
      </c>
      <c r="C49" s="95">
        <v>1292</v>
      </c>
      <c r="D49" s="104">
        <f t="shared" si="3"/>
        <v>2.1501081710767183E-2</v>
      </c>
      <c r="H49" s="110"/>
      <c r="K49" s="95">
        <f t="shared" si="8"/>
        <v>26543</v>
      </c>
      <c r="L49" s="95">
        <f t="shared" si="9"/>
        <v>28703.666666666668</v>
      </c>
      <c r="M49" s="95">
        <f t="shared" si="4"/>
        <v>315</v>
      </c>
      <c r="N49" s="95">
        <f t="shared" si="10"/>
        <v>329.66666666666669</v>
      </c>
      <c r="O49" s="95"/>
      <c r="P49" s="95" t="e">
        <f t="shared" si="11"/>
        <v>#DIV/0!</v>
      </c>
      <c r="Q49" s="103">
        <v>9407</v>
      </c>
      <c r="R49" s="95">
        <f t="shared" si="6"/>
        <v>8954.1666666666661</v>
      </c>
      <c r="S49" s="161">
        <v>133</v>
      </c>
      <c r="T49" s="179">
        <f t="shared" si="12"/>
        <v>108.08333333333333</v>
      </c>
      <c r="U49" s="103"/>
      <c r="V49" s="179" t="e">
        <f t="shared" si="13"/>
        <v>#DIV/0!</v>
      </c>
      <c r="W49" s="103">
        <v>17136</v>
      </c>
      <c r="X49" s="95">
        <f t="shared" si="7"/>
        <v>19749.5</v>
      </c>
      <c r="Y49" s="103">
        <v>182</v>
      </c>
      <c r="Z49" s="179">
        <f t="shared" si="14"/>
        <v>221.58333333333334</v>
      </c>
      <c r="AA49" s="103"/>
      <c r="AB49" s="179" t="e">
        <f t="shared" si="15"/>
        <v>#DIV/0!</v>
      </c>
      <c r="AC49" s="103">
        <v>42626</v>
      </c>
      <c r="AD49" s="103">
        <v>30823</v>
      </c>
      <c r="AE49" s="9">
        <v>66</v>
      </c>
      <c r="AF49">
        <v>49</v>
      </c>
      <c r="AJ49" s="159"/>
      <c r="AK49" s="9"/>
      <c r="AM49" s="101">
        <v>17394</v>
      </c>
      <c r="AN49" s="49"/>
      <c r="AO49" s="905"/>
      <c r="AP49" s="109"/>
      <c r="AS49" s="49"/>
      <c r="AT49" s="9"/>
      <c r="AW49" s="49"/>
      <c r="BI49" s="49"/>
      <c r="BJ49" s="80">
        <f t="shared" si="5"/>
        <v>42217</v>
      </c>
      <c r="BK49" s="95">
        <f t="shared" si="16"/>
        <v>33635.083333333336</v>
      </c>
      <c r="BL49" s="95">
        <f t="shared" si="16"/>
        <v>21256.083333333332</v>
      </c>
      <c r="BM49" s="95">
        <f t="shared" si="17"/>
        <v>56318.416666666664</v>
      </c>
      <c r="BT49" s="80">
        <f t="shared" si="1"/>
        <v>42217</v>
      </c>
      <c r="BV49" s="137" t="e">
        <f t="shared" si="23"/>
        <v>#DIV/0!</v>
      </c>
      <c r="CA49" s="102">
        <f t="shared" si="18"/>
        <v>2.4023837159065985E-2</v>
      </c>
      <c r="CB49" s="102" t="e">
        <f t="shared" si="19"/>
        <v>#DIV/0!</v>
      </c>
      <c r="CC49" s="155" t="e">
        <f t="shared" si="2"/>
        <v>#DIV/0!</v>
      </c>
      <c r="CI49">
        <v>10</v>
      </c>
      <c r="CM49" s="1779"/>
      <c r="CN49" s="1779"/>
      <c r="CO49" s="1779"/>
      <c r="CP49" s="1779"/>
    </row>
    <row r="50" spans="1:94" x14ac:dyDescent="0.25">
      <c r="A50" s="98">
        <v>42248</v>
      </c>
      <c r="B50" s="105">
        <v>75662</v>
      </c>
      <c r="C50" s="95">
        <v>1325</v>
      </c>
      <c r="D50" s="104">
        <f t="shared" si="3"/>
        <v>1.7512093256852844E-2</v>
      </c>
      <c r="H50" s="110"/>
      <c r="K50" s="95">
        <f t="shared" si="8"/>
        <v>28583</v>
      </c>
      <c r="L50" s="95">
        <f t="shared" si="9"/>
        <v>28253.833333333332</v>
      </c>
      <c r="M50" s="95">
        <f t="shared" si="4"/>
        <v>289</v>
      </c>
      <c r="N50" s="95">
        <f t="shared" si="10"/>
        <v>320.83333333333331</v>
      </c>
      <c r="O50" s="95"/>
      <c r="P50" s="95" t="e">
        <f t="shared" si="11"/>
        <v>#DIV/0!</v>
      </c>
      <c r="Q50" s="103">
        <v>10698</v>
      </c>
      <c r="R50" s="95">
        <f t="shared" si="6"/>
        <v>8881.75</v>
      </c>
      <c r="S50" s="161">
        <v>107</v>
      </c>
      <c r="T50" s="179">
        <f t="shared" si="12"/>
        <v>104.91666666666667</v>
      </c>
      <c r="U50" s="103"/>
      <c r="V50" s="179" t="e">
        <f t="shared" si="13"/>
        <v>#DIV/0!</v>
      </c>
      <c r="W50" s="103">
        <v>17885</v>
      </c>
      <c r="X50" s="95">
        <f t="shared" si="7"/>
        <v>19372.083333333332</v>
      </c>
      <c r="Y50" s="103">
        <v>182</v>
      </c>
      <c r="Z50" s="179">
        <f t="shared" si="14"/>
        <v>215.91666666666666</v>
      </c>
      <c r="AA50" s="103"/>
      <c r="AB50" s="179" t="e">
        <f t="shared" si="15"/>
        <v>#DIV/0!</v>
      </c>
      <c r="AC50" s="103">
        <v>34417</v>
      </c>
      <c r="AD50" s="103">
        <v>21820</v>
      </c>
      <c r="AE50" s="9">
        <v>66</v>
      </c>
      <c r="AF50">
        <v>49</v>
      </c>
      <c r="AJ50" s="159"/>
      <c r="AK50" s="9"/>
      <c r="AM50" s="101">
        <v>23043</v>
      </c>
      <c r="AN50" s="49"/>
      <c r="AO50" s="905"/>
      <c r="AP50" s="109"/>
      <c r="AS50" s="49"/>
      <c r="AT50" s="9"/>
      <c r="AW50" s="49"/>
      <c r="BI50" s="49"/>
      <c r="BJ50" s="80">
        <f t="shared" si="5"/>
        <v>42248</v>
      </c>
      <c r="BK50" s="95">
        <f t="shared" si="16"/>
        <v>32561.583333333332</v>
      </c>
      <c r="BL50" s="95">
        <f t="shared" si="16"/>
        <v>20796.583333333332</v>
      </c>
      <c r="BM50" s="95">
        <f t="shared" si="17"/>
        <v>56206.5</v>
      </c>
      <c r="BT50" s="80">
        <f t="shared" si="1"/>
        <v>42248</v>
      </c>
      <c r="BV50" s="137" t="e">
        <f t="shared" si="23"/>
        <v>#DIV/0!</v>
      </c>
      <c r="CA50" s="102">
        <f t="shared" si="18"/>
        <v>2.3866400132513538E-2</v>
      </c>
      <c r="CB50" s="102" t="e">
        <f t="shared" si="19"/>
        <v>#DIV/0!</v>
      </c>
      <c r="CC50" s="155" t="e">
        <f t="shared" si="2"/>
        <v>#DIV/0!</v>
      </c>
      <c r="CI50">
        <v>10</v>
      </c>
      <c r="CM50" s="1779"/>
      <c r="CN50" s="1779"/>
      <c r="CO50" s="1779"/>
      <c r="CP50" s="1779"/>
    </row>
    <row r="51" spans="1:94" x14ac:dyDescent="0.25">
      <c r="A51" s="98">
        <v>42278</v>
      </c>
      <c r="B51" s="105">
        <v>68545</v>
      </c>
      <c r="C51" s="95">
        <v>1502</v>
      </c>
      <c r="D51" s="104">
        <f t="shared" si="3"/>
        <v>2.1912612152600482E-2</v>
      </c>
      <c r="H51" s="110"/>
      <c r="K51" s="95">
        <f t="shared" si="8"/>
        <v>27675</v>
      </c>
      <c r="L51" s="95">
        <f t="shared" si="9"/>
        <v>28138.416666666668</v>
      </c>
      <c r="M51" s="95">
        <f t="shared" si="4"/>
        <v>292</v>
      </c>
      <c r="N51" s="95">
        <f t="shared" si="10"/>
        <v>317</v>
      </c>
      <c r="O51" s="95"/>
      <c r="P51" s="95" t="e">
        <f t="shared" si="11"/>
        <v>#DIV/0!</v>
      </c>
      <c r="Q51" s="103">
        <v>10659</v>
      </c>
      <c r="R51" s="95">
        <f t="shared" si="6"/>
        <v>8959.5</v>
      </c>
      <c r="S51" s="161">
        <v>116</v>
      </c>
      <c r="T51" s="179">
        <f t="shared" si="12"/>
        <v>104.25</v>
      </c>
      <c r="U51" s="103"/>
      <c r="V51" s="179" t="e">
        <f t="shared" si="13"/>
        <v>#DIV/0!</v>
      </c>
      <c r="W51" s="103">
        <v>17016</v>
      </c>
      <c r="X51" s="95">
        <f t="shared" si="7"/>
        <v>19178.916666666668</v>
      </c>
      <c r="Y51" s="103">
        <v>176</v>
      </c>
      <c r="Z51" s="179">
        <f t="shared" si="14"/>
        <v>212.75</v>
      </c>
      <c r="AA51" s="103"/>
      <c r="AB51" s="179" t="e">
        <f t="shared" si="15"/>
        <v>#DIV/0!</v>
      </c>
      <c r="AC51" s="103">
        <v>35287</v>
      </c>
      <c r="AD51" s="103">
        <v>20516</v>
      </c>
      <c r="AE51" s="9">
        <v>74</v>
      </c>
      <c r="AF51">
        <v>63</v>
      </c>
      <c r="AG51">
        <v>11</v>
      </c>
      <c r="AH51">
        <v>0</v>
      </c>
      <c r="AJ51" s="159"/>
      <c r="AK51" s="9"/>
      <c r="AM51" s="101">
        <v>13372</v>
      </c>
      <c r="AN51" s="49"/>
      <c r="AO51" s="905"/>
      <c r="AP51" s="109"/>
      <c r="AS51" s="49"/>
      <c r="AT51" s="9"/>
      <c r="AW51" s="49"/>
      <c r="BI51" s="49"/>
      <c r="BJ51" s="80">
        <f t="shared" si="5"/>
        <v>42278</v>
      </c>
      <c r="BK51" s="95">
        <f t="shared" si="16"/>
        <v>32314.75</v>
      </c>
      <c r="BL51" s="95">
        <f t="shared" si="16"/>
        <v>20659.583333333332</v>
      </c>
      <c r="BM51" s="95">
        <f t="shared" si="17"/>
        <v>56006.083333333336</v>
      </c>
      <c r="BT51" s="80">
        <f t="shared" si="1"/>
        <v>42278</v>
      </c>
      <c r="BV51" s="137" t="e">
        <f t="shared" si="23"/>
        <v>#DIV/0!</v>
      </c>
      <c r="CA51" s="102">
        <f t="shared" si="18"/>
        <v>2.3915378089087422E-2</v>
      </c>
      <c r="CB51" s="102" t="e">
        <f t="shared" si="19"/>
        <v>#DIV/0!</v>
      </c>
      <c r="CC51" s="155" t="e">
        <f t="shared" si="2"/>
        <v>#DIV/0!</v>
      </c>
      <c r="CI51">
        <v>11</v>
      </c>
      <c r="CM51" s="1779"/>
      <c r="CN51" s="1779"/>
      <c r="CO51" s="1779"/>
      <c r="CP51" s="1779"/>
    </row>
    <row r="52" spans="1:94" x14ac:dyDescent="0.25">
      <c r="A52" s="98">
        <v>42309</v>
      </c>
      <c r="B52" s="105">
        <v>66764</v>
      </c>
      <c r="C52" s="95">
        <v>1806</v>
      </c>
      <c r="D52" s="104">
        <f t="shared" si="3"/>
        <v>2.7050506260859145E-2</v>
      </c>
      <c r="H52" s="110"/>
      <c r="K52" s="95">
        <f t="shared" si="8"/>
        <v>31347</v>
      </c>
      <c r="L52" s="95">
        <f t="shared" si="9"/>
        <v>28266.25</v>
      </c>
      <c r="M52" s="95">
        <f t="shared" si="4"/>
        <v>314</v>
      </c>
      <c r="N52" s="95">
        <f t="shared" si="10"/>
        <v>315.16666666666669</v>
      </c>
      <c r="O52" s="95"/>
      <c r="P52" s="95" t="e">
        <f t="shared" si="11"/>
        <v>#DIV/0!</v>
      </c>
      <c r="Q52" s="103">
        <v>14024</v>
      </c>
      <c r="R52" s="95">
        <f t="shared" si="6"/>
        <v>9336.5833333333339</v>
      </c>
      <c r="S52" s="161">
        <v>132</v>
      </c>
      <c r="T52" s="179">
        <f t="shared" si="12"/>
        <v>106.41666666666667</v>
      </c>
      <c r="U52" s="103"/>
      <c r="V52" s="179" t="e">
        <f t="shared" si="13"/>
        <v>#DIV/0!</v>
      </c>
      <c r="W52" s="103">
        <v>17323</v>
      </c>
      <c r="X52" s="95">
        <f t="shared" si="7"/>
        <v>18929.666666666668</v>
      </c>
      <c r="Y52" s="103">
        <v>182</v>
      </c>
      <c r="Z52" s="179">
        <f t="shared" si="14"/>
        <v>208.75</v>
      </c>
      <c r="AA52" s="103"/>
      <c r="AB52" s="179" t="e">
        <f t="shared" si="15"/>
        <v>#DIV/0!</v>
      </c>
      <c r="AC52" s="103">
        <v>43002</v>
      </c>
      <c r="AD52" s="103">
        <v>23639</v>
      </c>
      <c r="AE52" s="9">
        <v>74</v>
      </c>
      <c r="AF52">
        <v>63</v>
      </c>
      <c r="AJ52" s="159"/>
      <c r="AK52" s="9"/>
      <c r="AM52" s="101">
        <v>16432</v>
      </c>
      <c r="AN52" s="49"/>
      <c r="AO52" s="905"/>
      <c r="AP52" s="109"/>
      <c r="AS52" s="49"/>
      <c r="AT52" s="9"/>
      <c r="AW52" s="49"/>
      <c r="BI52" s="49"/>
      <c r="BJ52" s="80">
        <f t="shared" si="5"/>
        <v>42309</v>
      </c>
      <c r="BK52" s="95">
        <f t="shared" si="16"/>
        <v>32821.583333333336</v>
      </c>
      <c r="BL52" s="95">
        <f t="shared" si="16"/>
        <v>20650.416666666668</v>
      </c>
      <c r="BM52" s="95">
        <f t="shared" si="17"/>
        <v>56639.416666666664</v>
      </c>
      <c r="BT52" s="80">
        <f t="shared" si="1"/>
        <v>42309</v>
      </c>
      <c r="BV52" s="137" t="e">
        <f t="shared" si="23"/>
        <v>#DIV/0!</v>
      </c>
      <c r="CA52" s="102">
        <f t="shared" si="18"/>
        <v>2.4052590121767026E-2</v>
      </c>
      <c r="CB52" s="102" t="e">
        <f t="shared" si="19"/>
        <v>#DIV/0!</v>
      </c>
      <c r="CC52" s="155" t="e">
        <f t="shared" si="2"/>
        <v>#DIV/0!</v>
      </c>
      <c r="CI52">
        <v>7</v>
      </c>
      <c r="CM52" s="1779"/>
      <c r="CN52" s="1779"/>
      <c r="CO52" s="1779"/>
      <c r="CP52" s="1779"/>
    </row>
    <row r="53" spans="1:94" x14ac:dyDescent="0.25">
      <c r="A53" s="99">
        <v>42339</v>
      </c>
      <c r="B53" s="105">
        <v>50042</v>
      </c>
      <c r="C53" s="95">
        <v>1281</v>
      </c>
      <c r="D53" s="104">
        <f t="shared" si="3"/>
        <v>2.5598497262299669E-2</v>
      </c>
      <c r="H53" s="110"/>
      <c r="K53" s="95">
        <f t="shared" si="8"/>
        <v>21715</v>
      </c>
      <c r="L53" s="95">
        <f t="shared" si="9"/>
        <v>27765.833333333332</v>
      </c>
      <c r="M53" s="95">
        <f t="shared" si="4"/>
        <v>216</v>
      </c>
      <c r="N53" s="95">
        <f t="shared" si="10"/>
        <v>305.08333333333331</v>
      </c>
      <c r="O53" s="95"/>
      <c r="P53" s="95" t="e">
        <f t="shared" si="11"/>
        <v>#DIV/0!</v>
      </c>
      <c r="Q53" s="103">
        <v>8676</v>
      </c>
      <c r="R53" s="95">
        <f t="shared" si="6"/>
        <v>9171.1666666666661</v>
      </c>
      <c r="S53" s="161">
        <v>79</v>
      </c>
      <c r="T53" s="179">
        <f t="shared" si="12"/>
        <v>103.25</v>
      </c>
      <c r="U53" s="103"/>
      <c r="V53" s="179" t="e">
        <f t="shared" si="13"/>
        <v>#DIV/0!</v>
      </c>
      <c r="W53" s="103">
        <v>13039</v>
      </c>
      <c r="X53" s="95">
        <f t="shared" si="7"/>
        <v>18594.666666666668</v>
      </c>
      <c r="Y53" s="103">
        <v>137</v>
      </c>
      <c r="Z53" s="179">
        <f t="shared" si="14"/>
        <v>201.83333333333334</v>
      </c>
      <c r="AA53" s="103"/>
      <c r="AB53" s="179" t="e">
        <f t="shared" si="15"/>
        <v>#DIV/0!</v>
      </c>
      <c r="AC53" s="103">
        <v>28170</v>
      </c>
      <c r="AD53" s="103">
        <v>11155</v>
      </c>
      <c r="AE53" s="9">
        <v>74</v>
      </c>
      <c r="AF53">
        <v>63</v>
      </c>
      <c r="AJ53" s="159"/>
      <c r="AK53" s="9"/>
      <c r="AM53" s="101">
        <v>16803</v>
      </c>
      <c r="AN53" s="49"/>
      <c r="AO53" s="905"/>
      <c r="AP53" s="109"/>
      <c r="AS53" s="49"/>
      <c r="AT53" s="9"/>
      <c r="AW53" s="49"/>
      <c r="BI53" s="49"/>
      <c r="BJ53" s="80">
        <f t="shared" si="5"/>
        <v>42339</v>
      </c>
      <c r="BK53" s="95">
        <f t="shared" si="16"/>
        <v>32107.416666666668</v>
      </c>
      <c r="BL53" s="95">
        <f t="shared" si="16"/>
        <v>20182.083333333332</v>
      </c>
      <c r="BM53" s="95">
        <f t="shared" si="17"/>
        <v>56872.916666666664</v>
      </c>
      <c r="BT53" s="80">
        <f t="shared" si="1"/>
        <v>42339</v>
      </c>
      <c r="BV53" s="137" t="e">
        <f t="shared" si="23"/>
        <v>#DIV/0!</v>
      </c>
      <c r="CA53" s="102">
        <f t="shared" si="18"/>
        <v>2.4203015274658356E-2</v>
      </c>
      <c r="CB53" s="102" t="e">
        <f t="shared" si="19"/>
        <v>#DIV/0!</v>
      </c>
      <c r="CC53" s="155" t="e">
        <f t="shared" si="2"/>
        <v>#DIV/0!</v>
      </c>
      <c r="CI53">
        <v>5</v>
      </c>
      <c r="CJ53" s="11">
        <f>AVERAGE(CI42:CI53)</f>
        <v>9.0833333333333339</v>
      </c>
      <c r="CK53" s="233">
        <f>CJ53/K53</f>
        <v>4.1829764371786019E-4</v>
      </c>
      <c r="CM53" s="1779"/>
      <c r="CN53" s="1779"/>
      <c r="CO53" s="1779"/>
      <c r="CP53" s="1779"/>
    </row>
    <row r="54" spans="1:94" x14ac:dyDescent="0.25">
      <c r="A54" s="97">
        <v>42370</v>
      </c>
      <c r="B54" s="105">
        <v>48168</v>
      </c>
      <c r="C54" s="95">
        <v>1506</v>
      </c>
      <c r="D54" s="104">
        <f t="shared" si="3"/>
        <v>3.1265570503238665E-2</v>
      </c>
      <c r="E54" s="144">
        <v>46465.893799999991</v>
      </c>
      <c r="F54" s="104">
        <f t="shared" ref="F54:F109" si="27">E54/B54</f>
        <v>0.96466313320046482</v>
      </c>
      <c r="H54" s="110">
        <f t="shared" ref="H54:H92" si="28">1-F54-D54</f>
        <v>4.0712962962965171E-3</v>
      </c>
      <c r="K54" s="95">
        <f t="shared" si="8"/>
        <v>23193</v>
      </c>
      <c r="L54" s="95">
        <f t="shared" si="9"/>
        <v>28216.833333333332</v>
      </c>
      <c r="M54" s="95">
        <f t="shared" si="4"/>
        <v>235</v>
      </c>
      <c r="N54" s="95">
        <f t="shared" si="10"/>
        <v>309.91666666666669</v>
      </c>
      <c r="O54" s="95"/>
      <c r="P54" s="95" t="e">
        <f t="shared" si="11"/>
        <v>#DIV/0!</v>
      </c>
      <c r="Q54" s="103">
        <v>6426</v>
      </c>
      <c r="R54" s="95">
        <f t="shared" si="6"/>
        <v>9312</v>
      </c>
      <c r="S54" s="161">
        <v>55</v>
      </c>
      <c r="T54" s="179">
        <f t="shared" si="12"/>
        <v>103.5</v>
      </c>
      <c r="U54" s="103"/>
      <c r="V54" s="179" t="e">
        <f t="shared" si="13"/>
        <v>#DIV/0!</v>
      </c>
      <c r="W54" s="103">
        <v>16767</v>
      </c>
      <c r="X54" s="95">
        <f t="shared" si="7"/>
        <v>18904.833333333332</v>
      </c>
      <c r="Y54" s="103">
        <v>180</v>
      </c>
      <c r="Z54" s="179">
        <f t="shared" si="14"/>
        <v>206.41666666666666</v>
      </c>
      <c r="AA54" s="103"/>
      <c r="AB54" s="179" t="e">
        <f t="shared" si="15"/>
        <v>#DIV/0!</v>
      </c>
      <c r="AC54" s="103">
        <v>22716</v>
      </c>
      <c r="AD54" s="103">
        <v>12351</v>
      </c>
      <c r="AE54" s="9">
        <v>74</v>
      </c>
      <c r="AF54">
        <v>63</v>
      </c>
      <c r="AJ54" s="159"/>
      <c r="AK54" s="9"/>
      <c r="AM54" s="101">
        <v>7831</v>
      </c>
      <c r="AN54" s="49"/>
      <c r="AO54" s="905"/>
      <c r="AP54" s="109"/>
      <c r="AS54" s="49"/>
      <c r="AT54" s="9"/>
      <c r="AW54" s="49"/>
      <c r="BI54" s="49"/>
      <c r="BJ54" s="80">
        <f t="shared" si="5"/>
        <v>42370</v>
      </c>
      <c r="BK54" s="95">
        <f t="shared" si="16"/>
        <v>32942.5</v>
      </c>
      <c r="BL54" s="95">
        <f t="shared" si="16"/>
        <v>20563.916666666668</v>
      </c>
      <c r="BM54" s="95">
        <f t="shared" si="17"/>
        <v>58254.75</v>
      </c>
      <c r="BT54" s="80">
        <f t="shared" si="1"/>
        <v>42370</v>
      </c>
      <c r="BV54" s="137" t="e">
        <f t="shared" si="23"/>
        <v>#DIV/0!</v>
      </c>
      <c r="CA54" s="102">
        <f t="shared" si="18"/>
        <v>2.4093669124241757E-2</v>
      </c>
      <c r="CB54" s="102">
        <f t="shared" si="19"/>
        <v>4.0712962962965171E-3</v>
      </c>
      <c r="CC54" s="155" t="e">
        <f t="shared" si="2"/>
        <v>#DIV/0!</v>
      </c>
      <c r="CI54">
        <v>6</v>
      </c>
      <c r="CJ54" s="11">
        <f t="shared" ref="CJ54:CJ117" si="29">AVERAGE(CI43:CI54)</f>
        <v>9</v>
      </c>
      <c r="CK54" s="233">
        <f t="shared" ref="CK54:CK117" si="30">CJ54/K54</f>
        <v>3.8804811796662784E-4</v>
      </c>
      <c r="CM54" s="1779"/>
      <c r="CN54" s="1779"/>
      <c r="CO54" s="1779"/>
      <c r="CP54" s="1779"/>
    </row>
    <row r="55" spans="1:94" x14ac:dyDescent="0.25">
      <c r="A55" s="98">
        <v>42401</v>
      </c>
      <c r="B55" s="105">
        <v>52042</v>
      </c>
      <c r="C55" s="95">
        <v>1347</v>
      </c>
      <c r="D55" s="104">
        <f t="shared" si="3"/>
        <v>2.5882940701740902E-2</v>
      </c>
      <c r="E55" s="144">
        <v>50353.056200000006</v>
      </c>
      <c r="F55" s="104">
        <f t="shared" si="27"/>
        <v>0.96754652396141594</v>
      </c>
      <c r="H55" s="110">
        <f t="shared" si="28"/>
        <v>6.5705353368431599E-3</v>
      </c>
      <c r="K55" s="95">
        <f t="shared" si="8"/>
        <v>24546</v>
      </c>
      <c r="L55" s="95">
        <f t="shared" si="9"/>
        <v>27709.416666666668</v>
      </c>
      <c r="M55" s="95">
        <f t="shared" si="4"/>
        <v>289</v>
      </c>
      <c r="N55" s="95">
        <f t="shared" si="10"/>
        <v>308.58333333333331</v>
      </c>
      <c r="O55" s="95"/>
      <c r="P55" s="95" t="e">
        <f t="shared" si="11"/>
        <v>#DIV/0!</v>
      </c>
      <c r="Q55" s="103">
        <v>8482</v>
      </c>
      <c r="R55" s="95">
        <f t="shared" si="6"/>
        <v>9328.1666666666661</v>
      </c>
      <c r="S55" s="161">
        <v>88</v>
      </c>
      <c r="T55" s="179">
        <f t="shared" si="12"/>
        <v>102.66666666666667</v>
      </c>
      <c r="U55" s="103"/>
      <c r="V55" s="179" t="e">
        <f t="shared" si="13"/>
        <v>#DIV/0!</v>
      </c>
      <c r="W55" s="103">
        <v>16064</v>
      </c>
      <c r="X55" s="95">
        <f t="shared" si="7"/>
        <v>18381.25</v>
      </c>
      <c r="Y55" s="103">
        <v>201</v>
      </c>
      <c r="Z55" s="179">
        <f t="shared" si="14"/>
        <v>205.91666666666666</v>
      </c>
      <c r="AA55" s="103"/>
      <c r="AB55" s="179" t="e">
        <f t="shared" si="15"/>
        <v>#DIV/0!</v>
      </c>
      <c r="AC55" s="103">
        <v>39204</v>
      </c>
      <c r="AD55" s="103">
        <v>18704</v>
      </c>
      <c r="AE55" s="9">
        <v>74</v>
      </c>
      <c r="AF55">
        <v>63</v>
      </c>
      <c r="AJ55" s="159"/>
      <c r="AK55" s="9"/>
      <c r="AM55" s="101">
        <v>16266</v>
      </c>
      <c r="AN55" s="49"/>
      <c r="AO55" s="905"/>
      <c r="AP55" s="109"/>
      <c r="AS55" s="49"/>
      <c r="AT55" s="9"/>
      <c r="AW55" s="49"/>
      <c r="BI55" s="49"/>
      <c r="BJ55" s="80">
        <f t="shared" si="5"/>
        <v>42401</v>
      </c>
      <c r="BK55" s="95">
        <f t="shared" si="16"/>
        <v>34165</v>
      </c>
      <c r="BL55" s="95">
        <f t="shared" si="16"/>
        <v>20897.75</v>
      </c>
      <c r="BM55" s="95">
        <f t="shared" si="17"/>
        <v>58507.416666666664</v>
      </c>
      <c r="BT55" s="80">
        <f t="shared" si="1"/>
        <v>42401</v>
      </c>
      <c r="BV55" s="137" t="e">
        <f t="shared" si="23"/>
        <v>#DIV/0!</v>
      </c>
      <c r="CA55" s="102">
        <f t="shared" si="18"/>
        <v>2.4062251936919989E-2</v>
      </c>
      <c r="CB55" s="102">
        <f t="shared" si="19"/>
        <v>5.3209158165698385E-3</v>
      </c>
      <c r="CC55" s="155" t="e">
        <f t="shared" si="2"/>
        <v>#DIV/0!</v>
      </c>
      <c r="CI55">
        <v>7</v>
      </c>
      <c r="CJ55" s="11">
        <f t="shared" si="29"/>
        <v>9.0833333333333339</v>
      </c>
      <c r="CK55" s="233">
        <f t="shared" si="30"/>
        <v>3.7005350498383992E-4</v>
      </c>
      <c r="CM55" s="1779"/>
      <c r="CN55" s="1779"/>
      <c r="CO55" s="1779"/>
      <c r="CP55" s="1779"/>
    </row>
    <row r="56" spans="1:94" x14ac:dyDescent="0.25">
      <c r="A56" s="98">
        <v>42430</v>
      </c>
      <c r="B56" s="105">
        <v>59694</v>
      </c>
      <c r="C56" s="95">
        <v>1346</v>
      </c>
      <c r="D56" s="104">
        <f t="shared" si="3"/>
        <v>2.2548329815391833E-2</v>
      </c>
      <c r="E56" s="144">
        <v>57056.964900000021</v>
      </c>
      <c r="F56" s="104">
        <f t="shared" si="27"/>
        <v>0.95582411800180955</v>
      </c>
      <c r="H56" s="110">
        <f t="shared" si="28"/>
        <v>2.1627552182798614E-2</v>
      </c>
      <c r="K56" s="95">
        <f t="shared" si="8"/>
        <v>26140</v>
      </c>
      <c r="L56" s="95">
        <f t="shared" si="9"/>
        <v>26846.083333333332</v>
      </c>
      <c r="M56" s="95">
        <f t="shared" si="4"/>
        <v>303</v>
      </c>
      <c r="N56" s="95">
        <f t="shared" si="10"/>
        <v>300.75</v>
      </c>
      <c r="O56" s="95"/>
      <c r="P56" s="95" t="e">
        <f t="shared" si="11"/>
        <v>#DIV/0!</v>
      </c>
      <c r="Q56" s="103">
        <v>9057</v>
      </c>
      <c r="R56" s="95">
        <f t="shared" si="6"/>
        <v>9240.75</v>
      </c>
      <c r="S56" s="161">
        <v>82</v>
      </c>
      <c r="T56" s="179">
        <f t="shared" si="12"/>
        <v>100.33333333333333</v>
      </c>
      <c r="U56" s="103"/>
      <c r="V56" s="179" t="e">
        <f t="shared" si="13"/>
        <v>#DIV/0!</v>
      </c>
      <c r="W56" s="103">
        <v>17083</v>
      </c>
      <c r="X56" s="95">
        <f t="shared" si="7"/>
        <v>17605.333333333332</v>
      </c>
      <c r="Y56" s="103">
        <v>221</v>
      </c>
      <c r="Z56" s="179">
        <f t="shared" si="14"/>
        <v>200.41666666666666</v>
      </c>
      <c r="AA56" s="103"/>
      <c r="AB56" s="179" t="e">
        <f t="shared" si="15"/>
        <v>#DIV/0!</v>
      </c>
      <c r="AC56" s="103">
        <v>27354</v>
      </c>
      <c r="AD56" s="103">
        <v>14141</v>
      </c>
      <c r="AE56" s="9">
        <v>74</v>
      </c>
      <c r="AF56">
        <v>63</v>
      </c>
      <c r="AJ56" s="159"/>
      <c r="AK56" s="9"/>
      <c r="AM56" s="101">
        <v>21809</v>
      </c>
      <c r="AN56" s="49"/>
      <c r="AO56" s="905"/>
      <c r="AP56" s="109"/>
      <c r="AS56" s="49"/>
      <c r="AT56" s="9"/>
      <c r="AW56" s="49"/>
      <c r="BI56" s="49"/>
      <c r="BJ56" s="80">
        <f t="shared" si="5"/>
        <v>42430</v>
      </c>
      <c r="BK56" s="95">
        <f t="shared" si="16"/>
        <v>33459.666666666664</v>
      </c>
      <c r="BL56" s="95">
        <f t="shared" si="16"/>
        <v>20275.25</v>
      </c>
      <c r="BM56" s="95">
        <f t="shared" si="17"/>
        <v>59224.666666666664</v>
      </c>
      <c r="BT56" s="80">
        <f t="shared" si="1"/>
        <v>42430</v>
      </c>
      <c r="BV56" s="137" t="e">
        <f t="shared" si="23"/>
        <v>#DIV/0!</v>
      </c>
      <c r="CA56" s="102">
        <f t="shared" si="18"/>
        <v>2.4016458364646096E-2</v>
      </c>
      <c r="CB56" s="102">
        <f t="shared" si="19"/>
        <v>1.0756461271979429E-2</v>
      </c>
      <c r="CC56" s="155" t="e">
        <f t="shared" si="2"/>
        <v>#DIV/0!</v>
      </c>
      <c r="CI56">
        <v>7</v>
      </c>
      <c r="CJ56" s="11">
        <f t="shared" si="29"/>
        <v>8.6666666666666661</v>
      </c>
      <c r="CK56" s="233">
        <f t="shared" si="30"/>
        <v>3.3154807447079827E-4</v>
      </c>
      <c r="CM56" s="1779"/>
      <c r="CN56" s="1779"/>
      <c r="CO56" s="1779"/>
      <c r="CP56" s="1779"/>
    </row>
    <row r="57" spans="1:94" ht="15" customHeight="1" x14ac:dyDescent="0.25">
      <c r="A57" s="98">
        <v>42461</v>
      </c>
      <c r="B57" s="105">
        <v>47309</v>
      </c>
      <c r="C57" s="95">
        <v>1249</v>
      </c>
      <c r="D57" s="104">
        <f t="shared" si="3"/>
        <v>2.6400896235388615E-2</v>
      </c>
      <c r="E57" s="144">
        <v>45709.019</v>
      </c>
      <c r="F57" s="104">
        <f t="shared" si="27"/>
        <v>0.96618019827094215</v>
      </c>
      <c r="H57" s="110">
        <f t="shared" si="28"/>
        <v>7.4189054936692374E-3</v>
      </c>
      <c r="K57" s="95">
        <f t="shared" si="8"/>
        <v>22012</v>
      </c>
      <c r="L57" s="95">
        <f t="shared" si="9"/>
        <v>26396.75</v>
      </c>
      <c r="M57" s="95">
        <f t="shared" si="4"/>
        <v>265</v>
      </c>
      <c r="N57" s="95">
        <f t="shared" si="10"/>
        <v>296.16666666666669</v>
      </c>
      <c r="O57" s="95"/>
      <c r="P57" s="95" t="e">
        <f t="shared" si="11"/>
        <v>#DIV/0!</v>
      </c>
      <c r="Q57" s="103">
        <v>6515</v>
      </c>
      <c r="R57" s="95">
        <f t="shared" si="6"/>
        <v>9153</v>
      </c>
      <c r="S57" s="161">
        <v>62</v>
      </c>
      <c r="T57" s="179">
        <f t="shared" si="12"/>
        <v>97.916666666666671</v>
      </c>
      <c r="U57" s="103"/>
      <c r="V57" s="179" t="e">
        <f t="shared" si="13"/>
        <v>#DIV/0!</v>
      </c>
      <c r="W57" s="103">
        <v>15497</v>
      </c>
      <c r="X57" s="95">
        <f t="shared" si="7"/>
        <v>17243.75</v>
      </c>
      <c r="Y57" s="103">
        <v>203</v>
      </c>
      <c r="Z57" s="179">
        <f t="shared" si="14"/>
        <v>198.25</v>
      </c>
      <c r="AA57" s="103"/>
      <c r="AB57" s="179" t="e">
        <f t="shared" si="15"/>
        <v>#DIV/0!</v>
      </c>
      <c r="AC57" s="103">
        <v>24138</v>
      </c>
      <c r="AD57" s="103">
        <v>14863</v>
      </c>
      <c r="AE57" s="9">
        <v>72</v>
      </c>
      <c r="AF57" s="1985" t="s">
        <v>1162</v>
      </c>
      <c r="AG57" s="1986"/>
      <c r="AH57" s="1987"/>
      <c r="AJ57" s="159"/>
      <c r="AK57" s="9"/>
      <c r="AM57" s="101">
        <v>25979</v>
      </c>
      <c r="AN57" s="49"/>
      <c r="AO57" s="905"/>
      <c r="AP57" s="109"/>
      <c r="AR57" s="101">
        <f t="shared" ref="AR57:AR81" si="31">AM57/AE57</f>
        <v>360.81944444444446</v>
      </c>
      <c r="AS57" s="49"/>
      <c r="AT57" s="9"/>
      <c r="AW57" s="49"/>
      <c r="BC57" s="95"/>
      <c r="BI57" s="49"/>
      <c r="BJ57" s="80">
        <f t="shared" si="5"/>
        <v>42461</v>
      </c>
      <c r="BK57" s="95">
        <f t="shared" si="16"/>
        <v>33204</v>
      </c>
      <c r="BL57" s="95">
        <f t="shared" si="16"/>
        <v>19960.916666666668</v>
      </c>
      <c r="BM57" s="95">
        <f t="shared" si="17"/>
        <v>58866.083333333336</v>
      </c>
      <c r="BT57" s="80">
        <f t="shared" si="1"/>
        <v>42461</v>
      </c>
      <c r="BV57" s="137" t="e">
        <f t="shared" si="23"/>
        <v>#DIV/0!</v>
      </c>
      <c r="CA57" s="102">
        <f t="shared" si="18"/>
        <v>2.4254779970249565E-2</v>
      </c>
      <c r="CB57" s="102">
        <f t="shared" si="19"/>
        <v>9.9220723274018804E-3</v>
      </c>
      <c r="CC57" s="155" t="e">
        <f t="shared" si="2"/>
        <v>#DIV/0!</v>
      </c>
      <c r="CI57">
        <v>7</v>
      </c>
      <c r="CJ57" s="11">
        <f t="shared" si="29"/>
        <v>8.6666666666666661</v>
      </c>
      <c r="CK57" s="233">
        <f t="shared" si="30"/>
        <v>3.9372463504754978E-4</v>
      </c>
      <c r="CM57" s="1779">
        <f t="shared" ref="CM57" si="32">SUM(W57:W68)/SUM(W45:W56)-1</f>
        <v>-0.13254032868827625</v>
      </c>
      <c r="CN57" s="1779">
        <f t="shared" ref="CN57" si="33">SUM(Q57:Q68)/SUM(Q45:Q56)-1</f>
        <v>4.2240438636835131E-2</v>
      </c>
      <c r="CO57" s="1779">
        <f t="shared" ref="CO57:CP57" si="34">SUM(AC57:AC68)/SUM(AC45:AC56)-1</f>
        <v>-6.507835304197096E-2</v>
      </c>
      <c r="CP57" s="1779">
        <f t="shared" si="34"/>
        <v>-0.21324850084051572</v>
      </c>
    </row>
    <row r="58" spans="1:94" x14ac:dyDescent="0.25">
      <c r="A58" s="98">
        <v>42491</v>
      </c>
      <c r="B58" s="105">
        <v>45254</v>
      </c>
      <c r="C58" s="95">
        <v>1226</v>
      </c>
      <c r="D58" s="104">
        <f t="shared" si="3"/>
        <v>2.7091527820745129E-2</v>
      </c>
      <c r="E58" s="144">
        <v>41231.037499999999</v>
      </c>
      <c r="F58" s="104">
        <f t="shared" si="27"/>
        <v>0.91110260971405843</v>
      </c>
      <c r="H58" s="110">
        <f t="shared" si="28"/>
        <v>6.180586246519644E-2</v>
      </c>
      <c r="K58" s="95">
        <f t="shared" si="8"/>
        <v>21868</v>
      </c>
      <c r="L58" s="95">
        <f t="shared" si="9"/>
        <v>25841.583333333332</v>
      </c>
      <c r="M58" s="95">
        <f t="shared" si="4"/>
        <v>282</v>
      </c>
      <c r="N58" s="95">
        <f t="shared" si="10"/>
        <v>291.25</v>
      </c>
      <c r="O58" s="95"/>
      <c r="P58" s="95" t="e">
        <f t="shared" si="11"/>
        <v>#DIV/0!</v>
      </c>
      <c r="Q58" s="103">
        <v>6415</v>
      </c>
      <c r="R58" s="95">
        <f t="shared" si="6"/>
        <v>8998.25</v>
      </c>
      <c r="S58" s="161">
        <v>62</v>
      </c>
      <c r="T58" s="179">
        <f t="shared" si="12"/>
        <v>94.5</v>
      </c>
      <c r="U58" s="103"/>
      <c r="V58" s="179" t="e">
        <f t="shared" si="13"/>
        <v>#DIV/0!</v>
      </c>
      <c r="W58" s="103">
        <v>15453</v>
      </c>
      <c r="X58" s="95">
        <f t="shared" si="7"/>
        <v>16843.333333333332</v>
      </c>
      <c r="Y58" s="103">
        <v>220</v>
      </c>
      <c r="Z58" s="179">
        <f t="shared" si="14"/>
        <v>196.75</v>
      </c>
      <c r="AA58" s="103"/>
      <c r="AB58" s="179" t="e">
        <f t="shared" si="15"/>
        <v>#DIV/0!</v>
      </c>
      <c r="AC58" s="103">
        <v>27123</v>
      </c>
      <c r="AD58" s="103">
        <v>17617</v>
      </c>
      <c r="AE58" s="9">
        <v>70</v>
      </c>
      <c r="AF58" s="1988"/>
      <c r="AG58" s="1989"/>
      <c r="AH58" s="1990"/>
      <c r="AJ58" s="159"/>
      <c r="AK58" s="9"/>
      <c r="AM58" s="101">
        <v>16871</v>
      </c>
      <c r="AN58" s="49"/>
      <c r="AO58" s="905"/>
      <c r="AP58" s="109"/>
      <c r="AR58" s="101">
        <f t="shared" si="31"/>
        <v>241.01428571428571</v>
      </c>
      <c r="AS58" s="49"/>
      <c r="AT58" s="9"/>
      <c r="AW58" s="49"/>
      <c r="BC58" s="95"/>
      <c r="BI58" s="49"/>
      <c r="BJ58" s="80">
        <f t="shared" si="5"/>
        <v>42491</v>
      </c>
      <c r="BK58" s="95">
        <f t="shared" si="16"/>
        <v>33237.666666666664</v>
      </c>
      <c r="BL58" s="95">
        <f t="shared" si="16"/>
        <v>20012.916666666668</v>
      </c>
      <c r="BM58" s="95">
        <f t="shared" si="17"/>
        <v>57812.833333333336</v>
      </c>
      <c r="BT58" s="80">
        <f t="shared" si="1"/>
        <v>42491</v>
      </c>
      <c r="BV58" s="137" t="e">
        <f t="shared" si="23"/>
        <v>#DIV/0!</v>
      </c>
      <c r="CA58" s="102">
        <f t="shared" si="18"/>
        <v>2.4477043197419234E-2</v>
      </c>
      <c r="CB58" s="102">
        <f t="shared" si="19"/>
        <v>2.0298830354960794E-2</v>
      </c>
      <c r="CC58" s="155" t="e">
        <f t="shared" si="2"/>
        <v>#DIV/0!</v>
      </c>
      <c r="CI58">
        <v>9</v>
      </c>
      <c r="CJ58" s="11">
        <f t="shared" si="29"/>
        <v>8.4166666666666661</v>
      </c>
      <c r="CK58" s="233">
        <f t="shared" si="30"/>
        <v>3.8488506798365951E-4</v>
      </c>
      <c r="CM58" s="1779"/>
      <c r="CN58" s="1779"/>
      <c r="CO58" s="1779"/>
      <c r="CP58" s="1779"/>
    </row>
    <row r="59" spans="1:94" x14ac:dyDescent="0.25">
      <c r="A59" s="98">
        <v>42522</v>
      </c>
      <c r="B59" s="105">
        <v>46925</v>
      </c>
      <c r="C59" s="95">
        <v>994</v>
      </c>
      <c r="D59" s="104">
        <f t="shared" si="3"/>
        <v>2.1182738412360149E-2</v>
      </c>
      <c r="E59" s="144">
        <v>43816.175300000003</v>
      </c>
      <c r="F59" s="104">
        <f t="shared" si="27"/>
        <v>0.93374907405434204</v>
      </c>
      <c r="H59" s="110">
        <f t="shared" si="28"/>
        <v>4.5068187533297804E-2</v>
      </c>
      <c r="K59" s="95">
        <f t="shared" si="8"/>
        <v>20533</v>
      </c>
      <c r="L59" s="95">
        <f t="shared" si="9"/>
        <v>25135.25</v>
      </c>
      <c r="M59" s="95">
        <f t="shared" si="4"/>
        <v>279</v>
      </c>
      <c r="N59" s="95">
        <f t="shared" si="10"/>
        <v>286.41666666666669</v>
      </c>
      <c r="O59" s="95"/>
      <c r="P59" s="95" t="e">
        <f t="shared" si="11"/>
        <v>#DIV/0!</v>
      </c>
      <c r="Q59" s="103">
        <v>5291</v>
      </c>
      <c r="R59" s="95">
        <f t="shared" si="6"/>
        <v>8626.0833333333339</v>
      </c>
      <c r="S59" s="161">
        <v>69</v>
      </c>
      <c r="T59" s="179">
        <f t="shared" si="12"/>
        <v>90.5</v>
      </c>
      <c r="U59" s="103"/>
      <c r="V59" s="179" t="e">
        <f t="shared" si="13"/>
        <v>#DIV/0!</v>
      </c>
      <c r="W59" s="103">
        <v>15242</v>
      </c>
      <c r="X59" s="95">
        <f t="shared" si="7"/>
        <v>16509.166666666668</v>
      </c>
      <c r="Y59" s="103">
        <v>210</v>
      </c>
      <c r="Z59" s="179">
        <f t="shared" si="14"/>
        <v>195.91666666666666</v>
      </c>
      <c r="AA59" s="103"/>
      <c r="AB59" s="179" t="e">
        <f t="shared" si="15"/>
        <v>#DIV/0!</v>
      </c>
      <c r="AC59" s="103">
        <v>25646</v>
      </c>
      <c r="AD59" s="103">
        <v>13158</v>
      </c>
      <c r="AE59" s="9">
        <v>68</v>
      </c>
      <c r="AF59" s="1988"/>
      <c r="AG59" s="1989"/>
      <c r="AH59" s="1990"/>
      <c r="AJ59" s="159"/>
      <c r="AK59" s="9"/>
      <c r="AM59" s="101">
        <v>8863</v>
      </c>
      <c r="AN59" s="49"/>
      <c r="AO59" s="905"/>
      <c r="AP59" s="109"/>
      <c r="AR59" s="101">
        <f t="shared" si="31"/>
        <v>130.33823529411765</v>
      </c>
      <c r="AS59" s="49"/>
      <c r="AT59" s="9"/>
      <c r="AW59" s="49"/>
      <c r="BC59" s="95"/>
      <c r="BI59" s="49"/>
      <c r="BJ59" s="80">
        <f t="shared" si="5"/>
        <v>42522</v>
      </c>
      <c r="BK59" s="95">
        <f t="shared" si="16"/>
        <v>32045.5</v>
      </c>
      <c r="BL59" s="95">
        <f t="shared" si="16"/>
        <v>19324.416666666668</v>
      </c>
      <c r="BM59" s="95">
        <f t="shared" si="17"/>
        <v>56658.916666666664</v>
      </c>
      <c r="BT59" s="80">
        <f t="shared" si="1"/>
        <v>42522</v>
      </c>
      <c r="BV59" s="137" t="e">
        <f t="shared" si="23"/>
        <v>#DIV/0!</v>
      </c>
      <c r="CA59" s="102">
        <f t="shared" si="18"/>
        <v>2.4037308586628003E-2</v>
      </c>
      <c r="CB59" s="102">
        <f t="shared" si="19"/>
        <v>2.4427056551350291E-2</v>
      </c>
      <c r="CC59" s="155" t="e">
        <f t="shared" si="2"/>
        <v>#DIV/0!</v>
      </c>
      <c r="CI59">
        <v>11</v>
      </c>
      <c r="CJ59" s="11">
        <f t="shared" si="29"/>
        <v>8.5833333333333339</v>
      </c>
      <c r="CK59" s="233">
        <f t="shared" si="30"/>
        <v>4.1802626666017311E-4</v>
      </c>
      <c r="CM59" s="1779"/>
      <c r="CN59" s="1779"/>
      <c r="CO59" s="1779"/>
      <c r="CP59" s="1779"/>
    </row>
    <row r="60" spans="1:94" x14ac:dyDescent="0.25">
      <c r="A60" s="98">
        <v>42552</v>
      </c>
      <c r="B60" s="105">
        <v>56239</v>
      </c>
      <c r="C60" s="95">
        <v>1210</v>
      </c>
      <c r="D60" s="104">
        <f t="shared" si="3"/>
        <v>2.1515318551183344E-2</v>
      </c>
      <c r="E60" s="144">
        <v>55029.149499999985</v>
      </c>
      <c r="F60" s="104">
        <f t="shared" si="27"/>
        <v>0.97848733974643909</v>
      </c>
      <c r="H60" s="110">
        <f t="shared" si="28"/>
        <v>-2.6582976224327759E-6</v>
      </c>
      <c r="K60" s="95">
        <f t="shared" si="8"/>
        <v>25126</v>
      </c>
      <c r="L60" s="95">
        <f t="shared" si="9"/>
        <v>24940.083333333332</v>
      </c>
      <c r="M60" s="95">
        <f t="shared" si="4"/>
        <v>304</v>
      </c>
      <c r="N60" s="95">
        <f t="shared" si="10"/>
        <v>281.91666666666669</v>
      </c>
      <c r="O60" s="95"/>
      <c r="P60" s="95" t="e">
        <f t="shared" si="11"/>
        <v>#DIV/0!</v>
      </c>
      <c r="Q60" s="103">
        <v>8242</v>
      </c>
      <c r="R60" s="95">
        <f t="shared" si="6"/>
        <v>8657.6666666666661</v>
      </c>
      <c r="S60" s="161">
        <v>80</v>
      </c>
      <c r="T60" s="179">
        <f t="shared" si="12"/>
        <v>88.75</v>
      </c>
      <c r="U60" s="103"/>
      <c r="V60" s="179" t="e">
        <f t="shared" si="13"/>
        <v>#DIV/0!</v>
      </c>
      <c r="W60" s="103">
        <v>16884</v>
      </c>
      <c r="X60" s="95">
        <f t="shared" si="7"/>
        <v>16282.416666666666</v>
      </c>
      <c r="Y60" s="103">
        <v>224</v>
      </c>
      <c r="Z60" s="179">
        <f t="shared" si="14"/>
        <v>193.16666666666666</v>
      </c>
      <c r="AA60" s="103"/>
      <c r="AB60" s="179" t="e">
        <f t="shared" si="15"/>
        <v>#DIV/0!</v>
      </c>
      <c r="AC60" s="103">
        <v>27047</v>
      </c>
      <c r="AD60" s="103">
        <v>12138</v>
      </c>
      <c r="AE60" s="9">
        <v>67</v>
      </c>
      <c r="AF60" s="1988"/>
      <c r="AG60" s="1989"/>
      <c r="AH60" s="1990"/>
      <c r="AJ60" s="159"/>
      <c r="AK60" s="9"/>
      <c r="AM60" s="101">
        <v>10432</v>
      </c>
      <c r="AN60" s="49"/>
      <c r="AO60" s="905"/>
      <c r="AP60" s="109"/>
      <c r="AR60" s="101">
        <f t="shared" si="31"/>
        <v>155.70149253731344</v>
      </c>
      <c r="AS60" s="49"/>
      <c r="AT60" s="9"/>
      <c r="AW60" s="49"/>
      <c r="BC60" s="95"/>
      <c r="BI60" s="49"/>
      <c r="BJ60" s="80">
        <f t="shared" si="5"/>
        <v>42552</v>
      </c>
      <c r="BK60" s="95">
        <f t="shared" si="16"/>
        <v>31394.166666666668</v>
      </c>
      <c r="BL60" s="95">
        <f t="shared" si="16"/>
        <v>17577.083333333332</v>
      </c>
      <c r="BM60" s="95">
        <f t="shared" si="17"/>
        <v>56394.5</v>
      </c>
      <c r="BT60" s="80">
        <f t="shared" si="1"/>
        <v>42552</v>
      </c>
      <c r="BV60" s="137" t="e">
        <f t="shared" si="23"/>
        <v>#DIV/0!</v>
      </c>
      <c r="CA60" s="102">
        <f t="shared" si="18"/>
        <v>2.4121842723618992E-2</v>
      </c>
      <c r="CB60" s="102">
        <f t="shared" si="19"/>
        <v>2.0937097287211329E-2</v>
      </c>
      <c r="CC60" s="155" t="e">
        <f t="shared" si="2"/>
        <v>#DIV/0!</v>
      </c>
      <c r="CI60">
        <v>17</v>
      </c>
      <c r="CJ60" s="11">
        <f t="shared" si="29"/>
        <v>8.9166666666666661</v>
      </c>
      <c r="CK60" s="233">
        <f t="shared" si="30"/>
        <v>3.5487808113773248E-4</v>
      </c>
      <c r="CM60" s="1779"/>
      <c r="CN60" s="1779"/>
      <c r="CO60" s="1779"/>
      <c r="CP60" s="1779"/>
    </row>
    <row r="61" spans="1:94" x14ac:dyDescent="0.25">
      <c r="A61" s="98">
        <v>42583</v>
      </c>
      <c r="B61" s="105">
        <v>58547</v>
      </c>
      <c r="C61" s="95">
        <v>1258</v>
      </c>
      <c r="D61" s="104">
        <f t="shared" si="3"/>
        <v>2.1487010436059918E-2</v>
      </c>
      <c r="E61" s="144">
        <v>50355.999599999996</v>
      </c>
      <c r="F61" s="104">
        <f t="shared" si="27"/>
        <v>0.86009530121099276</v>
      </c>
      <c r="H61" s="110">
        <f t="shared" si="28"/>
        <v>0.11841768835294733</v>
      </c>
      <c r="K61" s="95">
        <f t="shared" si="8"/>
        <v>24732</v>
      </c>
      <c r="L61" s="95">
        <f t="shared" si="9"/>
        <v>24789.166666666668</v>
      </c>
      <c r="M61" s="95">
        <f t="shared" si="4"/>
        <v>360</v>
      </c>
      <c r="N61" s="95">
        <f t="shared" si="10"/>
        <v>285.66666666666669</v>
      </c>
      <c r="O61" s="95"/>
      <c r="P61" s="95" t="e">
        <f t="shared" si="11"/>
        <v>#DIV/0!</v>
      </c>
      <c r="Q61" s="103">
        <v>11506</v>
      </c>
      <c r="R61" s="95">
        <f t="shared" si="6"/>
        <v>8832.5833333333339</v>
      </c>
      <c r="S61" s="161">
        <v>113</v>
      </c>
      <c r="T61" s="179">
        <f t="shared" si="12"/>
        <v>87.083333333333329</v>
      </c>
      <c r="U61" s="103"/>
      <c r="V61" s="179" t="e">
        <f t="shared" si="13"/>
        <v>#DIV/0!</v>
      </c>
      <c r="W61" s="103">
        <v>13226</v>
      </c>
      <c r="X61" s="95">
        <f t="shared" si="7"/>
        <v>15956.583333333334</v>
      </c>
      <c r="Y61" s="103">
        <v>247</v>
      </c>
      <c r="Z61" s="179">
        <f t="shared" si="14"/>
        <v>198.58333333333334</v>
      </c>
      <c r="AA61" s="103"/>
      <c r="AB61" s="179" t="e">
        <f t="shared" si="15"/>
        <v>#DIV/0!</v>
      </c>
      <c r="AC61" s="103">
        <v>29459</v>
      </c>
      <c r="AD61" s="103">
        <v>17289</v>
      </c>
      <c r="AE61" s="9">
        <v>71</v>
      </c>
      <c r="AF61" s="1988"/>
      <c r="AG61" s="1989"/>
      <c r="AH61" s="1990"/>
      <c r="AJ61" s="159"/>
      <c r="AK61" s="9"/>
      <c r="AM61" s="101">
        <v>17086</v>
      </c>
      <c r="AN61" s="49"/>
      <c r="AO61" s="905"/>
      <c r="AP61" s="109"/>
      <c r="AR61" s="101">
        <f t="shared" si="31"/>
        <v>240.64788732394365</v>
      </c>
      <c r="AS61" s="49"/>
      <c r="AT61" s="9"/>
      <c r="AW61" s="49"/>
      <c r="BC61" s="95"/>
      <c r="BI61" s="49"/>
      <c r="BJ61" s="80">
        <f t="shared" si="5"/>
        <v>42583</v>
      </c>
      <c r="BK61" s="95">
        <f t="shared" si="16"/>
        <v>30296.916666666668</v>
      </c>
      <c r="BL61" s="95">
        <f t="shared" si="16"/>
        <v>16449.25</v>
      </c>
      <c r="BM61" s="95">
        <f t="shared" si="17"/>
        <v>56265.916666666664</v>
      </c>
      <c r="BT61" s="80">
        <f t="shared" si="1"/>
        <v>42583</v>
      </c>
      <c r="BV61" s="137" t="e">
        <f t="shared" si="23"/>
        <v>#DIV/0!</v>
      </c>
      <c r="CA61" s="102">
        <f t="shared" si="18"/>
        <v>2.4120670117393394E-2</v>
      </c>
      <c r="CB61" s="102">
        <f t="shared" si="19"/>
        <v>3.312217117042833E-2</v>
      </c>
      <c r="CC61" s="155" t="e">
        <f t="shared" si="2"/>
        <v>#DIV/0!</v>
      </c>
      <c r="CI61">
        <v>15</v>
      </c>
      <c r="CJ61" s="11">
        <f t="shared" si="29"/>
        <v>9.3333333333333339</v>
      </c>
      <c r="CK61" s="233">
        <f t="shared" si="30"/>
        <v>3.7737883443851421E-4</v>
      </c>
      <c r="CM61" s="1779"/>
      <c r="CN61" s="1779"/>
      <c r="CO61" s="1779"/>
      <c r="CP61" s="1779"/>
    </row>
    <row r="62" spans="1:94" x14ac:dyDescent="0.25">
      <c r="A62" s="98">
        <v>42614</v>
      </c>
      <c r="B62" s="105">
        <v>56394</v>
      </c>
      <c r="C62" s="95">
        <v>1153</v>
      </c>
      <c r="D62" s="104">
        <f t="shared" si="3"/>
        <v>2.0445437457885591E-2</v>
      </c>
      <c r="E62" s="144">
        <v>56972.119600000005</v>
      </c>
      <c r="F62" s="104"/>
      <c r="H62" s="110"/>
      <c r="K62" s="95">
        <f t="shared" si="8"/>
        <v>21681</v>
      </c>
      <c r="L62" s="95">
        <f t="shared" si="9"/>
        <v>24214</v>
      </c>
      <c r="M62" s="95">
        <f t="shared" si="4"/>
        <v>319</v>
      </c>
      <c r="N62" s="95">
        <f t="shared" si="10"/>
        <v>288.16666666666669</v>
      </c>
      <c r="O62" s="95"/>
      <c r="P62" s="95" t="e">
        <f t="shared" si="11"/>
        <v>#DIV/0!</v>
      </c>
      <c r="Q62" s="103">
        <v>8829</v>
      </c>
      <c r="R62" s="95">
        <f t="shared" si="6"/>
        <v>8676.8333333333339</v>
      </c>
      <c r="S62" s="161">
        <v>118</v>
      </c>
      <c r="T62" s="179">
        <f t="shared" si="12"/>
        <v>88</v>
      </c>
      <c r="U62" s="103"/>
      <c r="V62" s="179" t="e">
        <f t="shared" si="13"/>
        <v>#DIV/0!</v>
      </c>
      <c r="W62" s="103">
        <v>12852</v>
      </c>
      <c r="X62" s="95">
        <f t="shared" si="7"/>
        <v>15537.166666666666</v>
      </c>
      <c r="Y62" s="103">
        <v>201</v>
      </c>
      <c r="Z62" s="179">
        <f t="shared" si="14"/>
        <v>200.16666666666666</v>
      </c>
      <c r="AA62" s="103"/>
      <c r="AB62" s="179" t="e">
        <f t="shared" si="15"/>
        <v>#DIV/0!</v>
      </c>
      <c r="AC62" s="103">
        <v>31209</v>
      </c>
      <c r="AD62" s="103">
        <v>14871</v>
      </c>
      <c r="AE62" s="9">
        <v>71</v>
      </c>
      <c r="AF62" s="1988"/>
      <c r="AG62" s="1989"/>
      <c r="AH62" s="1990"/>
      <c r="AJ62" s="159"/>
      <c r="AK62" s="9"/>
      <c r="AM62" s="101">
        <v>16015</v>
      </c>
      <c r="AN62" s="49"/>
      <c r="AO62" s="905"/>
      <c r="AP62" s="109"/>
      <c r="AR62" s="101">
        <f t="shared" si="31"/>
        <v>225.56338028169014</v>
      </c>
      <c r="AS62" s="49"/>
      <c r="AT62" s="9"/>
      <c r="AW62" s="49"/>
      <c r="BC62" s="95"/>
      <c r="BI62" s="49"/>
      <c r="BJ62" s="80">
        <f t="shared" si="5"/>
        <v>42614</v>
      </c>
      <c r="BK62" s="95">
        <f t="shared" si="16"/>
        <v>30029.583333333332</v>
      </c>
      <c r="BL62" s="95">
        <f t="shared" si="16"/>
        <v>15870.166666666666</v>
      </c>
      <c r="BM62" s="95">
        <f t="shared" si="17"/>
        <v>54660.25</v>
      </c>
      <c r="BT62" s="80">
        <f t="shared" si="1"/>
        <v>42614</v>
      </c>
      <c r="BV62" s="137" t="e">
        <f t="shared" si="23"/>
        <v>#DIV/0!</v>
      </c>
      <c r="CA62" s="102">
        <f t="shared" si="18"/>
        <v>2.4365115467479454E-2</v>
      </c>
      <c r="CB62" s="102">
        <f t="shared" si="19"/>
        <v>3.312217117042833E-2</v>
      </c>
      <c r="CC62" s="155" t="e">
        <f t="shared" si="2"/>
        <v>#DIV/0!</v>
      </c>
      <c r="CI62">
        <v>7</v>
      </c>
      <c r="CJ62" s="11">
        <f t="shared" si="29"/>
        <v>9.0833333333333339</v>
      </c>
      <c r="CK62" s="233">
        <f t="shared" si="30"/>
        <v>4.189536153006473E-4</v>
      </c>
      <c r="CM62" s="1779"/>
      <c r="CN62" s="1779"/>
      <c r="CO62" s="1779"/>
      <c r="CP62" s="1779"/>
    </row>
    <row r="63" spans="1:94" x14ac:dyDescent="0.25">
      <c r="A63" s="98">
        <v>42644</v>
      </c>
      <c r="B63" s="105">
        <v>59497</v>
      </c>
      <c r="C63" s="95">
        <v>1109</v>
      </c>
      <c r="D63" s="104">
        <f t="shared" si="3"/>
        <v>1.8639595273711281E-2</v>
      </c>
      <c r="E63" s="144">
        <v>55531.155500000008</v>
      </c>
      <c r="F63" s="104">
        <f t="shared" si="27"/>
        <v>0.9333437904432158</v>
      </c>
      <c r="H63" s="110">
        <f t="shared" si="28"/>
        <v>4.8016614283072911E-2</v>
      </c>
      <c r="K63" s="95">
        <f t="shared" si="8"/>
        <v>29219</v>
      </c>
      <c r="L63" s="95">
        <f t="shared" si="9"/>
        <v>24342.666666666668</v>
      </c>
      <c r="M63" s="95">
        <f t="shared" si="4"/>
        <v>323</v>
      </c>
      <c r="N63" s="95">
        <f t="shared" si="10"/>
        <v>290.75</v>
      </c>
      <c r="O63" s="95"/>
      <c r="P63" s="95" t="e">
        <f t="shared" si="11"/>
        <v>#DIV/0!</v>
      </c>
      <c r="Q63" s="103">
        <v>13416</v>
      </c>
      <c r="R63" s="95">
        <f t="shared" si="6"/>
        <v>8906.5833333333339</v>
      </c>
      <c r="S63" s="161">
        <v>132</v>
      </c>
      <c r="T63" s="179">
        <f t="shared" si="12"/>
        <v>89.333333333333329</v>
      </c>
      <c r="U63" s="103"/>
      <c r="V63" s="179" t="e">
        <f t="shared" si="13"/>
        <v>#DIV/0!</v>
      </c>
      <c r="W63" s="103">
        <v>15803</v>
      </c>
      <c r="X63" s="95">
        <f t="shared" si="7"/>
        <v>15436.083333333334</v>
      </c>
      <c r="Y63" s="103">
        <v>191</v>
      </c>
      <c r="Z63" s="179">
        <f t="shared" si="14"/>
        <v>201.41666666666666</v>
      </c>
      <c r="AA63" s="103"/>
      <c r="AB63" s="179" t="e">
        <f t="shared" si="15"/>
        <v>#DIV/0!</v>
      </c>
      <c r="AC63" s="103">
        <v>43022</v>
      </c>
      <c r="AD63" s="103">
        <v>18809</v>
      </c>
      <c r="AE63" s="9">
        <v>73</v>
      </c>
      <c r="AF63" s="1988"/>
      <c r="AG63" s="1989"/>
      <c r="AH63" s="1990"/>
      <c r="AJ63" s="159"/>
      <c r="AK63" s="9"/>
      <c r="AM63" s="101">
        <v>24118</v>
      </c>
      <c r="AN63" s="49"/>
      <c r="AO63" s="905"/>
      <c r="AP63" s="109"/>
      <c r="AR63" s="101">
        <f t="shared" si="31"/>
        <v>330.38356164383561</v>
      </c>
      <c r="AS63" s="49"/>
      <c r="AT63" s="9"/>
      <c r="AW63" s="49"/>
      <c r="BC63" s="95"/>
      <c r="BI63" s="49"/>
      <c r="BJ63" s="80">
        <f t="shared" si="5"/>
        <v>42644</v>
      </c>
      <c r="BK63" s="95">
        <f t="shared" si="16"/>
        <v>30674.166666666668</v>
      </c>
      <c r="BL63" s="95">
        <f t="shared" si="16"/>
        <v>15727.916666666666</v>
      </c>
      <c r="BM63" s="95">
        <f t="shared" si="17"/>
        <v>53906.25</v>
      </c>
      <c r="BT63" s="80">
        <f t="shared" si="1"/>
        <v>42644</v>
      </c>
      <c r="BV63" s="137" t="e">
        <f t="shared" si="23"/>
        <v>#DIV/0!</v>
      </c>
      <c r="CA63" s="102">
        <f t="shared" si="18"/>
        <v>2.4092364060905355E-2</v>
      </c>
      <c r="CB63" s="102">
        <f t="shared" si="19"/>
        <v>3.4777109294055503E-2</v>
      </c>
      <c r="CC63" s="155" t="e">
        <f t="shared" si="2"/>
        <v>#DIV/0!</v>
      </c>
      <c r="CI63">
        <v>10</v>
      </c>
      <c r="CJ63" s="11">
        <f t="shared" si="29"/>
        <v>9</v>
      </c>
      <c r="CK63" s="233">
        <f t="shared" si="30"/>
        <v>3.0801875491974398E-4</v>
      </c>
      <c r="CM63" s="1779"/>
      <c r="CN63" s="1779"/>
      <c r="CO63" s="1779"/>
      <c r="CP63" s="1779"/>
    </row>
    <row r="64" spans="1:94" x14ac:dyDescent="0.25">
      <c r="A64" s="98">
        <v>42675</v>
      </c>
      <c r="B64" s="105">
        <v>66369</v>
      </c>
      <c r="C64" s="95">
        <v>1108</v>
      </c>
      <c r="D64" s="104">
        <f t="shared" si="3"/>
        <v>1.6694541126128164E-2</v>
      </c>
      <c r="E64" s="144">
        <v>62250.887699999977</v>
      </c>
      <c r="F64" s="104">
        <f t="shared" si="27"/>
        <v>0.9379512679112233</v>
      </c>
      <c r="H64" s="110">
        <f t="shared" si="28"/>
        <v>4.535419096264854E-2</v>
      </c>
      <c r="K64" s="95">
        <f t="shared" si="8"/>
        <v>28484</v>
      </c>
      <c r="L64" s="95">
        <f t="shared" si="9"/>
        <v>24104.083333333332</v>
      </c>
      <c r="M64" s="95">
        <f t="shared" si="4"/>
        <v>283</v>
      </c>
      <c r="N64" s="95">
        <f t="shared" si="10"/>
        <v>288.16666666666669</v>
      </c>
      <c r="O64" s="95"/>
      <c r="P64" s="95" t="e">
        <f t="shared" si="11"/>
        <v>#DIV/0!</v>
      </c>
      <c r="Q64" s="103">
        <v>10255</v>
      </c>
      <c r="R64" s="95">
        <f t="shared" si="6"/>
        <v>8592.5</v>
      </c>
      <c r="S64" s="161">
        <v>79</v>
      </c>
      <c r="T64" s="179">
        <f t="shared" si="12"/>
        <v>84.916666666666671</v>
      </c>
      <c r="U64" s="103"/>
      <c r="V64" s="179" t="e">
        <f t="shared" si="13"/>
        <v>#DIV/0!</v>
      </c>
      <c r="W64" s="103">
        <v>18229</v>
      </c>
      <c r="X64" s="95">
        <f t="shared" si="7"/>
        <v>15511.583333333334</v>
      </c>
      <c r="Y64" s="103">
        <v>204</v>
      </c>
      <c r="Z64" s="179">
        <f t="shared" si="14"/>
        <v>203.25</v>
      </c>
      <c r="AA64" s="103"/>
      <c r="AB64" s="179" t="e">
        <f t="shared" si="15"/>
        <v>#DIV/0!</v>
      </c>
      <c r="AC64" s="103">
        <v>33259</v>
      </c>
      <c r="AD64" s="103">
        <v>18851</v>
      </c>
      <c r="AE64" s="9">
        <v>79</v>
      </c>
      <c r="AF64" s="1988"/>
      <c r="AG64" s="1989"/>
      <c r="AH64" s="1990"/>
      <c r="AJ64" s="159"/>
      <c r="AK64" s="9"/>
      <c r="AM64" s="101">
        <v>26529</v>
      </c>
      <c r="AN64" s="49"/>
      <c r="AO64" s="905"/>
      <c r="AP64" s="109"/>
      <c r="AR64" s="101">
        <f t="shared" si="31"/>
        <v>335.81012658227849</v>
      </c>
      <c r="AS64" s="49"/>
      <c r="AT64" s="9"/>
      <c r="AW64" s="49"/>
      <c r="BC64" s="95"/>
      <c r="BI64" s="49"/>
      <c r="BJ64" s="80">
        <f t="shared" si="5"/>
        <v>42675</v>
      </c>
      <c r="BK64" s="95">
        <f t="shared" si="16"/>
        <v>29862.25</v>
      </c>
      <c r="BL64" s="95">
        <f t="shared" si="16"/>
        <v>15328.916666666666</v>
      </c>
      <c r="BM64" s="95">
        <f t="shared" si="17"/>
        <v>53873.333333333336</v>
      </c>
      <c r="BN64" s="95"/>
      <c r="BT64" s="80">
        <f t="shared" si="1"/>
        <v>42675</v>
      </c>
      <c r="BV64" s="137" t="e">
        <f t="shared" si="23"/>
        <v>#DIV/0!</v>
      </c>
      <c r="CA64" s="102">
        <f t="shared" si="18"/>
        <v>2.322936696634444E-2</v>
      </c>
      <c r="CB64" s="102">
        <f t="shared" si="19"/>
        <v>3.5834817460914811E-2</v>
      </c>
      <c r="CC64" s="155" t="e">
        <f t="shared" si="2"/>
        <v>#DIV/0!</v>
      </c>
      <c r="CI64">
        <v>9</v>
      </c>
      <c r="CJ64" s="11">
        <f t="shared" si="29"/>
        <v>9.1666666666666661</v>
      </c>
      <c r="CK64" s="233">
        <f t="shared" si="30"/>
        <v>3.2181809670926367E-4</v>
      </c>
      <c r="CM64" s="1779"/>
      <c r="CN64" s="1779"/>
      <c r="CO64" s="1779"/>
      <c r="CP64" s="1779"/>
    </row>
    <row r="65" spans="1:94" x14ac:dyDescent="0.25">
      <c r="A65" s="99">
        <v>42705</v>
      </c>
      <c r="B65" s="105">
        <v>55643</v>
      </c>
      <c r="C65" s="95">
        <v>1035</v>
      </c>
      <c r="D65" s="104">
        <f t="shared" si="3"/>
        <v>1.8600722462843486E-2</v>
      </c>
      <c r="E65" s="144">
        <v>56042.074699999997</v>
      </c>
      <c r="F65" s="104"/>
      <c r="H65" s="110"/>
      <c r="K65" s="95">
        <f t="shared" si="8"/>
        <v>21276</v>
      </c>
      <c r="L65" s="95">
        <f t="shared" si="9"/>
        <v>24067.5</v>
      </c>
      <c r="M65" s="95">
        <f t="shared" si="4"/>
        <v>222</v>
      </c>
      <c r="N65" s="95">
        <f t="shared" si="10"/>
        <v>288.66666666666669</v>
      </c>
      <c r="O65" s="95"/>
      <c r="P65" s="95" t="e">
        <f t="shared" si="11"/>
        <v>#DIV/0!</v>
      </c>
      <c r="Q65" s="103">
        <v>7566</v>
      </c>
      <c r="R65" s="95">
        <f t="shared" si="6"/>
        <v>8500</v>
      </c>
      <c r="S65" s="161">
        <v>60</v>
      </c>
      <c r="T65" s="179">
        <f t="shared" si="12"/>
        <v>83.333333333333329</v>
      </c>
      <c r="U65" s="103"/>
      <c r="V65" s="179" t="e">
        <f t="shared" si="13"/>
        <v>#DIV/0!</v>
      </c>
      <c r="W65" s="103">
        <v>13710</v>
      </c>
      <c r="X65" s="95">
        <f t="shared" si="7"/>
        <v>15567.5</v>
      </c>
      <c r="Y65" s="103">
        <v>162</v>
      </c>
      <c r="Z65" s="179">
        <f t="shared" si="14"/>
        <v>205.33333333333334</v>
      </c>
      <c r="AA65" s="103"/>
      <c r="AB65" s="179" t="e">
        <f t="shared" si="15"/>
        <v>#DIV/0!</v>
      </c>
      <c r="AC65" s="103">
        <v>29928</v>
      </c>
      <c r="AD65" s="103">
        <v>15066</v>
      </c>
      <c r="AE65" s="9">
        <v>76</v>
      </c>
      <c r="AF65" s="1988"/>
      <c r="AG65" s="1989"/>
      <c r="AH65" s="1990"/>
      <c r="AJ65" s="159"/>
      <c r="AK65" s="9"/>
      <c r="AM65" s="101">
        <v>5771</v>
      </c>
      <c r="AN65" s="49"/>
      <c r="AO65" s="905"/>
      <c r="AP65" s="109"/>
      <c r="AR65" s="101">
        <f t="shared" si="31"/>
        <v>75.934210526315795</v>
      </c>
      <c r="AS65" s="49"/>
      <c r="AT65" s="9"/>
      <c r="AW65" s="49"/>
      <c r="BC65" s="95"/>
      <c r="BI65" s="49"/>
      <c r="BJ65" s="80">
        <f t="shared" si="5"/>
        <v>42705</v>
      </c>
      <c r="BK65" s="95">
        <f t="shared" si="16"/>
        <v>30008.75</v>
      </c>
      <c r="BL65" s="95">
        <f t="shared" si="16"/>
        <v>15654.833333333334</v>
      </c>
      <c r="BM65" s="95">
        <f t="shared" si="17"/>
        <v>54340.083333333336</v>
      </c>
      <c r="BN65" s="95"/>
      <c r="BT65" s="80">
        <f t="shared" si="1"/>
        <v>42705</v>
      </c>
      <c r="BV65" s="137" t="e">
        <f t="shared" si="23"/>
        <v>#DIV/0!</v>
      </c>
      <c r="CA65" s="102">
        <f t="shared" si="18"/>
        <v>2.264621906638976E-2</v>
      </c>
      <c r="CB65" s="102">
        <f t="shared" si="19"/>
        <v>3.5834817460914811E-2</v>
      </c>
      <c r="CC65" s="155" t="e">
        <f t="shared" si="2"/>
        <v>#DIV/0!</v>
      </c>
      <c r="CI65">
        <v>7</v>
      </c>
      <c r="CJ65" s="11">
        <f t="shared" si="29"/>
        <v>9.3333333333333339</v>
      </c>
      <c r="CK65" s="233">
        <f t="shared" si="30"/>
        <v>4.3867894967725764E-4</v>
      </c>
      <c r="CM65" s="1779"/>
      <c r="CN65" s="1779"/>
      <c r="CO65" s="1779"/>
      <c r="CP65" s="1779"/>
    </row>
    <row r="66" spans="1:94" x14ac:dyDescent="0.25">
      <c r="A66" s="97">
        <v>42736</v>
      </c>
      <c r="B66" s="105">
        <v>56169</v>
      </c>
      <c r="C66" s="95">
        <v>943</v>
      </c>
      <c r="D66" s="104">
        <f t="shared" si="3"/>
        <v>1.6788620057326994E-2</v>
      </c>
      <c r="E66" s="144">
        <v>50672.025699999976</v>
      </c>
      <c r="F66" s="104">
        <f t="shared" si="27"/>
        <v>0.90213508696968037</v>
      </c>
      <c r="H66" s="110">
        <f t="shared" si="28"/>
        <v>8.1076292972992639E-2</v>
      </c>
      <c r="K66" s="95">
        <f t="shared" si="8"/>
        <v>22014</v>
      </c>
      <c r="L66" s="95">
        <f t="shared" si="9"/>
        <v>23969.25</v>
      </c>
      <c r="M66" s="95">
        <f t="shared" si="4"/>
        <v>225</v>
      </c>
      <c r="N66" s="95">
        <f t="shared" si="10"/>
        <v>287.83333333333331</v>
      </c>
      <c r="O66" s="95"/>
      <c r="P66" s="95" t="e">
        <f t="shared" si="11"/>
        <v>#DIV/0!</v>
      </c>
      <c r="Q66" s="103">
        <v>10985</v>
      </c>
      <c r="R66" s="95">
        <f t="shared" si="6"/>
        <v>8879.9166666666661</v>
      </c>
      <c r="S66" s="161">
        <v>99</v>
      </c>
      <c r="T66" s="179">
        <f t="shared" si="12"/>
        <v>87</v>
      </c>
      <c r="U66" s="103"/>
      <c r="V66" s="179" t="e">
        <f t="shared" si="13"/>
        <v>#DIV/0!</v>
      </c>
      <c r="W66" s="103">
        <v>11029</v>
      </c>
      <c r="X66" s="95">
        <f t="shared" si="7"/>
        <v>15089.333333333334</v>
      </c>
      <c r="Y66" s="103">
        <v>126</v>
      </c>
      <c r="Z66" s="179">
        <f t="shared" si="14"/>
        <v>200.83333333333334</v>
      </c>
      <c r="AA66" s="103"/>
      <c r="AB66" s="179" t="e">
        <f t="shared" si="15"/>
        <v>#DIV/0!</v>
      </c>
      <c r="AC66" s="103">
        <v>38897</v>
      </c>
      <c r="AD66" s="103">
        <v>14369</v>
      </c>
      <c r="AE66" s="9">
        <v>75</v>
      </c>
      <c r="AF66" s="1988"/>
      <c r="AG66" s="1989"/>
      <c r="AH66" s="1990"/>
      <c r="AJ66" s="159"/>
      <c r="AK66" s="9"/>
      <c r="AM66" s="101">
        <v>21701</v>
      </c>
      <c r="AN66" s="49"/>
      <c r="AO66" s="905"/>
      <c r="AP66" s="109"/>
      <c r="AR66" s="101">
        <f t="shared" si="31"/>
        <v>289.34666666666669</v>
      </c>
      <c r="AS66" s="49"/>
      <c r="AT66" s="9"/>
      <c r="AW66" s="49"/>
      <c r="BC66" s="95"/>
      <c r="BI66" s="49"/>
      <c r="BJ66" s="80">
        <f t="shared" si="5"/>
        <v>42736</v>
      </c>
      <c r="BK66" s="95">
        <f t="shared" si="16"/>
        <v>31357.166666666668</v>
      </c>
      <c r="BL66" s="95">
        <f t="shared" si="16"/>
        <v>15823</v>
      </c>
      <c r="BM66" s="95">
        <f t="shared" si="17"/>
        <v>55006.833333333336</v>
      </c>
      <c r="BN66" s="95"/>
      <c r="BT66" s="80">
        <f t="shared" si="1"/>
        <v>42736</v>
      </c>
      <c r="BV66" s="137" t="e">
        <f t="shared" si="23"/>
        <v>#DIV/0!</v>
      </c>
      <c r="CA66" s="102">
        <f t="shared" si="18"/>
        <v>2.1439806529230453E-2</v>
      </c>
      <c r="CB66" s="102">
        <f t="shared" si="19"/>
        <v>4.3535317128584425E-2</v>
      </c>
      <c r="CC66" s="155" t="e">
        <f t="shared" si="2"/>
        <v>#DIV/0!</v>
      </c>
      <c r="CI66">
        <v>6</v>
      </c>
      <c r="CJ66" s="11">
        <f t="shared" si="29"/>
        <v>9.3333333333333339</v>
      </c>
      <c r="CK66" s="233">
        <f t="shared" si="30"/>
        <v>4.2397262348202664E-4</v>
      </c>
      <c r="CM66" s="1779"/>
      <c r="CN66" s="1779"/>
      <c r="CO66" s="1779"/>
      <c r="CP66" s="1779"/>
    </row>
    <row r="67" spans="1:94" x14ac:dyDescent="0.25">
      <c r="A67" s="98">
        <v>42767</v>
      </c>
      <c r="B67" s="105">
        <v>70751</v>
      </c>
      <c r="C67" s="95">
        <v>1454</v>
      </c>
      <c r="D67" s="104">
        <f t="shared" si="3"/>
        <v>2.055094627637772E-2</v>
      </c>
      <c r="E67" s="144">
        <v>65536.88930000001</v>
      </c>
      <c r="F67" s="104">
        <f t="shared" si="27"/>
        <v>0.92630336391005086</v>
      </c>
      <c r="H67" s="110">
        <f t="shared" si="28"/>
        <v>5.3145689813571421E-2</v>
      </c>
      <c r="K67" s="95">
        <f t="shared" si="8"/>
        <v>28194</v>
      </c>
      <c r="L67" s="95">
        <f t="shared" si="9"/>
        <v>24273.25</v>
      </c>
      <c r="M67" s="95">
        <f t="shared" si="4"/>
        <v>334</v>
      </c>
      <c r="N67" s="95">
        <f t="shared" si="10"/>
        <v>291.58333333333331</v>
      </c>
      <c r="O67" s="95"/>
      <c r="P67" s="95" t="e">
        <f t="shared" si="11"/>
        <v>#DIV/0!</v>
      </c>
      <c r="Q67" s="103">
        <v>12644</v>
      </c>
      <c r="R67" s="95">
        <f t="shared" si="6"/>
        <v>9226.75</v>
      </c>
      <c r="S67" s="161">
        <v>115</v>
      </c>
      <c r="T67" s="179">
        <f t="shared" si="12"/>
        <v>89.25</v>
      </c>
      <c r="U67" s="103"/>
      <c r="V67" s="179" t="e">
        <f t="shared" si="13"/>
        <v>#DIV/0!</v>
      </c>
      <c r="W67" s="103">
        <v>15550</v>
      </c>
      <c r="X67" s="95">
        <f t="shared" si="7"/>
        <v>15046.5</v>
      </c>
      <c r="Y67" s="103">
        <v>219</v>
      </c>
      <c r="Z67" s="179">
        <f t="shared" si="14"/>
        <v>202.33333333333334</v>
      </c>
      <c r="AA67" s="103"/>
      <c r="AB67" s="179" t="e">
        <f t="shared" si="15"/>
        <v>#DIV/0!</v>
      </c>
      <c r="AC67" s="103">
        <v>34499</v>
      </c>
      <c r="AD67" s="103">
        <v>17302</v>
      </c>
      <c r="AE67" s="9">
        <v>78</v>
      </c>
      <c r="AF67" s="1988"/>
      <c r="AG67" s="1989"/>
      <c r="AH67" s="1990"/>
      <c r="AJ67" s="159"/>
      <c r="AK67" s="9"/>
      <c r="AM67" s="101">
        <v>28993</v>
      </c>
      <c r="AN67" s="49"/>
      <c r="AO67" s="905"/>
      <c r="AP67" s="109"/>
      <c r="AR67" s="101">
        <f t="shared" si="31"/>
        <v>371.70512820512823</v>
      </c>
      <c r="AS67" s="49"/>
      <c r="AT67" s="9"/>
      <c r="AW67" s="49"/>
      <c r="BC67" s="95"/>
      <c r="BI67" s="49"/>
      <c r="BJ67" s="80">
        <f t="shared" si="5"/>
        <v>42767</v>
      </c>
      <c r="BK67" s="95">
        <f t="shared" si="16"/>
        <v>30965.083333333332</v>
      </c>
      <c r="BL67" s="95">
        <f t="shared" si="16"/>
        <v>15706.166666666666</v>
      </c>
      <c r="BM67" s="95">
        <f t="shared" si="17"/>
        <v>56565.916666666664</v>
      </c>
      <c r="BN67" s="95"/>
      <c r="BT67" s="80">
        <f t="shared" si="1"/>
        <v>42767</v>
      </c>
      <c r="BV67" s="137" t="e">
        <f t="shared" si="23"/>
        <v>#DIV/0!</v>
      </c>
      <c r="CA67" s="102">
        <f t="shared" si="18"/>
        <v>2.0995473660450185E-2</v>
      </c>
      <c r="CB67" s="102">
        <f t="shared" si="19"/>
        <v>4.8192832576257248E-2</v>
      </c>
      <c r="CC67" s="155" t="e">
        <f t="shared" si="2"/>
        <v>#DIV/0!</v>
      </c>
      <c r="CI67">
        <v>7</v>
      </c>
      <c r="CJ67" s="11">
        <f t="shared" si="29"/>
        <v>9.3333333333333339</v>
      </c>
      <c r="CK67" s="233">
        <f t="shared" si="30"/>
        <v>3.3103970111844129E-4</v>
      </c>
      <c r="CM67" s="1779"/>
      <c r="CN67" s="1779"/>
      <c r="CO67" s="1779"/>
      <c r="CP67" s="1779"/>
    </row>
    <row r="68" spans="1:94" x14ac:dyDescent="0.25">
      <c r="A68" s="98">
        <v>42795</v>
      </c>
      <c r="B68" s="105">
        <v>76472</v>
      </c>
      <c r="C68" s="95">
        <v>1754</v>
      </c>
      <c r="D68" s="104">
        <f t="shared" si="3"/>
        <v>2.2936499633852914E-2</v>
      </c>
      <c r="E68" s="144">
        <v>71794.028900000005</v>
      </c>
      <c r="F68" s="104">
        <f t="shared" si="27"/>
        <v>0.93882766110471816</v>
      </c>
      <c r="H68" s="110">
        <f t="shared" si="28"/>
        <v>3.8235839261428928E-2</v>
      </c>
      <c r="K68" s="95">
        <f t="shared" si="8"/>
        <v>33697</v>
      </c>
      <c r="L68" s="95">
        <f t="shared" si="9"/>
        <v>24903</v>
      </c>
      <c r="M68" s="95">
        <f t="shared" si="4"/>
        <v>380</v>
      </c>
      <c r="N68" s="95">
        <f t="shared" si="10"/>
        <v>298</v>
      </c>
      <c r="O68" s="95"/>
      <c r="P68" s="95" t="e">
        <f t="shared" si="11"/>
        <v>#DIV/0!</v>
      </c>
      <c r="Q68" s="103">
        <v>13909</v>
      </c>
      <c r="R68" s="95">
        <f t="shared" si="6"/>
        <v>9631.0833333333339</v>
      </c>
      <c r="S68" s="161">
        <v>128</v>
      </c>
      <c r="T68" s="179">
        <f t="shared" si="12"/>
        <v>93.083333333333329</v>
      </c>
      <c r="U68" s="103"/>
      <c r="V68" s="179" t="e">
        <f t="shared" si="13"/>
        <v>#DIV/0!</v>
      </c>
      <c r="W68" s="103">
        <v>19788</v>
      </c>
      <c r="X68" s="95">
        <f t="shared" si="7"/>
        <v>15271.916666666666</v>
      </c>
      <c r="Y68" s="103">
        <v>252</v>
      </c>
      <c r="Z68" s="179">
        <f t="shared" si="14"/>
        <v>204.91666666666666</v>
      </c>
      <c r="AA68" s="103"/>
      <c r="AB68" s="179" t="e">
        <f t="shared" si="15"/>
        <v>#DIV/0!</v>
      </c>
      <c r="AC68" s="103">
        <v>31159</v>
      </c>
      <c r="AD68" s="103">
        <v>17086</v>
      </c>
      <c r="AE68" s="9">
        <v>80</v>
      </c>
      <c r="AF68" s="1988"/>
      <c r="AG68" s="1989"/>
      <c r="AH68" s="1990"/>
      <c r="AJ68" s="159"/>
      <c r="AK68" s="9"/>
      <c r="AM68" s="101">
        <v>16435</v>
      </c>
      <c r="AN68" s="49"/>
      <c r="AO68" s="905"/>
      <c r="AP68" s="109"/>
      <c r="AR68" s="101">
        <f t="shared" si="31"/>
        <v>205.4375</v>
      </c>
      <c r="AS68" s="49"/>
      <c r="AT68" s="9"/>
      <c r="AW68" s="49"/>
      <c r="BC68" s="95"/>
      <c r="BI68" s="49"/>
      <c r="BJ68" s="80">
        <f t="shared" si="5"/>
        <v>42795</v>
      </c>
      <c r="BK68" s="95">
        <f t="shared" si="16"/>
        <v>31282.166666666668</v>
      </c>
      <c r="BL68" s="95">
        <f t="shared" si="16"/>
        <v>15951.583333333334</v>
      </c>
      <c r="BM68" s="95">
        <f t="shared" si="17"/>
        <v>57964.083333333336</v>
      </c>
      <c r="BN68" s="95"/>
      <c r="BT68" s="80">
        <f t="shared" ref="BT68:BT112" si="35">BJ68</f>
        <v>42795</v>
      </c>
      <c r="BV68" s="137" t="e">
        <f t="shared" si="23"/>
        <v>#DIV/0!</v>
      </c>
      <c r="CA68" s="102">
        <f t="shared" si="18"/>
        <v>2.1027821145321948E-2</v>
      </c>
      <c r="CB68" s="102">
        <f t="shared" si="19"/>
        <v>4.9853661284120283E-2</v>
      </c>
      <c r="CC68" s="155" t="e">
        <f t="shared" ref="CC68:CC106" si="36">I68/AK68</f>
        <v>#DIV/0!</v>
      </c>
      <c r="CI68">
        <v>13</v>
      </c>
      <c r="CJ68" s="11">
        <f t="shared" si="29"/>
        <v>9.8333333333333339</v>
      </c>
      <c r="CK68" s="233">
        <f t="shared" si="30"/>
        <v>2.918162843378738E-4</v>
      </c>
      <c r="CM68" s="1779"/>
      <c r="CN68" s="1779"/>
      <c r="CO68" s="1779"/>
      <c r="CP68" s="1779"/>
    </row>
    <row r="69" spans="1:94" x14ac:dyDescent="0.25">
      <c r="A69" s="98">
        <v>42826</v>
      </c>
      <c r="B69" s="105">
        <v>60851</v>
      </c>
      <c r="C69" s="95">
        <v>1323</v>
      </c>
      <c r="D69" s="104">
        <f t="shared" ref="D69:D109" si="37">C69/B69</f>
        <v>2.1741631197515241E-2</v>
      </c>
      <c r="E69" s="144">
        <v>59253.069900000002</v>
      </c>
      <c r="F69" s="104">
        <f t="shared" si="27"/>
        <v>0.97374028200029583</v>
      </c>
      <c r="H69" s="110">
        <f t="shared" si="28"/>
        <v>4.5180868021889274E-3</v>
      </c>
      <c r="K69" s="95">
        <f t="shared" si="8"/>
        <v>25538</v>
      </c>
      <c r="L69" s="95">
        <f t="shared" si="9"/>
        <v>25196.833333333332</v>
      </c>
      <c r="M69" s="95">
        <f t="shared" ref="M69:M108" si="38">SUM(S69,Y69)</f>
        <v>297</v>
      </c>
      <c r="N69" s="95">
        <f t="shared" si="10"/>
        <v>300.66666666666669</v>
      </c>
      <c r="O69" s="95"/>
      <c r="P69" s="95" t="e">
        <f t="shared" si="11"/>
        <v>#DIV/0!</v>
      </c>
      <c r="Q69" s="103">
        <v>11388</v>
      </c>
      <c r="R69" s="95">
        <f t="shared" si="6"/>
        <v>10037.166666666666</v>
      </c>
      <c r="S69" s="161">
        <v>103</v>
      </c>
      <c r="T69" s="179">
        <f t="shared" si="12"/>
        <v>96.5</v>
      </c>
      <c r="U69" s="103"/>
      <c r="V69" s="179" t="e">
        <f t="shared" si="13"/>
        <v>#DIV/0!</v>
      </c>
      <c r="W69" s="103">
        <v>14150</v>
      </c>
      <c r="X69" s="95">
        <f t="shared" si="7"/>
        <v>15159.666666666666</v>
      </c>
      <c r="Y69" s="103">
        <v>194</v>
      </c>
      <c r="Z69" s="179">
        <f t="shared" si="14"/>
        <v>204.16666666666666</v>
      </c>
      <c r="AA69" s="103"/>
      <c r="AB69" s="179" t="e">
        <f t="shared" si="15"/>
        <v>#DIV/0!</v>
      </c>
      <c r="AC69" s="103">
        <v>28229</v>
      </c>
      <c r="AD69" s="103">
        <v>12038</v>
      </c>
      <c r="AE69" s="9">
        <v>83</v>
      </c>
      <c r="AF69" s="1988"/>
      <c r="AG69" s="1989"/>
      <c r="AH69" s="1990"/>
      <c r="AJ69" s="159"/>
      <c r="AK69" s="9"/>
      <c r="AM69" s="101">
        <v>18234</v>
      </c>
      <c r="AN69" s="49"/>
      <c r="AO69" s="905"/>
      <c r="AP69" s="109"/>
      <c r="AR69" s="101">
        <f t="shared" si="31"/>
        <v>219.68674698795181</v>
      </c>
      <c r="AS69" s="49"/>
      <c r="AT69" s="9"/>
      <c r="AW69" s="49"/>
      <c r="BC69" s="95"/>
      <c r="BI69" s="49"/>
      <c r="BJ69" s="80">
        <f t="shared" ref="BJ69:BJ117" si="39">A69</f>
        <v>42826</v>
      </c>
      <c r="BK69" s="95">
        <f t="shared" si="16"/>
        <v>31623.083333333332</v>
      </c>
      <c r="BL69" s="95">
        <f t="shared" si="16"/>
        <v>15716.166666666666</v>
      </c>
      <c r="BM69" s="95">
        <f t="shared" si="17"/>
        <v>59092.583333333336</v>
      </c>
      <c r="BN69" s="95"/>
      <c r="BT69" s="80">
        <f t="shared" si="35"/>
        <v>42826</v>
      </c>
      <c r="BV69" s="137" t="e">
        <f t="shared" si="23"/>
        <v>#DIV/0!</v>
      </c>
      <c r="CA69" s="102">
        <f t="shared" si="18"/>
        <v>2.0639549058832495E-2</v>
      </c>
      <c r="CB69" s="102">
        <f t="shared" si="19"/>
        <v>4.9563579414972248E-2</v>
      </c>
      <c r="CC69" s="155" t="e">
        <f t="shared" si="36"/>
        <v>#DIV/0!</v>
      </c>
      <c r="CI69">
        <v>4</v>
      </c>
      <c r="CJ69" s="11">
        <f t="shared" si="29"/>
        <v>9.5833333333333339</v>
      </c>
      <c r="CK69" s="233">
        <f t="shared" si="30"/>
        <v>3.7525778578327725E-4</v>
      </c>
      <c r="CM69" s="1779">
        <f t="shared" ref="CM69" si="40">SUM(W69:W80)/SUM(W57:W68)-1</f>
        <v>0.56698296983024399</v>
      </c>
      <c r="CN69" s="1779">
        <f t="shared" ref="CN69" si="41">SUM(Q69:Q80)/SUM(Q57:Q68)-1</f>
        <v>0.28238429390947717</v>
      </c>
      <c r="CO69" s="1779">
        <f t="shared" ref="CO69:CP69" si="42">SUM(AC69:AC80)/SUM(AC57:AC68)-1</f>
        <v>0.37334370487977697</v>
      </c>
      <c r="CP69" s="1779">
        <f t="shared" si="42"/>
        <v>6.0782889890763192E-2</v>
      </c>
    </row>
    <row r="70" spans="1:94" x14ac:dyDescent="0.25">
      <c r="A70" s="98">
        <v>42856</v>
      </c>
      <c r="B70" s="105">
        <v>90676</v>
      </c>
      <c r="C70" s="95">
        <v>1882</v>
      </c>
      <c r="D70" s="104">
        <f t="shared" si="37"/>
        <v>2.075521637478495E-2</v>
      </c>
      <c r="E70" s="144">
        <v>85285.158800000005</v>
      </c>
      <c r="F70" s="104">
        <f t="shared" si="27"/>
        <v>0.94054831267369543</v>
      </c>
      <c r="H70" s="110">
        <f t="shared" si="28"/>
        <v>3.8696470951519624E-2</v>
      </c>
      <c r="K70" s="95">
        <f t="shared" si="8"/>
        <v>38817</v>
      </c>
      <c r="L70" s="95">
        <f t="shared" si="9"/>
        <v>26609.25</v>
      </c>
      <c r="M70" s="95">
        <f t="shared" si="38"/>
        <v>418</v>
      </c>
      <c r="N70" s="95">
        <f t="shared" si="10"/>
        <v>312</v>
      </c>
      <c r="O70" s="95"/>
      <c r="P70" s="95" t="e">
        <f t="shared" si="11"/>
        <v>#DIV/0!</v>
      </c>
      <c r="Q70" s="103">
        <v>16170</v>
      </c>
      <c r="R70" s="95">
        <f t="shared" si="6"/>
        <v>10850.083333333334</v>
      </c>
      <c r="S70" s="161">
        <v>129</v>
      </c>
      <c r="T70" s="179">
        <f t="shared" si="12"/>
        <v>102.08333333333333</v>
      </c>
      <c r="U70" s="103"/>
      <c r="V70" s="179" t="e">
        <f t="shared" si="13"/>
        <v>#DIV/0!</v>
      </c>
      <c r="W70" s="103">
        <v>22647</v>
      </c>
      <c r="X70" s="95">
        <f t="shared" si="7"/>
        <v>15759.166666666666</v>
      </c>
      <c r="Y70" s="103">
        <v>289</v>
      </c>
      <c r="Z70" s="179">
        <f t="shared" si="14"/>
        <v>209.91666666666666</v>
      </c>
      <c r="AA70" s="103"/>
      <c r="AB70" s="179" t="e">
        <f t="shared" si="15"/>
        <v>#DIV/0!</v>
      </c>
      <c r="AC70" s="103">
        <v>45914</v>
      </c>
      <c r="AD70" s="103">
        <v>17672</v>
      </c>
      <c r="AE70" s="9">
        <v>90</v>
      </c>
      <c r="AF70" s="1988"/>
      <c r="AG70" s="1989"/>
      <c r="AH70" s="1990"/>
      <c r="AJ70" s="159"/>
      <c r="AK70" s="9"/>
      <c r="AM70" s="101">
        <v>18104</v>
      </c>
      <c r="AN70" s="49"/>
      <c r="AO70" s="905"/>
      <c r="AP70" s="109"/>
      <c r="AR70" s="101">
        <f t="shared" si="31"/>
        <v>201.15555555555557</v>
      </c>
      <c r="AS70" s="49"/>
      <c r="AT70" s="9"/>
      <c r="AW70" s="49"/>
      <c r="BC70" s="95"/>
      <c r="BI70" s="49"/>
      <c r="BJ70" s="80">
        <f t="shared" si="39"/>
        <v>42856</v>
      </c>
      <c r="BK70" s="95">
        <f t="shared" si="16"/>
        <v>33189</v>
      </c>
      <c r="BL70" s="95">
        <f t="shared" si="16"/>
        <v>15720.75</v>
      </c>
      <c r="BM70" s="95">
        <f t="shared" si="17"/>
        <v>62877.75</v>
      </c>
      <c r="BN70" s="95"/>
      <c r="BT70" s="80">
        <f t="shared" si="35"/>
        <v>42856</v>
      </c>
      <c r="BV70" s="137" t="e">
        <f t="shared" si="23"/>
        <v>#DIV/0!</v>
      </c>
      <c r="CA70" s="102">
        <f t="shared" si="18"/>
        <v>2.0111523105002478E-2</v>
      </c>
      <c r="CB70" s="102">
        <f t="shared" si="19"/>
        <v>4.7252640263604567E-2</v>
      </c>
      <c r="CC70" s="155" t="e">
        <f t="shared" si="36"/>
        <v>#DIV/0!</v>
      </c>
      <c r="CI70">
        <v>9</v>
      </c>
      <c r="CJ70" s="11">
        <f t="shared" si="29"/>
        <v>9.5833333333333339</v>
      </c>
      <c r="CK70" s="233">
        <f t="shared" si="30"/>
        <v>2.4688495590420009E-4</v>
      </c>
      <c r="CM70" s="1779"/>
      <c r="CN70" s="1779"/>
      <c r="CO70" s="1779"/>
      <c r="CP70" s="1779"/>
    </row>
    <row r="71" spans="1:94" x14ac:dyDescent="0.25">
      <c r="A71" s="98">
        <v>42887</v>
      </c>
      <c r="B71" s="105">
        <v>79150</v>
      </c>
      <c r="C71" s="95">
        <v>1871</v>
      </c>
      <c r="D71" s="104">
        <f t="shared" si="37"/>
        <v>2.3638660770688567E-2</v>
      </c>
      <c r="E71" s="144">
        <v>73595.197300000014</v>
      </c>
      <c r="F71" s="104">
        <f t="shared" si="27"/>
        <v>0.92981929627289972</v>
      </c>
      <c r="H71" s="110">
        <f t="shared" si="28"/>
        <v>4.6542042956411712E-2</v>
      </c>
      <c r="K71" s="95">
        <f t="shared" si="8"/>
        <v>34929</v>
      </c>
      <c r="L71" s="95">
        <f t="shared" si="9"/>
        <v>27808.916666666668</v>
      </c>
      <c r="M71" s="95">
        <f t="shared" si="38"/>
        <v>378</v>
      </c>
      <c r="N71" s="95">
        <f t="shared" si="10"/>
        <v>320.25</v>
      </c>
      <c r="O71" s="95"/>
      <c r="P71" s="95" t="e">
        <f t="shared" si="11"/>
        <v>#DIV/0!</v>
      </c>
      <c r="Q71" s="103">
        <v>12617</v>
      </c>
      <c r="R71" s="95">
        <f t="shared" si="6"/>
        <v>11460.583333333334</v>
      </c>
      <c r="S71" s="161">
        <v>95</v>
      </c>
      <c r="T71" s="179">
        <f t="shared" si="12"/>
        <v>104.25</v>
      </c>
      <c r="U71" s="103"/>
      <c r="V71" s="179" t="e">
        <f t="shared" si="13"/>
        <v>#DIV/0!</v>
      </c>
      <c r="W71" s="103">
        <v>22312</v>
      </c>
      <c r="X71" s="95">
        <f t="shared" si="7"/>
        <v>16348.333333333334</v>
      </c>
      <c r="Y71" s="103">
        <v>283</v>
      </c>
      <c r="Z71" s="179">
        <f t="shared" si="14"/>
        <v>216</v>
      </c>
      <c r="AA71" s="103"/>
      <c r="AB71" s="179" t="e">
        <f t="shared" si="15"/>
        <v>#DIV/0!</v>
      </c>
      <c r="AC71" s="103">
        <v>42676</v>
      </c>
      <c r="AD71" s="103">
        <v>14194</v>
      </c>
      <c r="AE71" s="9">
        <v>94</v>
      </c>
      <c r="AF71" s="1988"/>
      <c r="AG71" s="1989"/>
      <c r="AH71" s="1990"/>
      <c r="AJ71" s="159"/>
      <c r="AK71" s="9"/>
      <c r="AM71" s="101">
        <v>19119</v>
      </c>
      <c r="AN71" s="49"/>
      <c r="AO71" s="905"/>
      <c r="AP71" s="109"/>
      <c r="AR71" s="101">
        <f t="shared" si="31"/>
        <v>203.39361702127658</v>
      </c>
      <c r="AS71" s="49"/>
      <c r="AT71" s="9"/>
      <c r="AW71" s="49"/>
      <c r="BC71" s="95"/>
      <c r="BI71" s="49"/>
      <c r="BJ71" s="80">
        <f t="shared" si="39"/>
        <v>42887</v>
      </c>
      <c r="BK71" s="95">
        <f t="shared" si="16"/>
        <v>34608.166666666664</v>
      </c>
      <c r="BL71" s="95">
        <f t="shared" si="16"/>
        <v>15807.083333333334</v>
      </c>
      <c r="BM71" s="95">
        <f t="shared" si="17"/>
        <v>65563.166666666672</v>
      </c>
      <c r="BN71" s="95"/>
      <c r="BT71" s="80">
        <f t="shared" si="35"/>
        <v>42887</v>
      </c>
      <c r="BV71" s="137" t="e">
        <f t="shared" si="23"/>
        <v>#DIV/0!</v>
      </c>
      <c r="CA71" s="102">
        <f t="shared" si="18"/>
        <v>2.0316183301529848E-2</v>
      </c>
      <c r="CB71" s="102">
        <f t="shared" si="19"/>
        <v>4.7400025805915957E-2</v>
      </c>
      <c r="CC71" s="155" t="e">
        <f t="shared" si="36"/>
        <v>#DIV/0!</v>
      </c>
      <c r="CH71" s="118"/>
      <c r="CI71">
        <v>7</v>
      </c>
      <c r="CJ71" s="11">
        <f t="shared" si="29"/>
        <v>9.25</v>
      </c>
      <c r="CK71" s="233">
        <f t="shared" si="30"/>
        <v>2.6482292650805919E-4</v>
      </c>
      <c r="CM71" s="1779"/>
      <c r="CN71" s="1779"/>
      <c r="CO71" s="1779"/>
      <c r="CP71" s="1779"/>
    </row>
    <row r="72" spans="1:94" x14ac:dyDescent="0.25">
      <c r="A72" s="98">
        <v>42917</v>
      </c>
      <c r="B72" s="105">
        <v>74424</v>
      </c>
      <c r="C72" s="95">
        <v>1823</v>
      </c>
      <c r="D72" s="104">
        <f t="shared" si="37"/>
        <v>2.4494786627969473E-2</v>
      </c>
      <c r="E72" s="144">
        <v>68042.034799999994</v>
      </c>
      <c r="F72" s="104">
        <f t="shared" si="27"/>
        <v>0.91424855960442863</v>
      </c>
      <c r="H72" s="110">
        <f t="shared" si="28"/>
        <v>6.1256653767601893E-2</v>
      </c>
      <c r="K72" s="95">
        <f t="shared" si="8"/>
        <v>43591</v>
      </c>
      <c r="L72" s="95">
        <f t="shared" si="9"/>
        <v>29347.666666666668</v>
      </c>
      <c r="M72" s="95">
        <f t="shared" si="38"/>
        <v>439</v>
      </c>
      <c r="N72" s="95">
        <f t="shared" si="10"/>
        <v>331.5</v>
      </c>
      <c r="O72" s="95"/>
      <c r="P72" s="95" t="e">
        <f t="shared" si="11"/>
        <v>#DIV/0!</v>
      </c>
      <c r="Q72" s="103">
        <v>16163</v>
      </c>
      <c r="R72" s="95">
        <f t="shared" si="6"/>
        <v>12120.666666666666</v>
      </c>
      <c r="S72" s="161">
        <v>125</v>
      </c>
      <c r="T72" s="179">
        <f t="shared" si="12"/>
        <v>108</v>
      </c>
      <c r="U72" s="103"/>
      <c r="V72" s="179" t="e">
        <f t="shared" si="13"/>
        <v>#DIV/0!</v>
      </c>
      <c r="W72" s="103">
        <v>27428</v>
      </c>
      <c r="X72" s="95">
        <f t="shared" si="7"/>
        <v>17227</v>
      </c>
      <c r="Y72" s="103">
        <v>314</v>
      </c>
      <c r="Z72" s="179">
        <f t="shared" si="14"/>
        <v>223.5</v>
      </c>
      <c r="AA72" s="103"/>
      <c r="AB72" s="179" t="e">
        <f t="shared" si="15"/>
        <v>#DIV/0!</v>
      </c>
      <c r="AC72" s="103">
        <v>56141</v>
      </c>
      <c r="AD72" s="103">
        <v>22100</v>
      </c>
      <c r="AE72" s="9">
        <v>98</v>
      </c>
      <c r="AF72" s="1988"/>
      <c r="AG72" s="1989"/>
      <c r="AH72" s="1990"/>
      <c r="AJ72" s="159"/>
      <c r="AK72" s="9"/>
      <c r="AM72" s="101">
        <v>13051</v>
      </c>
      <c r="AN72" s="49"/>
      <c r="AO72" s="905"/>
      <c r="AP72" s="109"/>
      <c r="AR72" s="101">
        <f t="shared" si="31"/>
        <v>133.17346938775509</v>
      </c>
      <c r="AS72" s="49"/>
      <c r="AT72" s="9"/>
      <c r="AW72" s="49"/>
      <c r="BC72" s="95"/>
      <c r="BI72" s="49"/>
      <c r="BJ72" s="80">
        <f t="shared" si="39"/>
        <v>42917</v>
      </c>
      <c r="BK72" s="95">
        <f t="shared" si="16"/>
        <v>37032.666666666664</v>
      </c>
      <c r="BL72" s="95">
        <f t="shared" si="16"/>
        <v>16637.25</v>
      </c>
      <c r="BM72" s="95">
        <f t="shared" si="17"/>
        <v>67078.583333333328</v>
      </c>
      <c r="BN72" s="95"/>
      <c r="BT72" s="80">
        <f t="shared" si="35"/>
        <v>42917</v>
      </c>
      <c r="BV72" s="137" t="e">
        <f t="shared" si="23"/>
        <v>#DIV/0!</v>
      </c>
      <c r="CA72" s="102">
        <f t="shared" si="18"/>
        <v>2.0564472307928693E-2</v>
      </c>
      <c r="CB72" s="102">
        <f t="shared" si="19"/>
        <v>5.3525957012438397E-2</v>
      </c>
      <c r="CC72" s="155" t="e">
        <f t="shared" si="36"/>
        <v>#DIV/0!</v>
      </c>
      <c r="CH72" s="118"/>
      <c r="CI72">
        <v>7</v>
      </c>
      <c r="CJ72" s="11">
        <f t="shared" si="29"/>
        <v>8.4166666666666661</v>
      </c>
      <c r="CK72" s="233">
        <f t="shared" si="30"/>
        <v>1.9308266997010085E-4</v>
      </c>
      <c r="CM72" s="1779"/>
      <c r="CN72" s="1779"/>
      <c r="CO72" s="1779"/>
      <c r="CP72" s="1779"/>
    </row>
    <row r="73" spans="1:94" x14ac:dyDescent="0.25">
      <c r="A73" s="98">
        <v>42948</v>
      </c>
      <c r="B73" s="105">
        <v>89758</v>
      </c>
      <c r="C73" s="95">
        <v>1848</v>
      </c>
      <c r="D73" s="104">
        <f t="shared" si="37"/>
        <v>2.0588694043984938E-2</v>
      </c>
      <c r="E73" s="144">
        <v>83521.210700000011</v>
      </c>
      <c r="F73" s="104">
        <f t="shared" si="27"/>
        <v>0.93051550502462188</v>
      </c>
      <c r="H73" s="110">
        <f t="shared" si="28"/>
        <v>4.8895800931393181E-2</v>
      </c>
      <c r="K73" s="95">
        <f t="shared" si="8"/>
        <v>39520</v>
      </c>
      <c r="L73" s="95">
        <f t="shared" si="9"/>
        <v>30580</v>
      </c>
      <c r="M73" s="95">
        <f t="shared" si="38"/>
        <v>421</v>
      </c>
      <c r="N73" s="95">
        <f t="shared" si="10"/>
        <v>336.58333333333331</v>
      </c>
      <c r="O73" s="95"/>
      <c r="P73" s="95" t="e">
        <f t="shared" si="11"/>
        <v>#DIV/0!</v>
      </c>
      <c r="Q73" s="103">
        <v>11758</v>
      </c>
      <c r="R73" s="95">
        <f t="shared" si="6"/>
        <v>12141.666666666666</v>
      </c>
      <c r="S73" s="161">
        <v>110</v>
      </c>
      <c r="T73" s="179">
        <f t="shared" si="12"/>
        <v>107.75</v>
      </c>
      <c r="U73" s="103"/>
      <c r="V73" s="179" t="e">
        <f t="shared" si="13"/>
        <v>#DIV/0!</v>
      </c>
      <c r="W73" s="103">
        <v>27762</v>
      </c>
      <c r="X73" s="95">
        <f t="shared" si="7"/>
        <v>18438.333333333332</v>
      </c>
      <c r="Y73" s="103">
        <v>311</v>
      </c>
      <c r="Z73" s="179">
        <f t="shared" si="14"/>
        <v>228.83333333333334</v>
      </c>
      <c r="AA73" s="103"/>
      <c r="AB73" s="179" t="e">
        <f t="shared" si="15"/>
        <v>#DIV/0!</v>
      </c>
      <c r="AC73" s="103">
        <v>43361</v>
      </c>
      <c r="AD73" s="103">
        <v>20013</v>
      </c>
      <c r="AE73" s="9">
        <v>101</v>
      </c>
      <c r="AF73" s="1988"/>
      <c r="AG73" s="1989"/>
      <c r="AH73" s="1990"/>
      <c r="AJ73" s="159"/>
      <c r="AK73" s="9"/>
      <c r="AM73" s="101">
        <v>21548</v>
      </c>
      <c r="AN73" s="49"/>
      <c r="AO73" s="905"/>
      <c r="AP73" s="109"/>
      <c r="AR73" s="101">
        <f t="shared" si="31"/>
        <v>213.34653465346534</v>
      </c>
      <c r="AS73" s="49"/>
      <c r="AT73" s="9"/>
      <c r="AW73" s="49"/>
      <c r="BC73" s="95"/>
      <c r="BI73" s="49"/>
      <c r="BJ73" s="80">
        <f t="shared" si="39"/>
        <v>42948</v>
      </c>
      <c r="BK73" s="95">
        <f t="shared" si="16"/>
        <v>38191.166666666664</v>
      </c>
      <c r="BL73" s="95">
        <f t="shared" si="16"/>
        <v>16864.25</v>
      </c>
      <c r="BM73" s="95">
        <f t="shared" si="17"/>
        <v>69679.5</v>
      </c>
      <c r="BN73" s="95"/>
      <c r="BT73" s="80">
        <f t="shared" si="35"/>
        <v>42948</v>
      </c>
      <c r="BV73" s="137" t="e">
        <f t="shared" si="23"/>
        <v>#DIV/0!</v>
      </c>
      <c r="CA73" s="102">
        <f t="shared" si="18"/>
        <v>2.048961260858911E-2</v>
      </c>
      <c r="CB73" s="102">
        <f t="shared" si="19"/>
        <v>4.6573768270282971E-2</v>
      </c>
      <c r="CC73" s="155" t="e">
        <f t="shared" si="36"/>
        <v>#DIV/0!</v>
      </c>
      <c r="CH73" s="118"/>
      <c r="CI73">
        <v>14</v>
      </c>
      <c r="CJ73" s="11">
        <f t="shared" si="29"/>
        <v>8.3333333333333339</v>
      </c>
      <c r="CK73" s="233">
        <f t="shared" si="30"/>
        <v>2.1086369770580298E-4</v>
      </c>
      <c r="CM73" s="1779"/>
      <c r="CN73" s="1779"/>
      <c r="CO73" s="1779"/>
      <c r="CP73" s="1779"/>
    </row>
    <row r="74" spans="1:94" x14ac:dyDescent="0.25">
      <c r="A74" s="98">
        <v>42979</v>
      </c>
      <c r="B74" s="105">
        <v>84158</v>
      </c>
      <c r="C74" s="95">
        <v>1754</v>
      </c>
      <c r="D74" s="104">
        <f t="shared" si="37"/>
        <v>2.084175004158844E-2</v>
      </c>
      <c r="E74" s="144">
        <v>82055.127700000012</v>
      </c>
      <c r="F74" s="104">
        <f t="shared" si="27"/>
        <v>0.9750128056750399</v>
      </c>
      <c r="H74" s="110">
        <f t="shared" si="28"/>
        <v>4.1454442833716645E-3</v>
      </c>
      <c r="K74" s="95">
        <f t="shared" si="8"/>
        <v>43633</v>
      </c>
      <c r="L74" s="95">
        <f t="shared" si="9"/>
        <v>32409.333333333332</v>
      </c>
      <c r="M74" s="95">
        <f t="shared" si="38"/>
        <v>383</v>
      </c>
      <c r="N74" s="95">
        <f t="shared" si="10"/>
        <v>341.91666666666669</v>
      </c>
      <c r="O74" s="95"/>
      <c r="P74" s="95" t="e">
        <f t="shared" si="11"/>
        <v>#DIV/0!</v>
      </c>
      <c r="Q74" s="103">
        <v>14743</v>
      </c>
      <c r="R74" s="95">
        <f t="shared" si="6"/>
        <v>12634.5</v>
      </c>
      <c r="S74" s="161">
        <v>106</v>
      </c>
      <c r="T74" s="179">
        <f t="shared" si="12"/>
        <v>106.75</v>
      </c>
      <c r="U74" s="103"/>
      <c r="V74" s="179" t="e">
        <f t="shared" si="13"/>
        <v>#DIV/0!</v>
      </c>
      <c r="W74" s="103">
        <v>28890</v>
      </c>
      <c r="X74" s="95">
        <f t="shared" si="7"/>
        <v>19774.833333333332</v>
      </c>
      <c r="Y74" s="103">
        <v>277</v>
      </c>
      <c r="Z74" s="179">
        <f t="shared" si="14"/>
        <v>235.16666666666666</v>
      </c>
      <c r="AA74" s="103"/>
      <c r="AB74" s="179" t="e">
        <f t="shared" si="15"/>
        <v>#DIV/0!</v>
      </c>
      <c r="AC74" s="103">
        <v>44947</v>
      </c>
      <c r="AD74" s="103">
        <v>14881</v>
      </c>
      <c r="AE74" s="9">
        <v>103</v>
      </c>
      <c r="AF74" s="1988"/>
      <c r="AG74" s="1989"/>
      <c r="AH74" s="1990"/>
      <c r="AJ74" s="159"/>
      <c r="AK74" s="9"/>
      <c r="AM74" s="101">
        <v>29228</v>
      </c>
      <c r="AN74" s="49"/>
      <c r="AO74" s="905"/>
      <c r="AP74" s="109"/>
      <c r="AR74" s="101">
        <f t="shared" si="31"/>
        <v>283.76699029126212</v>
      </c>
      <c r="AS74" s="49"/>
      <c r="AT74" s="9"/>
      <c r="AW74" s="49"/>
      <c r="BC74" s="95"/>
      <c r="BI74" s="49"/>
      <c r="BJ74" s="80">
        <f t="shared" si="39"/>
        <v>42979</v>
      </c>
      <c r="BK74" s="95">
        <f t="shared" si="16"/>
        <v>39336</v>
      </c>
      <c r="BL74" s="95">
        <f t="shared" si="16"/>
        <v>16865.083333333332</v>
      </c>
      <c r="BM74" s="95">
        <f t="shared" si="17"/>
        <v>71993.166666666672</v>
      </c>
      <c r="BN74" s="95"/>
      <c r="BT74" s="80">
        <f t="shared" si="35"/>
        <v>42979</v>
      </c>
      <c r="BV74" s="137" t="e">
        <f t="shared" si="23"/>
        <v>#DIV/0!</v>
      </c>
      <c r="CA74" s="102">
        <f t="shared" si="18"/>
        <v>2.0522638657231015E-2</v>
      </c>
      <c r="CB74" s="102">
        <f t="shared" si="19"/>
        <v>4.271664790783649E-2</v>
      </c>
      <c r="CC74" s="155" t="e">
        <f t="shared" si="36"/>
        <v>#DIV/0!</v>
      </c>
      <c r="CH74" s="118"/>
      <c r="CI74">
        <v>16</v>
      </c>
      <c r="CJ74" s="11">
        <f t="shared" si="29"/>
        <v>9.0833333333333339</v>
      </c>
      <c r="CK74" s="233">
        <f t="shared" si="30"/>
        <v>2.0817576910442403E-4</v>
      </c>
      <c r="CM74" s="1779"/>
      <c r="CN74" s="1779"/>
      <c r="CO74" s="1779"/>
      <c r="CP74" s="1779"/>
    </row>
    <row r="75" spans="1:94" x14ac:dyDescent="0.25">
      <c r="A75" s="98">
        <v>43009</v>
      </c>
      <c r="B75" s="105">
        <v>85886</v>
      </c>
      <c r="C75" s="95">
        <v>2081</v>
      </c>
      <c r="D75" s="104">
        <f t="shared" si="37"/>
        <v>2.4229792981393942E-2</v>
      </c>
      <c r="E75" s="144">
        <v>79949.028099999996</v>
      </c>
      <c r="F75" s="104">
        <f t="shared" si="27"/>
        <v>0.93087381063269914</v>
      </c>
      <c r="H75" s="110">
        <f t="shared" si="28"/>
        <v>4.4896396385906923E-2</v>
      </c>
      <c r="K75" s="95">
        <f t="shared" si="8"/>
        <v>42874</v>
      </c>
      <c r="L75" s="95">
        <f t="shared" si="9"/>
        <v>33547.25</v>
      </c>
      <c r="M75" s="95">
        <f t="shared" si="38"/>
        <v>406</v>
      </c>
      <c r="N75" s="95">
        <f t="shared" si="10"/>
        <v>348.83333333333331</v>
      </c>
      <c r="O75" s="95"/>
      <c r="P75" s="95" t="e">
        <f t="shared" si="11"/>
        <v>#DIV/0!</v>
      </c>
      <c r="Q75" s="103">
        <v>14271</v>
      </c>
      <c r="R75" s="95">
        <f t="shared" si="6"/>
        <v>12705.75</v>
      </c>
      <c r="S75" s="161">
        <v>106</v>
      </c>
      <c r="T75" s="179">
        <f t="shared" si="12"/>
        <v>104.58333333333333</v>
      </c>
      <c r="U75" s="103"/>
      <c r="V75" s="179" t="e">
        <f t="shared" si="13"/>
        <v>#DIV/0!</v>
      </c>
      <c r="W75" s="103">
        <v>28603</v>
      </c>
      <c r="X75" s="95">
        <f t="shared" si="7"/>
        <v>20841.5</v>
      </c>
      <c r="Y75" s="103">
        <v>300</v>
      </c>
      <c r="Z75" s="179">
        <f t="shared" si="14"/>
        <v>244.25</v>
      </c>
      <c r="AA75" s="103"/>
      <c r="AB75" s="179" t="e">
        <f t="shared" si="15"/>
        <v>#DIV/0!</v>
      </c>
      <c r="AC75" s="103">
        <v>58413</v>
      </c>
      <c r="AD75" s="103">
        <v>18597</v>
      </c>
      <c r="AE75" s="9">
        <v>103</v>
      </c>
      <c r="AF75" s="1988"/>
      <c r="AG75" s="1989"/>
      <c r="AH75" s="1990"/>
      <c r="AJ75" s="159"/>
      <c r="AK75" s="9"/>
      <c r="AM75" s="101">
        <v>45908</v>
      </c>
      <c r="AN75" s="49"/>
      <c r="AO75" s="905"/>
      <c r="AP75" s="109"/>
      <c r="AR75" s="101">
        <f t="shared" si="31"/>
        <v>445.70873786407765</v>
      </c>
      <c r="AS75" s="49"/>
      <c r="AT75" s="9"/>
      <c r="AW75" s="49"/>
      <c r="BC75" s="95"/>
      <c r="BI75" s="49"/>
      <c r="BJ75" s="80">
        <f t="shared" si="39"/>
        <v>43009</v>
      </c>
      <c r="BK75" s="95">
        <f t="shared" si="16"/>
        <v>40618.583333333336</v>
      </c>
      <c r="BL75" s="95">
        <f t="shared" si="16"/>
        <v>16847.416666666668</v>
      </c>
      <c r="BM75" s="95">
        <f t="shared" si="17"/>
        <v>74192.25</v>
      </c>
      <c r="BN75" s="95"/>
      <c r="BT75" s="80">
        <f t="shared" si="35"/>
        <v>43009</v>
      </c>
      <c r="BV75" s="137" t="e">
        <f t="shared" si="23"/>
        <v>#DIV/0!</v>
      </c>
      <c r="CA75" s="102">
        <f t="shared" si="18"/>
        <v>2.0988488466204571E-2</v>
      </c>
      <c r="CB75" s="102">
        <f t="shared" si="19"/>
        <v>4.2432991735366861E-2</v>
      </c>
      <c r="CC75" s="155" t="e">
        <f t="shared" si="36"/>
        <v>#DIV/0!</v>
      </c>
      <c r="CH75" s="118"/>
      <c r="CI75">
        <v>9</v>
      </c>
      <c r="CJ75" s="11">
        <f t="shared" si="29"/>
        <v>9</v>
      </c>
      <c r="CK75" s="233">
        <f t="shared" si="30"/>
        <v>2.0991743247655923E-4</v>
      </c>
      <c r="CM75" s="1779"/>
      <c r="CN75" s="1779"/>
      <c r="CO75" s="1779"/>
      <c r="CP75" s="1779"/>
    </row>
    <row r="76" spans="1:94" x14ac:dyDescent="0.25">
      <c r="A76" s="98">
        <v>43040</v>
      </c>
      <c r="B76" s="105">
        <v>86298</v>
      </c>
      <c r="C76" s="95">
        <v>2607</v>
      </c>
      <c r="D76" s="104">
        <f t="shared" si="37"/>
        <v>3.0209274838350831E-2</v>
      </c>
      <c r="E76" s="144">
        <v>81288.122200000013</v>
      </c>
      <c r="F76" s="104">
        <f t="shared" si="27"/>
        <v>0.94194676817539236</v>
      </c>
      <c r="H76" s="110"/>
      <c r="K76" s="95">
        <f t="shared" si="8"/>
        <v>40351</v>
      </c>
      <c r="L76" s="95">
        <f t="shared" si="9"/>
        <v>34536.166666666664</v>
      </c>
      <c r="M76" s="95">
        <f t="shared" si="38"/>
        <v>390</v>
      </c>
      <c r="N76" s="95">
        <f t="shared" si="10"/>
        <v>357.75</v>
      </c>
      <c r="O76" s="95"/>
      <c r="P76" s="95" t="e">
        <f t="shared" si="11"/>
        <v>#DIV/0!</v>
      </c>
      <c r="Q76" s="103">
        <v>13164</v>
      </c>
      <c r="R76" s="95">
        <f t="shared" si="6"/>
        <v>12948.166666666666</v>
      </c>
      <c r="S76" s="161">
        <v>90</v>
      </c>
      <c r="T76" s="179">
        <f t="shared" si="12"/>
        <v>105.5</v>
      </c>
      <c r="U76" s="103"/>
      <c r="V76" s="179" t="e">
        <f t="shared" si="13"/>
        <v>#DIV/0!</v>
      </c>
      <c r="W76" s="103">
        <v>27187</v>
      </c>
      <c r="X76" s="95">
        <f t="shared" si="7"/>
        <v>21588</v>
      </c>
      <c r="Y76" s="103">
        <v>300</v>
      </c>
      <c r="Z76" s="179">
        <f t="shared" si="14"/>
        <v>252.25</v>
      </c>
      <c r="AA76" s="103"/>
      <c r="AB76" s="179" t="e">
        <f t="shared" si="15"/>
        <v>#DIV/0!</v>
      </c>
      <c r="AC76" s="103">
        <v>46531</v>
      </c>
      <c r="AD76" s="103">
        <v>18197</v>
      </c>
      <c r="AE76" s="9">
        <v>107</v>
      </c>
      <c r="AF76" s="1988"/>
      <c r="AG76" s="1989"/>
      <c r="AH76" s="1990"/>
      <c r="AJ76" s="159"/>
      <c r="AK76" s="9"/>
      <c r="AM76" s="101">
        <v>15726</v>
      </c>
      <c r="AN76" s="49"/>
      <c r="AO76" s="905"/>
      <c r="AP76" s="109"/>
      <c r="AR76" s="101">
        <f t="shared" si="31"/>
        <v>146.97196261682242</v>
      </c>
      <c r="AS76" s="49"/>
      <c r="AT76" s="9"/>
      <c r="AW76" s="49"/>
      <c r="BC76" s="95"/>
      <c r="BI76" s="49"/>
      <c r="BJ76" s="80">
        <f t="shared" si="39"/>
        <v>43040</v>
      </c>
      <c r="BK76" s="95">
        <f t="shared" si="16"/>
        <v>41724.583333333336</v>
      </c>
      <c r="BL76" s="95">
        <f t="shared" si="16"/>
        <v>16792.916666666668</v>
      </c>
      <c r="BM76" s="95">
        <f t="shared" si="17"/>
        <v>75853</v>
      </c>
      <c r="BN76" s="95"/>
      <c r="BT76" s="80">
        <f t="shared" si="35"/>
        <v>43040</v>
      </c>
      <c r="BV76" s="137" t="e">
        <f t="shared" si="23"/>
        <v>#DIV/0!</v>
      </c>
      <c r="CA76" s="102">
        <f t="shared" si="18"/>
        <v>2.2114716275556459E-2</v>
      </c>
      <c r="CB76" s="102">
        <f t="shared" si="19"/>
        <v>4.2140871812638689E-2</v>
      </c>
      <c r="CC76" s="155" t="e">
        <f t="shared" si="36"/>
        <v>#DIV/0!</v>
      </c>
      <c r="CH76" s="118"/>
      <c r="CI76">
        <v>14</v>
      </c>
      <c r="CJ76" s="11">
        <f t="shared" si="29"/>
        <v>9.4166666666666661</v>
      </c>
      <c r="CK76" s="233">
        <f t="shared" si="30"/>
        <v>2.3336885496435443E-4</v>
      </c>
      <c r="CM76" s="1779"/>
      <c r="CN76" s="1779"/>
      <c r="CO76" s="1779"/>
      <c r="CP76" s="1779"/>
    </row>
    <row r="77" spans="1:94" x14ac:dyDescent="0.25">
      <c r="A77" s="80">
        <v>43070</v>
      </c>
      <c r="B77" s="105">
        <v>57175</v>
      </c>
      <c r="C77" s="95">
        <v>1260</v>
      </c>
      <c r="D77" s="104">
        <f t="shared" si="37"/>
        <v>2.2037603847835593E-2</v>
      </c>
      <c r="E77" s="144">
        <v>55665.115900000004</v>
      </c>
      <c r="F77" s="104">
        <f t="shared" si="27"/>
        <v>0.97359188281591613</v>
      </c>
      <c r="H77" s="110">
        <f t="shared" si="28"/>
        <v>4.3705133362482752E-3</v>
      </c>
      <c r="K77" s="95">
        <f t="shared" si="8"/>
        <v>28812</v>
      </c>
      <c r="L77" s="95">
        <f t="shared" si="9"/>
        <v>35164.166666666664</v>
      </c>
      <c r="M77" s="95">
        <f t="shared" si="38"/>
        <v>284</v>
      </c>
      <c r="N77" s="95">
        <f t="shared" si="10"/>
        <v>362.91666666666669</v>
      </c>
      <c r="O77" s="95"/>
      <c r="P77" s="95" t="e">
        <f t="shared" si="11"/>
        <v>#DIV/0!</v>
      </c>
      <c r="Q77" s="103">
        <v>9374</v>
      </c>
      <c r="R77" s="95">
        <f t="shared" si="6"/>
        <v>13098.833333333334</v>
      </c>
      <c r="S77" s="161">
        <v>88</v>
      </c>
      <c r="T77" s="179">
        <f t="shared" si="12"/>
        <v>107.83333333333333</v>
      </c>
      <c r="U77" s="103"/>
      <c r="V77" s="179" t="e">
        <f t="shared" si="13"/>
        <v>#DIV/0!</v>
      </c>
      <c r="W77" s="103">
        <v>19438</v>
      </c>
      <c r="X77" s="95">
        <f t="shared" si="7"/>
        <v>22065.333333333332</v>
      </c>
      <c r="Y77" s="103">
        <v>196</v>
      </c>
      <c r="Z77" s="179">
        <f t="shared" si="14"/>
        <v>255.08333333333334</v>
      </c>
      <c r="AA77" s="103"/>
      <c r="AB77" s="179" t="e">
        <f t="shared" si="15"/>
        <v>#DIV/0!</v>
      </c>
      <c r="AC77" s="103">
        <v>28444</v>
      </c>
      <c r="AD77" s="103">
        <v>13504</v>
      </c>
      <c r="AE77" s="9">
        <v>107</v>
      </c>
      <c r="AF77" s="1988"/>
      <c r="AG77" s="1989"/>
      <c r="AH77" s="1990"/>
      <c r="AJ77" s="159"/>
      <c r="AK77" s="9"/>
      <c r="AM77" s="101">
        <v>23343</v>
      </c>
      <c r="AN77" s="49"/>
      <c r="AO77" s="905"/>
      <c r="AP77" s="109"/>
      <c r="AR77" s="101">
        <f t="shared" si="31"/>
        <v>218.15887850467288</v>
      </c>
      <c r="AS77" s="49"/>
      <c r="AT77" s="9"/>
      <c r="AW77" s="49"/>
      <c r="BC77" s="95"/>
      <c r="BI77" s="49"/>
      <c r="BJ77" s="80">
        <f t="shared" si="39"/>
        <v>43070</v>
      </c>
      <c r="BK77" s="95">
        <f t="shared" si="16"/>
        <v>41600.916666666664</v>
      </c>
      <c r="BL77" s="95">
        <f t="shared" si="16"/>
        <v>16662.75</v>
      </c>
      <c r="BM77" s="95">
        <f t="shared" si="17"/>
        <v>75980.666666666672</v>
      </c>
      <c r="BN77" s="95"/>
      <c r="BT77" s="80">
        <f t="shared" si="35"/>
        <v>43070</v>
      </c>
      <c r="BV77" s="137" t="e">
        <f t="shared" si="23"/>
        <v>#DIV/0!</v>
      </c>
      <c r="CA77" s="102">
        <f t="shared" si="18"/>
        <v>2.2401123057639135E-2</v>
      </c>
      <c r="CB77" s="102">
        <f t="shared" si="19"/>
        <v>3.8707202860239563E-2</v>
      </c>
      <c r="CC77" s="155" t="e">
        <f t="shared" si="36"/>
        <v>#DIV/0!</v>
      </c>
      <c r="CH77" s="118"/>
      <c r="CI77">
        <v>8</v>
      </c>
      <c r="CJ77" s="11">
        <f t="shared" si="29"/>
        <v>9.5</v>
      </c>
      <c r="CK77" s="233">
        <f t="shared" si="30"/>
        <v>3.2972372622518397E-4</v>
      </c>
      <c r="CM77" s="1779"/>
      <c r="CN77" s="1779"/>
      <c r="CO77" s="1779"/>
      <c r="CP77" s="1779"/>
    </row>
    <row r="78" spans="1:94" x14ac:dyDescent="0.25">
      <c r="A78" s="80">
        <v>43101</v>
      </c>
      <c r="B78" s="105">
        <v>60430</v>
      </c>
      <c r="C78" s="95">
        <v>1265</v>
      </c>
      <c r="D78" s="104">
        <f t="shared" si="37"/>
        <v>2.0933311269237132E-2</v>
      </c>
      <c r="E78" s="144">
        <v>54002.972399999991</v>
      </c>
      <c r="F78" s="104">
        <f>E78/B78</f>
        <v>0.89364508356776418</v>
      </c>
      <c r="H78" s="110">
        <f t="shared" si="28"/>
        <v>8.5421605162998696E-2</v>
      </c>
      <c r="K78" s="95">
        <f t="shared" si="8"/>
        <v>26796</v>
      </c>
      <c r="L78" s="95">
        <f t="shared" si="9"/>
        <v>35562.666666666664</v>
      </c>
      <c r="M78" s="95">
        <f t="shared" si="38"/>
        <v>275</v>
      </c>
      <c r="N78" s="95">
        <f t="shared" si="10"/>
        <v>367.08333333333331</v>
      </c>
      <c r="O78" s="95"/>
      <c r="P78" s="95" t="e">
        <f t="shared" si="11"/>
        <v>#DIV/0!</v>
      </c>
      <c r="Q78" s="103">
        <v>8530</v>
      </c>
      <c r="R78" s="95">
        <f t="shared" si="6"/>
        <v>12894.25</v>
      </c>
      <c r="S78" s="161">
        <v>69</v>
      </c>
      <c r="T78" s="179">
        <f t="shared" si="12"/>
        <v>105.33333333333333</v>
      </c>
      <c r="U78" s="103"/>
      <c r="V78" s="179" t="e">
        <f t="shared" si="13"/>
        <v>#DIV/0!</v>
      </c>
      <c r="W78" s="103">
        <v>18266</v>
      </c>
      <c r="X78" s="95">
        <f t="shared" si="7"/>
        <v>22668.416666666668</v>
      </c>
      <c r="Y78" s="103">
        <v>206</v>
      </c>
      <c r="Z78" s="179">
        <f t="shared" si="14"/>
        <v>261.75</v>
      </c>
      <c r="AA78" s="103"/>
      <c r="AB78" s="179" t="e">
        <f t="shared" si="15"/>
        <v>#DIV/0!</v>
      </c>
      <c r="AC78" s="103">
        <v>39857</v>
      </c>
      <c r="AD78" s="103">
        <v>15690</v>
      </c>
      <c r="AE78" s="9">
        <v>106</v>
      </c>
      <c r="AF78" s="1988"/>
      <c r="AG78" s="1989"/>
      <c r="AH78" s="1990"/>
      <c r="AJ78" s="159"/>
      <c r="AK78" s="9"/>
      <c r="AL78" s="106"/>
      <c r="AM78" s="101">
        <v>6418</v>
      </c>
      <c r="AN78" s="49"/>
      <c r="AO78" s="905"/>
      <c r="AP78" s="109"/>
      <c r="AR78" s="101">
        <f t="shared" si="31"/>
        <v>60.547169811320757</v>
      </c>
      <c r="AS78" s="49"/>
      <c r="AT78" s="9"/>
      <c r="AW78" s="49"/>
      <c r="BC78" s="95"/>
      <c r="BI78" s="49"/>
      <c r="BJ78" s="80">
        <f t="shared" si="39"/>
        <v>43101</v>
      </c>
      <c r="BK78" s="95">
        <f t="shared" si="16"/>
        <v>41680.916666666664</v>
      </c>
      <c r="BL78" s="95">
        <f t="shared" si="16"/>
        <v>16772.833333333332</v>
      </c>
      <c r="BM78" s="95">
        <f t="shared" si="17"/>
        <v>76335.75</v>
      </c>
      <c r="BN78" s="95"/>
      <c r="BT78" s="80">
        <f t="shared" si="35"/>
        <v>43101</v>
      </c>
      <c r="BV78" s="137" t="e">
        <f t="shared" si="23"/>
        <v>#DIV/0!</v>
      </c>
      <c r="CA78" s="102">
        <f t="shared" si="18"/>
        <v>2.2746513991964978E-2</v>
      </c>
      <c r="CB78" s="102">
        <f t="shared" si="19"/>
        <v>3.9102231241149206E-2</v>
      </c>
      <c r="CC78" s="155" t="e">
        <f t="shared" si="36"/>
        <v>#DIV/0!</v>
      </c>
      <c r="CH78" s="118"/>
      <c r="CI78">
        <v>13</v>
      </c>
      <c r="CJ78" s="11">
        <f t="shared" si="29"/>
        <v>10.083333333333334</v>
      </c>
      <c r="CK78" s="233">
        <f t="shared" si="30"/>
        <v>3.7629994526546255E-4</v>
      </c>
      <c r="CM78" s="1779"/>
      <c r="CN78" s="1779"/>
      <c r="CO78" s="1779"/>
      <c r="CP78" s="1779"/>
    </row>
    <row r="79" spans="1:94" x14ac:dyDescent="0.25">
      <c r="A79" s="80">
        <v>43132</v>
      </c>
      <c r="B79" s="105">
        <v>67764</v>
      </c>
      <c r="C79" s="95">
        <v>1303</v>
      </c>
      <c r="D79" s="104">
        <f t="shared" si="37"/>
        <v>1.9228498907974737E-2</v>
      </c>
      <c r="E79" s="144">
        <v>66088.173999999999</v>
      </c>
      <c r="F79" s="104">
        <f t="shared" si="27"/>
        <v>0.97526967121185293</v>
      </c>
      <c r="H79" s="110">
        <f t="shared" si="28"/>
        <v>5.5018298801723341E-3</v>
      </c>
      <c r="K79" s="95">
        <f t="shared" si="8"/>
        <v>31207</v>
      </c>
      <c r="L79" s="95">
        <f t="shared" si="9"/>
        <v>35813.75</v>
      </c>
      <c r="M79" s="95">
        <f t="shared" si="38"/>
        <v>311</v>
      </c>
      <c r="N79" s="95">
        <f t="shared" si="10"/>
        <v>365.16666666666669</v>
      </c>
      <c r="O79" s="95"/>
      <c r="P79" s="95" t="e">
        <f t="shared" si="11"/>
        <v>#DIV/0!</v>
      </c>
      <c r="Q79" s="103">
        <v>8729</v>
      </c>
      <c r="R79" s="95">
        <f t="shared" ref="R79:R106" si="43">AVERAGE(Q68:Q79)</f>
        <v>12568</v>
      </c>
      <c r="S79" s="161">
        <v>77</v>
      </c>
      <c r="T79" s="179">
        <f t="shared" si="12"/>
        <v>102.16666666666667</v>
      </c>
      <c r="U79" s="103"/>
      <c r="V79" s="179" t="e">
        <f t="shared" si="13"/>
        <v>#DIV/0!</v>
      </c>
      <c r="W79" s="103">
        <v>22478</v>
      </c>
      <c r="X79" s="95">
        <f t="shared" ref="X79:X106" si="44">AVERAGE(W68:W79)</f>
        <v>23245.75</v>
      </c>
      <c r="Y79" s="103">
        <v>234</v>
      </c>
      <c r="Z79" s="179">
        <f t="shared" si="14"/>
        <v>263</v>
      </c>
      <c r="AA79" s="103"/>
      <c r="AB79" s="179" t="e">
        <f t="shared" si="15"/>
        <v>#DIV/0!</v>
      </c>
      <c r="AC79" s="103">
        <v>38455</v>
      </c>
      <c r="AD79" s="103">
        <v>15589</v>
      </c>
      <c r="AE79" s="9">
        <v>112</v>
      </c>
      <c r="AF79" s="1988"/>
      <c r="AG79" s="1989"/>
      <c r="AH79" s="1990"/>
      <c r="AJ79" s="159"/>
      <c r="AK79" s="9"/>
      <c r="AL79" s="102"/>
      <c r="AM79" s="101">
        <v>26929</v>
      </c>
      <c r="AN79" s="107"/>
      <c r="AO79" s="905"/>
      <c r="AP79" s="109"/>
      <c r="AQ79" s="102"/>
      <c r="AR79" s="101">
        <f t="shared" si="31"/>
        <v>240.4375</v>
      </c>
      <c r="AS79" s="49"/>
      <c r="AT79" s="9"/>
      <c r="AW79" s="107"/>
      <c r="AX79" s="102"/>
      <c r="AY79" s="102"/>
      <c r="AZ79" s="102"/>
      <c r="BA79" s="102"/>
      <c r="BB79" s="102"/>
      <c r="BC79" s="95"/>
      <c r="BI79" s="49"/>
      <c r="BJ79" s="80">
        <f t="shared" si="39"/>
        <v>43132</v>
      </c>
      <c r="BK79" s="95">
        <f t="shared" si="16"/>
        <v>42010.583333333336</v>
      </c>
      <c r="BL79" s="95">
        <f t="shared" si="16"/>
        <v>16630.083333333332</v>
      </c>
      <c r="BM79" s="95">
        <f t="shared" si="17"/>
        <v>76086.833333333328</v>
      </c>
      <c r="BN79" s="95"/>
      <c r="BO79" s="134"/>
      <c r="BT79" s="80">
        <f t="shared" si="35"/>
        <v>43132</v>
      </c>
      <c r="BV79" s="137" t="e">
        <f t="shared" si="23"/>
        <v>#DIV/0!</v>
      </c>
      <c r="CA79" s="102">
        <f t="shared" si="18"/>
        <v>2.2636310044598065E-2</v>
      </c>
      <c r="CB79" s="102">
        <f t="shared" si="19"/>
        <v>3.4770971247203832E-2</v>
      </c>
      <c r="CC79" s="155" t="e">
        <f t="shared" si="36"/>
        <v>#DIV/0!</v>
      </c>
      <c r="CH79" s="118"/>
      <c r="CI79">
        <v>9</v>
      </c>
      <c r="CJ79" s="11">
        <f t="shared" si="29"/>
        <v>10.25</v>
      </c>
      <c r="CK79" s="233">
        <f t="shared" si="30"/>
        <v>3.2845194988303904E-4</v>
      </c>
      <c r="CM79" s="1779"/>
      <c r="CN79" s="1779"/>
      <c r="CO79" s="1779"/>
      <c r="CP79" s="1779"/>
    </row>
    <row r="80" spans="1:94" x14ac:dyDescent="0.25">
      <c r="A80" s="80">
        <v>43160</v>
      </c>
      <c r="B80" s="105">
        <v>77314</v>
      </c>
      <c r="C80" s="95">
        <v>1575</v>
      </c>
      <c r="D80" s="104">
        <f t="shared" si="37"/>
        <v>2.0371472178389426E-2</v>
      </c>
      <c r="E80" s="144">
        <v>75262.978199999998</v>
      </c>
      <c r="F80" s="104">
        <f t="shared" si="27"/>
        <v>0.97347153426287603</v>
      </c>
      <c r="H80" s="110">
        <f t="shared" si="28"/>
        <v>6.1569935587345477E-3</v>
      </c>
      <c r="K80" s="95">
        <f t="shared" ref="K80:K108" si="45">SUM(Q80,W80)</f>
        <v>39311</v>
      </c>
      <c r="L80" s="95">
        <f t="shared" ref="L80:L108" si="46">AVERAGE(K69:K80)</f>
        <v>36281.583333333336</v>
      </c>
      <c r="M80" s="95">
        <f t="shared" si="38"/>
        <v>397</v>
      </c>
      <c r="N80" s="95">
        <f t="shared" ref="N80:N108" si="47">AVERAGE(M69:M80)</f>
        <v>366.58333333333331</v>
      </c>
      <c r="O80" s="95"/>
      <c r="P80" s="95" t="e">
        <f>AVERAGE(O69:O80)</f>
        <v>#DIV/0!</v>
      </c>
      <c r="Q80" s="103">
        <v>11302</v>
      </c>
      <c r="R80" s="95">
        <f t="shared" si="43"/>
        <v>12350.75</v>
      </c>
      <c r="S80" s="161">
        <v>93</v>
      </c>
      <c r="T80" s="179">
        <f t="shared" ref="T80:T141" si="48">AVERAGE(S69:S80)</f>
        <v>99.25</v>
      </c>
      <c r="U80" s="103"/>
      <c r="V80" s="179" t="e">
        <f t="shared" ref="V80:V110" si="49">AVERAGE(U69:U80)</f>
        <v>#DIV/0!</v>
      </c>
      <c r="W80" s="103">
        <v>28009</v>
      </c>
      <c r="X80" s="95">
        <f t="shared" si="44"/>
        <v>23930.833333333332</v>
      </c>
      <c r="Y80" s="103">
        <v>304</v>
      </c>
      <c r="Z80" s="179">
        <f t="shared" ref="Z80:Z141" si="50">AVERAGE(Y69:Y80)</f>
        <v>267.33333333333331</v>
      </c>
      <c r="AA80" s="103"/>
      <c r="AB80" s="179" t="e">
        <f t="shared" ref="AB80:AB124" si="51">AVERAGE(AA69:AA80)</f>
        <v>#DIV/0!</v>
      </c>
      <c r="AC80" s="103">
        <v>42566</v>
      </c>
      <c r="AD80" s="103">
        <v>20579</v>
      </c>
      <c r="AE80" s="9">
        <v>114</v>
      </c>
      <c r="AJ80" s="159"/>
      <c r="AK80" s="111">
        <v>1017643.1692778319</v>
      </c>
      <c r="AL80" s="101">
        <v>984115.95999999903</v>
      </c>
      <c r="AM80" s="101">
        <v>12572</v>
      </c>
      <c r="AN80" s="95"/>
      <c r="AO80" s="905"/>
      <c r="AP80" s="109"/>
      <c r="AQ80" s="102"/>
      <c r="AR80" s="101">
        <f t="shared" si="31"/>
        <v>110.28070175438596</v>
      </c>
      <c r="AS80" s="110">
        <f>AM80/AK80</f>
        <v>1.2354035657628095E-2</v>
      </c>
      <c r="AT80" s="112">
        <f>AK80/K80</f>
        <v>25.886982505604841</v>
      </c>
      <c r="AU80" s="113" t="e">
        <f>AK80/SUM(Q80:AD80)</f>
        <v>#DIV/0!</v>
      </c>
      <c r="AV80" s="101"/>
      <c r="AW80" s="114">
        <f>AK80/AE80</f>
        <v>8926.6944673494036</v>
      </c>
      <c r="AX80" s="116">
        <f>AL80/AK80</f>
        <v>0.96705406149227591</v>
      </c>
      <c r="AY80" s="111">
        <f>AL80/K80</f>
        <v>25.034111571824656</v>
      </c>
      <c r="AZ80" s="111" t="e">
        <f>AL80/SUM(Q80:AD80)</f>
        <v>#DIV/0!</v>
      </c>
      <c r="BA80" s="111"/>
      <c r="BB80" s="102"/>
      <c r="BC80" s="95"/>
      <c r="BH80" s="111"/>
      <c r="BI80" s="114"/>
      <c r="BJ80" s="80">
        <f t="shared" si="39"/>
        <v>43160</v>
      </c>
      <c r="BK80" s="95">
        <f t="shared" ref="BK80:BL106" si="52">AVERAGE(AC69:AC80)</f>
        <v>42961.166666666664</v>
      </c>
      <c r="BL80" s="95">
        <f t="shared" si="52"/>
        <v>16921.166666666668</v>
      </c>
      <c r="BM80" s="95">
        <f t="shared" ref="BM80:BM106" si="53">AVERAGE(B69:B80)</f>
        <v>76157</v>
      </c>
      <c r="BN80" s="95"/>
      <c r="BO80" s="134"/>
      <c r="BT80" s="80">
        <f t="shared" si="35"/>
        <v>43160</v>
      </c>
      <c r="BV80" s="137" t="e">
        <f t="shared" si="23"/>
        <v>#DIV/0!</v>
      </c>
      <c r="CA80" s="102">
        <f t="shared" ref="CA80:CA106" si="54">AVERAGE(D69:D80)</f>
        <v>2.2422557756642775E-2</v>
      </c>
      <c r="CB80" s="102">
        <f t="shared" ref="CB80:CB106" si="55">AVERAGE(H69:H80)</f>
        <v>3.1854712546958888E-2</v>
      </c>
      <c r="CC80" s="155">
        <f t="shared" si="36"/>
        <v>0</v>
      </c>
      <c r="CH80" s="118"/>
      <c r="CI80">
        <v>12</v>
      </c>
      <c r="CJ80" s="11">
        <f t="shared" si="29"/>
        <v>10.166666666666666</v>
      </c>
      <c r="CK80" s="233">
        <f t="shared" si="30"/>
        <v>2.5862142063714139E-4</v>
      </c>
      <c r="CM80" s="1779"/>
      <c r="CN80" s="1779"/>
      <c r="CO80" s="1779"/>
      <c r="CP80" s="1779"/>
    </row>
    <row r="81" spans="1:117" x14ac:dyDescent="0.25">
      <c r="A81" s="80">
        <v>43191</v>
      </c>
      <c r="B81" s="105">
        <v>66186</v>
      </c>
      <c r="C81" s="95">
        <v>1352</v>
      </c>
      <c r="D81" s="104">
        <f t="shared" si="37"/>
        <v>2.0427280693802313E-2</v>
      </c>
      <c r="E81" s="144">
        <v>64223.157200000009</v>
      </c>
      <c r="F81" s="104">
        <f t="shared" si="27"/>
        <v>0.97034353488653202</v>
      </c>
      <c r="H81" s="110">
        <f t="shared" si="28"/>
        <v>9.2291844196656647E-3</v>
      </c>
      <c r="I81" s="112">
        <v>4277600.4800000004</v>
      </c>
      <c r="J81" s="111"/>
      <c r="K81" s="95">
        <f t="shared" si="45"/>
        <v>33146</v>
      </c>
      <c r="L81" s="95">
        <f t="shared" si="46"/>
        <v>36915.583333333336</v>
      </c>
      <c r="M81" s="95">
        <f t="shared" si="38"/>
        <v>411</v>
      </c>
      <c r="N81" s="95">
        <f t="shared" si="47"/>
        <v>376.08333333333331</v>
      </c>
      <c r="O81" s="95">
        <f t="shared" ref="O81:O105" si="56">SUM(U81,AA81)</f>
        <v>204</v>
      </c>
      <c r="P81" s="95">
        <f t="shared" ref="P81:P108" si="57">AVERAGE(O70:O81)</f>
        <v>204</v>
      </c>
      <c r="Q81" s="103">
        <v>12245</v>
      </c>
      <c r="R81" s="95">
        <f t="shared" si="43"/>
        <v>12422.166666666666</v>
      </c>
      <c r="S81" s="161">
        <v>97</v>
      </c>
      <c r="T81" s="179">
        <f t="shared" si="48"/>
        <v>98.75</v>
      </c>
      <c r="U81" s="103">
        <v>50</v>
      </c>
      <c r="V81" s="179">
        <f t="shared" si="49"/>
        <v>50</v>
      </c>
      <c r="W81" s="103">
        <v>20901</v>
      </c>
      <c r="X81" s="95">
        <f t="shared" si="44"/>
        <v>24493.416666666668</v>
      </c>
      <c r="Y81" s="103">
        <v>314</v>
      </c>
      <c r="Z81" s="179">
        <f t="shared" si="50"/>
        <v>277.33333333333331</v>
      </c>
      <c r="AA81" s="103">
        <v>154</v>
      </c>
      <c r="AB81" s="179">
        <f t="shared" si="51"/>
        <v>154</v>
      </c>
      <c r="AC81" s="103">
        <v>43329</v>
      </c>
      <c r="AD81" s="103">
        <v>20420</v>
      </c>
      <c r="AE81" s="9">
        <v>115</v>
      </c>
      <c r="AF81">
        <v>76</v>
      </c>
      <c r="AJ81" s="159"/>
      <c r="AK81" s="111">
        <v>848121</v>
      </c>
      <c r="AL81" s="101">
        <v>894940.08</v>
      </c>
      <c r="AM81" s="101">
        <v>16820</v>
      </c>
      <c r="AN81" s="115">
        <v>8269.494999999999</v>
      </c>
      <c r="AO81" s="905">
        <f t="shared" ref="AO81:AO93" si="58">AM81/I81</f>
        <v>3.932111023140711E-3</v>
      </c>
      <c r="AP81" s="909">
        <f t="shared" ref="AP81:AP122" si="59">AM81/SUM(I81)*100</f>
        <v>0.39321110231407108</v>
      </c>
      <c r="AR81" s="101">
        <f t="shared" si="31"/>
        <v>146.2608695652174</v>
      </c>
      <c r="AS81" s="110">
        <f t="shared" ref="AS81:AS108" si="60">AM81/AK81</f>
        <v>1.9832075847667961E-2</v>
      </c>
      <c r="AT81" s="112">
        <f t="shared" ref="AT81:AT108" si="61">AK81/K81</f>
        <v>25.587431364267182</v>
      </c>
      <c r="AU81" s="113">
        <f t="shared" ref="AU81:AU108" si="62">AK81/SUM(Q81:AD81)</f>
        <v>6.2821140841001739</v>
      </c>
      <c r="AV81" s="101">
        <f>AK81/AF81</f>
        <v>11159.486842105263</v>
      </c>
      <c r="AW81" s="114">
        <f>AK81/AE81</f>
        <v>7374.9652173913046</v>
      </c>
      <c r="AX81" s="116">
        <f>AL81/AK81</f>
        <v>1.0552033023589793</v>
      </c>
      <c r="AY81" s="111">
        <f t="shared" ref="AY81:AY108" si="63">AL81/K81</f>
        <v>26.999942074458456</v>
      </c>
      <c r="AZ81" s="111">
        <f t="shared" ref="AZ81:AZ108" si="64">AL81/SUM(Q81:AD81)</f>
        <v>6.6289075273383586</v>
      </c>
      <c r="BA81" s="111">
        <f>AL81/AF81</f>
        <v>11775.527368421052</v>
      </c>
      <c r="BB81" s="101">
        <f>AL81/AE81</f>
        <v>7782.0876521739128</v>
      </c>
      <c r="BC81" s="95">
        <f t="shared" ref="BC81" si="65">K81/AF81</f>
        <v>436.13157894736844</v>
      </c>
      <c r="BD81" s="95">
        <f t="shared" ref="BD81" si="66">K81/AE81</f>
        <v>288.22608695652173</v>
      </c>
      <c r="BE81" s="111">
        <f>I81/K81</f>
        <v>129.05329391178424</v>
      </c>
      <c r="BF81" s="118">
        <f t="shared" ref="BF81" si="67">I81/AF81</f>
        <v>56284.21684210527</v>
      </c>
      <c r="BG81" s="111">
        <f t="shared" ref="BG81:BG105" si="68">I81/AN81</f>
        <v>517.27469210635002</v>
      </c>
      <c r="BH81" s="111">
        <f t="shared" ref="BH81:BH105" si="69">I81/M81</f>
        <v>10407.787055961071</v>
      </c>
      <c r="BI81" s="114">
        <f t="shared" ref="BI81:BI105" si="70">I81/O81</f>
        <v>20968.629803921573</v>
      </c>
      <c r="BJ81" s="80">
        <f t="shared" si="39"/>
        <v>43191</v>
      </c>
      <c r="BK81" s="95">
        <f t="shared" si="52"/>
        <v>44219.5</v>
      </c>
      <c r="BL81" s="95">
        <f t="shared" si="52"/>
        <v>17619.666666666668</v>
      </c>
      <c r="BM81" s="95">
        <f t="shared" si="53"/>
        <v>76601.583333333328</v>
      </c>
      <c r="BN81" s="95">
        <f t="shared" ref="BN81:BN105" si="71">AN81/AF81</f>
        <v>108.80914473684209</v>
      </c>
      <c r="BO81" s="134">
        <f t="shared" ref="BO81:BO104" si="72">AL81/AN81</f>
        <v>108.22185393424871</v>
      </c>
      <c r="BT81" s="80">
        <f t="shared" si="35"/>
        <v>43191</v>
      </c>
      <c r="BV81" s="1539">
        <f t="shared" si="23"/>
        <v>3.932111023140711E-3</v>
      </c>
      <c r="CA81" s="102">
        <f t="shared" si="54"/>
        <v>2.2313028548000029E-2</v>
      </c>
      <c r="CB81" s="102">
        <f t="shared" si="55"/>
        <v>3.2282994148547677E-2</v>
      </c>
      <c r="CC81" s="155">
        <f>I81/AK81</f>
        <v>5.0436205211284717</v>
      </c>
      <c r="CH81" s="118">
        <f t="shared" ref="CH81:CH107" si="73">I81/AE81</f>
        <v>37196.525913043479</v>
      </c>
      <c r="CI81">
        <v>17</v>
      </c>
      <c r="CJ81" s="11">
        <f t="shared" si="29"/>
        <v>11.25</v>
      </c>
      <c r="CK81" s="233">
        <f t="shared" si="30"/>
        <v>3.3940746998129489E-4</v>
      </c>
      <c r="CM81" s="1779">
        <f t="shared" ref="CM81" si="74">SUM(W81:W92)/SUM(W69:W80)-1</f>
        <v>-0.13325556290698892</v>
      </c>
      <c r="CN81" s="1779">
        <f t="shared" ref="CN81" si="75">SUM(Q81:Q92)/SUM(Q69:Q80)-1</f>
        <v>0.14325040989413607</v>
      </c>
      <c r="CO81" s="1779">
        <f t="shared" ref="CO81:CP81" si="76">SUM(AC81:AC92)/SUM(AC69:AC80)-1</f>
        <v>-4.9393444467290215E-2</v>
      </c>
      <c r="CP81" s="1779">
        <f t="shared" si="76"/>
        <v>7.485693460853593E-4</v>
      </c>
      <c r="CS81" s="137">
        <f>AK81/AN81</f>
        <v>102.56019261151982</v>
      </c>
      <c r="CT81" s="84">
        <f>BO81/CS81</f>
        <v>1.0552033023589793</v>
      </c>
      <c r="CU81" s="84" t="e">
        <f>BA80/AV80</f>
        <v>#DIV/0!</v>
      </c>
      <c r="CV81" s="84">
        <f>BB80/AW80</f>
        <v>0</v>
      </c>
      <c r="CW81" s="84">
        <f>AK81/I81</f>
        <v>0.19827026950399068</v>
      </c>
      <c r="CX81" s="84"/>
      <c r="CY81" s="106">
        <f t="shared" ref="CY81:CY112" si="77">AX81-1</f>
        <v>5.52033023589793E-2</v>
      </c>
      <c r="CZ81" s="106"/>
      <c r="DA81" s="106">
        <v>0.05</v>
      </c>
      <c r="DB81" s="106">
        <v>-0.05</v>
      </c>
      <c r="DC81" s="453">
        <f>K81/AN81</f>
        <v>4.008225411588012</v>
      </c>
      <c r="DD81" s="11">
        <f>K81/O81</f>
        <v>162.48039215686273</v>
      </c>
      <c r="DE81" s="11">
        <f>K81/M81</f>
        <v>80.647201946472023</v>
      </c>
      <c r="DF81" s="11">
        <f>W81/AA81</f>
        <v>135.72077922077921</v>
      </c>
      <c r="DG81" s="11">
        <f>Q81/U81</f>
        <v>244.9</v>
      </c>
      <c r="DH81" s="11"/>
      <c r="DI81" s="11"/>
      <c r="DJ81" s="11">
        <f>W81/Y81</f>
        <v>66.563694267515928</v>
      </c>
      <c r="DK81" s="11">
        <f>Q81/S81</f>
        <v>126.23711340206185</v>
      </c>
      <c r="DL81" s="11"/>
      <c r="DM81" s="11"/>
    </row>
    <row r="82" spans="1:117" x14ac:dyDescent="0.25">
      <c r="A82" s="80">
        <v>43221</v>
      </c>
      <c r="B82" s="105">
        <v>75414</v>
      </c>
      <c r="C82" s="95">
        <v>1388</v>
      </c>
      <c r="D82" s="104">
        <f t="shared" si="37"/>
        <v>1.8405070676532208E-2</v>
      </c>
      <c r="E82" s="144">
        <v>71090.0386</v>
      </c>
      <c r="F82" s="104">
        <f t="shared" si="27"/>
        <v>0.94266367783170235</v>
      </c>
      <c r="H82" s="110">
        <f t="shared" si="28"/>
        <v>3.8931251491765441E-2</v>
      </c>
      <c r="I82" s="112">
        <v>4635382.55</v>
      </c>
      <c r="J82" s="111"/>
      <c r="K82" s="95">
        <f t="shared" si="45"/>
        <v>34966</v>
      </c>
      <c r="L82" s="95">
        <f t="shared" si="46"/>
        <v>36594.666666666664</v>
      </c>
      <c r="M82" s="95">
        <f t="shared" si="38"/>
        <v>406</v>
      </c>
      <c r="N82" s="95">
        <f t="shared" si="47"/>
        <v>375.08333333333331</v>
      </c>
      <c r="O82" s="95">
        <f t="shared" si="56"/>
        <v>208</v>
      </c>
      <c r="P82" s="95">
        <f t="shared" si="57"/>
        <v>206</v>
      </c>
      <c r="Q82" s="103">
        <v>11890</v>
      </c>
      <c r="R82" s="95">
        <f t="shared" si="43"/>
        <v>12065.5</v>
      </c>
      <c r="S82" s="161">
        <v>97</v>
      </c>
      <c r="T82" s="179">
        <f t="shared" si="48"/>
        <v>96.083333333333329</v>
      </c>
      <c r="U82" s="103">
        <v>63</v>
      </c>
      <c r="V82" s="179">
        <f t="shared" si="49"/>
        <v>56.5</v>
      </c>
      <c r="W82" s="103">
        <v>23076</v>
      </c>
      <c r="X82" s="95">
        <f t="shared" si="44"/>
        <v>24529.166666666668</v>
      </c>
      <c r="Y82" s="103">
        <v>309</v>
      </c>
      <c r="Z82" s="179">
        <f t="shared" si="50"/>
        <v>279</v>
      </c>
      <c r="AA82" s="103">
        <v>145</v>
      </c>
      <c r="AB82" s="179">
        <f t="shared" si="51"/>
        <v>149.5</v>
      </c>
      <c r="AC82" s="103">
        <v>36292</v>
      </c>
      <c r="AD82" s="103">
        <v>15988</v>
      </c>
      <c r="AE82" s="9">
        <v>122</v>
      </c>
      <c r="AF82">
        <v>76</v>
      </c>
      <c r="AG82">
        <v>38</v>
      </c>
      <c r="AH82">
        <v>9</v>
      </c>
      <c r="AJ82" s="159"/>
      <c r="AK82" s="111">
        <v>923966</v>
      </c>
      <c r="AL82" s="101">
        <v>928585.92</v>
      </c>
      <c r="AM82" s="101">
        <v>40810</v>
      </c>
      <c r="AN82" s="115">
        <v>8575.8559999999998</v>
      </c>
      <c r="AO82" s="905">
        <f>AM82/I82</f>
        <v>8.8040198537658997E-3</v>
      </c>
      <c r="AP82" s="909">
        <f t="shared" si="59"/>
        <v>0.88040198537658998</v>
      </c>
      <c r="AQ82" s="111">
        <f>AM82/AF82</f>
        <v>536.97368421052636</v>
      </c>
      <c r="AR82" s="101">
        <f>AM82/AE82</f>
        <v>334.50819672131149</v>
      </c>
      <c r="AS82" s="110">
        <f t="shared" si="60"/>
        <v>4.4168291906845056E-2</v>
      </c>
      <c r="AT82" s="112">
        <f t="shared" si="61"/>
        <v>26.424698278327519</v>
      </c>
      <c r="AU82" s="113">
        <f t="shared" si="62"/>
        <v>7.3896145702329132</v>
      </c>
      <c r="AV82" s="101">
        <f>AK82/AF82</f>
        <v>12157.447368421053</v>
      </c>
      <c r="AW82" s="114">
        <f>AK82/AE82</f>
        <v>7573.4918032786882</v>
      </c>
      <c r="AX82" s="116">
        <f t="shared" ref="AX82:AX108" si="78">AL82/AK82</f>
        <v>1.0050000974061817</v>
      </c>
      <c r="AY82" s="111">
        <f t="shared" si="63"/>
        <v>26.556824343648117</v>
      </c>
      <c r="AZ82" s="111">
        <f t="shared" si="64"/>
        <v>7.4265633628782171</v>
      </c>
      <c r="BA82" s="111">
        <f>AL82/AF82</f>
        <v>12218.235789473685</v>
      </c>
      <c r="BB82" s="101">
        <f>AL82/AE82</f>
        <v>7611.3600000000006</v>
      </c>
      <c r="BC82" s="95">
        <f t="shared" ref="BC82:BC106" si="79">K82/AF82</f>
        <v>460.07894736842104</v>
      </c>
      <c r="BD82" s="95">
        <f t="shared" ref="BD82:BD106" si="80">K82/AE82</f>
        <v>286.60655737704917</v>
      </c>
      <c r="BE82" s="111">
        <f>I82/K82</f>
        <v>132.56828204541554</v>
      </c>
      <c r="BF82" s="118">
        <f t="shared" ref="BF82:BF105" si="81">I82/AF82</f>
        <v>60991.875657894736</v>
      </c>
      <c r="BG82" s="111">
        <f t="shared" si="68"/>
        <v>540.51543659315178</v>
      </c>
      <c r="BH82" s="111">
        <f t="shared" si="69"/>
        <v>11417.198399014778</v>
      </c>
      <c r="BI82" s="114">
        <f t="shared" si="70"/>
        <v>22285.493028846155</v>
      </c>
      <c r="BJ82" s="80">
        <f t="shared" si="39"/>
        <v>43221</v>
      </c>
      <c r="BK82" s="95">
        <f t="shared" si="52"/>
        <v>43417.666666666664</v>
      </c>
      <c r="BL82" s="95">
        <f t="shared" si="52"/>
        <v>17479.333333333332</v>
      </c>
      <c r="BM82" s="95">
        <f t="shared" si="53"/>
        <v>75329.75</v>
      </c>
      <c r="BN82" s="95">
        <f t="shared" si="71"/>
        <v>112.84021052631579</v>
      </c>
      <c r="BO82" s="134">
        <f t="shared" si="72"/>
        <v>108.27909423852267</v>
      </c>
      <c r="BT82" s="80">
        <f t="shared" si="35"/>
        <v>43221</v>
      </c>
      <c r="BV82" s="1539">
        <f t="shared" si="23"/>
        <v>6.3680654384533058E-3</v>
      </c>
      <c r="CA82" s="102">
        <f t="shared" si="54"/>
        <v>2.2117183073145631E-2</v>
      </c>
      <c r="CB82" s="102">
        <f t="shared" si="55"/>
        <v>3.2304337834024574E-2</v>
      </c>
      <c r="CC82" s="155">
        <f t="shared" si="36"/>
        <v>5.0168323834426802</v>
      </c>
      <c r="CH82" s="118">
        <f t="shared" si="73"/>
        <v>37994.938934426231</v>
      </c>
      <c r="CI82">
        <v>14</v>
      </c>
      <c r="CJ82" s="11">
        <f t="shared" si="29"/>
        <v>11.666666666666666</v>
      </c>
      <c r="CK82" s="233">
        <f t="shared" si="30"/>
        <v>3.3365745772083357E-4</v>
      </c>
      <c r="CM82" s="1779"/>
      <c r="CN82" s="1779"/>
      <c r="CO82" s="1779"/>
      <c r="CP82" s="1779"/>
      <c r="CS82" s="137">
        <f t="shared" ref="CS82:CS141" si="82">AK82/AN82</f>
        <v>107.74038183476962</v>
      </c>
      <c r="CT82" s="84">
        <f t="shared" ref="CT82:CT141" si="83">BO82/CS82</f>
        <v>1.0050000974061817</v>
      </c>
      <c r="CU82" s="84">
        <f t="shared" ref="CU82:CU134" si="84">BA81/AV81</f>
        <v>1.0552033023589793</v>
      </c>
      <c r="CV82" s="84">
        <f t="shared" ref="CV82:CV134" si="85">BB81/AW81</f>
        <v>1.0552033023589793</v>
      </c>
      <c r="CW82" s="84">
        <f t="shared" ref="CW82:CW130" si="86">AK82/I82</f>
        <v>0.19932896369038625</v>
      </c>
      <c r="CX82" s="84"/>
      <c r="CY82" s="106">
        <f t="shared" si="77"/>
        <v>5.0000974061816805E-3</v>
      </c>
      <c r="CZ82" s="106"/>
      <c r="DA82" s="106">
        <v>0.05</v>
      </c>
      <c r="DB82" s="106">
        <v>-0.05</v>
      </c>
      <c r="DC82" s="453">
        <f t="shared" ref="DC82:DC141" si="87">K82/AN82</f>
        <v>4.0772606256448336</v>
      </c>
      <c r="DD82" s="11">
        <f t="shared" ref="DD82:DD141" si="88">K82/O82</f>
        <v>168.10576923076923</v>
      </c>
      <c r="DE82" s="11">
        <f t="shared" ref="DE82:DE141" si="89">K82/M82</f>
        <v>86.123152709359601</v>
      </c>
      <c r="DF82" s="11">
        <f t="shared" ref="DF82:DF141" si="90">W82/AA82</f>
        <v>159.1448275862069</v>
      </c>
      <c r="DG82" s="11">
        <f t="shared" ref="DG82:DG141" si="91">Q82/U82</f>
        <v>188.73015873015873</v>
      </c>
      <c r="DH82" s="11"/>
      <c r="DI82" s="11"/>
      <c r="DJ82" s="11">
        <f t="shared" ref="DJ82:DJ141" si="92">W82/Y82</f>
        <v>74.679611650485441</v>
      </c>
      <c r="DK82" s="11">
        <f t="shared" ref="DK82:DK141" si="93">Q82/S82</f>
        <v>122.57731958762886</v>
      </c>
      <c r="DL82" s="11"/>
      <c r="DM82" s="11"/>
    </row>
    <row r="83" spans="1:117" x14ac:dyDescent="0.25">
      <c r="A83" s="80">
        <v>43252</v>
      </c>
      <c r="B83" s="105">
        <v>69590</v>
      </c>
      <c r="C83" s="95">
        <v>1500</v>
      </c>
      <c r="D83" s="104">
        <f t="shared" si="37"/>
        <v>2.1554821094984911E-2</v>
      </c>
      <c r="E83" s="144">
        <v>67790.198099999994</v>
      </c>
      <c r="F83" s="104">
        <f t="shared" si="27"/>
        <v>0.9741370613593906</v>
      </c>
      <c r="H83" s="110">
        <f t="shared" si="28"/>
        <v>4.3081175456244902E-3</v>
      </c>
      <c r="I83" s="112">
        <v>4695293.38</v>
      </c>
      <c r="J83" s="111"/>
      <c r="K83" s="95">
        <f t="shared" si="45"/>
        <v>28441</v>
      </c>
      <c r="L83" s="95">
        <f t="shared" si="46"/>
        <v>36054</v>
      </c>
      <c r="M83" s="95">
        <f t="shared" si="38"/>
        <v>355</v>
      </c>
      <c r="N83" s="95">
        <f t="shared" si="47"/>
        <v>373.16666666666669</v>
      </c>
      <c r="O83" s="95">
        <f t="shared" si="56"/>
        <v>181</v>
      </c>
      <c r="P83" s="95">
        <f t="shared" si="57"/>
        <v>197.66666666666666</v>
      </c>
      <c r="Q83" s="103">
        <v>12296</v>
      </c>
      <c r="R83" s="95">
        <f t="shared" si="43"/>
        <v>12038.75</v>
      </c>
      <c r="S83" s="161">
        <v>101</v>
      </c>
      <c r="T83" s="179">
        <f t="shared" si="48"/>
        <v>96.583333333333329</v>
      </c>
      <c r="U83" s="103">
        <v>68</v>
      </c>
      <c r="V83" s="179">
        <f t="shared" si="49"/>
        <v>60.333333333333336</v>
      </c>
      <c r="W83" s="103">
        <v>16145</v>
      </c>
      <c r="X83" s="95">
        <f t="shared" si="44"/>
        <v>24015.25</v>
      </c>
      <c r="Y83" s="103">
        <v>254</v>
      </c>
      <c r="Z83" s="179">
        <f t="shared" si="50"/>
        <v>276.58333333333331</v>
      </c>
      <c r="AA83" s="103">
        <v>113</v>
      </c>
      <c r="AB83" s="179">
        <f t="shared" si="51"/>
        <v>137.33333333333334</v>
      </c>
      <c r="AC83" s="103">
        <v>31555</v>
      </c>
      <c r="AD83" s="103">
        <v>11828</v>
      </c>
      <c r="AE83" s="9">
        <v>121</v>
      </c>
      <c r="AF83">
        <v>76</v>
      </c>
      <c r="AG83">
        <v>37</v>
      </c>
      <c r="AH83">
        <v>8</v>
      </c>
      <c r="AJ83" s="159"/>
      <c r="AK83" s="111">
        <v>1042669</v>
      </c>
      <c r="AL83" s="101">
        <v>935233</v>
      </c>
      <c r="AM83" s="101">
        <v>20990</v>
      </c>
      <c r="AN83" s="115">
        <v>8159.5599999999986</v>
      </c>
      <c r="AO83" s="905">
        <f t="shared" si="58"/>
        <v>4.4704341776402477E-3</v>
      </c>
      <c r="AP83" s="909">
        <f t="shared" si="59"/>
        <v>0.44704341776402479</v>
      </c>
      <c r="AQ83" s="111">
        <f t="shared" ref="AQ83:AQ106" si="94">AM83/AF83</f>
        <v>276.18421052631578</v>
      </c>
      <c r="AR83" s="101">
        <f t="shared" ref="AR83:AR106" si="95">AM83/AE83</f>
        <v>173.47107438016528</v>
      </c>
      <c r="AS83" s="110">
        <f t="shared" si="60"/>
        <v>2.0131029118540974E-2</v>
      </c>
      <c r="AT83" s="112">
        <f t="shared" si="61"/>
        <v>36.66077142153933</v>
      </c>
      <c r="AU83" s="113">
        <f t="shared" si="62"/>
        <v>9.5671018444462455</v>
      </c>
      <c r="AV83" s="101">
        <f>AK83/AF83</f>
        <v>13719.328947368422</v>
      </c>
      <c r="AW83" s="114">
        <f>AK83/AE83</f>
        <v>8617.0991735537191</v>
      </c>
      <c r="AX83" s="116">
        <f t="shared" si="78"/>
        <v>0.89696058864318395</v>
      </c>
      <c r="AY83" s="111">
        <f t="shared" si="63"/>
        <v>32.883267114377134</v>
      </c>
      <c r="AZ83" s="111">
        <f t="shared" si="64"/>
        <v>8.5813133020037959</v>
      </c>
      <c r="BA83" s="111">
        <f t="shared" ref="BA83:BA106" si="96">AL83/AF83</f>
        <v>12305.697368421053</v>
      </c>
      <c r="BB83" s="101">
        <f t="shared" ref="BB83:BB106" si="97">AL83/AE83</f>
        <v>7729.1983471074382</v>
      </c>
      <c r="BC83" s="95">
        <f t="shared" si="79"/>
        <v>374.2236842105263</v>
      </c>
      <c r="BD83" s="95">
        <f t="shared" si="80"/>
        <v>235.04958677685951</v>
      </c>
      <c r="BE83" s="111">
        <f t="shared" ref="BE83:BE108" si="98">I83/K83</f>
        <v>165.08889912450334</v>
      </c>
      <c r="BF83" s="118">
        <f t="shared" si="81"/>
        <v>61780.176052631577</v>
      </c>
      <c r="BG83" s="111">
        <f t="shared" si="68"/>
        <v>575.4346288280251</v>
      </c>
      <c r="BH83" s="111">
        <f t="shared" si="69"/>
        <v>13226.178535211267</v>
      </c>
      <c r="BI83" s="114">
        <f t="shared" si="70"/>
        <v>25940.847403314918</v>
      </c>
      <c r="BJ83" s="80">
        <f t="shared" si="39"/>
        <v>43252</v>
      </c>
      <c r="BK83" s="95">
        <f t="shared" si="52"/>
        <v>42490.916666666664</v>
      </c>
      <c r="BL83" s="95">
        <f t="shared" si="52"/>
        <v>17282.166666666668</v>
      </c>
      <c r="BM83" s="95">
        <f t="shared" si="53"/>
        <v>74533.083333333328</v>
      </c>
      <c r="BN83" s="95">
        <f t="shared" si="71"/>
        <v>107.36263157894734</v>
      </c>
      <c r="BO83" s="134">
        <f t="shared" si="72"/>
        <v>114.61806764090223</v>
      </c>
      <c r="BT83" s="80">
        <f t="shared" si="35"/>
        <v>43252</v>
      </c>
      <c r="BV83" s="1539">
        <f t="shared" si="23"/>
        <v>5.7355216848489531E-3</v>
      </c>
      <c r="CA83" s="102">
        <f t="shared" si="54"/>
        <v>2.1943529766836996E-2</v>
      </c>
      <c r="CB83" s="102">
        <f t="shared" si="55"/>
        <v>2.8464890069407559E-2</v>
      </c>
      <c r="CC83" s="155">
        <f t="shared" si="36"/>
        <v>4.5031485351535334</v>
      </c>
      <c r="CH83" s="118">
        <f t="shared" si="73"/>
        <v>38804.077520661158</v>
      </c>
      <c r="CI83">
        <v>23</v>
      </c>
      <c r="CJ83" s="11">
        <f t="shared" si="29"/>
        <v>13</v>
      </c>
      <c r="CK83" s="233">
        <f t="shared" si="30"/>
        <v>4.5708660033050877E-4</v>
      </c>
      <c r="CM83" s="1779"/>
      <c r="CN83" s="1779"/>
      <c r="CO83" s="1779"/>
      <c r="CP83" s="1779"/>
      <c r="CS83" s="137">
        <f t="shared" si="82"/>
        <v>127.78495409066177</v>
      </c>
      <c r="CT83" s="84">
        <f t="shared" si="83"/>
        <v>0.89696058864318395</v>
      </c>
      <c r="CU83" s="84">
        <f>BA82/AV82</f>
        <v>1.0050000974061817</v>
      </c>
      <c r="CV83" s="84">
        <f>BB82/AW82</f>
        <v>1.0050000974061817</v>
      </c>
      <c r="CW83" s="84">
        <f t="shared" si="86"/>
        <v>0.22206684771634014</v>
      </c>
      <c r="CX83" s="84">
        <f>SUM(AK80:AK82)/SUM(I81:I83)</f>
        <v>0.20500246212134604</v>
      </c>
      <c r="CY83" s="106">
        <f t="shared" si="77"/>
        <v>-0.10303941135681605</v>
      </c>
      <c r="CZ83" s="106">
        <f t="shared" ref="CZ83:CZ114" si="99">SUM(AL81:AL83)/SUM(AK81:AK83)-1</f>
        <v>-1.9894086734338567E-2</v>
      </c>
      <c r="DA83" s="106">
        <v>0.05</v>
      </c>
      <c r="DB83" s="106">
        <v>-0.05</v>
      </c>
      <c r="DC83" s="453">
        <f t="shared" si="87"/>
        <v>3.4856046159351735</v>
      </c>
      <c r="DD83" s="11">
        <f t="shared" si="88"/>
        <v>157.13259668508286</v>
      </c>
      <c r="DE83" s="11">
        <f t="shared" si="89"/>
        <v>80.115492957746483</v>
      </c>
      <c r="DF83" s="11">
        <f t="shared" si="90"/>
        <v>142.87610619469027</v>
      </c>
      <c r="DG83" s="11">
        <f t="shared" si="91"/>
        <v>180.8235294117647</v>
      </c>
      <c r="DH83" s="11"/>
      <c r="DI83" s="11"/>
      <c r="DJ83" s="11">
        <f t="shared" si="92"/>
        <v>63.562992125984252</v>
      </c>
      <c r="DK83" s="11">
        <f t="shared" si="93"/>
        <v>121.74257425742574</v>
      </c>
      <c r="DL83" s="11"/>
      <c r="DM83" s="11"/>
    </row>
    <row r="84" spans="1:117" x14ac:dyDescent="0.25">
      <c r="A84" s="80">
        <v>43282</v>
      </c>
      <c r="B84" s="105">
        <v>68144</v>
      </c>
      <c r="C84" s="95">
        <v>1677</v>
      </c>
      <c r="D84" s="104">
        <f t="shared" si="37"/>
        <v>2.4609650152617984E-2</v>
      </c>
      <c r="E84" s="144">
        <v>62948.905300000013</v>
      </c>
      <c r="F84" s="104">
        <f t="shared" si="27"/>
        <v>0.92376299160601094</v>
      </c>
      <c r="H84" s="110">
        <f t="shared" si="28"/>
        <v>5.1627358241371074E-2</v>
      </c>
      <c r="I84" s="112">
        <v>5173418.8499999996</v>
      </c>
      <c r="J84" s="111"/>
      <c r="K84" s="95">
        <f t="shared" si="45"/>
        <v>34818</v>
      </c>
      <c r="L84" s="95">
        <f t="shared" si="46"/>
        <v>35322.916666666664</v>
      </c>
      <c r="M84" s="95">
        <f t="shared" si="38"/>
        <v>431</v>
      </c>
      <c r="N84" s="95">
        <f t="shared" si="47"/>
        <v>372.5</v>
      </c>
      <c r="O84" s="95">
        <f t="shared" si="56"/>
        <v>209</v>
      </c>
      <c r="P84" s="95">
        <f>AVERAGE(O73:O84)</f>
        <v>200.5</v>
      </c>
      <c r="Q84" s="103">
        <v>14150</v>
      </c>
      <c r="R84" s="95">
        <f t="shared" si="43"/>
        <v>11871</v>
      </c>
      <c r="S84" s="161">
        <v>147</v>
      </c>
      <c r="T84" s="179">
        <f t="shared" si="48"/>
        <v>98.416666666666671</v>
      </c>
      <c r="U84" s="103">
        <v>75</v>
      </c>
      <c r="V84" s="179">
        <f t="shared" si="49"/>
        <v>64</v>
      </c>
      <c r="W84" s="103">
        <v>20668</v>
      </c>
      <c r="X84" s="95">
        <f t="shared" si="44"/>
        <v>23451.916666666668</v>
      </c>
      <c r="Y84" s="103">
        <v>284</v>
      </c>
      <c r="Z84" s="179">
        <f t="shared" si="50"/>
        <v>274.08333333333331</v>
      </c>
      <c r="AA84" s="103">
        <v>134</v>
      </c>
      <c r="AB84" s="179">
        <f t="shared" si="51"/>
        <v>136.5</v>
      </c>
      <c r="AC84" s="103">
        <v>48803</v>
      </c>
      <c r="AD84" s="103">
        <v>15815</v>
      </c>
      <c r="AE84" s="9">
        <v>121</v>
      </c>
      <c r="AF84">
        <v>77</v>
      </c>
      <c r="AG84">
        <v>36</v>
      </c>
      <c r="AH84">
        <v>8</v>
      </c>
      <c r="AJ84" s="159"/>
      <c r="AK84" s="111">
        <v>982769</v>
      </c>
      <c r="AL84" s="101">
        <v>999472</v>
      </c>
      <c r="AM84" s="101">
        <v>23859</v>
      </c>
      <c r="AN84" s="115">
        <v>8355.7690000000002</v>
      </c>
      <c r="AO84" s="905">
        <f t="shared" si="58"/>
        <v>4.6118438680061644E-3</v>
      </c>
      <c r="AP84" s="909">
        <f t="shared" si="59"/>
        <v>0.46118438680061646</v>
      </c>
      <c r="AQ84" s="111">
        <f t="shared" si="94"/>
        <v>309.85714285714283</v>
      </c>
      <c r="AR84" s="101">
        <f t="shared" si="95"/>
        <v>197.18181818181819</v>
      </c>
      <c r="AS84" s="110">
        <f t="shared" si="60"/>
        <v>2.4277322544768914E-2</v>
      </c>
      <c r="AT84" s="112">
        <f t="shared" si="61"/>
        <v>28.225888908036072</v>
      </c>
      <c r="AU84" s="113">
        <f t="shared" si="62"/>
        <v>7.2277351389349382</v>
      </c>
      <c r="AV84" s="101">
        <f t="shared" ref="AV84:AV106" si="100">AK84/AF84</f>
        <v>12763.233766233767</v>
      </c>
      <c r="AW84" s="114">
        <f t="shared" ref="AW84:AW106" si="101">AK84/AE84</f>
        <v>8122.0578512396696</v>
      </c>
      <c r="AX84" s="116">
        <f t="shared" si="78"/>
        <v>1.0169958555876304</v>
      </c>
      <c r="AY84" s="111">
        <f t="shared" si="63"/>
        <v>28.705612039749553</v>
      </c>
      <c r="AZ84" s="111">
        <f t="shared" si="64"/>
        <v>7.3505766815819191</v>
      </c>
      <c r="BA84" s="111">
        <f t="shared" si="96"/>
        <v>12980.155844155845</v>
      </c>
      <c r="BB84" s="101">
        <f t="shared" si="97"/>
        <v>8260.0991735537191</v>
      </c>
      <c r="BC84" s="95">
        <f t="shared" si="79"/>
        <v>452.18181818181819</v>
      </c>
      <c r="BD84" s="95">
        <f t="shared" si="80"/>
        <v>287.75206611570246</v>
      </c>
      <c r="BE84" s="111">
        <f t="shared" si="98"/>
        <v>148.58460709977598</v>
      </c>
      <c r="BF84" s="118">
        <f t="shared" si="81"/>
        <v>67187.257792207791</v>
      </c>
      <c r="BG84" s="111">
        <f t="shared" si="68"/>
        <v>619.14335472893038</v>
      </c>
      <c r="BH84" s="111">
        <f t="shared" si="69"/>
        <v>12003.291995359628</v>
      </c>
      <c r="BI84" s="114">
        <f t="shared" si="70"/>
        <v>24753.200239234448</v>
      </c>
      <c r="BJ84" s="80">
        <f t="shared" si="39"/>
        <v>43282</v>
      </c>
      <c r="BK84" s="95">
        <f t="shared" si="52"/>
        <v>41879.416666666664</v>
      </c>
      <c r="BL84" s="95">
        <f t="shared" si="52"/>
        <v>16758.416666666668</v>
      </c>
      <c r="BM84" s="95">
        <f t="shared" si="53"/>
        <v>74009.75</v>
      </c>
      <c r="BN84" s="95">
        <f t="shared" si="71"/>
        <v>108.51648051948052</v>
      </c>
      <c r="BO84" s="134">
        <f t="shared" si="72"/>
        <v>119.61460399395914</v>
      </c>
      <c r="BT84" s="80">
        <f t="shared" si="35"/>
        <v>43282</v>
      </c>
      <c r="BV84" s="1539">
        <f t="shared" si="23"/>
        <v>5.4546022306382561E-3</v>
      </c>
      <c r="CA84" s="102">
        <f t="shared" si="54"/>
        <v>2.195310172722437E-2</v>
      </c>
      <c r="CB84" s="102">
        <f t="shared" si="55"/>
        <v>2.7589499567022936E-2</v>
      </c>
      <c r="CC84" s="155">
        <f t="shared" si="36"/>
        <v>5.2641249876624103</v>
      </c>
      <c r="CH84" s="118">
        <f t="shared" si="73"/>
        <v>42755.527685950408</v>
      </c>
      <c r="CI84">
        <v>15</v>
      </c>
      <c r="CJ84" s="11">
        <f t="shared" si="29"/>
        <v>13.666666666666666</v>
      </c>
      <c r="CK84" s="233">
        <f t="shared" si="30"/>
        <v>3.9251728033392686E-4</v>
      </c>
      <c r="CM84" s="1779"/>
      <c r="CN84" s="1779"/>
      <c r="CO84" s="1779"/>
      <c r="CP84" s="1779"/>
      <c r="CS84" s="137">
        <f t="shared" si="82"/>
        <v>117.61562580296319</v>
      </c>
      <c r="CT84" s="84">
        <f t="shared" si="83"/>
        <v>1.0169958555876304</v>
      </c>
      <c r="CU84" s="84">
        <f t="shared" si="84"/>
        <v>0.89696058864318395</v>
      </c>
      <c r="CV84" s="84">
        <f t="shared" si="85"/>
        <v>0.89696058864318395</v>
      </c>
      <c r="CW84" s="84">
        <f t="shared" si="86"/>
        <v>0.18996509435921666</v>
      </c>
      <c r="CX84" s="84">
        <f t="shared" ref="CX84:CX139" si="102">SUM(AK81:AK83)/SUM(I82:I84)</f>
        <v>0.19406629939300493</v>
      </c>
      <c r="CY84" s="106">
        <f t="shared" si="77"/>
        <v>1.6995855587630393E-2</v>
      </c>
      <c r="CZ84" s="106">
        <f t="shared" si="99"/>
        <v>-2.9196773314201785E-2</v>
      </c>
      <c r="DA84" s="106">
        <v>0.05</v>
      </c>
      <c r="DB84" s="106">
        <v>-0.05</v>
      </c>
      <c r="DC84" s="453">
        <f t="shared" si="87"/>
        <v>4.1669414269350913</v>
      </c>
      <c r="DD84" s="11">
        <f t="shared" si="88"/>
        <v>166.59330143540669</v>
      </c>
      <c r="DE84" s="11">
        <f t="shared" si="89"/>
        <v>80.784222737819022</v>
      </c>
      <c r="DF84" s="11">
        <f t="shared" si="90"/>
        <v>154.23880597014926</v>
      </c>
      <c r="DG84" s="11">
        <f t="shared" si="91"/>
        <v>188.66666666666666</v>
      </c>
      <c r="DH84" s="11"/>
      <c r="DI84" s="11"/>
      <c r="DJ84" s="11">
        <f t="shared" si="92"/>
        <v>72.774647887323937</v>
      </c>
      <c r="DK84" s="11">
        <f t="shared" si="93"/>
        <v>96.258503401360542</v>
      </c>
      <c r="DL84" s="11"/>
      <c r="DM84" s="11"/>
    </row>
    <row r="85" spans="1:117" x14ac:dyDescent="0.25">
      <c r="A85" s="80">
        <v>43313</v>
      </c>
      <c r="B85" s="105">
        <v>83769</v>
      </c>
      <c r="C85" s="95">
        <v>1929</v>
      </c>
      <c r="D85" s="104">
        <f t="shared" si="37"/>
        <v>2.3027611646313076E-2</v>
      </c>
      <c r="E85" s="144">
        <v>77922.066399999982</v>
      </c>
      <c r="F85" s="104">
        <f t="shared" si="27"/>
        <v>0.93020170230037347</v>
      </c>
      <c r="H85" s="110">
        <f t="shared" si="28"/>
        <v>4.6770686053313457E-2</v>
      </c>
      <c r="I85" s="112">
        <v>6032358.25</v>
      </c>
      <c r="J85" s="111"/>
      <c r="K85" s="95">
        <f t="shared" si="45"/>
        <v>32778</v>
      </c>
      <c r="L85" s="95">
        <f t="shared" si="46"/>
        <v>34761.083333333336</v>
      </c>
      <c r="M85" s="95">
        <f t="shared" si="38"/>
        <v>440</v>
      </c>
      <c r="N85" s="95">
        <f t="shared" si="47"/>
        <v>374.08333333333331</v>
      </c>
      <c r="O85" s="95">
        <f t="shared" si="56"/>
        <v>217</v>
      </c>
      <c r="P85" s="95">
        <f t="shared" si="57"/>
        <v>203.8</v>
      </c>
      <c r="Q85" s="103">
        <v>13703</v>
      </c>
      <c r="R85" s="95">
        <f t="shared" si="43"/>
        <v>12033.083333333334</v>
      </c>
      <c r="S85" s="161">
        <v>117</v>
      </c>
      <c r="T85" s="179">
        <f t="shared" si="48"/>
        <v>99</v>
      </c>
      <c r="U85" s="103">
        <v>63</v>
      </c>
      <c r="V85" s="179">
        <f t="shared" si="49"/>
        <v>63.8</v>
      </c>
      <c r="W85" s="103">
        <v>19075</v>
      </c>
      <c r="X85" s="95">
        <f t="shared" si="44"/>
        <v>22728</v>
      </c>
      <c r="Y85" s="103">
        <v>323</v>
      </c>
      <c r="Z85" s="179">
        <f t="shared" si="50"/>
        <v>275.08333333333331</v>
      </c>
      <c r="AA85" s="103">
        <v>154</v>
      </c>
      <c r="AB85" s="179">
        <f t="shared" si="51"/>
        <v>140</v>
      </c>
      <c r="AC85" s="103">
        <v>47529</v>
      </c>
      <c r="AD85" s="103">
        <v>13214</v>
      </c>
      <c r="AE85" s="9">
        <v>126</v>
      </c>
      <c r="AF85">
        <v>83</v>
      </c>
      <c r="AG85">
        <v>34</v>
      </c>
      <c r="AH85">
        <v>9</v>
      </c>
      <c r="AJ85" s="159"/>
      <c r="AK85" s="111">
        <v>1146219</v>
      </c>
      <c r="AL85" s="101">
        <v>1160746</v>
      </c>
      <c r="AM85" s="101">
        <v>29994</v>
      </c>
      <c r="AN85" s="115">
        <v>9609.4089999999997</v>
      </c>
      <c r="AO85" s="905">
        <f t="shared" si="58"/>
        <v>4.9721848001981648E-3</v>
      </c>
      <c r="AP85" s="909">
        <f t="shared" si="59"/>
        <v>0.4972184800198165</v>
      </c>
      <c r="AQ85" s="111">
        <f t="shared" si="94"/>
        <v>361.37349397590361</v>
      </c>
      <c r="AR85" s="101">
        <f t="shared" si="95"/>
        <v>238.04761904761904</v>
      </c>
      <c r="AS85" s="110">
        <f t="shared" si="60"/>
        <v>2.6167774221156691E-2</v>
      </c>
      <c r="AT85" s="112">
        <f t="shared" si="61"/>
        <v>34.969156141314294</v>
      </c>
      <c r="AU85" s="113">
        <f t="shared" si="62"/>
        <v>8.8499524772687437</v>
      </c>
      <c r="AV85" s="101">
        <f t="shared" si="100"/>
        <v>13809.867469879518</v>
      </c>
      <c r="AW85" s="114">
        <f t="shared" si="101"/>
        <v>9096.9761904761908</v>
      </c>
      <c r="AX85" s="116">
        <f t="shared" si="78"/>
        <v>1.0126738433056859</v>
      </c>
      <c r="AY85" s="111">
        <f t="shared" si="63"/>
        <v>35.412349746781381</v>
      </c>
      <c r="AZ85" s="111">
        <f t="shared" si="64"/>
        <v>8.9621153882284155</v>
      </c>
      <c r="BA85" s="111">
        <f t="shared" si="96"/>
        <v>13984.89156626506</v>
      </c>
      <c r="BB85" s="101">
        <f t="shared" si="97"/>
        <v>9212.269841269841</v>
      </c>
      <c r="BC85" s="95">
        <f t="shared" si="79"/>
        <v>394.91566265060243</v>
      </c>
      <c r="BD85" s="95">
        <f t="shared" si="80"/>
        <v>260.14285714285717</v>
      </c>
      <c r="BE85" s="111">
        <f t="shared" si="98"/>
        <v>184.03680059796204</v>
      </c>
      <c r="BF85" s="118">
        <f t="shared" si="81"/>
        <v>72679.01506024097</v>
      </c>
      <c r="BG85" s="111">
        <f t="shared" si="68"/>
        <v>627.75538537281534</v>
      </c>
      <c r="BH85" s="111">
        <f t="shared" si="69"/>
        <v>13709.905113636363</v>
      </c>
      <c r="BI85" s="114">
        <f t="shared" si="70"/>
        <v>27798.885944700462</v>
      </c>
      <c r="BJ85" s="80">
        <f t="shared" si="39"/>
        <v>43313</v>
      </c>
      <c r="BK85" s="95">
        <f t="shared" si="52"/>
        <v>42226.75</v>
      </c>
      <c r="BL85" s="95">
        <f t="shared" si="52"/>
        <v>16191.833333333334</v>
      </c>
      <c r="BM85" s="95">
        <f t="shared" si="53"/>
        <v>73510.666666666672</v>
      </c>
      <c r="BN85" s="95">
        <f t="shared" si="71"/>
        <v>115.77601204819277</v>
      </c>
      <c r="BO85" s="134">
        <f t="shared" si="72"/>
        <v>120.79265228485956</v>
      </c>
      <c r="BT85" s="80">
        <f t="shared" si="35"/>
        <v>43313</v>
      </c>
      <c r="BV85" s="1539">
        <f t="shared" si="23"/>
        <v>5.3581187445502377E-3</v>
      </c>
      <c r="CA85" s="102">
        <f t="shared" si="54"/>
        <v>2.2156344860751714E-2</v>
      </c>
      <c r="CB85" s="102">
        <f t="shared" si="55"/>
        <v>2.7396307305379328E-2</v>
      </c>
      <c r="CC85" s="155">
        <f t="shared" si="36"/>
        <v>5.2628321900090649</v>
      </c>
      <c r="CH85" s="118">
        <f t="shared" si="73"/>
        <v>47875.859126984127</v>
      </c>
      <c r="CI85">
        <v>17</v>
      </c>
      <c r="CJ85" s="11">
        <f t="shared" si="29"/>
        <v>13.916666666666666</v>
      </c>
      <c r="CK85" s="233">
        <f t="shared" si="30"/>
        <v>4.2457339272276119E-4</v>
      </c>
      <c r="CM85" s="1779"/>
      <c r="CN85" s="1779"/>
      <c r="CO85" s="1779"/>
      <c r="CP85" s="1779"/>
      <c r="CS85" s="137">
        <f t="shared" si="82"/>
        <v>119.28090478821331</v>
      </c>
      <c r="CT85" s="84">
        <f t="shared" si="83"/>
        <v>1.0126738433056859</v>
      </c>
      <c r="CU85" s="84">
        <f t="shared" si="84"/>
        <v>1.0169958555876304</v>
      </c>
      <c r="CV85" s="84">
        <f t="shared" si="85"/>
        <v>1.0169958555876304</v>
      </c>
      <c r="CW85" s="84">
        <f t="shared" si="86"/>
        <v>0.19001175866834499</v>
      </c>
      <c r="CX85" s="84">
        <f t="shared" si="102"/>
        <v>0.18548461902044219</v>
      </c>
      <c r="CY85" s="106">
        <f t="shared" si="77"/>
        <v>1.2673843305685883E-2</v>
      </c>
      <c r="CZ85" s="106">
        <f t="shared" si="99"/>
        <v>-2.4027188311977032E-2</v>
      </c>
      <c r="DA85" s="106">
        <v>0.05</v>
      </c>
      <c r="DB85" s="106">
        <v>-0.05</v>
      </c>
      <c r="DC85" s="453">
        <f t="shared" si="87"/>
        <v>3.4110318334873666</v>
      </c>
      <c r="DD85" s="11">
        <f t="shared" si="88"/>
        <v>151.05069124423963</v>
      </c>
      <c r="DE85" s="11">
        <f t="shared" si="89"/>
        <v>74.49545454545455</v>
      </c>
      <c r="DF85" s="11">
        <f t="shared" si="90"/>
        <v>123.86363636363636</v>
      </c>
      <c r="DG85" s="11">
        <f t="shared" si="91"/>
        <v>217.50793650793651</v>
      </c>
      <c r="DH85" s="11"/>
      <c r="DI85" s="11"/>
      <c r="DJ85" s="11">
        <f t="shared" si="92"/>
        <v>59.055727554179569</v>
      </c>
      <c r="DK85" s="11">
        <f t="shared" si="93"/>
        <v>117.11965811965813</v>
      </c>
      <c r="DL85" s="11"/>
      <c r="DM85" s="11"/>
    </row>
    <row r="86" spans="1:117" x14ac:dyDescent="0.25">
      <c r="A86" s="80">
        <v>43344</v>
      </c>
      <c r="B86" s="105">
        <v>78824</v>
      </c>
      <c r="C86" s="95">
        <v>2117</v>
      </c>
      <c r="D86" s="104">
        <f t="shared" si="37"/>
        <v>2.6857302344463613E-2</v>
      </c>
      <c r="E86" s="144">
        <v>76360.164000000019</v>
      </c>
      <c r="F86" s="104">
        <f t="shared" si="27"/>
        <v>0.96874256571602579</v>
      </c>
      <c r="H86" s="110">
        <f t="shared" si="28"/>
        <v>4.4001319395105924E-3</v>
      </c>
      <c r="I86" s="112">
        <v>5549339.4800000004</v>
      </c>
      <c r="J86" s="111"/>
      <c r="K86" s="95">
        <f t="shared" si="45"/>
        <v>34930</v>
      </c>
      <c r="L86" s="95">
        <f t="shared" si="46"/>
        <v>34035.833333333336</v>
      </c>
      <c r="M86" s="95">
        <f t="shared" si="38"/>
        <v>365</v>
      </c>
      <c r="N86" s="95">
        <f t="shared" si="47"/>
        <v>372.58333333333331</v>
      </c>
      <c r="O86" s="95">
        <f t="shared" si="56"/>
        <v>179</v>
      </c>
      <c r="P86" s="95">
        <f t="shared" si="57"/>
        <v>199.66666666666666</v>
      </c>
      <c r="Q86" s="103">
        <v>15542</v>
      </c>
      <c r="R86" s="95">
        <f t="shared" si="43"/>
        <v>12099.666666666666</v>
      </c>
      <c r="S86" s="161">
        <v>123</v>
      </c>
      <c r="T86" s="179">
        <f t="shared" si="48"/>
        <v>100.41666666666667</v>
      </c>
      <c r="U86" s="103">
        <v>64</v>
      </c>
      <c r="V86" s="179">
        <f t="shared" si="49"/>
        <v>63.833333333333336</v>
      </c>
      <c r="W86" s="103">
        <v>19388</v>
      </c>
      <c r="X86" s="95">
        <f t="shared" si="44"/>
        <v>21936.166666666668</v>
      </c>
      <c r="Y86" s="103">
        <v>242</v>
      </c>
      <c r="Z86" s="179">
        <f t="shared" si="50"/>
        <v>272.16666666666669</v>
      </c>
      <c r="AA86" s="103">
        <v>115</v>
      </c>
      <c r="AB86" s="179">
        <f t="shared" si="51"/>
        <v>135.83333333333334</v>
      </c>
      <c r="AC86" s="103">
        <v>46660</v>
      </c>
      <c r="AD86" s="103">
        <v>18050</v>
      </c>
      <c r="AE86" s="9">
        <v>128</v>
      </c>
      <c r="AF86">
        <v>85</v>
      </c>
      <c r="AG86">
        <v>36</v>
      </c>
      <c r="AH86">
        <v>7</v>
      </c>
      <c r="AJ86" s="159"/>
      <c r="AK86" s="111">
        <v>1012121</v>
      </c>
      <c r="AL86" s="101">
        <v>1037101</v>
      </c>
      <c r="AM86" s="101">
        <v>26474</v>
      </c>
      <c r="AN86" s="115">
        <v>8618.5689999999995</v>
      </c>
      <c r="AO86" s="905">
        <f t="shared" si="58"/>
        <v>4.7706578585457165E-3</v>
      </c>
      <c r="AP86" s="909">
        <f t="shared" si="59"/>
        <v>0.47706578585457166</v>
      </c>
      <c r="AQ86" s="111">
        <f t="shared" si="94"/>
        <v>311.45882352941175</v>
      </c>
      <c r="AR86" s="101">
        <f t="shared" si="95"/>
        <v>206.828125</v>
      </c>
      <c r="AS86" s="110">
        <f t="shared" si="60"/>
        <v>2.6156951589780274E-2</v>
      </c>
      <c r="AT86" s="112">
        <f t="shared" si="61"/>
        <v>28.975694245634127</v>
      </c>
      <c r="AU86" s="113">
        <f t="shared" si="62"/>
        <v>7.5087570053879285</v>
      </c>
      <c r="AV86" s="101">
        <f t="shared" si="100"/>
        <v>11907.305882352941</v>
      </c>
      <c r="AW86" s="114">
        <f t="shared" si="101"/>
        <v>7907.1953125</v>
      </c>
      <c r="AX86" s="116">
        <f t="shared" si="78"/>
        <v>1.0246808434959851</v>
      </c>
      <c r="AY86" s="111">
        <f t="shared" si="63"/>
        <v>29.69083882049814</v>
      </c>
      <c r="AZ86" s="111">
        <f t="shared" si="64"/>
        <v>7.6940794618872905</v>
      </c>
      <c r="BA86" s="111">
        <f t="shared" si="96"/>
        <v>12201.188235294117</v>
      </c>
      <c r="BB86" s="101">
        <f t="shared" si="97"/>
        <v>8102.3515625</v>
      </c>
      <c r="BC86" s="95">
        <f t="shared" si="79"/>
        <v>410.94117647058823</v>
      </c>
      <c r="BD86" s="95">
        <f t="shared" si="80"/>
        <v>272.890625</v>
      </c>
      <c r="BE86" s="111">
        <f t="shared" si="98"/>
        <v>158.87029716576009</v>
      </c>
      <c r="BF86" s="118">
        <f t="shared" si="81"/>
        <v>65286.34682352942</v>
      </c>
      <c r="BG86" s="111">
        <f t="shared" si="68"/>
        <v>643.88177202039003</v>
      </c>
      <c r="BH86" s="111">
        <f t="shared" si="69"/>
        <v>15203.66980821918</v>
      </c>
      <c r="BI86" s="114">
        <f t="shared" si="70"/>
        <v>31001.896536312852</v>
      </c>
      <c r="BJ86" s="80">
        <f t="shared" si="39"/>
        <v>43344</v>
      </c>
      <c r="BK86" s="95">
        <f t="shared" si="52"/>
        <v>42369.5</v>
      </c>
      <c r="BL86" s="95">
        <f t="shared" si="52"/>
        <v>16455.916666666668</v>
      </c>
      <c r="BM86" s="95">
        <f t="shared" si="53"/>
        <v>73066.166666666672</v>
      </c>
      <c r="BN86" s="95">
        <f t="shared" si="71"/>
        <v>101.39492941176471</v>
      </c>
      <c r="BO86" s="134">
        <f t="shared" si="72"/>
        <v>120.33331751477537</v>
      </c>
      <c r="BT86" s="80">
        <f t="shared" si="35"/>
        <v>43344</v>
      </c>
      <c r="BV86" s="1539">
        <f t="shared" si="23"/>
        <v>5.2602085968828172E-3</v>
      </c>
      <c r="CA86" s="102">
        <f t="shared" si="54"/>
        <v>2.2657640885991311E-2</v>
      </c>
      <c r="CB86" s="102">
        <f t="shared" si="55"/>
        <v>2.7419460728664687E-2</v>
      </c>
      <c r="CC86" s="155">
        <f t="shared" si="36"/>
        <v>5.4828814736577947</v>
      </c>
      <c r="CH86" s="118">
        <f t="shared" si="73"/>
        <v>43354.214687500003</v>
      </c>
      <c r="CI86">
        <v>10</v>
      </c>
      <c r="CJ86" s="11">
        <f t="shared" si="29"/>
        <v>13.416666666666666</v>
      </c>
      <c r="CK86" s="233">
        <f t="shared" si="30"/>
        <v>3.841015364061456E-4</v>
      </c>
      <c r="CM86" s="1779"/>
      <c r="CN86" s="1779"/>
      <c r="CO86" s="1779"/>
      <c r="CP86" s="1779"/>
      <c r="CS86" s="137">
        <f t="shared" si="82"/>
        <v>117.43492452169265</v>
      </c>
      <c r="CT86" s="84">
        <f t="shared" si="83"/>
        <v>1.0246808434959851</v>
      </c>
      <c r="CU86" s="84">
        <f t="shared" si="84"/>
        <v>1.0126738433056859</v>
      </c>
      <c r="CV86" s="84">
        <f t="shared" si="85"/>
        <v>1.0126738433056859</v>
      </c>
      <c r="CW86" s="84">
        <f t="shared" si="86"/>
        <v>0.18238585036069913</v>
      </c>
      <c r="CX86" s="84">
        <f t="shared" si="102"/>
        <v>0.18929483330398886</v>
      </c>
      <c r="CY86" s="106">
        <f t="shared" si="77"/>
        <v>2.4680843495985094E-2</v>
      </c>
      <c r="CZ86" s="106">
        <f t="shared" si="99"/>
        <v>1.7894953661270696E-2</v>
      </c>
      <c r="DA86" s="106">
        <v>0.05</v>
      </c>
      <c r="DB86" s="106">
        <v>-0.05</v>
      </c>
      <c r="DC86" s="453">
        <f t="shared" si="87"/>
        <v>4.0528769915284082</v>
      </c>
      <c r="DD86" s="11">
        <f t="shared" si="88"/>
        <v>195.13966480446928</v>
      </c>
      <c r="DE86" s="11">
        <f t="shared" si="89"/>
        <v>95.698630136986296</v>
      </c>
      <c r="DF86" s="11">
        <f t="shared" si="90"/>
        <v>168.59130434782608</v>
      </c>
      <c r="DG86" s="11">
        <f t="shared" si="91"/>
        <v>242.84375</v>
      </c>
      <c r="DH86" s="11"/>
      <c r="DI86" s="11"/>
      <c r="DJ86" s="11">
        <f t="shared" si="92"/>
        <v>80.115702479338836</v>
      </c>
      <c r="DK86" s="11">
        <f t="shared" si="93"/>
        <v>126.35772357723577</v>
      </c>
      <c r="DL86" s="11"/>
      <c r="DM86" s="11"/>
    </row>
    <row r="87" spans="1:117" x14ac:dyDescent="0.25">
      <c r="A87" s="80">
        <v>43374</v>
      </c>
      <c r="B87" s="105">
        <v>85278</v>
      </c>
      <c r="C87" s="95">
        <v>1897</v>
      </c>
      <c r="D87" s="104">
        <f t="shared" si="37"/>
        <v>2.2244893172916815E-2</v>
      </c>
      <c r="E87" s="144">
        <v>88565.137799999982</v>
      </c>
      <c r="F87" s="104">
        <v>0.97299999999999998</v>
      </c>
      <c r="H87" s="110"/>
      <c r="I87" s="112">
        <v>5670790.04</v>
      </c>
      <c r="J87" s="111"/>
      <c r="K87" s="95">
        <f t="shared" si="45"/>
        <v>42726</v>
      </c>
      <c r="L87" s="95">
        <f t="shared" si="46"/>
        <v>34023.5</v>
      </c>
      <c r="M87" s="95">
        <f t="shared" si="38"/>
        <v>432</v>
      </c>
      <c r="N87" s="95">
        <f t="shared" si="47"/>
        <v>374.75</v>
      </c>
      <c r="O87" s="95">
        <f t="shared" si="56"/>
        <v>199</v>
      </c>
      <c r="P87" s="95">
        <f t="shared" si="57"/>
        <v>199.57142857142858</v>
      </c>
      <c r="Q87" s="103">
        <v>19987</v>
      </c>
      <c r="R87" s="95">
        <f t="shared" si="43"/>
        <v>12576</v>
      </c>
      <c r="S87" s="161">
        <v>139</v>
      </c>
      <c r="T87" s="179">
        <f t="shared" si="48"/>
        <v>103.16666666666667</v>
      </c>
      <c r="U87" s="103">
        <v>67</v>
      </c>
      <c r="V87" s="179">
        <f t="shared" si="49"/>
        <v>64.285714285714292</v>
      </c>
      <c r="W87" s="103">
        <v>22739</v>
      </c>
      <c r="X87" s="95">
        <f t="shared" si="44"/>
        <v>21447.5</v>
      </c>
      <c r="Y87" s="103">
        <v>293</v>
      </c>
      <c r="Z87" s="179">
        <f t="shared" si="50"/>
        <v>271.58333333333331</v>
      </c>
      <c r="AA87" s="103">
        <v>132</v>
      </c>
      <c r="AB87" s="179">
        <f t="shared" si="51"/>
        <v>135.28571428571428</v>
      </c>
      <c r="AC87" s="103">
        <v>56609</v>
      </c>
      <c r="AD87" s="103">
        <v>20984</v>
      </c>
      <c r="AE87" s="9">
        <v>127</v>
      </c>
      <c r="AF87">
        <v>83</v>
      </c>
      <c r="AG87">
        <v>36</v>
      </c>
      <c r="AH87">
        <v>8</v>
      </c>
      <c r="AJ87" s="159"/>
      <c r="AK87" s="111">
        <v>1072382</v>
      </c>
      <c r="AL87" s="101">
        <v>1094952.2700000005</v>
      </c>
      <c r="AM87" s="101">
        <v>35646</v>
      </c>
      <c r="AN87" s="115">
        <v>9460.8809999999994</v>
      </c>
      <c r="AO87" s="905">
        <f t="shared" si="58"/>
        <v>6.2858966296696116E-3</v>
      </c>
      <c r="AP87" s="909">
        <f t="shared" si="59"/>
        <v>0.62858966296696117</v>
      </c>
      <c r="AQ87" s="111">
        <f t="shared" si="94"/>
        <v>429.46987951807228</v>
      </c>
      <c r="AR87" s="101">
        <f t="shared" si="95"/>
        <v>280.67716535433073</v>
      </c>
      <c r="AS87" s="110">
        <f t="shared" si="60"/>
        <v>3.3240020813478779E-2</v>
      </c>
      <c r="AT87" s="112">
        <f t="shared" si="61"/>
        <v>25.099049758928988</v>
      </c>
      <c r="AU87" s="113">
        <f t="shared" si="62"/>
        <v>6.8942270624628765</v>
      </c>
      <c r="AV87" s="101">
        <f t="shared" si="100"/>
        <v>12920.265060240963</v>
      </c>
      <c r="AW87" s="114">
        <f t="shared" si="101"/>
        <v>8443.9527559055114</v>
      </c>
      <c r="AX87" s="116">
        <f t="shared" si="78"/>
        <v>1.021046856437352</v>
      </c>
      <c r="AY87" s="111">
        <f t="shared" si="63"/>
        <v>25.627305855919126</v>
      </c>
      <c r="AZ87" s="111">
        <f t="shared" si="64"/>
        <v>7.0393288696930396</v>
      </c>
      <c r="BA87" s="111">
        <f t="shared" si="96"/>
        <v>13192.196024096391</v>
      </c>
      <c r="BB87" s="101">
        <f t="shared" si="97"/>
        <v>8621.6714173228393</v>
      </c>
      <c r="BC87" s="95">
        <f t="shared" si="79"/>
        <v>514.77108433734941</v>
      </c>
      <c r="BD87" s="95">
        <f t="shared" si="80"/>
        <v>336.42519685039372</v>
      </c>
      <c r="BE87" s="111">
        <f t="shared" si="98"/>
        <v>132.72457145531996</v>
      </c>
      <c r="BF87" s="118">
        <f t="shared" si="81"/>
        <v>68322.771566265059</v>
      </c>
      <c r="BG87" s="111">
        <f t="shared" si="68"/>
        <v>599.39344338016724</v>
      </c>
      <c r="BH87" s="111">
        <f t="shared" si="69"/>
        <v>13126.828796296297</v>
      </c>
      <c r="BI87" s="114">
        <f t="shared" si="70"/>
        <v>28496.432361809046</v>
      </c>
      <c r="BJ87" s="80">
        <f t="shared" si="39"/>
        <v>43374</v>
      </c>
      <c r="BK87" s="95">
        <f t="shared" si="52"/>
        <v>42219.166666666664</v>
      </c>
      <c r="BL87" s="95">
        <f t="shared" si="52"/>
        <v>16654.833333333332</v>
      </c>
      <c r="BM87" s="95">
        <f t="shared" si="53"/>
        <v>73015.5</v>
      </c>
      <c r="BN87" s="95">
        <f t="shared" si="71"/>
        <v>113.98651807228914</v>
      </c>
      <c r="BO87" s="134">
        <f t="shared" si="72"/>
        <v>115.73470483351397</v>
      </c>
      <c r="BT87" s="80">
        <f t="shared" si="35"/>
        <v>43374</v>
      </c>
      <c r="BV87" s="1539">
        <f t="shared" si="23"/>
        <v>5.4067354587095029E-3</v>
      </c>
      <c r="BZ87" s="96">
        <f t="shared" ref="BZ87:BZ105" si="103">AVERAGE(F76:F87)</f>
        <v>0.95339803947781965</v>
      </c>
      <c r="CA87" s="102">
        <f t="shared" si="54"/>
        <v>2.2492232568618219E-2</v>
      </c>
      <c r="CB87" s="102">
        <f t="shared" si="55"/>
        <v>2.5671767162940458E-2</v>
      </c>
      <c r="CC87" s="155">
        <f t="shared" si="36"/>
        <v>5.2880317275000888</v>
      </c>
      <c r="CH87" s="118">
        <f t="shared" si="73"/>
        <v>44651.890078740158</v>
      </c>
      <c r="CI87">
        <v>11</v>
      </c>
      <c r="CJ87" s="11">
        <f t="shared" si="29"/>
        <v>13.583333333333334</v>
      </c>
      <c r="CK87" s="233">
        <f t="shared" si="30"/>
        <v>3.1791727129460595E-4</v>
      </c>
      <c r="CM87" s="1779"/>
      <c r="CN87" s="1779"/>
      <c r="CO87" s="1779"/>
      <c r="CP87" s="1779"/>
      <c r="CS87" s="137">
        <f t="shared" si="82"/>
        <v>113.34906336946845</v>
      </c>
      <c r="CT87" s="84">
        <f t="shared" si="83"/>
        <v>1.021046856437352</v>
      </c>
      <c r="CU87" s="84">
        <f t="shared" si="84"/>
        <v>1.0246808434959851</v>
      </c>
      <c r="CV87" s="84">
        <f t="shared" si="85"/>
        <v>1.0246808434959851</v>
      </c>
      <c r="CW87" s="84">
        <f t="shared" si="86"/>
        <v>0.18910627839079719</v>
      </c>
      <c r="CX87" s="84">
        <f t="shared" si="102"/>
        <v>0.18206701792085955</v>
      </c>
      <c r="CY87" s="106">
        <f t="shared" si="77"/>
        <v>2.1046856437352046E-2</v>
      </c>
      <c r="CZ87" s="106">
        <f t="shared" si="99"/>
        <v>1.9214673995472387E-2</v>
      </c>
      <c r="DA87" s="106">
        <v>0.05</v>
      </c>
      <c r="DB87" s="106">
        <v>-0.05</v>
      </c>
      <c r="DC87" s="453">
        <f t="shared" si="87"/>
        <v>4.516069909345652</v>
      </c>
      <c r="DD87" s="11">
        <f t="shared" si="88"/>
        <v>214.7035175879397</v>
      </c>
      <c r="DE87" s="11">
        <f t="shared" si="89"/>
        <v>98.902777777777771</v>
      </c>
      <c r="DF87" s="11">
        <f t="shared" si="90"/>
        <v>172.2651515151515</v>
      </c>
      <c r="DG87" s="11">
        <f t="shared" si="91"/>
        <v>298.31343283582089</v>
      </c>
      <c r="DH87" s="11"/>
      <c r="DI87" s="11"/>
      <c r="DJ87" s="11">
        <f t="shared" si="92"/>
        <v>77.607508532423211</v>
      </c>
      <c r="DK87" s="11">
        <f t="shared" si="93"/>
        <v>143.79136690647482</v>
      </c>
      <c r="DL87" s="11"/>
      <c r="DM87" s="11"/>
    </row>
    <row r="88" spans="1:117" x14ac:dyDescent="0.25">
      <c r="A88" s="80">
        <v>43405</v>
      </c>
      <c r="B88" s="105">
        <v>97458</v>
      </c>
      <c r="C88" s="95">
        <v>2059</v>
      </c>
      <c r="D88" s="104">
        <f t="shared" si="37"/>
        <v>2.1127049600853702E-2</v>
      </c>
      <c r="E88" s="144">
        <v>95297.1685</v>
      </c>
      <c r="F88" s="104">
        <f t="shared" si="27"/>
        <v>0.9778280746578013</v>
      </c>
      <c r="H88" s="110">
        <f t="shared" si="28"/>
        <v>1.044875741344993E-3</v>
      </c>
      <c r="I88" s="112">
        <v>6463959.3300000001</v>
      </c>
      <c r="J88" s="111"/>
      <c r="K88" s="95">
        <f t="shared" si="45"/>
        <v>45182</v>
      </c>
      <c r="L88" s="95">
        <f t="shared" si="46"/>
        <v>34426.083333333336</v>
      </c>
      <c r="M88" s="95">
        <f t="shared" si="38"/>
        <v>388</v>
      </c>
      <c r="N88" s="95">
        <f t="shared" si="47"/>
        <v>374.58333333333331</v>
      </c>
      <c r="O88" s="95">
        <f t="shared" si="56"/>
        <v>207</v>
      </c>
      <c r="P88" s="95">
        <f t="shared" si="57"/>
        <v>200.5</v>
      </c>
      <c r="Q88" s="103">
        <v>17834</v>
      </c>
      <c r="R88" s="95">
        <f t="shared" si="43"/>
        <v>12965.166666666666</v>
      </c>
      <c r="S88" s="161">
        <v>119</v>
      </c>
      <c r="T88" s="179">
        <f t="shared" si="48"/>
        <v>105.58333333333333</v>
      </c>
      <c r="U88" s="103">
        <v>68</v>
      </c>
      <c r="V88" s="179">
        <f t="shared" si="49"/>
        <v>64.75</v>
      </c>
      <c r="W88" s="103">
        <v>27348</v>
      </c>
      <c r="X88" s="95">
        <f t="shared" si="44"/>
        <v>21460.916666666668</v>
      </c>
      <c r="Y88" s="103">
        <v>269</v>
      </c>
      <c r="Z88" s="179">
        <f t="shared" si="50"/>
        <v>269</v>
      </c>
      <c r="AA88" s="103">
        <v>139</v>
      </c>
      <c r="AB88" s="179">
        <f t="shared" si="51"/>
        <v>135.75</v>
      </c>
      <c r="AC88" s="103">
        <v>44085</v>
      </c>
      <c r="AD88" s="103">
        <v>20087</v>
      </c>
      <c r="AE88" s="9">
        <v>129</v>
      </c>
      <c r="AF88">
        <v>88</v>
      </c>
      <c r="AG88">
        <v>38</v>
      </c>
      <c r="AH88">
        <v>7</v>
      </c>
      <c r="AJ88" s="159"/>
      <c r="AK88" s="111">
        <v>1121489</v>
      </c>
      <c r="AL88" s="101">
        <v>1183330.7299999995</v>
      </c>
      <c r="AM88" s="101">
        <v>29732</v>
      </c>
      <c r="AN88" s="115">
        <v>9748.7119999999995</v>
      </c>
      <c r="AO88" s="905">
        <f t="shared" si="58"/>
        <v>4.5996576528584071E-3</v>
      </c>
      <c r="AP88" s="909">
        <f t="shared" si="59"/>
        <v>0.45996576528584071</v>
      </c>
      <c r="AQ88" s="111">
        <f t="shared" si="94"/>
        <v>337.86363636363637</v>
      </c>
      <c r="AR88" s="101">
        <f t="shared" si="95"/>
        <v>230.48062015503876</v>
      </c>
      <c r="AS88" s="110">
        <f t="shared" si="60"/>
        <v>2.6511182900590197E-2</v>
      </c>
      <c r="AT88" s="112">
        <f t="shared" si="61"/>
        <v>24.821588243105662</v>
      </c>
      <c r="AU88" s="113">
        <f t="shared" si="62"/>
        <v>7.73706595715079</v>
      </c>
      <c r="AV88" s="101">
        <f t="shared" si="100"/>
        <v>12744.193181818182</v>
      </c>
      <c r="AW88" s="114">
        <f t="shared" si="101"/>
        <v>8693.7131782945744</v>
      </c>
      <c r="AX88" s="116">
        <f t="shared" si="78"/>
        <v>1.0551425203457185</v>
      </c>
      <c r="AY88" s="111">
        <f t="shared" si="63"/>
        <v>26.190313177814161</v>
      </c>
      <c r="AZ88" s="111">
        <f t="shared" si="64"/>
        <v>8.163707274109143</v>
      </c>
      <c r="BA88" s="111">
        <f t="shared" si="96"/>
        <v>13446.940113636358</v>
      </c>
      <c r="BB88" s="101">
        <f t="shared" si="97"/>
        <v>9173.1064341085239</v>
      </c>
      <c r="BC88" s="95">
        <f t="shared" si="79"/>
        <v>513.43181818181813</v>
      </c>
      <c r="BD88" s="95">
        <f t="shared" si="80"/>
        <v>350.24806201550388</v>
      </c>
      <c r="BE88" s="111">
        <f t="shared" si="98"/>
        <v>143.06492253552301</v>
      </c>
      <c r="BF88" s="118">
        <f t="shared" si="81"/>
        <v>73454.083295454548</v>
      </c>
      <c r="BG88" s="111">
        <f t="shared" si="68"/>
        <v>663.05777932510478</v>
      </c>
      <c r="BH88" s="111">
        <f t="shared" si="69"/>
        <v>16659.688994845361</v>
      </c>
      <c r="BI88" s="114">
        <f t="shared" si="70"/>
        <v>31226.856666666667</v>
      </c>
      <c r="BJ88" s="80">
        <f t="shared" si="39"/>
        <v>43405</v>
      </c>
      <c r="BK88" s="95">
        <f t="shared" si="52"/>
        <v>42015.333333333336</v>
      </c>
      <c r="BL88" s="95">
        <f t="shared" si="52"/>
        <v>16812.333333333332</v>
      </c>
      <c r="BM88" s="95">
        <f t="shared" si="53"/>
        <v>73945.5</v>
      </c>
      <c r="BN88" s="95">
        <f t="shared" si="71"/>
        <v>110.78081818181818</v>
      </c>
      <c r="BO88" s="134">
        <f t="shared" si="72"/>
        <v>121.38328940274363</v>
      </c>
      <c r="BT88" s="80">
        <f t="shared" si="35"/>
        <v>43405</v>
      </c>
      <c r="BV88" s="1539">
        <f t="shared" si="23"/>
        <v>5.3058507329781157E-3</v>
      </c>
      <c r="BZ88" s="96">
        <f t="shared" si="103"/>
        <v>0.95638814835135377</v>
      </c>
      <c r="CA88" s="102">
        <f t="shared" si="54"/>
        <v>2.1735380465493462E-2</v>
      </c>
      <c r="CB88" s="102">
        <f t="shared" si="55"/>
        <v>2.3432958851886322E-2</v>
      </c>
      <c r="CC88" s="155">
        <f t="shared" si="36"/>
        <v>5.7637295862910829</v>
      </c>
      <c r="CH88" s="118">
        <f t="shared" si="73"/>
        <v>50108.211860465119</v>
      </c>
      <c r="CI88">
        <v>7</v>
      </c>
      <c r="CJ88" s="11">
        <f t="shared" si="29"/>
        <v>13</v>
      </c>
      <c r="CK88" s="233">
        <f t="shared" si="30"/>
        <v>2.877252003010048E-4</v>
      </c>
      <c r="CM88" s="1779"/>
      <c r="CN88" s="1779"/>
      <c r="CO88" s="1779"/>
      <c r="CP88" s="1779"/>
      <c r="CS88" s="137">
        <f t="shared" si="82"/>
        <v>115.0397098611591</v>
      </c>
      <c r="CT88" s="84">
        <f t="shared" si="83"/>
        <v>1.0551425203457185</v>
      </c>
      <c r="CU88" s="84">
        <f t="shared" si="84"/>
        <v>1.021046856437352</v>
      </c>
      <c r="CV88" s="84">
        <f t="shared" si="85"/>
        <v>1.0210468564373523</v>
      </c>
      <c r="CW88" s="84">
        <f t="shared" si="86"/>
        <v>0.17349877106977404</v>
      </c>
      <c r="CX88" s="84">
        <f t="shared" si="102"/>
        <v>0.18269089391054488</v>
      </c>
      <c r="CY88" s="106">
        <f t="shared" si="77"/>
        <v>5.5142520345718538E-2</v>
      </c>
      <c r="CZ88" s="106">
        <f t="shared" si="99"/>
        <v>3.4121108224848928E-2</v>
      </c>
      <c r="DA88" s="106">
        <v>0.05</v>
      </c>
      <c r="DB88" s="106">
        <v>-0.05</v>
      </c>
      <c r="DC88" s="453">
        <f t="shared" si="87"/>
        <v>4.6346635329877426</v>
      </c>
      <c r="DD88" s="11">
        <f t="shared" si="88"/>
        <v>218.27053140096618</v>
      </c>
      <c r="DE88" s="11">
        <f t="shared" si="89"/>
        <v>116.44845360824742</v>
      </c>
      <c r="DF88" s="11">
        <f t="shared" si="90"/>
        <v>196.74820143884892</v>
      </c>
      <c r="DG88" s="11">
        <f t="shared" si="91"/>
        <v>262.26470588235293</v>
      </c>
      <c r="DH88" s="11"/>
      <c r="DI88" s="11"/>
      <c r="DJ88" s="11">
        <f t="shared" si="92"/>
        <v>101.66542750929368</v>
      </c>
      <c r="DK88" s="11">
        <f t="shared" si="93"/>
        <v>149.8655462184874</v>
      </c>
      <c r="DL88" s="11"/>
      <c r="DM88" s="11"/>
    </row>
    <row r="89" spans="1:117" x14ac:dyDescent="0.25">
      <c r="A89" s="80">
        <v>43435</v>
      </c>
      <c r="B89" s="105">
        <v>61361</v>
      </c>
      <c r="C89" s="95">
        <v>1286</v>
      </c>
      <c r="D89" s="104">
        <f t="shared" si="37"/>
        <v>2.0957937452127574E-2</v>
      </c>
      <c r="E89" s="144">
        <v>59896.048099999993</v>
      </c>
      <c r="F89" s="104">
        <f t="shared" si="27"/>
        <v>0.97612568406642641</v>
      </c>
      <c r="H89" s="110">
        <f t="shared" si="28"/>
        <v>2.9163784814460122E-3</v>
      </c>
      <c r="I89" s="112">
        <v>3456165.31</v>
      </c>
      <c r="J89" s="111"/>
      <c r="K89" s="95">
        <f t="shared" si="45"/>
        <v>27625</v>
      </c>
      <c r="L89" s="95">
        <f t="shared" si="46"/>
        <v>34327.166666666664</v>
      </c>
      <c r="M89" s="95">
        <f t="shared" si="38"/>
        <v>241</v>
      </c>
      <c r="N89" s="95">
        <f t="shared" si="47"/>
        <v>371</v>
      </c>
      <c r="O89" s="95">
        <f t="shared" si="56"/>
        <v>142</v>
      </c>
      <c r="P89" s="95">
        <f>AVERAGE(O78:O89)</f>
        <v>194</v>
      </c>
      <c r="Q89" s="103">
        <v>12768</v>
      </c>
      <c r="R89" s="95">
        <f t="shared" si="43"/>
        <v>13248</v>
      </c>
      <c r="S89" s="161">
        <v>86</v>
      </c>
      <c r="T89" s="179">
        <f t="shared" si="48"/>
        <v>105.41666666666667</v>
      </c>
      <c r="U89" s="103">
        <v>57</v>
      </c>
      <c r="V89" s="179">
        <f t="shared" si="49"/>
        <v>63.888888888888886</v>
      </c>
      <c r="W89" s="103">
        <v>14857</v>
      </c>
      <c r="X89" s="95">
        <f t="shared" si="44"/>
        <v>21079.166666666668</v>
      </c>
      <c r="Y89" s="103">
        <v>155</v>
      </c>
      <c r="Z89" s="179">
        <f t="shared" si="50"/>
        <v>265.58333333333331</v>
      </c>
      <c r="AA89" s="103">
        <v>85</v>
      </c>
      <c r="AB89" s="179">
        <f t="shared" si="51"/>
        <v>130.11111111111111</v>
      </c>
      <c r="AC89" s="103">
        <v>29618</v>
      </c>
      <c r="AD89" s="103">
        <v>14973</v>
      </c>
      <c r="AE89" s="9">
        <v>135</v>
      </c>
      <c r="AF89">
        <v>91</v>
      </c>
      <c r="AG89">
        <v>35</v>
      </c>
      <c r="AH89">
        <v>9</v>
      </c>
      <c r="AJ89" s="159"/>
      <c r="AK89" s="111">
        <v>920013</v>
      </c>
      <c r="AL89" s="101">
        <v>693955.91999999993</v>
      </c>
      <c r="AM89" s="101">
        <v>13685</v>
      </c>
      <c r="AN89" s="115">
        <v>6091.4870000000001</v>
      </c>
      <c r="AO89" s="905">
        <f t="shared" si="58"/>
        <v>3.9595906944624708E-3</v>
      </c>
      <c r="AP89" s="909">
        <f t="shared" si="59"/>
        <v>0.39595906944624709</v>
      </c>
      <c r="AQ89" s="111">
        <f t="shared" si="94"/>
        <v>150.38461538461539</v>
      </c>
      <c r="AR89" s="101">
        <f t="shared" si="95"/>
        <v>101.37037037037037</v>
      </c>
      <c r="AS89" s="110">
        <f t="shared" si="60"/>
        <v>1.4874789812752646E-2</v>
      </c>
      <c r="AT89" s="112">
        <f t="shared" si="61"/>
        <v>33.303638009049777</v>
      </c>
      <c r="AU89" s="113">
        <f t="shared" si="62"/>
        <v>8.558963759812821</v>
      </c>
      <c r="AV89" s="101">
        <f t="shared" si="100"/>
        <v>10110.032967032967</v>
      </c>
      <c r="AW89" s="114">
        <f t="shared" si="101"/>
        <v>6814.9111111111115</v>
      </c>
      <c r="AX89" s="116">
        <f t="shared" si="78"/>
        <v>0.75428925460835872</v>
      </c>
      <c r="AY89" s="111">
        <f t="shared" si="63"/>
        <v>25.120576289592758</v>
      </c>
      <c r="AZ89" s="111">
        <f t="shared" si="64"/>
        <v>6.4559343946091676</v>
      </c>
      <c r="BA89" s="111">
        <f t="shared" si="96"/>
        <v>7625.8892307692304</v>
      </c>
      <c r="BB89" s="101">
        <f t="shared" si="97"/>
        <v>5140.4142222222217</v>
      </c>
      <c r="BC89" s="95">
        <f t="shared" si="79"/>
        <v>303.57142857142856</v>
      </c>
      <c r="BD89" s="95">
        <f t="shared" si="80"/>
        <v>204.62962962962962</v>
      </c>
      <c r="BE89" s="111">
        <f t="shared" si="98"/>
        <v>125.11005647058823</v>
      </c>
      <c r="BF89" s="118">
        <f t="shared" si="81"/>
        <v>37979.838571428569</v>
      </c>
      <c r="BG89" s="111">
        <f t="shared" si="68"/>
        <v>567.37629252102158</v>
      </c>
      <c r="BH89" s="111">
        <f t="shared" si="69"/>
        <v>14340.93489626556</v>
      </c>
      <c r="BI89" s="114">
        <f t="shared" si="70"/>
        <v>24339.192323943662</v>
      </c>
      <c r="BJ89" s="80">
        <f t="shared" si="39"/>
        <v>43435</v>
      </c>
      <c r="BK89" s="95">
        <f t="shared" si="52"/>
        <v>42113.166666666664</v>
      </c>
      <c r="BL89" s="95">
        <f t="shared" si="52"/>
        <v>16934.75</v>
      </c>
      <c r="BM89" s="95">
        <f t="shared" si="53"/>
        <v>74294.333333333328</v>
      </c>
      <c r="BN89" s="95">
        <f t="shared" si="71"/>
        <v>66.93941758241759</v>
      </c>
      <c r="BO89" s="134">
        <f t="shared" si="72"/>
        <v>113.9222524812086</v>
      </c>
      <c r="BT89" s="80">
        <f t="shared" si="35"/>
        <v>43435</v>
      </c>
      <c r="BV89" s="1539">
        <f t="shared" si="23"/>
        <v>5.1562662842541554E-3</v>
      </c>
      <c r="BZ89" s="96">
        <f t="shared" si="103"/>
        <v>0.95659929845556302</v>
      </c>
      <c r="CA89" s="102">
        <f t="shared" si="54"/>
        <v>2.1645408265851127E-2</v>
      </c>
      <c r="CB89" s="102">
        <f t="shared" si="55"/>
        <v>2.3300764774177026E-2</v>
      </c>
      <c r="CC89" s="155">
        <f t="shared" si="36"/>
        <v>3.7566483408386619</v>
      </c>
      <c r="CH89" s="118">
        <f t="shared" si="73"/>
        <v>25601.22451851852</v>
      </c>
      <c r="CI89">
        <v>9</v>
      </c>
      <c r="CJ89" s="11">
        <f t="shared" si="29"/>
        <v>13.083333333333334</v>
      </c>
      <c r="CK89" s="233">
        <f t="shared" si="30"/>
        <v>4.7360482654600306E-4</v>
      </c>
      <c r="CM89" s="1779"/>
      <c r="CN89" s="1779"/>
      <c r="CO89" s="1779"/>
      <c r="CP89" s="1779"/>
      <c r="CS89" s="137">
        <f t="shared" si="82"/>
        <v>151.03258038636542</v>
      </c>
      <c r="CT89" s="84">
        <f t="shared" si="83"/>
        <v>0.75428925460835872</v>
      </c>
      <c r="CU89" s="84">
        <f t="shared" si="84"/>
        <v>1.0551425203457185</v>
      </c>
      <c r="CV89" s="84">
        <f t="shared" si="85"/>
        <v>1.0551425203457185</v>
      </c>
      <c r="CW89" s="84">
        <f t="shared" si="86"/>
        <v>0.26619473245045677</v>
      </c>
      <c r="CX89" s="84">
        <f t="shared" si="102"/>
        <v>0.2056320662258925</v>
      </c>
      <c r="CY89" s="106">
        <f t="shared" si="77"/>
        <v>-0.24571074539164128</v>
      </c>
      <c r="CZ89" s="106">
        <f t="shared" si="99"/>
        <v>-4.5488232702310061E-2</v>
      </c>
      <c r="DA89" s="106">
        <v>0.05</v>
      </c>
      <c r="DB89" s="106">
        <v>-0.05</v>
      </c>
      <c r="DC89" s="453">
        <f t="shared" si="87"/>
        <v>4.5350174760284307</v>
      </c>
      <c r="DD89" s="11">
        <f t="shared" si="88"/>
        <v>194.54225352112675</v>
      </c>
      <c r="DE89" s="11">
        <f t="shared" si="89"/>
        <v>114.6265560165975</v>
      </c>
      <c r="DF89" s="11">
        <f t="shared" si="90"/>
        <v>174.78823529411764</v>
      </c>
      <c r="DG89" s="11">
        <f t="shared" si="91"/>
        <v>224</v>
      </c>
      <c r="DH89" s="11"/>
      <c r="DI89" s="11"/>
      <c r="DJ89" s="11">
        <f t="shared" si="92"/>
        <v>95.851612903225814</v>
      </c>
      <c r="DK89" s="11">
        <f t="shared" si="93"/>
        <v>148.46511627906978</v>
      </c>
      <c r="DL89" s="11"/>
      <c r="DM89" s="11"/>
    </row>
    <row r="90" spans="1:117" s="31" customFormat="1" x14ac:dyDescent="0.25">
      <c r="A90" s="738">
        <v>43466</v>
      </c>
      <c r="B90" s="739">
        <v>67256</v>
      </c>
      <c r="C90" s="740">
        <v>2337</v>
      </c>
      <c r="D90" s="741">
        <f t="shared" si="37"/>
        <v>3.4747829189960749E-2</v>
      </c>
      <c r="E90" s="742">
        <v>65721.9473</v>
      </c>
      <c r="F90" s="741">
        <f t="shared" si="27"/>
        <v>0.97719084245271792</v>
      </c>
      <c r="H90" s="743"/>
      <c r="I90" s="744">
        <v>4410960.1100000003</v>
      </c>
      <c r="J90" s="745"/>
      <c r="K90" s="740">
        <f t="shared" si="45"/>
        <v>30488</v>
      </c>
      <c r="L90" s="740">
        <f t="shared" si="46"/>
        <v>34634.833333333336</v>
      </c>
      <c r="M90" s="740">
        <f t="shared" si="38"/>
        <v>253</v>
      </c>
      <c r="N90" s="740">
        <f t="shared" si="47"/>
        <v>369.16666666666669</v>
      </c>
      <c r="O90" s="740">
        <f t="shared" si="56"/>
        <v>148</v>
      </c>
      <c r="P90" s="740">
        <f t="shared" si="57"/>
        <v>189.4</v>
      </c>
      <c r="Q90" s="746">
        <v>11865</v>
      </c>
      <c r="R90" s="740">
        <f t="shared" si="43"/>
        <v>13525.916666666666</v>
      </c>
      <c r="S90" s="747">
        <v>69</v>
      </c>
      <c r="T90" s="748">
        <f t="shared" si="48"/>
        <v>105.41666666666667</v>
      </c>
      <c r="U90" s="746">
        <v>46</v>
      </c>
      <c r="V90" s="748">
        <f t="shared" si="49"/>
        <v>62.1</v>
      </c>
      <c r="W90" s="746">
        <v>18623</v>
      </c>
      <c r="X90" s="740">
        <f t="shared" si="44"/>
        <v>21108.916666666668</v>
      </c>
      <c r="Y90" s="746">
        <v>184</v>
      </c>
      <c r="Z90" s="748">
        <f t="shared" si="50"/>
        <v>263.75</v>
      </c>
      <c r="AA90" s="746">
        <v>102</v>
      </c>
      <c r="AB90" s="748">
        <f t="shared" si="51"/>
        <v>127.3</v>
      </c>
      <c r="AC90" s="746">
        <v>32500</v>
      </c>
      <c r="AD90" s="746">
        <v>18112</v>
      </c>
      <c r="AE90" s="649">
        <v>130</v>
      </c>
      <c r="AF90" s="31">
        <v>81</v>
      </c>
      <c r="AG90" s="31">
        <v>40</v>
      </c>
      <c r="AH90" s="31">
        <v>9</v>
      </c>
      <c r="AJ90" s="750"/>
      <c r="AK90" s="745">
        <v>821898</v>
      </c>
      <c r="AL90" s="751">
        <v>835632.25999999978</v>
      </c>
      <c r="AM90" s="751">
        <v>-15475</v>
      </c>
      <c r="AN90" s="757">
        <v>7515.1549999999997</v>
      </c>
      <c r="AO90" s="905">
        <f t="shared" si="58"/>
        <v>-3.5083064942974512E-3</v>
      </c>
      <c r="AP90" s="909">
        <f t="shared" si="59"/>
        <v>-0.35083064942974512</v>
      </c>
      <c r="AQ90" s="745">
        <f t="shared" si="94"/>
        <v>-191.04938271604939</v>
      </c>
      <c r="AR90" s="751">
        <f t="shared" si="95"/>
        <v>-119.03846153846153</v>
      </c>
      <c r="AS90" s="743">
        <f t="shared" si="60"/>
        <v>-1.882837043039404E-2</v>
      </c>
      <c r="AT90" s="744">
        <f t="shared" si="61"/>
        <v>26.958081868276043</v>
      </c>
      <c r="AU90" s="753">
        <f t="shared" si="62"/>
        <v>7.0431657388872129</v>
      </c>
      <c r="AV90" s="751">
        <f t="shared" si="100"/>
        <v>10146.888888888889</v>
      </c>
      <c r="AW90" s="754">
        <f t="shared" si="101"/>
        <v>6322.292307692308</v>
      </c>
      <c r="AX90" s="755">
        <f t="shared" si="78"/>
        <v>1.0167104190544323</v>
      </c>
      <c r="AY90" s="745">
        <f t="shared" si="63"/>
        <v>27.408562713198627</v>
      </c>
      <c r="AZ90" s="745">
        <f t="shared" si="64"/>
        <v>7.1608599898538383</v>
      </c>
      <c r="BA90" s="745">
        <f t="shared" si="96"/>
        <v>10316.447654320986</v>
      </c>
      <c r="BB90" s="751">
        <f t="shared" si="97"/>
        <v>6427.9404615384601</v>
      </c>
      <c r="BC90" s="740">
        <f t="shared" si="79"/>
        <v>376.39506172839504</v>
      </c>
      <c r="BD90" s="740">
        <f t="shared" si="80"/>
        <v>234.52307692307693</v>
      </c>
      <c r="BE90" s="745">
        <f t="shared" si="98"/>
        <v>144.67856566517975</v>
      </c>
      <c r="BF90" s="756">
        <f t="shared" si="81"/>
        <v>54456.297654320995</v>
      </c>
      <c r="BG90" s="745">
        <f t="shared" si="68"/>
        <v>586.9420005309272</v>
      </c>
      <c r="BH90" s="745">
        <f t="shared" si="69"/>
        <v>17434.624940711463</v>
      </c>
      <c r="BI90" s="754">
        <f t="shared" si="70"/>
        <v>29803.78452702703</v>
      </c>
      <c r="BJ90" s="738">
        <f t="shared" si="39"/>
        <v>43466</v>
      </c>
      <c r="BK90" s="740">
        <f t="shared" si="52"/>
        <v>41500.083333333336</v>
      </c>
      <c r="BL90" s="740">
        <f t="shared" si="52"/>
        <v>17136.583333333332</v>
      </c>
      <c r="BM90" s="740">
        <f t="shared" si="53"/>
        <v>74863.166666666672</v>
      </c>
      <c r="BN90" s="740">
        <f t="shared" si="71"/>
        <v>92.779691358024692</v>
      </c>
      <c r="BO90" s="745">
        <f t="shared" si="72"/>
        <v>111.19295077746231</v>
      </c>
      <c r="BT90" s="738">
        <f t="shared" si="35"/>
        <v>43466</v>
      </c>
      <c r="BV90" s="1540">
        <f t="shared" si="23"/>
        <v>4.2898090063989945E-3</v>
      </c>
      <c r="BZ90" s="741">
        <f t="shared" si="103"/>
        <v>0.96356144502930896</v>
      </c>
      <c r="CA90" s="749">
        <f t="shared" si="54"/>
        <v>2.2796618092578092E-2</v>
      </c>
      <c r="CB90" s="749">
        <f t="shared" si="55"/>
        <v>1.7088680735294858E-2</v>
      </c>
      <c r="CC90" s="752">
        <f t="shared" si="36"/>
        <v>5.3667974736524489</v>
      </c>
      <c r="CH90" s="756">
        <f t="shared" si="73"/>
        <v>33930.462384615385</v>
      </c>
      <c r="CI90" s="31">
        <v>9</v>
      </c>
      <c r="CJ90" s="759">
        <f t="shared" si="29"/>
        <v>12.75</v>
      </c>
      <c r="CK90" s="760">
        <f t="shared" si="30"/>
        <v>4.1819732353712936E-4</v>
      </c>
      <c r="CM90" s="1779"/>
      <c r="CN90" s="1779"/>
      <c r="CO90" s="1779"/>
      <c r="CP90" s="1779"/>
      <c r="CS90" s="137">
        <f t="shared" si="82"/>
        <v>109.36540896362085</v>
      </c>
      <c r="CT90" s="84">
        <f t="shared" si="83"/>
        <v>1.0167104190544323</v>
      </c>
      <c r="CU90" s="84">
        <f t="shared" si="84"/>
        <v>0.75428925460835883</v>
      </c>
      <c r="CV90" s="84">
        <f t="shared" si="85"/>
        <v>0.75428925460835872</v>
      </c>
      <c r="CW90" s="84">
        <f t="shared" si="86"/>
        <v>0.18633086210339814</v>
      </c>
      <c r="CX90" s="84">
        <f t="shared" si="102"/>
        <v>0.21728180764544011</v>
      </c>
      <c r="CY90" s="106">
        <f t="shared" si="77"/>
        <v>1.6710419054432268E-2</v>
      </c>
      <c r="CZ90" s="106">
        <f t="shared" si="99"/>
        <v>-5.2553289795348457E-2</v>
      </c>
      <c r="DA90" s="106">
        <v>0.05</v>
      </c>
      <c r="DB90" s="106">
        <v>-0.05</v>
      </c>
      <c r="DC90" s="453">
        <f t="shared" si="87"/>
        <v>4.0568690865324806</v>
      </c>
      <c r="DD90" s="11">
        <f t="shared" si="88"/>
        <v>206</v>
      </c>
      <c r="DE90" s="11">
        <f t="shared" si="89"/>
        <v>120.50592885375494</v>
      </c>
      <c r="DF90" s="11">
        <f t="shared" si="90"/>
        <v>182.57843137254903</v>
      </c>
      <c r="DG90" s="11">
        <f t="shared" si="91"/>
        <v>257.93478260869563</v>
      </c>
      <c r="DH90" s="11"/>
      <c r="DI90" s="11"/>
      <c r="DJ90" s="11">
        <f t="shared" si="92"/>
        <v>101.21195652173913</v>
      </c>
      <c r="DK90" s="11">
        <f t="shared" si="93"/>
        <v>171.95652173913044</v>
      </c>
      <c r="DL90" s="11"/>
      <c r="DM90" s="11"/>
    </row>
    <row r="91" spans="1:117" x14ac:dyDescent="0.25">
      <c r="A91" s="80">
        <v>43497</v>
      </c>
      <c r="B91" s="105">
        <v>77986</v>
      </c>
      <c r="C91" s="95">
        <v>2032</v>
      </c>
      <c r="D91" s="104">
        <f t="shared" si="37"/>
        <v>2.6055958761829045E-2</v>
      </c>
      <c r="E91" s="144">
        <v>76082.962899999999</v>
      </c>
      <c r="F91" s="104">
        <v>0.97499999999999998</v>
      </c>
      <c r="H91" s="110"/>
      <c r="I91" s="112">
        <v>4759440.4000000004</v>
      </c>
      <c r="J91" s="111"/>
      <c r="K91" s="95">
        <f t="shared" si="45"/>
        <v>38286</v>
      </c>
      <c r="L91" s="95">
        <f t="shared" si="46"/>
        <v>35224.75</v>
      </c>
      <c r="M91" s="95">
        <f t="shared" si="38"/>
        <v>301</v>
      </c>
      <c r="N91" s="95">
        <f t="shared" si="47"/>
        <v>368.33333333333331</v>
      </c>
      <c r="O91" s="95">
        <f t="shared" si="56"/>
        <v>173</v>
      </c>
      <c r="P91" s="95">
        <f t="shared" si="57"/>
        <v>187.90909090909091</v>
      </c>
      <c r="Q91" s="103">
        <v>15780</v>
      </c>
      <c r="R91" s="95">
        <f t="shared" si="43"/>
        <v>14113.5</v>
      </c>
      <c r="S91" s="161">
        <v>93</v>
      </c>
      <c r="T91" s="179">
        <f t="shared" si="48"/>
        <v>106.75</v>
      </c>
      <c r="U91" s="103">
        <v>58</v>
      </c>
      <c r="V91" s="179">
        <f t="shared" si="49"/>
        <v>61.727272727272727</v>
      </c>
      <c r="W91" s="103">
        <v>22506</v>
      </c>
      <c r="X91" s="95">
        <f t="shared" si="44"/>
        <v>21111.25</v>
      </c>
      <c r="Y91" s="103">
        <v>208</v>
      </c>
      <c r="Z91" s="179">
        <f t="shared" si="50"/>
        <v>261.58333333333331</v>
      </c>
      <c r="AA91" s="103">
        <v>115</v>
      </c>
      <c r="AB91" s="179">
        <f t="shared" si="51"/>
        <v>126.18181818181819</v>
      </c>
      <c r="AC91" s="103">
        <v>33054</v>
      </c>
      <c r="AD91" s="103">
        <v>16132</v>
      </c>
      <c r="AE91" s="9">
        <v>128</v>
      </c>
      <c r="AF91">
        <v>88</v>
      </c>
      <c r="AG91">
        <v>32</v>
      </c>
      <c r="AH91">
        <v>8</v>
      </c>
      <c r="AJ91" s="159"/>
      <c r="AK91" s="111">
        <v>1037261</v>
      </c>
      <c r="AL91" s="101">
        <v>935479.28000000119</v>
      </c>
      <c r="AM91" s="101">
        <v>18604</v>
      </c>
      <c r="AN91" s="115">
        <v>8136.732</v>
      </c>
      <c r="AO91" s="905">
        <f t="shared" si="58"/>
        <v>3.9088628990920863E-3</v>
      </c>
      <c r="AP91" s="909">
        <f>AM91/SUM(I91)*100</f>
        <v>0.39088628990920865</v>
      </c>
      <c r="AQ91" s="111">
        <f t="shared" si="94"/>
        <v>211.40909090909091</v>
      </c>
      <c r="AR91" s="101">
        <f t="shared" si="95"/>
        <v>145.34375</v>
      </c>
      <c r="AS91" s="110">
        <f t="shared" si="60"/>
        <v>1.7935697958373062E-2</v>
      </c>
      <c r="AT91" s="112">
        <f t="shared" si="61"/>
        <v>27.092435877344197</v>
      </c>
      <c r="AU91" s="113">
        <f t="shared" si="62"/>
        <v>8.3834657230119856</v>
      </c>
      <c r="AV91" s="101">
        <f t="shared" si="100"/>
        <v>11787.056818181818</v>
      </c>
      <c r="AW91" s="114">
        <f t="shared" si="101"/>
        <v>8103.6015625</v>
      </c>
      <c r="AX91" s="116">
        <f t="shared" si="78"/>
        <v>0.90187453302495824</v>
      </c>
      <c r="AY91" s="111">
        <f t="shared" si="63"/>
        <v>24.433977955388425</v>
      </c>
      <c r="AZ91" s="111">
        <f t="shared" si="64"/>
        <v>7.5608342340721792</v>
      </c>
      <c r="BA91" s="111">
        <f t="shared" si="96"/>
        <v>10630.446363636378</v>
      </c>
      <c r="BB91" s="101">
        <f t="shared" si="97"/>
        <v>7308.4318750000093</v>
      </c>
      <c r="BC91" s="95">
        <f t="shared" si="79"/>
        <v>435.06818181818181</v>
      </c>
      <c r="BD91" s="95">
        <f t="shared" si="80"/>
        <v>299.109375</v>
      </c>
      <c r="BE91" s="111">
        <f t="shared" si="98"/>
        <v>124.31281408347699</v>
      </c>
      <c r="BF91" s="118">
        <f t="shared" si="81"/>
        <v>54084.55</v>
      </c>
      <c r="BG91" s="111">
        <f t="shared" si="68"/>
        <v>584.9326732157333</v>
      </c>
      <c r="BH91" s="111">
        <f t="shared" si="69"/>
        <v>15812.094352159469</v>
      </c>
      <c r="BI91" s="114">
        <f t="shared" si="70"/>
        <v>27511.216184971101</v>
      </c>
      <c r="BJ91" s="80">
        <f t="shared" si="39"/>
        <v>43497</v>
      </c>
      <c r="BK91" s="95">
        <f t="shared" si="52"/>
        <v>41050</v>
      </c>
      <c r="BL91" s="95">
        <f t="shared" si="52"/>
        <v>17181.833333333332</v>
      </c>
      <c r="BM91" s="95">
        <f t="shared" si="53"/>
        <v>75715</v>
      </c>
      <c r="BN91" s="95">
        <f t="shared" si="71"/>
        <v>92.462863636363636</v>
      </c>
      <c r="BO91" s="134">
        <f t="shared" si="72"/>
        <v>114.96990192131204</v>
      </c>
      <c r="BT91" s="80">
        <f t="shared" si="35"/>
        <v>43497</v>
      </c>
      <c r="BV91" s="1539">
        <f t="shared" si="23"/>
        <v>4.2551775420983659E-3</v>
      </c>
      <c r="BZ91" s="96">
        <f t="shared" si="103"/>
        <v>0.96353897242832132</v>
      </c>
      <c r="CA91" s="102">
        <f t="shared" si="54"/>
        <v>2.3365573080399285E-2</v>
      </c>
      <c r="CB91" s="102">
        <f t="shared" si="55"/>
        <v>1.837610860808625E-2</v>
      </c>
      <c r="CC91" s="155">
        <f t="shared" si="36"/>
        <v>4.5884694401891135</v>
      </c>
      <c r="CH91" s="118">
        <f t="shared" si="73"/>
        <v>37183.128125000003</v>
      </c>
      <c r="CI91">
        <v>3</v>
      </c>
      <c r="CJ91" s="11">
        <f t="shared" si="29"/>
        <v>12.25</v>
      </c>
      <c r="CK91" s="233">
        <f t="shared" si="30"/>
        <v>3.1996029880374026E-4</v>
      </c>
      <c r="CM91" s="1779"/>
      <c r="CN91" s="1779"/>
      <c r="CO91" s="1779"/>
      <c r="CP91" s="1779"/>
      <c r="CS91" s="137">
        <f t="shared" si="82"/>
        <v>127.4788207354009</v>
      </c>
      <c r="CT91" s="84">
        <f t="shared" si="83"/>
        <v>0.90187453302495812</v>
      </c>
      <c r="CU91" s="84">
        <f t="shared" si="84"/>
        <v>1.0167104190544323</v>
      </c>
      <c r="CV91" s="84">
        <f t="shared" si="85"/>
        <v>1.0167104190544323</v>
      </c>
      <c r="CW91" s="84">
        <f t="shared" si="86"/>
        <v>0.21793759619303141</v>
      </c>
      <c r="CX91" s="84">
        <f t="shared" si="102"/>
        <v>0.22677583444458693</v>
      </c>
      <c r="CY91" s="106">
        <f t="shared" si="77"/>
        <v>-9.8125466975041764E-2</v>
      </c>
      <c r="CZ91" s="106">
        <f t="shared" si="99"/>
        <v>-0.11302090694638511</v>
      </c>
      <c r="DA91" s="106">
        <v>0.05</v>
      </c>
      <c r="DB91" s="106">
        <v>-0.05</v>
      </c>
      <c r="DC91" s="453">
        <f t="shared" si="87"/>
        <v>4.7053288715911989</v>
      </c>
      <c r="DD91" s="11">
        <f t="shared" si="88"/>
        <v>221.30635838150289</v>
      </c>
      <c r="DE91" s="11">
        <f t="shared" si="89"/>
        <v>127.19601328903654</v>
      </c>
      <c r="DF91" s="11">
        <f t="shared" si="90"/>
        <v>195.70434782608694</v>
      </c>
      <c r="DG91" s="11">
        <f t="shared" si="91"/>
        <v>272.06896551724139</v>
      </c>
      <c r="DH91" s="11"/>
      <c r="DI91" s="11"/>
      <c r="DJ91" s="11">
        <f t="shared" si="92"/>
        <v>108.20192307692308</v>
      </c>
      <c r="DK91" s="11">
        <f t="shared" si="93"/>
        <v>169.67741935483872</v>
      </c>
      <c r="DL91" s="11"/>
      <c r="DM91" s="11"/>
    </row>
    <row r="92" spans="1:117" x14ac:dyDescent="0.25">
      <c r="A92" s="80">
        <v>43525</v>
      </c>
      <c r="B92" s="105">
        <v>78670</v>
      </c>
      <c r="C92" s="95">
        <v>2125</v>
      </c>
      <c r="D92" s="104">
        <f t="shared" si="37"/>
        <v>2.7011567306470065E-2</v>
      </c>
      <c r="E92" s="144">
        <v>76541.026599999968</v>
      </c>
      <c r="F92" s="104">
        <f t="shared" si="27"/>
        <v>0.9729379255116305</v>
      </c>
      <c r="H92" s="110">
        <f t="shared" si="28"/>
        <v>5.0507181899438203E-5</v>
      </c>
      <c r="I92" s="112">
        <v>5541973.9800000004</v>
      </c>
      <c r="J92" s="111">
        <f>AVERAGE(I81:I92)</f>
        <v>5055556.8466666667</v>
      </c>
      <c r="K92" s="95">
        <f t="shared" si="45"/>
        <v>34957</v>
      </c>
      <c r="L92" s="95">
        <f t="shared" si="46"/>
        <v>34861.916666666664</v>
      </c>
      <c r="M92" s="95">
        <f t="shared" si="38"/>
        <v>348</v>
      </c>
      <c r="N92" s="95">
        <f t="shared" si="47"/>
        <v>364.25</v>
      </c>
      <c r="O92" s="95">
        <f t="shared" si="56"/>
        <v>184</v>
      </c>
      <c r="P92" s="95">
        <f t="shared" si="57"/>
        <v>187.58333333333334</v>
      </c>
      <c r="Q92" s="103">
        <v>11380</v>
      </c>
      <c r="R92" s="95">
        <f t="shared" si="43"/>
        <v>14120</v>
      </c>
      <c r="S92" s="161">
        <v>79</v>
      </c>
      <c r="T92" s="179">
        <f t="shared" si="48"/>
        <v>105.58333333333333</v>
      </c>
      <c r="U92" s="103">
        <v>52</v>
      </c>
      <c r="V92" s="179">
        <f t="shared" si="49"/>
        <v>60.916666666666664</v>
      </c>
      <c r="W92" s="103">
        <v>23577</v>
      </c>
      <c r="X92" s="95">
        <f t="shared" si="44"/>
        <v>20741.916666666668</v>
      </c>
      <c r="Y92" s="103">
        <v>269</v>
      </c>
      <c r="Z92" s="179">
        <f t="shared" si="50"/>
        <v>258.66666666666669</v>
      </c>
      <c r="AA92" s="103">
        <v>132</v>
      </c>
      <c r="AB92" s="179">
        <f t="shared" si="51"/>
        <v>126.66666666666667</v>
      </c>
      <c r="AC92" s="103">
        <v>40036</v>
      </c>
      <c r="AD92" s="103">
        <v>17603</v>
      </c>
      <c r="AE92" s="9">
        <v>126</v>
      </c>
      <c r="AF92">
        <v>80</v>
      </c>
      <c r="AG92">
        <v>39</v>
      </c>
      <c r="AH92">
        <v>8</v>
      </c>
      <c r="AJ92" s="159"/>
      <c r="AK92" s="111">
        <v>1048183</v>
      </c>
      <c r="AL92" s="101">
        <v>988816</v>
      </c>
      <c r="AM92" s="101">
        <v>25374</v>
      </c>
      <c r="AN92" s="115">
        <v>8544.1450000000004</v>
      </c>
      <c r="AO92" s="905">
        <f t="shared" si="58"/>
        <v>4.5785130156818232E-3</v>
      </c>
      <c r="AP92" s="909">
        <f t="shared" si="59"/>
        <v>0.45785130156818232</v>
      </c>
      <c r="AQ92" s="111">
        <f t="shared" si="94"/>
        <v>317.17500000000001</v>
      </c>
      <c r="AR92" s="101">
        <f t="shared" si="95"/>
        <v>201.38095238095238</v>
      </c>
      <c r="AS92" s="110">
        <f t="shared" si="60"/>
        <v>2.420760496974288E-2</v>
      </c>
      <c r="AT92" s="112">
        <f t="shared" si="61"/>
        <v>29.984924335612323</v>
      </c>
      <c r="AU92" s="113">
        <f t="shared" si="62"/>
        <v>8.1544167556455385</v>
      </c>
      <c r="AV92" s="101">
        <f t="shared" si="100"/>
        <v>13102.2875</v>
      </c>
      <c r="AW92" s="114">
        <f t="shared" si="101"/>
        <v>8318.9126984126979</v>
      </c>
      <c r="AX92" s="116">
        <f t="shared" si="78"/>
        <v>0.94336198927095749</v>
      </c>
      <c r="AY92" s="111">
        <f t="shared" si="63"/>
        <v>28.286637869382385</v>
      </c>
      <c r="AZ92" s="111">
        <f t="shared" si="64"/>
        <v>7.6925668119502024</v>
      </c>
      <c r="BA92" s="111">
        <f t="shared" si="96"/>
        <v>12360.2</v>
      </c>
      <c r="BB92" s="101">
        <f t="shared" si="97"/>
        <v>7847.7460317460318</v>
      </c>
      <c r="BC92" s="95">
        <f t="shared" si="79"/>
        <v>436.96249999999998</v>
      </c>
      <c r="BD92" s="95">
        <f t="shared" si="80"/>
        <v>277.43650793650795</v>
      </c>
      <c r="BE92" s="111">
        <f t="shared" si="98"/>
        <v>158.53688760477158</v>
      </c>
      <c r="BF92" s="118">
        <f t="shared" si="81"/>
        <v>69274.674750000006</v>
      </c>
      <c r="BG92" s="111">
        <f t="shared" si="68"/>
        <v>648.62826883204821</v>
      </c>
      <c r="BH92" s="111">
        <f t="shared" si="69"/>
        <v>15925.212586206897</v>
      </c>
      <c r="BI92" s="114">
        <f t="shared" si="70"/>
        <v>30119.423804347829</v>
      </c>
      <c r="BJ92" s="80">
        <f t="shared" si="39"/>
        <v>43525</v>
      </c>
      <c r="BK92" s="95">
        <f t="shared" si="52"/>
        <v>40839.166666666664</v>
      </c>
      <c r="BL92" s="95">
        <f t="shared" si="52"/>
        <v>16933.833333333332</v>
      </c>
      <c r="BM92" s="95">
        <f t="shared" si="53"/>
        <v>75828</v>
      </c>
      <c r="BN92" s="95">
        <f t="shared" si="71"/>
        <v>106.80181250000001</v>
      </c>
      <c r="BO92" s="134">
        <f t="shared" si="72"/>
        <v>115.73024568286235</v>
      </c>
      <c r="BP92" s="118">
        <f>AVERAGE(BG81:BG92)</f>
        <v>597.86131062122206</v>
      </c>
      <c r="BQ92" s="115">
        <f>AVERAGE(AN81:AN92)</f>
        <v>8423.8141666666652</v>
      </c>
      <c r="BT92" s="80">
        <f t="shared" si="35"/>
        <v>43525</v>
      </c>
      <c r="BU92" s="118">
        <f>AVERAGE(BO81:BO92)</f>
        <v>115.39941122553087</v>
      </c>
      <c r="BV92" s="1539">
        <f t="shared" si="23"/>
        <v>4.2821221648969877E-3</v>
      </c>
      <c r="BX92" s="118">
        <f>AVERAGE(BI81:BI92)</f>
        <v>27020.48823542464</v>
      </c>
      <c r="BY92" s="118">
        <f>AVERAGE(BH81:BH92)</f>
        <v>14105.617956157279</v>
      </c>
      <c r="BZ92" s="96">
        <f t="shared" si="103"/>
        <v>0.96349450503238421</v>
      </c>
      <c r="CA92" s="102">
        <f t="shared" si="54"/>
        <v>2.3918914341072673E-2</v>
      </c>
      <c r="CB92" s="102">
        <f t="shared" si="55"/>
        <v>1.7697610121771238E-2</v>
      </c>
      <c r="CC92" s="155">
        <f t="shared" si="36"/>
        <v>5.2872198652334568</v>
      </c>
      <c r="CH92" s="118">
        <f t="shared" si="73"/>
        <v>43983.920476190477</v>
      </c>
      <c r="CI92">
        <v>16</v>
      </c>
      <c r="CJ92" s="11">
        <f t="shared" si="29"/>
        <v>12.583333333333334</v>
      </c>
      <c r="CK92" s="233">
        <f t="shared" si="30"/>
        <v>3.5996605353243508E-4</v>
      </c>
      <c r="CM92" s="1779"/>
      <c r="CN92" s="1779"/>
      <c r="CO92" s="1779"/>
      <c r="CP92" s="1779"/>
      <c r="CQ92" s="1344">
        <f>AVERAGE(AO81:AO92)</f>
        <v>4.2821221648969877E-3</v>
      </c>
      <c r="CR92" s="155">
        <f>AVERAGE(AP81:AP92)</f>
        <v>0.42821221648969887</v>
      </c>
      <c r="CS92" s="137">
        <f t="shared" si="82"/>
        <v>122.67851259546741</v>
      </c>
      <c r="CT92" s="84">
        <f t="shared" si="83"/>
        <v>0.94336198927095749</v>
      </c>
      <c r="CU92" s="84">
        <f t="shared" si="84"/>
        <v>0.90187453302495835</v>
      </c>
      <c r="CV92" s="84">
        <f t="shared" si="85"/>
        <v>0.90187453302495824</v>
      </c>
      <c r="CW92" s="84">
        <f t="shared" si="86"/>
        <v>0.18913531600521877</v>
      </c>
      <c r="CX92" s="84">
        <f t="shared" si="102"/>
        <v>0.1889003030672583</v>
      </c>
      <c r="CY92" s="106">
        <f t="shared" si="77"/>
        <v>-5.6638010729042509E-2</v>
      </c>
      <c r="CZ92" s="106">
        <f t="shared" si="99"/>
        <v>-5.0704203358256095E-2</v>
      </c>
      <c r="DA92" s="106">
        <v>0.05</v>
      </c>
      <c r="DB92" s="106">
        <v>-0.05</v>
      </c>
      <c r="DC92" s="453">
        <f t="shared" si="87"/>
        <v>4.0913397420104642</v>
      </c>
      <c r="DD92" s="11">
        <f t="shared" si="88"/>
        <v>189.98369565217391</v>
      </c>
      <c r="DE92" s="11">
        <f t="shared" si="89"/>
        <v>100.45114942528735</v>
      </c>
      <c r="DF92" s="11">
        <f t="shared" si="90"/>
        <v>178.61363636363637</v>
      </c>
      <c r="DG92" s="11">
        <f t="shared" si="91"/>
        <v>218.84615384615384</v>
      </c>
      <c r="DH92" s="11"/>
      <c r="DI92" s="11"/>
      <c r="DJ92" s="11">
        <f t="shared" si="92"/>
        <v>87.646840148698885</v>
      </c>
      <c r="DK92" s="11">
        <f t="shared" si="93"/>
        <v>144.0506329113924</v>
      </c>
      <c r="DL92" s="11"/>
      <c r="DM92" s="11"/>
    </row>
    <row r="93" spans="1:117" x14ac:dyDescent="0.25">
      <c r="A93" s="80">
        <v>43556</v>
      </c>
      <c r="B93" s="105">
        <v>63061</v>
      </c>
      <c r="C93" s="95">
        <v>1670</v>
      </c>
      <c r="D93" s="104">
        <f t="shared" si="37"/>
        <v>2.6482294920790982E-2</v>
      </c>
      <c r="E93" s="144">
        <v>61575</v>
      </c>
      <c r="F93" s="104">
        <f t="shared" si="27"/>
        <v>0.97643551481898483</v>
      </c>
      <c r="H93" s="110"/>
      <c r="I93" s="112">
        <v>3712412.31</v>
      </c>
      <c r="J93" s="111">
        <f t="shared" ref="J93:J108" si="104">AVERAGE(I82:I93)</f>
        <v>5008457.8325000005</v>
      </c>
      <c r="K93" s="95">
        <f t="shared" si="45"/>
        <v>29592</v>
      </c>
      <c r="L93" s="95">
        <f t="shared" si="46"/>
        <v>34565.75</v>
      </c>
      <c r="M93" s="95">
        <f t="shared" si="38"/>
        <v>329</v>
      </c>
      <c r="N93" s="95">
        <f t="shared" si="47"/>
        <v>357.41666666666669</v>
      </c>
      <c r="O93" s="95">
        <f t="shared" si="56"/>
        <v>173</v>
      </c>
      <c r="P93" s="95">
        <f t="shared" si="57"/>
        <v>185</v>
      </c>
      <c r="Q93" s="103">
        <v>11960</v>
      </c>
      <c r="R93" s="95">
        <f t="shared" si="43"/>
        <v>14096.25</v>
      </c>
      <c r="S93" s="161">
        <v>78</v>
      </c>
      <c r="T93" s="179">
        <f t="shared" si="48"/>
        <v>104</v>
      </c>
      <c r="U93" s="103">
        <v>47</v>
      </c>
      <c r="V93" s="179">
        <f t="shared" si="49"/>
        <v>60.666666666666664</v>
      </c>
      <c r="W93" s="103">
        <v>17632</v>
      </c>
      <c r="X93" s="95">
        <f t="shared" si="44"/>
        <v>20469.5</v>
      </c>
      <c r="Y93" s="103">
        <v>251</v>
      </c>
      <c r="Z93" s="179">
        <f t="shared" si="50"/>
        <v>253.41666666666666</v>
      </c>
      <c r="AA93" s="103">
        <v>126</v>
      </c>
      <c r="AB93" s="179">
        <f t="shared" si="51"/>
        <v>124.33333333333333</v>
      </c>
      <c r="AC93" s="103">
        <v>31642</v>
      </c>
      <c r="AD93" s="103">
        <v>15554</v>
      </c>
      <c r="AE93" s="9">
        <v>127</v>
      </c>
      <c r="AF93">
        <v>81</v>
      </c>
      <c r="AG93">
        <v>39</v>
      </c>
      <c r="AH93">
        <v>8</v>
      </c>
      <c r="AI93" s="102">
        <v>5.3100000000000036E-2</v>
      </c>
      <c r="AJ93" s="159"/>
      <c r="AK93" s="111">
        <v>988237</v>
      </c>
      <c r="AL93" s="101">
        <v>718163</v>
      </c>
      <c r="AM93" s="101">
        <v>12370</v>
      </c>
      <c r="AN93" s="95">
        <v>6315.357</v>
      </c>
      <c r="AO93" s="905">
        <f t="shared" si="58"/>
        <v>3.3320652360405516E-3</v>
      </c>
      <c r="AP93" s="909">
        <f t="shared" si="59"/>
        <v>0.33320652360405517</v>
      </c>
      <c r="AQ93" s="111">
        <f t="shared" si="94"/>
        <v>152.71604938271605</v>
      </c>
      <c r="AR93" s="101">
        <f t="shared" si="95"/>
        <v>97.4015748031496</v>
      </c>
      <c r="AS93" s="110">
        <f t="shared" si="60"/>
        <v>1.2517240297620915E-2</v>
      </c>
      <c r="AT93" s="112">
        <f t="shared" si="61"/>
        <v>33.395410921870777</v>
      </c>
      <c r="AU93" s="113">
        <f t="shared" si="62"/>
        <v>8.7922875373115517</v>
      </c>
      <c r="AV93" s="101">
        <f t="shared" si="100"/>
        <v>12200.456790123457</v>
      </c>
      <c r="AW93" s="114">
        <f t="shared" si="101"/>
        <v>7781.3937007874019</v>
      </c>
      <c r="AX93" s="116">
        <f t="shared" si="78"/>
        <v>0.72671130508167581</v>
      </c>
      <c r="AY93" s="111">
        <f t="shared" si="63"/>
        <v>24.268822654771562</v>
      </c>
      <c r="AZ93" s="111">
        <f t="shared" si="64"/>
        <v>6.3894547508930302</v>
      </c>
      <c r="BA93" s="111">
        <f t="shared" si="96"/>
        <v>8866.2098765432092</v>
      </c>
      <c r="BB93" s="101">
        <f t="shared" si="97"/>
        <v>5654.8267716535429</v>
      </c>
      <c r="BC93" s="95">
        <f t="shared" si="79"/>
        <v>365.33333333333331</v>
      </c>
      <c r="BD93" s="95">
        <f t="shared" si="80"/>
        <v>233.00787401574803</v>
      </c>
      <c r="BE93" s="111">
        <f t="shared" si="98"/>
        <v>125.45324107866992</v>
      </c>
      <c r="BF93" s="118">
        <f t="shared" si="81"/>
        <v>45832.250740740739</v>
      </c>
      <c r="BG93" s="111">
        <f t="shared" si="68"/>
        <v>587.83886801648748</v>
      </c>
      <c r="BH93" s="111">
        <f t="shared" si="69"/>
        <v>11283.927993920974</v>
      </c>
      <c r="BI93" s="114">
        <f t="shared" si="70"/>
        <v>21459.03069364162</v>
      </c>
      <c r="BJ93" s="80">
        <f t="shared" si="39"/>
        <v>43556</v>
      </c>
      <c r="BK93" s="95">
        <f t="shared" si="52"/>
        <v>39865.25</v>
      </c>
      <c r="BL93" s="95">
        <f t="shared" si="52"/>
        <v>16528.333333333332</v>
      </c>
      <c r="BM93" s="95">
        <f t="shared" si="53"/>
        <v>75567.583333333328</v>
      </c>
      <c r="BN93" s="95">
        <f t="shared" si="71"/>
        <v>77.967370370370375</v>
      </c>
      <c r="BO93" s="134">
        <f t="shared" si="72"/>
        <v>113.71692843334114</v>
      </c>
      <c r="BP93" s="118">
        <f t="shared" ref="BP93:BP106" si="105">AVERAGE(BG82:BG93)</f>
        <v>603.74165861373353</v>
      </c>
      <c r="BQ93" s="115">
        <f t="shared" ref="BQ93:BQ106" si="106">AVERAGE(AN82:AN93)</f>
        <v>8260.9693333333344</v>
      </c>
      <c r="BR93" s="118">
        <f>AVERAGE(BE82:BE93)</f>
        <v>145.25249541057886</v>
      </c>
      <c r="BS93" s="118">
        <f>AVERAGE(BA82:BA93)</f>
        <v>11677.37483888436</v>
      </c>
      <c r="BT93" s="80">
        <f t="shared" si="35"/>
        <v>43556</v>
      </c>
      <c r="BU93" s="118">
        <f t="shared" ref="BU93:BU105" si="107">AVERAGE(BO82:BO93)</f>
        <v>115.85733410045526</v>
      </c>
      <c r="BV93" s="1539">
        <f t="shared" si="23"/>
        <v>4.2321183493053078E-3</v>
      </c>
      <c r="BW93" s="11">
        <f>AVERAGE(AF82:AF93)</f>
        <v>82.416666666666671</v>
      </c>
      <c r="BX93" s="118">
        <f t="shared" ref="BX93:BX106" si="108">AVERAGE(BI82:BI93)</f>
        <v>27061.354976234648</v>
      </c>
      <c r="BY93" s="118">
        <f t="shared" ref="BY93:BY106" si="109">AVERAGE(BH82:BH93)</f>
        <v>14178.629700987272</v>
      </c>
      <c r="BZ93" s="96">
        <f t="shared" si="103"/>
        <v>0.96400217002675526</v>
      </c>
      <c r="CA93" s="102">
        <f t="shared" si="54"/>
        <v>2.4423498859988391E-2</v>
      </c>
      <c r="CB93" s="102">
        <f t="shared" si="55"/>
        <v>1.8756163334534438E-2</v>
      </c>
      <c r="CC93" s="155">
        <f t="shared" si="36"/>
        <v>3.7566012100336255</v>
      </c>
      <c r="CH93" s="118">
        <f t="shared" si="73"/>
        <v>29231.592992125985</v>
      </c>
      <c r="CI93">
        <v>8</v>
      </c>
      <c r="CJ93" s="11">
        <f t="shared" si="29"/>
        <v>11.833333333333334</v>
      </c>
      <c r="CK93" s="233">
        <f t="shared" si="30"/>
        <v>3.9988285122105074E-4</v>
      </c>
      <c r="CM93" s="1779">
        <f t="shared" ref="CM93" si="110">SUM(W93:W104)/SUM(W81:W92)-1</f>
        <v>-6.021622881202715E-2</v>
      </c>
      <c r="CN93" s="1779">
        <f t="shared" ref="CN93" si="111">SUM(Q93:Q104)/SUM(Q81:Q92)-1</f>
        <v>8.1981822474032073E-2</v>
      </c>
      <c r="CO93" s="1779">
        <f t="shared" ref="CO93:CP93" si="112">SUM(AC93:AC104)/SUM(AC81:AC92)-1</f>
        <v>0.16623135470443007</v>
      </c>
      <c r="CP93" s="1779">
        <f t="shared" si="112"/>
        <v>5.0195368246996885E-4</v>
      </c>
      <c r="CQ93" s="1344">
        <f t="shared" ref="CQ93:CQ133" si="113">AVERAGE(AO82:AO93)</f>
        <v>4.2321183493053078E-3</v>
      </c>
      <c r="CR93" s="155">
        <f t="shared" ref="CR93:CR133" si="114">AVERAGE(AP82:AP93)</f>
        <v>0.42321183493053077</v>
      </c>
      <c r="CS93" s="137">
        <f t="shared" si="82"/>
        <v>156.48157340907252</v>
      </c>
      <c r="CT93" s="84">
        <f t="shared" si="83"/>
        <v>0.7267113050816757</v>
      </c>
      <c r="CU93" s="84">
        <f t="shared" si="84"/>
        <v>0.94336198927095749</v>
      </c>
      <c r="CV93" s="84">
        <f t="shared" si="85"/>
        <v>0.94336198927095749</v>
      </c>
      <c r="CW93" s="84">
        <f t="shared" si="86"/>
        <v>0.26619807216402641</v>
      </c>
      <c r="CX93" s="84">
        <f t="shared" si="102"/>
        <v>0.20746239155894683</v>
      </c>
      <c r="CY93" s="106">
        <f t="shared" si="77"/>
        <v>-0.27328869491832419</v>
      </c>
      <c r="CZ93" s="106">
        <f t="shared" si="99"/>
        <v>-0.14029520955492736</v>
      </c>
      <c r="DA93" s="106">
        <v>0.05</v>
      </c>
      <c r="DB93" s="106">
        <v>-0.05</v>
      </c>
      <c r="DC93" s="453">
        <f t="shared" si="87"/>
        <v>4.6857208547355285</v>
      </c>
      <c r="DD93" s="11">
        <f>K93/O93</f>
        <v>171.05202312138729</v>
      </c>
      <c r="DE93" s="11">
        <f t="shared" si="89"/>
        <v>89.945288753799389</v>
      </c>
      <c r="DF93" s="11">
        <f t="shared" si="90"/>
        <v>139.93650793650792</v>
      </c>
      <c r="DG93" s="11">
        <f t="shared" si="91"/>
        <v>254.46808510638297</v>
      </c>
      <c r="DH93" s="11"/>
      <c r="DI93" s="11"/>
      <c r="DJ93" s="11">
        <f t="shared" si="92"/>
        <v>70.24701195219123</v>
      </c>
      <c r="DK93" s="11">
        <f t="shared" si="93"/>
        <v>153.33333333333334</v>
      </c>
      <c r="DL93" s="11"/>
      <c r="DM93" s="11"/>
    </row>
    <row r="94" spans="1:117" x14ac:dyDescent="0.25">
      <c r="A94" s="80">
        <v>43586</v>
      </c>
      <c r="B94" s="105">
        <v>86336</v>
      </c>
      <c r="C94" s="95">
        <v>2481</v>
      </c>
      <c r="D94" s="104">
        <f t="shared" si="37"/>
        <v>2.8736564121571533E-2</v>
      </c>
      <c r="E94" s="144">
        <v>80568.292199999982</v>
      </c>
      <c r="F94" s="104">
        <f t="shared" si="27"/>
        <v>0.93319463723128226</v>
      </c>
      <c r="H94" s="110"/>
      <c r="I94" s="112">
        <v>5567479.9299999997</v>
      </c>
      <c r="J94" s="111">
        <f t="shared" si="104"/>
        <v>5086132.6141666668</v>
      </c>
      <c r="K94" s="95">
        <f t="shared" si="45"/>
        <v>37780</v>
      </c>
      <c r="L94" s="95">
        <f t="shared" si="46"/>
        <v>34800.25</v>
      </c>
      <c r="M94" s="95">
        <f t="shared" si="38"/>
        <v>389</v>
      </c>
      <c r="N94" s="95">
        <f t="shared" si="47"/>
        <v>356</v>
      </c>
      <c r="O94" s="95">
        <f t="shared" si="56"/>
        <v>196</v>
      </c>
      <c r="P94" s="95">
        <f t="shared" si="57"/>
        <v>184</v>
      </c>
      <c r="Q94" s="103">
        <v>12625</v>
      </c>
      <c r="R94" s="95">
        <f t="shared" si="43"/>
        <v>14157.5</v>
      </c>
      <c r="S94" s="161">
        <v>71</v>
      </c>
      <c r="T94" s="179">
        <f t="shared" si="48"/>
        <v>101.83333333333333</v>
      </c>
      <c r="U94" s="103">
        <v>48</v>
      </c>
      <c r="V94" s="179">
        <f t="shared" si="49"/>
        <v>59.416666666666664</v>
      </c>
      <c r="W94" s="103">
        <v>25155</v>
      </c>
      <c r="X94" s="95">
        <f t="shared" si="44"/>
        <v>20642.75</v>
      </c>
      <c r="Y94" s="103">
        <v>318</v>
      </c>
      <c r="Z94" s="179">
        <f t="shared" si="50"/>
        <v>254.16666666666666</v>
      </c>
      <c r="AA94" s="103">
        <v>148</v>
      </c>
      <c r="AB94" s="179">
        <f t="shared" si="51"/>
        <v>124.58333333333333</v>
      </c>
      <c r="AC94" s="103">
        <v>42571</v>
      </c>
      <c r="AD94" s="103">
        <v>18571</v>
      </c>
      <c r="AE94" s="9">
        <v>131</v>
      </c>
      <c r="AF94">
        <v>82</v>
      </c>
      <c r="AG94">
        <v>41</v>
      </c>
      <c r="AH94">
        <v>8</v>
      </c>
      <c r="AI94" s="102">
        <v>4.6399999999999997E-2</v>
      </c>
      <c r="AJ94" s="159"/>
      <c r="AK94" s="111">
        <v>1147953</v>
      </c>
      <c r="AL94" s="101">
        <v>1035972</v>
      </c>
      <c r="AM94" s="101">
        <v>25905</v>
      </c>
      <c r="AN94" s="95">
        <v>9087.7580000000016</v>
      </c>
      <c r="AO94" s="905">
        <f t="shared" ref="AO94:AO122" si="115">AM94/I94</f>
        <v>4.6529130460646311E-3</v>
      </c>
      <c r="AP94" s="909">
        <f t="shared" si="59"/>
        <v>0.46529130460646312</v>
      </c>
      <c r="AQ94" s="111">
        <f t="shared" si="94"/>
        <v>315.91463414634148</v>
      </c>
      <c r="AR94" s="101">
        <f t="shared" si="95"/>
        <v>197.74809160305344</v>
      </c>
      <c r="AS94" s="110">
        <f t="shared" si="60"/>
        <v>2.2566254890226341E-2</v>
      </c>
      <c r="AT94" s="112">
        <f t="shared" si="61"/>
        <v>30.385203811540496</v>
      </c>
      <c r="AU94" s="113">
        <f t="shared" si="62"/>
        <v>8.5129878436527253</v>
      </c>
      <c r="AV94" s="101">
        <f t="shared" si="100"/>
        <v>13999.426829268292</v>
      </c>
      <c r="AW94" s="114">
        <f t="shared" si="101"/>
        <v>8763</v>
      </c>
      <c r="AX94" s="116">
        <f t="shared" si="78"/>
        <v>0.90245158120585078</v>
      </c>
      <c r="AY94" s="111">
        <f t="shared" si="63"/>
        <v>27.421175224986765</v>
      </c>
      <c r="AZ94" s="111">
        <f t="shared" si="64"/>
        <v>7.6825593402905881</v>
      </c>
      <c r="BA94" s="111">
        <f t="shared" si="96"/>
        <v>12633.804878048781</v>
      </c>
      <c r="BB94" s="101">
        <f t="shared" si="97"/>
        <v>7908.1832061068699</v>
      </c>
      <c r="BC94" s="95">
        <f t="shared" si="79"/>
        <v>460.73170731707319</v>
      </c>
      <c r="BD94" s="95">
        <f t="shared" si="80"/>
        <v>288.39694656488547</v>
      </c>
      <c r="BE94" s="111">
        <f t="shared" si="98"/>
        <v>147.36580015881418</v>
      </c>
      <c r="BF94" s="118">
        <f t="shared" si="81"/>
        <v>67896.096707317076</v>
      </c>
      <c r="BG94" s="111">
        <f t="shared" si="68"/>
        <v>612.63514389357624</v>
      </c>
      <c r="BH94" s="111">
        <f t="shared" si="69"/>
        <v>14312.287737789202</v>
      </c>
      <c r="BI94" s="114">
        <f t="shared" si="70"/>
        <v>28405.509846938774</v>
      </c>
      <c r="BJ94" s="80">
        <f t="shared" si="39"/>
        <v>43586</v>
      </c>
      <c r="BK94" s="95">
        <f t="shared" si="52"/>
        <v>40388.5</v>
      </c>
      <c r="BL94" s="95">
        <f t="shared" si="52"/>
        <v>16743.583333333332</v>
      </c>
      <c r="BM94" s="95">
        <f t="shared" si="53"/>
        <v>76477.75</v>
      </c>
      <c r="BN94" s="95">
        <f t="shared" si="71"/>
        <v>110.82631707317076</v>
      </c>
      <c r="BO94" s="134">
        <f t="shared" si="72"/>
        <v>113.99643344376025</v>
      </c>
      <c r="BP94" s="118">
        <f t="shared" si="105"/>
        <v>609.75163422210221</v>
      </c>
      <c r="BQ94" s="115">
        <f t="shared" si="106"/>
        <v>8303.6278333333339</v>
      </c>
      <c r="BR94" s="118">
        <f t="shared" ref="BR94:BR106" si="116">AVERAGE(BE83:BE94)</f>
        <v>146.48562192002876</v>
      </c>
      <c r="BS94" s="118">
        <f t="shared" ref="BS94:BS106" si="117">AVERAGE(BA83:BA94)</f>
        <v>11712.005596265617</v>
      </c>
      <c r="BT94" s="80">
        <f t="shared" si="35"/>
        <v>43586</v>
      </c>
      <c r="BU94" s="118">
        <f t="shared" si="107"/>
        <v>116.33377903422506</v>
      </c>
      <c r="BV94" s="1539">
        <f t="shared" si="23"/>
        <v>3.8861927819968684E-3</v>
      </c>
      <c r="BW94" s="11">
        <f t="shared" ref="BW94:BW106" si="118">AVERAGE(AF83:AF94)</f>
        <v>82.916666666666671</v>
      </c>
      <c r="BX94" s="118">
        <f t="shared" si="108"/>
        <v>27571.356377742366</v>
      </c>
      <c r="BY94" s="118">
        <f t="shared" si="109"/>
        <v>14419.887145885143</v>
      </c>
      <c r="BZ94" s="96">
        <f t="shared" si="103"/>
        <v>0.96321308331005362</v>
      </c>
      <c r="CA94" s="102">
        <f t="shared" si="54"/>
        <v>2.5284456647075002E-2</v>
      </c>
      <c r="CB94" s="102">
        <f t="shared" si="55"/>
        <v>1.5874007883501438E-2</v>
      </c>
      <c r="CC94" s="155">
        <f t="shared" si="36"/>
        <v>4.8499197528121796</v>
      </c>
      <c r="CH94" s="118">
        <f t="shared" si="73"/>
        <v>42499.846793893128</v>
      </c>
      <c r="CI94">
        <v>7</v>
      </c>
      <c r="CJ94" s="11">
        <f t="shared" si="29"/>
        <v>11.25</v>
      </c>
      <c r="CK94" s="233">
        <f t="shared" si="30"/>
        <v>2.9777660137638963E-4</v>
      </c>
      <c r="CM94" s="1779"/>
      <c r="CN94" s="1779"/>
      <c r="CO94" s="1779"/>
      <c r="CP94" s="1779"/>
      <c r="CQ94" s="1344">
        <f t="shared" si="113"/>
        <v>3.8861927819968684E-3</v>
      </c>
      <c r="CR94" s="155">
        <f t="shared" si="114"/>
        <v>0.38861927819968689</v>
      </c>
      <c r="CS94" s="137">
        <f t="shared" si="82"/>
        <v>126.31861455817813</v>
      </c>
      <c r="CT94" s="84">
        <f t="shared" si="83"/>
        <v>0.90245158120585078</v>
      </c>
      <c r="CU94" s="84">
        <f t="shared" si="84"/>
        <v>0.7267113050816757</v>
      </c>
      <c r="CV94" s="84">
        <f t="shared" si="85"/>
        <v>0.7267113050816757</v>
      </c>
      <c r="CW94" s="84">
        <f t="shared" si="86"/>
        <v>0.2061889785743691</v>
      </c>
      <c r="CX94" s="84">
        <f t="shared" si="102"/>
        <v>0.20737476336498736</v>
      </c>
      <c r="CY94" s="106">
        <f t="shared" si="77"/>
        <v>-9.7548418794149216E-2</v>
      </c>
      <c r="CZ94" s="106">
        <f t="shared" si="99"/>
        <v>-0.13862132356982049</v>
      </c>
      <c r="DA94" s="106">
        <v>0.05</v>
      </c>
      <c r="DB94" s="106">
        <v>-0.05</v>
      </c>
      <c r="DC94" s="453">
        <f t="shared" si="87"/>
        <v>4.1572409828694816</v>
      </c>
      <c r="DD94" s="11">
        <f t="shared" si="88"/>
        <v>192.75510204081633</v>
      </c>
      <c r="DE94" s="11">
        <f t="shared" si="89"/>
        <v>97.120822622107966</v>
      </c>
      <c r="DF94" s="11">
        <f t="shared" si="90"/>
        <v>169.96621621621622</v>
      </c>
      <c r="DG94" s="11">
        <f t="shared" si="91"/>
        <v>263.02083333333331</v>
      </c>
      <c r="DH94" s="11"/>
      <c r="DI94" s="11"/>
      <c r="DJ94" s="11">
        <f t="shared" si="92"/>
        <v>79.103773584905667</v>
      </c>
      <c r="DK94" s="11">
        <f t="shared" si="93"/>
        <v>177.81690140845072</v>
      </c>
      <c r="DL94" s="11"/>
      <c r="DM94" s="11"/>
    </row>
    <row r="95" spans="1:117" x14ac:dyDescent="0.25">
      <c r="A95" s="80">
        <v>43617</v>
      </c>
      <c r="B95" s="105">
        <v>72922</v>
      </c>
      <c r="C95" s="95">
        <v>1701</v>
      </c>
      <c r="D95" s="104">
        <f t="shared" si="37"/>
        <v>2.3326293848221387E-2</v>
      </c>
      <c r="E95" s="144">
        <v>71199.016400000008</v>
      </c>
      <c r="F95" s="104">
        <f t="shared" si="27"/>
        <v>0.97637223883053137</v>
      </c>
      <c r="H95" s="110">
        <f t="shared" ref="H95:H107" si="119">1-F95-D95</f>
        <v>3.0146732124724379E-4</v>
      </c>
      <c r="I95" s="112">
        <v>4504290.1900000004</v>
      </c>
      <c r="J95" s="111">
        <f t="shared" si="104"/>
        <v>5070215.6816666666</v>
      </c>
      <c r="K95" s="95">
        <f t="shared" si="45"/>
        <v>32686</v>
      </c>
      <c r="L95" s="95">
        <f t="shared" si="46"/>
        <v>35154</v>
      </c>
      <c r="M95" s="95">
        <f t="shared" si="38"/>
        <v>350</v>
      </c>
      <c r="N95" s="95">
        <f t="shared" si="47"/>
        <v>355.58333333333331</v>
      </c>
      <c r="O95" s="95">
        <f t="shared" si="56"/>
        <v>174</v>
      </c>
      <c r="P95" s="95">
        <f t="shared" si="57"/>
        <v>183.41666666666666</v>
      </c>
      <c r="Q95" s="103">
        <v>12902</v>
      </c>
      <c r="R95" s="95">
        <f t="shared" si="43"/>
        <v>14208</v>
      </c>
      <c r="S95" s="161">
        <v>70</v>
      </c>
      <c r="T95" s="179">
        <f t="shared" si="48"/>
        <v>99.25</v>
      </c>
      <c r="U95" s="103">
        <v>41</v>
      </c>
      <c r="V95" s="179">
        <f t="shared" si="49"/>
        <v>57.166666666666664</v>
      </c>
      <c r="W95" s="103">
        <v>19784</v>
      </c>
      <c r="X95" s="95">
        <f t="shared" si="44"/>
        <v>20946</v>
      </c>
      <c r="Y95" s="103">
        <v>280</v>
      </c>
      <c r="Z95" s="179">
        <f t="shared" si="50"/>
        <v>256.33333333333331</v>
      </c>
      <c r="AA95" s="103">
        <v>133</v>
      </c>
      <c r="AB95" s="179">
        <f t="shared" si="51"/>
        <v>126.25</v>
      </c>
      <c r="AC95" s="103">
        <v>42661</v>
      </c>
      <c r="AD95" s="103">
        <v>15706</v>
      </c>
      <c r="AE95" s="9">
        <v>131</v>
      </c>
      <c r="AF95">
        <v>84</v>
      </c>
      <c r="AG95">
        <v>39</v>
      </c>
      <c r="AH95">
        <v>8</v>
      </c>
      <c r="AI95" s="102">
        <v>3.73E-2</v>
      </c>
      <c r="AJ95" s="159"/>
      <c r="AK95" s="111">
        <v>1041480</v>
      </c>
      <c r="AL95" s="101">
        <v>886384</v>
      </c>
      <c r="AM95" s="101">
        <v>16221</v>
      </c>
      <c r="AN95" s="95">
        <v>7852.0690000000004</v>
      </c>
      <c r="AO95" s="905">
        <f t="shared" si="115"/>
        <v>3.6012333388315727E-3</v>
      </c>
      <c r="AP95" s="909">
        <f t="shared" si="59"/>
        <v>0.36012333388315726</v>
      </c>
      <c r="AQ95" s="111">
        <f t="shared" si="94"/>
        <v>193.10714285714286</v>
      </c>
      <c r="AR95" s="101">
        <f t="shared" si="95"/>
        <v>123.82442748091603</v>
      </c>
      <c r="AS95" s="110">
        <f t="shared" si="60"/>
        <v>1.5574951031224795E-2</v>
      </c>
      <c r="AT95" s="112">
        <f t="shared" si="61"/>
        <v>31.863183014134492</v>
      </c>
      <c r="AU95" s="113">
        <f t="shared" si="62"/>
        <v>8.1832324978392386</v>
      </c>
      <c r="AV95" s="101">
        <f t="shared" si="100"/>
        <v>12398.571428571429</v>
      </c>
      <c r="AW95" s="114">
        <f t="shared" si="101"/>
        <v>7950.2290076335876</v>
      </c>
      <c r="AX95" s="116">
        <f t="shared" si="78"/>
        <v>0.85108115374275073</v>
      </c>
      <c r="AY95" s="111">
        <f t="shared" si="63"/>
        <v>27.118154561586</v>
      </c>
      <c r="AZ95" s="111">
        <f t="shared" si="64"/>
        <v>6.9645949556061915</v>
      </c>
      <c r="BA95" s="111">
        <f t="shared" si="96"/>
        <v>10552.190476190477</v>
      </c>
      <c r="BB95" s="101">
        <f t="shared" si="97"/>
        <v>6766.2900763358775</v>
      </c>
      <c r="BC95" s="95">
        <f t="shared" si="79"/>
        <v>389.11904761904759</v>
      </c>
      <c r="BD95" s="95">
        <f t="shared" si="80"/>
        <v>249.5114503816794</v>
      </c>
      <c r="BE95" s="111">
        <f t="shared" si="98"/>
        <v>137.80487639968183</v>
      </c>
      <c r="BF95" s="118">
        <f t="shared" si="81"/>
        <v>53622.502261904767</v>
      </c>
      <c r="BG95" s="111">
        <f t="shared" si="68"/>
        <v>573.64373517349384</v>
      </c>
      <c r="BH95" s="111">
        <f t="shared" si="69"/>
        <v>12869.400542857144</v>
      </c>
      <c r="BI95" s="114">
        <f t="shared" si="70"/>
        <v>25886.725229885058</v>
      </c>
      <c r="BJ95" s="80">
        <f t="shared" si="39"/>
        <v>43617</v>
      </c>
      <c r="BK95" s="95">
        <f t="shared" si="52"/>
        <v>41314</v>
      </c>
      <c r="BL95" s="95">
        <f t="shared" si="52"/>
        <v>17066.75</v>
      </c>
      <c r="BM95" s="95">
        <f t="shared" si="53"/>
        <v>76755.416666666672</v>
      </c>
      <c r="BN95" s="95">
        <f t="shared" si="71"/>
        <v>93.477011904761909</v>
      </c>
      <c r="BO95" s="134">
        <f t="shared" si="72"/>
        <v>112.88540638142634</v>
      </c>
      <c r="BP95" s="118">
        <f t="shared" si="105"/>
        <v>609.60239308422467</v>
      </c>
      <c r="BQ95" s="115">
        <f t="shared" si="106"/>
        <v>8278.0035833333332</v>
      </c>
      <c r="BR95" s="118">
        <f t="shared" si="116"/>
        <v>144.21195335962696</v>
      </c>
      <c r="BS95" s="118">
        <f t="shared" si="117"/>
        <v>11565.88002191307</v>
      </c>
      <c r="BT95" s="80">
        <f t="shared" si="35"/>
        <v>43617</v>
      </c>
      <c r="BU95" s="118">
        <f t="shared" si="107"/>
        <v>116.18939059593539</v>
      </c>
      <c r="BV95" s="1539">
        <f t="shared" si="23"/>
        <v>3.8137593787628127E-3</v>
      </c>
      <c r="BW95" s="11">
        <f t="shared" si="118"/>
        <v>83.583333333333329</v>
      </c>
      <c r="BX95" s="118">
        <f t="shared" si="108"/>
        <v>27566.846196623213</v>
      </c>
      <c r="BY95" s="118">
        <f t="shared" si="109"/>
        <v>14390.155646522298</v>
      </c>
      <c r="BZ95" s="96">
        <f t="shared" si="103"/>
        <v>0.96339934809931516</v>
      </c>
      <c r="CA95" s="102">
        <f t="shared" si="54"/>
        <v>2.5432079376511374E-2</v>
      </c>
      <c r="CB95" s="102">
        <f t="shared" si="55"/>
        <v>1.5301629280018976E-2</v>
      </c>
      <c r="CC95" s="155">
        <f t="shared" si="36"/>
        <v>4.3248936033337175</v>
      </c>
      <c r="CH95" s="118">
        <f t="shared" si="73"/>
        <v>34383.894580152672</v>
      </c>
      <c r="CI95">
        <v>12</v>
      </c>
      <c r="CJ95" s="11">
        <f t="shared" si="29"/>
        <v>10.333333333333334</v>
      </c>
      <c r="CK95" s="233">
        <f t="shared" si="30"/>
        <v>3.1613942768565545E-4</v>
      </c>
      <c r="CM95" s="1779"/>
      <c r="CN95" s="1779"/>
      <c r="CO95" s="1779"/>
      <c r="CP95" s="1779"/>
      <c r="CQ95" s="1344">
        <f t="shared" si="113"/>
        <v>3.8137593787628127E-3</v>
      </c>
      <c r="CR95" s="155">
        <f t="shared" si="114"/>
        <v>0.38137593787628127</v>
      </c>
      <c r="CS95" s="137">
        <f t="shared" si="82"/>
        <v>132.63765257284416</v>
      </c>
      <c r="CT95" s="84">
        <f t="shared" si="83"/>
        <v>0.85108115374275073</v>
      </c>
      <c r="CU95" s="84">
        <f t="shared" si="84"/>
        <v>0.90245158120585078</v>
      </c>
      <c r="CV95" s="84">
        <f t="shared" si="85"/>
        <v>0.90245158120585067</v>
      </c>
      <c r="CW95" s="84">
        <f t="shared" si="86"/>
        <v>0.23121956092265003</v>
      </c>
      <c r="CX95" s="84">
        <f t="shared" si="102"/>
        <v>0.23101645789811273</v>
      </c>
      <c r="CY95" s="106">
        <f t="shared" si="77"/>
        <v>-0.14891884625724927</v>
      </c>
      <c r="CZ95" s="106">
        <f t="shared" si="99"/>
        <v>-0.16903926461841534</v>
      </c>
      <c r="DA95" s="106">
        <v>0.05</v>
      </c>
      <c r="DB95" s="106">
        <v>-0.05</v>
      </c>
      <c r="DC95" s="453">
        <f t="shared" si="87"/>
        <v>4.1627244997465001</v>
      </c>
      <c r="DD95" s="11">
        <f t="shared" si="88"/>
        <v>187.85057471264369</v>
      </c>
      <c r="DE95" s="11">
        <f t="shared" si="89"/>
        <v>93.388571428571424</v>
      </c>
      <c r="DF95" s="11">
        <f t="shared" si="90"/>
        <v>148.75187969924812</v>
      </c>
      <c r="DG95" s="11">
        <f t="shared" si="91"/>
        <v>314.6829268292683</v>
      </c>
      <c r="DH95" s="11"/>
      <c r="DI95" s="11"/>
      <c r="DJ95" s="11">
        <f t="shared" si="92"/>
        <v>70.657142857142858</v>
      </c>
      <c r="DK95" s="11">
        <f t="shared" si="93"/>
        <v>184.31428571428572</v>
      </c>
      <c r="DL95" s="11"/>
      <c r="DM95" s="11"/>
    </row>
    <row r="96" spans="1:117" x14ac:dyDescent="0.25">
      <c r="A96" s="80">
        <v>43647</v>
      </c>
      <c r="B96" s="105">
        <v>82602</v>
      </c>
      <c r="C96" s="95">
        <v>1747</v>
      </c>
      <c r="D96" s="104">
        <f t="shared" si="37"/>
        <v>2.1149608968305852E-2</v>
      </c>
      <c r="E96" s="144">
        <v>80698.279700000014</v>
      </c>
      <c r="F96" s="104">
        <f t="shared" si="27"/>
        <v>0.9769530967773179</v>
      </c>
      <c r="H96" s="110">
        <f t="shared" si="119"/>
        <v>1.89729425437625E-3</v>
      </c>
      <c r="I96" s="112">
        <v>5013074.53</v>
      </c>
      <c r="J96" s="111">
        <f t="shared" si="104"/>
        <v>5056853.6550000003</v>
      </c>
      <c r="K96" s="95">
        <f t="shared" si="45"/>
        <v>36077</v>
      </c>
      <c r="L96" s="95">
        <f t="shared" si="46"/>
        <v>35258.916666666664</v>
      </c>
      <c r="M96" s="95">
        <f t="shared" si="38"/>
        <v>349</v>
      </c>
      <c r="N96" s="95">
        <f t="shared" si="47"/>
        <v>348.75</v>
      </c>
      <c r="O96" s="95">
        <f t="shared" si="56"/>
        <v>188</v>
      </c>
      <c r="P96" s="95">
        <f t="shared" si="57"/>
        <v>181.66666666666666</v>
      </c>
      <c r="Q96" s="103">
        <v>15477</v>
      </c>
      <c r="R96" s="95">
        <f t="shared" si="43"/>
        <v>14318.583333333334</v>
      </c>
      <c r="S96" s="161">
        <v>93</v>
      </c>
      <c r="T96" s="179">
        <f t="shared" si="48"/>
        <v>94.75</v>
      </c>
      <c r="U96" s="103">
        <v>49</v>
      </c>
      <c r="V96" s="179">
        <f t="shared" si="49"/>
        <v>55</v>
      </c>
      <c r="W96" s="103">
        <v>20600</v>
      </c>
      <c r="X96" s="95">
        <f t="shared" si="44"/>
        <v>20940.333333333332</v>
      </c>
      <c r="Y96" s="103">
        <v>256</v>
      </c>
      <c r="Z96" s="179">
        <f t="shared" si="50"/>
        <v>254</v>
      </c>
      <c r="AA96" s="103">
        <v>139</v>
      </c>
      <c r="AB96" s="179">
        <f t="shared" si="51"/>
        <v>126.66666666666667</v>
      </c>
      <c r="AC96" s="103">
        <v>62701</v>
      </c>
      <c r="AD96" s="103">
        <v>22787</v>
      </c>
      <c r="AE96" s="9">
        <v>133</v>
      </c>
      <c r="AF96">
        <v>79</v>
      </c>
      <c r="AG96">
        <v>45</v>
      </c>
      <c r="AH96">
        <v>9</v>
      </c>
      <c r="AI96" s="102">
        <v>5.0799999999999956E-2</v>
      </c>
      <c r="AJ96" s="159"/>
      <c r="AK96" s="111">
        <v>1287992</v>
      </c>
      <c r="AL96" s="101">
        <v>956380</v>
      </c>
      <c r="AM96" s="101">
        <v>131001</v>
      </c>
      <c r="AN96" s="95">
        <v>8179.0410000000002</v>
      </c>
      <c r="AO96" s="905">
        <f t="shared" si="115"/>
        <v>2.6131867622562553E-2</v>
      </c>
      <c r="AP96" s="909">
        <f t="shared" si="59"/>
        <v>2.6131867622562552</v>
      </c>
      <c r="AQ96" s="111">
        <f t="shared" si="94"/>
        <v>1658.2405063291139</v>
      </c>
      <c r="AR96" s="101">
        <f t="shared" si="95"/>
        <v>984.96992481203006</v>
      </c>
      <c r="AS96" s="110">
        <f t="shared" si="60"/>
        <v>0.10170948266759421</v>
      </c>
      <c r="AT96" s="112">
        <f t="shared" si="61"/>
        <v>35.70119466696233</v>
      </c>
      <c r="AU96" s="113">
        <f t="shared" si="62"/>
        <v>8.1574585052166668</v>
      </c>
      <c r="AV96" s="101">
        <f t="shared" si="100"/>
        <v>16303.696202531646</v>
      </c>
      <c r="AW96" s="114">
        <f t="shared" si="101"/>
        <v>9684.1503759398493</v>
      </c>
      <c r="AX96" s="116">
        <f t="shared" si="78"/>
        <v>0.7425356679234032</v>
      </c>
      <c r="AY96" s="111">
        <f t="shared" si="63"/>
        <v>26.509410427696317</v>
      </c>
      <c r="AZ96" s="111">
        <f t="shared" si="64"/>
        <v>6.0572038997285045</v>
      </c>
      <c r="BA96" s="111">
        <f t="shared" si="96"/>
        <v>12106.075949367088</v>
      </c>
      <c r="BB96" s="101">
        <f t="shared" si="97"/>
        <v>7190.8270676691727</v>
      </c>
      <c r="BC96" s="95">
        <f t="shared" si="79"/>
        <v>456.67088607594934</v>
      </c>
      <c r="BD96" s="95">
        <f t="shared" si="80"/>
        <v>271.25563909774434</v>
      </c>
      <c r="BE96" s="111">
        <f t="shared" si="98"/>
        <v>138.95486126895253</v>
      </c>
      <c r="BF96" s="118">
        <f t="shared" si="81"/>
        <v>63456.639620253169</v>
      </c>
      <c r="BG96" s="111">
        <f t="shared" si="68"/>
        <v>612.91715373477166</v>
      </c>
      <c r="BH96" s="111">
        <f t="shared" si="69"/>
        <v>14364.110401146132</v>
      </c>
      <c r="BI96" s="114">
        <f t="shared" si="70"/>
        <v>26665.290053191489</v>
      </c>
      <c r="BJ96" s="80">
        <f t="shared" si="39"/>
        <v>43647</v>
      </c>
      <c r="BK96" s="95">
        <f t="shared" si="52"/>
        <v>42472.166666666664</v>
      </c>
      <c r="BL96" s="95">
        <f t="shared" si="52"/>
        <v>17647.75</v>
      </c>
      <c r="BM96" s="95">
        <f t="shared" si="53"/>
        <v>77960.25</v>
      </c>
      <c r="BN96" s="95">
        <f t="shared" si="71"/>
        <v>103.53216455696203</v>
      </c>
      <c r="BO96" s="134">
        <f t="shared" si="72"/>
        <v>116.93057902509597</v>
      </c>
      <c r="BP96" s="118">
        <f t="shared" si="105"/>
        <v>609.08354300137808</v>
      </c>
      <c r="BQ96" s="115">
        <f t="shared" si="106"/>
        <v>8263.2762500000008</v>
      </c>
      <c r="BR96" s="118">
        <f t="shared" si="116"/>
        <v>143.4094745403917</v>
      </c>
      <c r="BS96" s="118">
        <f t="shared" si="117"/>
        <v>11493.040030680671</v>
      </c>
      <c r="BT96" s="80">
        <f t="shared" si="35"/>
        <v>43647</v>
      </c>
      <c r="BU96" s="118">
        <f t="shared" si="107"/>
        <v>115.96572184853012</v>
      </c>
      <c r="BV96" s="1539">
        <f t="shared" si="23"/>
        <v>5.6070946916425115E-3</v>
      </c>
      <c r="BW96" s="11">
        <f t="shared" si="118"/>
        <v>83.75</v>
      </c>
      <c r="BX96" s="118">
        <f t="shared" si="108"/>
        <v>27726.187014452968</v>
      </c>
      <c r="BY96" s="118">
        <f t="shared" si="109"/>
        <v>14586.890513671175</v>
      </c>
      <c r="BZ96" s="96">
        <f t="shared" si="103"/>
        <v>0.96783185686359108</v>
      </c>
      <c r="CA96" s="102">
        <f t="shared" si="54"/>
        <v>2.5143742611152032E-2</v>
      </c>
      <c r="CB96" s="102">
        <f t="shared" si="55"/>
        <v>8.1973344247339985E-3</v>
      </c>
      <c r="CC96" s="155">
        <f t="shared" si="36"/>
        <v>3.8921627851725789</v>
      </c>
      <c r="CH96" s="118">
        <f t="shared" si="73"/>
        <v>37692.289699248126</v>
      </c>
      <c r="CI96">
        <v>22</v>
      </c>
      <c r="CJ96" s="11">
        <f t="shared" si="29"/>
        <v>10.916666666666666</v>
      </c>
      <c r="CK96" s="233">
        <f t="shared" si="30"/>
        <v>3.0259352680840054E-4</v>
      </c>
      <c r="CM96" s="1779"/>
      <c r="CN96" s="1779"/>
      <c r="CO96" s="1779"/>
      <c r="CP96" s="1779"/>
      <c r="CQ96" s="1344">
        <f t="shared" si="113"/>
        <v>5.6070946916425115E-3</v>
      </c>
      <c r="CR96" s="155">
        <f t="shared" si="114"/>
        <v>0.56070946916425113</v>
      </c>
      <c r="CS96" s="137">
        <f t="shared" si="82"/>
        <v>157.47469660562894</v>
      </c>
      <c r="CT96" s="84">
        <f t="shared" si="83"/>
        <v>0.74253566792340331</v>
      </c>
      <c r="CU96" s="84">
        <f t="shared" si="84"/>
        <v>0.85108115374275073</v>
      </c>
      <c r="CV96" s="84">
        <f t="shared" si="85"/>
        <v>0.85108115374275073</v>
      </c>
      <c r="CW96" s="84">
        <f t="shared" si="86"/>
        <v>0.25692656119357554</v>
      </c>
      <c r="CX96" s="84">
        <f t="shared" si="102"/>
        <v>0.21065314716383238</v>
      </c>
      <c r="CY96" s="106">
        <f t="shared" si="77"/>
        <v>-0.2574643320765968</v>
      </c>
      <c r="CZ96" s="106">
        <f t="shared" si="99"/>
        <v>-0.17216446077197922</v>
      </c>
      <c r="DA96" s="106">
        <v>0.05</v>
      </c>
      <c r="DB96" s="106">
        <v>-0.05</v>
      </c>
      <c r="DC96" s="453">
        <f t="shared" si="87"/>
        <v>4.4109083204253405</v>
      </c>
      <c r="DD96" s="11">
        <f t="shared" si="88"/>
        <v>191.89893617021278</v>
      </c>
      <c r="DE96" s="11">
        <f t="shared" si="89"/>
        <v>103.37249283667622</v>
      </c>
      <c r="DF96" s="11">
        <f t="shared" si="90"/>
        <v>148.20143884892087</v>
      </c>
      <c r="DG96" s="11">
        <f t="shared" si="91"/>
        <v>315.85714285714283</v>
      </c>
      <c r="DH96" s="11"/>
      <c r="DI96" s="11"/>
      <c r="DJ96" s="11">
        <f t="shared" si="92"/>
        <v>80.46875</v>
      </c>
      <c r="DK96" s="11">
        <f t="shared" si="93"/>
        <v>166.41935483870967</v>
      </c>
      <c r="DL96" s="11"/>
      <c r="DM96" s="11"/>
    </row>
    <row r="97" spans="1:117" x14ac:dyDescent="0.25">
      <c r="A97" s="80">
        <v>43678</v>
      </c>
      <c r="B97" s="105">
        <v>86741</v>
      </c>
      <c r="C97" s="95">
        <v>1681</v>
      </c>
      <c r="D97" s="104">
        <f t="shared" si="37"/>
        <v>1.9379532170484545E-2</v>
      </c>
      <c r="E97" s="144">
        <v>84539.285299999989</v>
      </c>
      <c r="F97" s="104">
        <f t="shared" si="27"/>
        <v>0.97461737010179716</v>
      </c>
      <c r="H97" s="110">
        <f t="shared" si="119"/>
        <v>6.0030977277182908E-3</v>
      </c>
      <c r="I97" s="112">
        <v>5510141.6299999999</v>
      </c>
      <c r="J97" s="111">
        <f t="shared" si="104"/>
        <v>5013335.6033333344</v>
      </c>
      <c r="K97" s="95">
        <f t="shared" si="45"/>
        <v>38941</v>
      </c>
      <c r="L97" s="95">
        <f t="shared" si="46"/>
        <v>35772.5</v>
      </c>
      <c r="M97" s="95">
        <f t="shared" si="38"/>
        <v>360</v>
      </c>
      <c r="N97" s="95">
        <f t="shared" si="47"/>
        <v>342.08333333333331</v>
      </c>
      <c r="O97" s="95">
        <f t="shared" si="56"/>
        <v>211</v>
      </c>
      <c r="P97" s="95">
        <f t="shared" si="57"/>
        <v>181.16666666666666</v>
      </c>
      <c r="Q97" s="103">
        <v>16558</v>
      </c>
      <c r="R97" s="95">
        <f t="shared" si="43"/>
        <v>14556.5</v>
      </c>
      <c r="S97" s="161">
        <v>87</v>
      </c>
      <c r="T97" s="179">
        <f t="shared" si="48"/>
        <v>92.25</v>
      </c>
      <c r="U97" s="103">
        <v>57</v>
      </c>
      <c r="V97" s="179">
        <f t="shared" si="49"/>
        <v>54.5</v>
      </c>
      <c r="W97" s="103">
        <v>22383</v>
      </c>
      <c r="X97" s="95">
        <f t="shared" si="44"/>
        <v>21216</v>
      </c>
      <c r="Y97" s="103">
        <v>273</v>
      </c>
      <c r="Z97" s="179">
        <f t="shared" si="50"/>
        <v>249.83333333333334</v>
      </c>
      <c r="AA97" s="103">
        <v>154</v>
      </c>
      <c r="AB97" s="179">
        <f t="shared" si="51"/>
        <v>126.66666666666667</v>
      </c>
      <c r="AC97" s="103">
        <v>47148</v>
      </c>
      <c r="AD97" s="103">
        <v>16384</v>
      </c>
      <c r="AE97" s="9">
        <v>132</v>
      </c>
      <c r="AF97">
        <v>80</v>
      </c>
      <c r="AG97">
        <v>43</v>
      </c>
      <c r="AH97">
        <v>9</v>
      </c>
      <c r="AI97" s="102">
        <v>7.2200000000000042E-2</v>
      </c>
      <c r="AJ97" s="159"/>
      <c r="AK97" s="111">
        <v>1105068</v>
      </c>
      <c r="AL97" s="101">
        <v>1193075</v>
      </c>
      <c r="AM97" s="101">
        <v>-1224</v>
      </c>
      <c r="AN97" s="95">
        <v>8543.8629999999994</v>
      </c>
      <c r="AO97" s="905">
        <f t="shared" si="115"/>
        <v>-2.2213585097993207E-4</v>
      </c>
      <c r="AP97" s="909">
        <f t="shared" si="59"/>
        <v>-2.2213585097993208E-2</v>
      </c>
      <c r="AQ97" s="111">
        <f t="shared" si="94"/>
        <v>-15.3</v>
      </c>
      <c r="AR97" s="101">
        <f t="shared" si="95"/>
        <v>-9.2727272727272734</v>
      </c>
      <c r="AS97" s="110">
        <f t="shared" si="60"/>
        <v>-1.1076241462063873E-3</v>
      </c>
      <c r="AT97" s="112">
        <f t="shared" si="61"/>
        <v>28.378007755322155</v>
      </c>
      <c r="AU97" s="113">
        <f t="shared" si="62"/>
        <v>7.9307448161777243</v>
      </c>
      <c r="AV97" s="101">
        <f t="shared" si="100"/>
        <v>13813.35</v>
      </c>
      <c r="AW97" s="114">
        <f t="shared" si="101"/>
        <v>8371.7272727272721</v>
      </c>
      <c r="AX97" s="116">
        <f t="shared" si="78"/>
        <v>1.0796394430026026</v>
      </c>
      <c r="AY97" s="111">
        <f t="shared" si="63"/>
        <v>30.638016486479547</v>
      </c>
      <c r="AZ97" s="111">
        <f t="shared" si="64"/>
        <v>8.5623449159338954</v>
      </c>
      <c r="BA97" s="111">
        <f t="shared" si="96"/>
        <v>14913.4375</v>
      </c>
      <c r="BB97" s="101">
        <f t="shared" si="97"/>
        <v>9038.44696969697</v>
      </c>
      <c r="BC97" s="95">
        <f t="shared" si="79"/>
        <v>486.76249999999999</v>
      </c>
      <c r="BD97" s="95">
        <f t="shared" si="80"/>
        <v>295.00757575757575</v>
      </c>
      <c r="BE97" s="111">
        <f t="shared" si="98"/>
        <v>141.49974653963687</v>
      </c>
      <c r="BF97" s="118">
        <f t="shared" si="81"/>
        <v>68876.770374999993</v>
      </c>
      <c r="BG97" s="111">
        <f t="shared" si="68"/>
        <v>644.92392141587482</v>
      </c>
      <c r="BH97" s="111">
        <f t="shared" si="69"/>
        <v>15305.948972222222</v>
      </c>
      <c r="BI97" s="114">
        <f t="shared" si="70"/>
        <v>26114.415308056872</v>
      </c>
      <c r="BJ97" s="80">
        <f t="shared" si="39"/>
        <v>43678</v>
      </c>
      <c r="BK97" s="95">
        <f t="shared" si="52"/>
        <v>42440.416666666664</v>
      </c>
      <c r="BL97" s="95">
        <f t="shared" si="52"/>
        <v>17911.916666666668</v>
      </c>
      <c r="BM97" s="95">
        <f t="shared" si="53"/>
        <v>78207.916666666672</v>
      </c>
      <c r="BN97" s="95">
        <f t="shared" si="71"/>
        <v>106.79828749999999</v>
      </c>
      <c r="BO97" s="134">
        <f t="shared" si="72"/>
        <v>139.64116699904952</v>
      </c>
      <c r="BP97" s="118">
        <f t="shared" si="105"/>
        <v>610.51425433829979</v>
      </c>
      <c r="BQ97" s="115">
        <f t="shared" si="106"/>
        <v>8174.4807499999997</v>
      </c>
      <c r="BR97" s="118">
        <f t="shared" si="116"/>
        <v>139.86472003553123</v>
      </c>
      <c r="BS97" s="118">
        <f t="shared" si="117"/>
        <v>11570.418858491917</v>
      </c>
      <c r="BT97" s="80">
        <f t="shared" si="35"/>
        <v>43678</v>
      </c>
      <c r="BU97" s="118">
        <f t="shared" si="107"/>
        <v>117.53643140804594</v>
      </c>
      <c r="BV97" s="1539">
        <f t="shared" si="23"/>
        <v>5.1742346373776704E-3</v>
      </c>
      <c r="BW97" s="11">
        <f t="shared" si="118"/>
        <v>83.5</v>
      </c>
      <c r="BX97" s="118">
        <f t="shared" si="108"/>
        <v>27585.814461399332</v>
      </c>
      <c r="BY97" s="118">
        <f t="shared" si="109"/>
        <v>14719.894168553328</v>
      </c>
      <c r="BZ97" s="96">
        <f t="shared" si="103"/>
        <v>0.97153316251370969</v>
      </c>
      <c r="CA97" s="102">
        <f t="shared" si="54"/>
        <v>2.4839735988166325E-2</v>
      </c>
      <c r="CB97" s="102">
        <f t="shared" si="55"/>
        <v>2.3733932353632602E-3</v>
      </c>
      <c r="CC97" s="155">
        <f t="shared" si="36"/>
        <v>4.9862466653635797</v>
      </c>
      <c r="CH97" s="118">
        <f t="shared" si="73"/>
        <v>41743.497196969693</v>
      </c>
      <c r="CI97">
        <v>10</v>
      </c>
      <c r="CJ97" s="11">
        <f t="shared" si="29"/>
        <v>10.333333333333334</v>
      </c>
      <c r="CK97" s="233">
        <f t="shared" si="30"/>
        <v>2.6535870504951935E-4</v>
      </c>
      <c r="CM97" s="1779"/>
      <c r="CN97" s="1779"/>
      <c r="CO97" s="1779"/>
      <c r="CP97" s="1779"/>
      <c r="CQ97" s="1344">
        <f t="shared" si="113"/>
        <v>5.1742346373776704E-3</v>
      </c>
      <c r="CR97" s="155">
        <f t="shared" si="114"/>
        <v>0.51742346373776704</v>
      </c>
      <c r="CS97" s="137">
        <f t="shared" si="82"/>
        <v>129.3405570758801</v>
      </c>
      <c r="CT97" s="84">
        <f t="shared" si="83"/>
        <v>1.0796394430026026</v>
      </c>
      <c r="CU97" s="84">
        <f t="shared" si="84"/>
        <v>0.7425356679234032</v>
      </c>
      <c r="CV97" s="84">
        <f t="shared" si="85"/>
        <v>0.74253566792340331</v>
      </c>
      <c r="CW97" s="84">
        <f t="shared" si="86"/>
        <v>0.20055165079304868</v>
      </c>
      <c r="CX97" s="84">
        <f t="shared" si="102"/>
        <v>0.23140399471533077</v>
      </c>
      <c r="CY97" s="106">
        <f t="shared" si="77"/>
        <v>7.9639443002602617E-2</v>
      </c>
      <c r="CZ97" s="106">
        <f t="shared" si="99"/>
        <v>-0.11608570580048561</v>
      </c>
      <c r="DA97" s="106">
        <v>0.05</v>
      </c>
      <c r="DB97" s="106">
        <v>-0.05</v>
      </c>
      <c r="DC97" s="453">
        <f t="shared" si="87"/>
        <v>4.5577743931521377</v>
      </c>
      <c r="DD97" s="11">
        <f t="shared" si="88"/>
        <v>184.55450236966826</v>
      </c>
      <c r="DE97" s="11">
        <f t="shared" si="89"/>
        <v>108.16944444444445</v>
      </c>
      <c r="DF97" s="11">
        <f t="shared" si="90"/>
        <v>145.34415584415584</v>
      </c>
      <c r="DG97" s="11">
        <f t="shared" si="91"/>
        <v>290.49122807017545</v>
      </c>
      <c r="DH97" s="11"/>
      <c r="DI97" s="11"/>
      <c r="DJ97" s="11">
        <f t="shared" si="92"/>
        <v>81.989010989010993</v>
      </c>
      <c r="DK97" s="11">
        <f t="shared" si="93"/>
        <v>190.32183908045977</v>
      </c>
      <c r="DL97" s="11"/>
      <c r="DM97" s="11"/>
    </row>
    <row r="98" spans="1:117" x14ac:dyDescent="0.25">
      <c r="A98" s="80">
        <v>43709</v>
      </c>
      <c r="B98" s="105">
        <v>80300</v>
      </c>
      <c r="C98" s="95">
        <v>1557</v>
      </c>
      <c r="D98" s="104">
        <f t="shared" si="37"/>
        <v>1.9389788293897883E-2</v>
      </c>
      <c r="E98" s="144">
        <v>76369.141899999988</v>
      </c>
      <c r="F98" s="104">
        <f t="shared" si="27"/>
        <v>0.95104784433374834</v>
      </c>
      <c r="H98" s="110">
        <f t="shared" si="119"/>
        <v>2.9562367372353779E-2</v>
      </c>
      <c r="I98" s="112">
        <v>5463230.4400000004</v>
      </c>
      <c r="J98" s="111">
        <f t="shared" si="104"/>
        <v>5006159.8500000006</v>
      </c>
      <c r="K98" s="95">
        <f t="shared" si="45"/>
        <v>37953</v>
      </c>
      <c r="L98" s="95">
        <f t="shared" si="46"/>
        <v>36024.416666666664</v>
      </c>
      <c r="M98" s="95">
        <f t="shared" si="38"/>
        <v>326</v>
      </c>
      <c r="N98" s="95">
        <f t="shared" si="47"/>
        <v>338.83333333333331</v>
      </c>
      <c r="O98" s="95">
        <f t="shared" si="56"/>
        <v>169</v>
      </c>
      <c r="P98" s="95">
        <f t="shared" si="57"/>
        <v>180.33333333333334</v>
      </c>
      <c r="Q98" s="103">
        <v>19241</v>
      </c>
      <c r="R98" s="95">
        <f t="shared" si="43"/>
        <v>14864.75</v>
      </c>
      <c r="S98" s="161">
        <v>110</v>
      </c>
      <c r="T98" s="179">
        <f t="shared" si="48"/>
        <v>91.166666666666671</v>
      </c>
      <c r="U98" s="103">
        <v>58</v>
      </c>
      <c r="V98" s="179">
        <f t="shared" si="49"/>
        <v>54</v>
      </c>
      <c r="W98" s="103">
        <v>18712</v>
      </c>
      <c r="X98" s="95">
        <f t="shared" si="44"/>
        <v>21159.666666666668</v>
      </c>
      <c r="Y98" s="103">
        <v>216</v>
      </c>
      <c r="Z98" s="179">
        <f t="shared" si="50"/>
        <v>247.66666666666666</v>
      </c>
      <c r="AA98" s="103">
        <v>111</v>
      </c>
      <c r="AB98" s="179">
        <f t="shared" si="51"/>
        <v>126.33333333333333</v>
      </c>
      <c r="AC98" s="103">
        <v>52455</v>
      </c>
      <c r="AD98" s="103">
        <v>20194</v>
      </c>
      <c r="AE98" s="9">
        <v>128</v>
      </c>
      <c r="AF98">
        <v>75</v>
      </c>
      <c r="AG98">
        <v>44</v>
      </c>
      <c r="AH98">
        <v>9</v>
      </c>
      <c r="AI98" s="102">
        <v>5.0799999999999956E-2</v>
      </c>
      <c r="AJ98" s="159"/>
      <c r="AK98" s="111">
        <v>1082205</v>
      </c>
      <c r="AL98" s="101">
        <v>1037342</v>
      </c>
      <c r="AM98" s="101">
        <v>24693</v>
      </c>
      <c r="AN98" s="95">
        <v>7726.2220000000007</v>
      </c>
      <c r="AO98" s="905">
        <f t="shared" si="115"/>
        <v>4.5198532756747485E-3</v>
      </c>
      <c r="AP98" s="909">
        <f t="shared" si="59"/>
        <v>0.45198532756747484</v>
      </c>
      <c r="AQ98" s="111">
        <f t="shared" si="94"/>
        <v>329.24</v>
      </c>
      <c r="AR98" s="101">
        <f t="shared" si="95"/>
        <v>192.9140625</v>
      </c>
      <c r="AS98" s="110">
        <f t="shared" si="60"/>
        <v>2.281730356078562E-2</v>
      </c>
      <c r="AT98" s="112">
        <f t="shared" si="61"/>
        <v>28.514346691961109</v>
      </c>
      <c r="AU98" s="113">
        <f t="shared" si="62"/>
        <v>7.3299967770830863</v>
      </c>
      <c r="AV98" s="101">
        <f t="shared" si="100"/>
        <v>14429.4</v>
      </c>
      <c r="AW98" s="114">
        <f t="shared" si="101"/>
        <v>8454.7265625</v>
      </c>
      <c r="AX98" s="116">
        <f t="shared" si="78"/>
        <v>0.95854482283855647</v>
      </c>
      <c r="AY98" s="111">
        <f t="shared" si="63"/>
        <v>27.332279398203042</v>
      </c>
      <c r="AZ98" s="111">
        <f t="shared" si="64"/>
        <v>7.0261304620962965</v>
      </c>
      <c r="BA98" s="111">
        <f t="shared" si="96"/>
        <v>13831.226666666667</v>
      </c>
      <c r="BB98" s="101">
        <f t="shared" si="97"/>
        <v>8104.234375</v>
      </c>
      <c r="BC98" s="95">
        <f t="shared" si="79"/>
        <v>506.04</v>
      </c>
      <c r="BD98" s="95">
        <f t="shared" si="80"/>
        <v>296.5078125</v>
      </c>
      <c r="BE98" s="111">
        <f t="shared" si="98"/>
        <v>143.94726214001528</v>
      </c>
      <c r="BF98" s="118">
        <f t="shared" si="81"/>
        <v>72843.072533333339</v>
      </c>
      <c r="BG98" s="111">
        <f t="shared" si="68"/>
        <v>707.10244152963764</v>
      </c>
      <c r="BH98" s="111">
        <f t="shared" si="69"/>
        <v>16758.375582822086</v>
      </c>
      <c r="BI98" s="114">
        <f t="shared" si="70"/>
        <v>32326.807337278107</v>
      </c>
      <c r="BJ98" s="80">
        <f t="shared" si="39"/>
        <v>43709</v>
      </c>
      <c r="BK98" s="95">
        <f t="shared" si="52"/>
        <v>42923.333333333336</v>
      </c>
      <c r="BL98" s="95">
        <f t="shared" si="52"/>
        <v>18090.583333333332</v>
      </c>
      <c r="BM98" s="95">
        <f t="shared" si="53"/>
        <v>78330.916666666672</v>
      </c>
      <c r="BN98" s="95">
        <f t="shared" si="71"/>
        <v>103.01629333333334</v>
      </c>
      <c r="BO98" s="134">
        <f t="shared" si="72"/>
        <v>134.26251536650125</v>
      </c>
      <c r="BP98" s="118">
        <f t="shared" si="105"/>
        <v>615.78264346407036</v>
      </c>
      <c r="BQ98" s="115">
        <f t="shared" si="106"/>
        <v>8100.1185000000005</v>
      </c>
      <c r="BR98" s="118">
        <f t="shared" si="116"/>
        <v>138.62113378338583</v>
      </c>
      <c r="BS98" s="118">
        <f t="shared" si="117"/>
        <v>11706.25539443963</v>
      </c>
      <c r="BT98" s="80">
        <f t="shared" si="35"/>
        <v>43709</v>
      </c>
      <c r="BU98" s="118">
        <f t="shared" si="107"/>
        <v>118.69719789568978</v>
      </c>
      <c r="BV98" s="1539">
        <f t="shared" si="23"/>
        <v>5.1533342554717565E-3</v>
      </c>
      <c r="BW98" s="11">
        <f t="shared" si="118"/>
        <v>82.666666666666671</v>
      </c>
      <c r="BX98" s="118">
        <f t="shared" si="108"/>
        <v>27696.223694813103</v>
      </c>
      <c r="BY98" s="118">
        <f t="shared" si="109"/>
        <v>14849.452983103567</v>
      </c>
      <c r="BZ98" s="96">
        <f t="shared" si="103"/>
        <v>0.97005860239851993</v>
      </c>
      <c r="CA98" s="102">
        <f t="shared" si="54"/>
        <v>2.4217443150619175E-2</v>
      </c>
      <c r="CB98" s="102">
        <f t="shared" si="55"/>
        <v>5.9679982971980001E-3</v>
      </c>
      <c r="CC98" s="155">
        <f t="shared" si="36"/>
        <v>5.0482398806141173</v>
      </c>
      <c r="CH98" s="118">
        <f t="shared" si="73"/>
        <v>42681.487812500003</v>
      </c>
      <c r="CI98">
        <v>12</v>
      </c>
      <c r="CJ98" s="11">
        <f t="shared" si="29"/>
        <v>10.5</v>
      </c>
      <c r="CK98" s="233">
        <f t="shared" si="30"/>
        <v>2.7665797170184174E-4</v>
      </c>
      <c r="CM98" s="1779"/>
      <c r="CN98" s="1779"/>
      <c r="CO98" s="1779"/>
      <c r="CP98" s="1779"/>
      <c r="CQ98" s="1344">
        <f t="shared" si="113"/>
        <v>5.1533342554717565E-3</v>
      </c>
      <c r="CR98" s="155">
        <f t="shared" si="114"/>
        <v>0.51533342554717565</v>
      </c>
      <c r="CS98" s="137">
        <f t="shared" si="82"/>
        <v>140.0691049260557</v>
      </c>
      <c r="CT98" s="84">
        <f t="shared" si="83"/>
        <v>0.95854482283855658</v>
      </c>
      <c r="CU98" s="84">
        <f t="shared" si="84"/>
        <v>1.0796394430026026</v>
      </c>
      <c r="CV98" s="84">
        <f t="shared" si="85"/>
        <v>1.0796394430026026</v>
      </c>
      <c r="CW98" s="84">
        <f t="shared" si="86"/>
        <v>0.19808884356706724</v>
      </c>
      <c r="CX98" s="84">
        <f t="shared" si="102"/>
        <v>0.21484073890441668</v>
      </c>
      <c r="CY98" s="106">
        <f t="shared" si="77"/>
        <v>-4.1455177161443535E-2</v>
      </c>
      <c r="CZ98" s="106">
        <f t="shared" si="99"/>
        <v>-8.3006044143396296E-2</v>
      </c>
      <c r="DA98" s="106">
        <v>0.05</v>
      </c>
      <c r="DB98" s="106">
        <v>-0.05</v>
      </c>
      <c r="DC98" s="453">
        <f t="shared" si="87"/>
        <v>4.9122326539413441</v>
      </c>
      <c r="DD98" s="11">
        <f t="shared" si="88"/>
        <v>224.57396449704143</v>
      </c>
      <c r="DE98" s="11">
        <f t="shared" si="89"/>
        <v>116.42024539877301</v>
      </c>
      <c r="DF98" s="11">
        <f t="shared" si="90"/>
        <v>168.57657657657657</v>
      </c>
      <c r="DG98" s="11">
        <f t="shared" si="91"/>
        <v>331.74137931034483</v>
      </c>
      <c r="DH98" s="11"/>
      <c r="DI98" s="11"/>
      <c r="DJ98" s="11">
        <f t="shared" si="92"/>
        <v>86.629629629629633</v>
      </c>
      <c r="DK98" s="11">
        <f t="shared" si="93"/>
        <v>174.91818181818181</v>
      </c>
      <c r="DL98" s="11"/>
      <c r="DM98" s="11"/>
    </row>
    <row r="99" spans="1:117" x14ac:dyDescent="0.25">
      <c r="A99" s="80">
        <v>43739</v>
      </c>
      <c r="B99" s="105">
        <v>89976</v>
      </c>
      <c r="C99" s="95">
        <v>1340</v>
      </c>
      <c r="D99" s="104">
        <f t="shared" si="37"/>
        <v>1.4892860318307104E-2</v>
      </c>
      <c r="E99" s="144">
        <v>87716.15330000002</v>
      </c>
      <c r="F99" s="104">
        <f t="shared" si="27"/>
        <v>0.97488389459411418</v>
      </c>
      <c r="H99" s="110">
        <f t="shared" si="119"/>
        <v>1.0223245087578721E-2</v>
      </c>
      <c r="I99" s="112">
        <v>5494825.4500000002</v>
      </c>
      <c r="J99" s="111">
        <f t="shared" si="104"/>
        <v>4991496.1341666663</v>
      </c>
      <c r="K99" s="95">
        <f t="shared" si="45"/>
        <v>36110</v>
      </c>
      <c r="L99" s="95">
        <f t="shared" si="46"/>
        <v>35473.083333333336</v>
      </c>
      <c r="M99" s="95">
        <f t="shared" si="38"/>
        <v>337</v>
      </c>
      <c r="N99" s="95">
        <f t="shared" si="47"/>
        <v>330.91666666666669</v>
      </c>
      <c r="O99" s="95">
        <f t="shared" si="56"/>
        <v>190</v>
      </c>
      <c r="P99" s="95">
        <f t="shared" si="57"/>
        <v>179.58333333333334</v>
      </c>
      <c r="Q99" s="103">
        <v>15291</v>
      </c>
      <c r="R99" s="95">
        <f t="shared" si="43"/>
        <v>14473.416666666666</v>
      </c>
      <c r="S99" s="161">
        <v>84</v>
      </c>
      <c r="T99" s="179">
        <f t="shared" si="48"/>
        <v>86.583333333333329</v>
      </c>
      <c r="U99" s="103">
        <v>51</v>
      </c>
      <c r="V99" s="179">
        <f t="shared" si="49"/>
        <v>52.666666666666664</v>
      </c>
      <c r="W99" s="103">
        <v>20819</v>
      </c>
      <c r="X99" s="95">
        <f t="shared" si="44"/>
        <v>20999.666666666668</v>
      </c>
      <c r="Y99" s="103">
        <v>253</v>
      </c>
      <c r="Z99" s="179">
        <f t="shared" si="50"/>
        <v>244.33333333333334</v>
      </c>
      <c r="AA99" s="103">
        <v>139</v>
      </c>
      <c r="AB99" s="179">
        <f t="shared" si="51"/>
        <v>126.91666666666667</v>
      </c>
      <c r="AC99" s="103">
        <v>55404</v>
      </c>
      <c r="AD99" s="103">
        <v>16317</v>
      </c>
      <c r="AE99" s="9">
        <v>128</v>
      </c>
      <c r="AF99">
        <v>77</v>
      </c>
      <c r="AG99">
        <v>43</v>
      </c>
      <c r="AH99">
        <v>8</v>
      </c>
      <c r="AI99" s="102">
        <v>5.7400000000000007E-2</v>
      </c>
      <c r="AJ99" s="159"/>
      <c r="AK99" s="111">
        <v>1120670</v>
      </c>
      <c r="AL99" s="101">
        <v>1120822</v>
      </c>
      <c r="AM99" s="101">
        <v>15210</v>
      </c>
      <c r="AN99" s="95">
        <v>7970.4460000000008</v>
      </c>
      <c r="AO99" s="905">
        <f t="shared" si="115"/>
        <v>2.7680588106761424E-3</v>
      </c>
      <c r="AP99" s="909">
        <f t="shared" si="59"/>
        <v>0.27680588106761422</v>
      </c>
      <c r="AQ99" s="111">
        <f t="shared" si="94"/>
        <v>197.53246753246754</v>
      </c>
      <c r="AR99" s="101">
        <f t="shared" si="95"/>
        <v>118.828125</v>
      </c>
      <c r="AS99" s="110">
        <f t="shared" si="60"/>
        <v>1.3572238036174787E-2</v>
      </c>
      <c r="AT99" s="112">
        <f t="shared" si="61"/>
        <v>31.034893381334811</v>
      </c>
      <c r="AU99" s="113">
        <f t="shared" si="62"/>
        <v>7.7640134888363779</v>
      </c>
      <c r="AV99" s="101">
        <f t="shared" si="100"/>
        <v>14554.155844155845</v>
      </c>
      <c r="AW99" s="114">
        <f t="shared" si="101"/>
        <v>8755.234375</v>
      </c>
      <c r="AX99" s="116">
        <f t="shared" si="78"/>
        <v>1.0001356331480276</v>
      </c>
      <c r="AY99" s="111">
        <f t="shared" si="63"/>
        <v>31.03910274162282</v>
      </c>
      <c r="AZ99" s="111">
        <f t="shared" si="64"/>
        <v>7.7650665464271968</v>
      </c>
      <c r="BA99" s="111">
        <f t="shared" si="96"/>
        <v>14556.129870129869</v>
      </c>
      <c r="BB99" s="101">
        <f t="shared" si="97"/>
        <v>8756.421875</v>
      </c>
      <c r="BC99" s="95">
        <f t="shared" si="79"/>
        <v>468.96103896103898</v>
      </c>
      <c r="BD99" s="95">
        <f t="shared" si="80"/>
        <v>282.109375</v>
      </c>
      <c r="BE99" s="111">
        <f t="shared" si="98"/>
        <v>152.16907920243699</v>
      </c>
      <c r="BF99" s="118">
        <f t="shared" si="81"/>
        <v>71361.369480519483</v>
      </c>
      <c r="BG99" s="111">
        <f t="shared" si="68"/>
        <v>689.39999718961769</v>
      </c>
      <c r="BH99" s="111">
        <f t="shared" si="69"/>
        <v>16305.120029673591</v>
      </c>
      <c r="BI99" s="114">
        <f t="shared" si="70"/>
        <v>28920.133947368424</v>
      </c>
      <c r="BJ99" s="80">
        <f t="shared" si="39"/>
        <v>43739</v>
      </c>
      <c r="BK99" s="95">
        <f t="shared" si="52"/>
        <v>42822.916666666664</v>
      </c>
      <c r="BL99" s="95">
        <f t="shared" si="52"/>
        <v>17701.666666666668</v>
      </c>
      <c r="BM99" s="95">
        <f t="shared" si="53"/>
        <v>78722.416666666672</v>
      </c>
      <c r="BN99" s="95">
        <f t="shared" si="71"/>
        <v>103.51228571428572</v>
      </c>
      <c r="BO99" s="134">
        <f t="shared" si="72"/>
        <v>140.62224372387692</v>
      </c>
      <c r="BP99" s="118">
        <f t="shared" si="105"/>
        <v>623.28318961485797</v>
      </c>
      <c r="BQ99" s="115">
        <f t="shared" si="106"/>
        <v>7975.9155833333325</v>
      </c>
      <c r="BR99" s="118">
        <f t="shared" si="116"/>
        <v>140.24150942897893</v>
      </c>
      <c r="BS99" s="118">
        <f t="shared" si="117"/>
        <v>11819.916548275754</v>
      </c>
      <c r="BT99" s="80">
        <f t="shared" si="35"/>
        <v>43739</v>
      </c>
      <c r="BU99" s="118">
        <f t="shared" si="107"/>
        <v>120.77115946988668</v>
      </c>
      <c r="BV99" s="1539">
        <f t="shared" si="23"/>
        <v>4.8601811038889667E-3</v>
      </c>
      <c r="BW99" s="11">
        <f t="shared" si="118"/>
        <v>82.166666666666671</v>
      </c>
      <c r="BX99" s="118">
        <f t="shared" si="108"/>
        <v>27731.532160276387</v>
      </c>
      <c r="BY99" s="118">
        <f t="shared" si="109"/>
        <v>15114.310585885009</v>
      </c>
      <c r="BZ99" s="96">
        <f t="shared" si="103"/>
        <v>0.97021559361469611</v>
      </c>
      <c r="CA99" s="102">
        <f t="shared" si="54"/>
        <v>2.3604773746068369E-2</v>
      </c>
      <c r="CB99" s="102">
        <f t="shared" si="55"/>
        <v>6.4999041459955905E-3</v>
      </c>
      <c r="CC99" s="155">
        <f t="shared" si="36"/>
        <v>4.9031610108238821</v>
      </c>
      <c r="CH99" s="118">
        <f t="shared" si="73"/>
        <v>42928.323828125001</v>
      </c>
      <c r="CI99">
        <v>5</v>
      </c>
      <c r="CJ99" s="11">
        <f t="shared" si="29"/>
        <v>10</v>
      </c>
      <c r="CK99" s="233">
        <f t="shared" si="30"/>
        <v>2.7693159789531985E-4</v>
      </c>
      <c r="CM99" s="1779"/>
      <c r="CN99" s="1779"/>
      <c r="CO99" s="1779"/>
      <c r="CP99" s="1779"/>
      <c r="CQ99" s="1344">
        <f t="shared" si="113"/>
        <v>4.8601811038889667E-3</v>
      </c>
      <c r="CR99" s="155">
        <f t="shared" si="114"/>
        <v>0.4860181103888967</v>
      </c>
      <c r="CS99" s="137">
        <f t="shared" si="82"/>
        <v>140.60317327286327</v>
      </c>
      <c r="CT99" s="84">
        <f t="shared" si="83"/>
        <v>1.0001356331480273</v>
      </c>
      <c r="CU99" s="84">
        <f t="shared" si="84"/>
        <v>0.95854482283855658</v>
      </c>
      <c r="CV99" s="84">
        <f t="shared" si="85"/>
        <v>0.95854482283855647</v>
      </c>
      <c r="CW99" s="84">
        <f t="shared" si="86"/>
        <v>0.20395006360029141</v>
      </c>
      <c r="CX99" s="84">
        <f t="shared" si="102"/>
        <v>0.21102886310292446</v>
      </c>
      <c r="CY99" s="106">
        <f t="shared" si="77"/>
        <v>1.3563314802755855E-4</v>
      </c>
      <c r="CZ99" s="106">
        <f t="shared" si="99"/>
        <v>1.3088496385820436E-2</v>
      </c>
      <c r="DA99" s="106">
        <v>0.05</v>
      </c>
      <c r="DB99" s="106">
        <v>-0.05</v>
      </c>
      <c r="DC99" s="453">
        <f t="shared" si="87"/>
        <v>4.5304867506786941</v>
      </c>
      <c r="DD99" s="11">
        <f t="shared" si="88"/>
        <v>190.05263157894737</v>
      </c>
      <c r="DE99" s="11">
        <f t="shared" si="89"/>
        <v>107.15133531157269</v>
      </c>
      <c r="DF99" s="11">
        <f t="shared" si="90"/>
        <v>149.77697841726618</v>
      </c>
      <c r="DG99" s="11">
        <f t="shared" si="91"/>
        <v>299.8235294117647</v>
      </c>
      <c r="DH99" s="11"/>
      <c r="DI99" s="11"/>
      <c r="DJ99" s="11">
        <f t="shared" si="92"/>
        <v>82.28853754940711</v>
      </c>
      <c r="DK99" s="11">
        <f t="shared" si="93"/>
        <v>182.03571428571428</v>
      </c>
      <c r="DL99" s="11"/>
      <c r="DM99" s="11"/>
    </row>
    <row r="100" spans="1:117" x14ac:dyDescent="0.25">
      <c r="A100" s="80">
        <v>43770</v>
      </c>
      <c r="B100" s="105">
        <v>87133</v>
      </c>
      <c r="C100" s="95">
        <v>1135</v>
      </c>
      <c r="D100" s="104">
        <f t="shared" si="37"/>
        <v>1.3026063603915852E-2</v>
      </c>
      <c r="E100" s="144">
        <v>85162.418000000005</v>
      </c>
      <c r="F100" s="104">
        <f t="shared" si="27"/>
        <v>0.97738420575442142</v>
      </c>
      <c r="H100" s="110">
        <f t="shared" si="119"/>
        <v>9.5897306416627276E-3</v>
      </c>
      <c r="I100" s="112">
        <v>5484324.0700000003</v>
      </c>
      <c r="J100" s="111">
        <f t="shared" si="104"/>
        <v>4909859.8624999998</v>
      </c>
      <c r="K100" s="95">
        <f t="shared" si="45"/>
        <v>34330</v>
      </c>
      <c r="L100" s="95">
        <f t="shared" si="46"/>
        <v>34568.75</v>
      </c>
      <c r="M100" s="95">
        <f t="shared" si="38"/>
        <v>302</v>
      </c>
      <c r="N100" s="95">
        <f t="shared" si="47"/>
        <v>323.75</v>
      </c>
      <c r="O100" s="95">
        <f t="shared" si="56"/>
        <v>181</v>
      </c>
      <c r="P100" s="95">
        <f t="shared" si="57"/>
        <v>177.41666666666666</v>
      </c>
      <c r="Q100" s="103">
        <v>15252</v>
      </c>
      <c r="R100" s="95">
        <f t="shared" si="43"/>
        <v>14258.25</v>
      </c>
      <c r="S100" s="161">
        <v>93</v>
      </c>
      <c r="T100" s="179">
        <f t="shared" si="48"/>
        <v>84.416666666666671</v>
      </c>
      <c r="U100" s="103">
        <v>58</v>
      </c>
      <c r="V100" s="179">
        <f t="shared" si="49"/>
        <v>51.833333333333336</v>
      </c>
      <c r="W100" s="103">
        <v>19078</v>
      </c>
      <c r="X100" s="95">
        <f t="shared" si="44"/>
        <v>20310.5</v>
      </c>
      <c r="Y100" s="103">
        <v>209</v>
      </c>
      <c r="Z100" s="179">
        <f t="shared" si="50"/>
        <v>239.33333333333334</v>
      </c>
      <c r="AA100" s="103">
        <v>123</v>
      </c>
      <c r="AB100" s="179">
        <f t="shared" si="51"/>
        <v>125.58333333333333</v>
      </c>
      <c r="AC100" s="103">
        <v>44484</v>
      </c>
      <c r="AD100" s="103">
        <v>14217</v>
      </c>
      <c r="AE100" s="9">
        <v>128</v>
      </c>
      <c r="AF100">
        <v>77</v>
      </c>
      <c r="AG100">
        <v>43</v>
      </c>
      <c r="AH100">
        <v>8</v>
      </c>
      <c r="AI100" s="102">
        <v>6.2899999999999956E-2</v>
      </c>
      <c r="AJ100" s="159"/>
      <c r="AK100" s="111">
        <v>1107174</v>
      </c>
      <c r="AL100" s="101">
        <v>1106002</v>
      </c>
      <c r="AM100" s="101">
        <v>592</v>
      </c>
      <c r="AN100" s="95">
        <v>7625.1850000000004</v>
      </c>
      <c r="AO100" s="905">
        <f t="shared" si="115"/>
        <v>1.0794402235242089E-4</v>
      </c>
      <c r="AP100" s="909">
        <f t="shared" si="59"/>
        <v>1.079440223524209E-2</v>
      </c>
      <c r="AQ100" s="111">
        <f t="shared" si="94"/>
        <v>7.6883116883116882</v>
      </c>
      <c r="AR100" s="101">
        <f t="shared" si="95"/>
        <v>4.625</v>
      </c>
      <c r="AS100" s="110">
        <f t="shared" si="60"/>
        <v>5.3469463697666309E-4</v>
      </c>
      <c r="AT100" s="112">
        <f t="shared" si="61"/>
        <v>32.25091756481212</v>
      </c>
      <c r="AU100" s="113">
        <f t="shared" si="62"/>
        <v>8.6105169970064956</v>
      </c>
      <c r="AV100" s="101">
        <f t="shared" si="100"/>
        <v>14378.883116883117</v>
      </c>
      <c r="AW100" s="114">
        <f t="shared" si="101"/>
        <v>8649.796875</v>
      </c>
      <c r="AX100" s="116">
        <f t="shared" si="78"/>
        <v>0.99894144913085026</v>
      </c>
      <c r="AY100" s="111">
        <f t="shared" si="63"/>
        <v>32.216778327993012</v>
      </c>
      <c r="AZ100" s="111">
        <f t="shared" si="64"/>
        <v>8.6014023267554851</v>
      </c>
      <c r="BA100" s="111">
        <f t="shared" si="96"/>
        <v>14363.662337662337</v>
      </c>
      <c r="BB100" s="101">
        <f t="shared" si="97"/>
        <v>8640.640625</v>
      </c>
      <c r="BC100" s="95">
        <f t="shared" si="79"/>
        <v>445.84415584415586</v>
      </c>
      <c r="BD100" s="95">
        <f t="shared" si="80"/>
        <v>268.203125</v>
      </c>
      <c r="BE100" s="111">
        <f t="shared" si="98"/>
        <v>159.75310428196914</v>
      </c>
      <c r="BF100" s="118">
        <f t="shared" si="81"/>
        <v>71224.987922077926</v>
      </c>
      <c r="BG100" s="111">
        <f t="shared" si="68"/>
        <v>719.23816536910249</v>
      </c>
      <c r="BH100" s="111">
        <f t="shared" si="69"/>
        <v>18160.013476821194</v>
      </c>
      <c r="BI100" s="114">
        <f t="shared" si="70"/>
        <v>30300.132983425417</v>
      </c>
      <c r="BJ100" s="80">
        <f t="shared" si="39"/>
        <v>43770</v>
      </c>
      <c r="BK100" s="95">
        <f t="shared" si="52"/>
        <v>42856.166666666664</v>
      </c>
      <c r="BL100" s="95">
        <f t="shared" si="52"/>
        <v>17212.5</v>
      </c>
      <c r="BM100" s="95">
        <f t="shared" si="53"/>
        <v>77862</v>
      </c>
      <c r="BN100" s="95">
        <f t="shared" si="71"/>
        <v>99.02837662337663</v>
      </c>
      <c r="BO100" s="134">
        <f t="shared" si="72"/>
        <v>145.04592347595499</v>
      </c>
      <c r="BP100" s="118">
        <f t="shared" si="105"/>
        <v>627.96488845185775</v>
      </c>
      <c r="BQ100" s="115">
        <f t="shared" si="106"/>
        <v>7798.954999999999</v>
      </c>
      <c r="BR100" s="118">
        <f t="shared" si="116"/>
        <v>141.63219124118277</v>
      </c>
      <c r="BS100" s="118">
        <f t="shared" si="117"/>
        <v>11896.310066944585</v>
      </c>
      <c r="BT100" s="80">
        <f t="shared" si="35"/>
        <v>43770</v>
      </c>
      <c r="BU100" s="118">
        <f t="shared" si="107"/>
        <v>122.74304564265431</v>
      </c>
      <c r="BV100" s="1539">
        <f t="shared" si="23"/>
        <v>4.4858716346801355E-3</v>
      </c>
      <c r="BW100" s="11">
        <f t="shared" si="118"/>
        <v>81.25</v>
      </c>
      <c r="BX100" s="118">
        <f t="shared" si="108"/>
        <v>27654.305186672947</v>
      </c>
      <c r="BY100" s="118">
        <f t="shared" si="109"/>
        <v>15239.337626049659</v>
      </c>
      <c r="BZ100" s="96">
        <f t="shared" si="103"/>
        <v>0.9701786045394144</v>
      </c>
      <c r="CA100" s="102">
        <f t="shared" si="54"/>
        <v>2.292969157965688E-2</v>
      </c>
      <c r="CB100" s="102">
        <f t="shared" si="55"/>
        <v>7.5680110085353082E-3</v>
      </c>
      <c r="CC100" s="155">
        <f t="shared" si="36"/>
        <v>4.9534436953902459</v>
      </c>
      <c r="CH100" s="118">
        <f t="shared" si="73"/>
        <v>42846.281796875002</v>
      </c>
      <c r="CI100">
        <v>6</v>
      </c>
      <c r="CJ100" s="11">
        <f t="shared" si="29"/>
        <v>9.9166666666666661</v>
      </c>
      <c r="CK100" s="233">
        <f t="shared" si="30"/>
        <v>2.8886299640741819E-4</v>
      </c>
      <c r="CM100" s="1779"/>
      <c r="CN100" s="1779"/>
      <c r="CO100" s="1779"/>
      <c r="CP100" s="1779"/>
      <c r="CQ100" s="1344">
        <f t="shared" si="113"/>
        <v>4.4858716346801355E-3</v>
      </c>
      <c r="CR100" s="155">
        <f t="shared" si="114"/>
        <v>0.44858716346801347</v>
      </c>
      <c r="CS100" s="137">
        <f t="shared" si="82"/>
        <v>145.19962466484418</v>
      </c>
      <c r="CT100" s="84">
        <f t="shared" si="83"/>
        <v>0.99894144913085026</v>
      </c>
      <c r="CU100" s="84">
        <f t="shared" si="84"/>
        <v>1.0001356331480273</v>
      </c>
      <c r="CV100" s="84">
        <f t="shared" si="85"/>
        <v>1.0001356331480276</v>
      </c>
      <c r="CW100" s="84">
        <f t="shared" si="86"/>
        <v>0.20187975507435685</v>
      </c>
      <c r="CX100" s="84">
        <f t="shared" si="102"/>
        <v>0.20118395317754231</v>
      </c>
      <c r="CY100" s="106">
        <f t="shared" si="77"/>
        <v>-1.0585508691497436E-3</v>
      </c>
      <c r="CZ100" s="106">
        <f t="shared" si="99"/>
        <v>-1.3861728330909928E-2</v>
      </c>
      <c r="DA100" s="106">
        <v>0.05</v>
      </c>
      <c r="DB100" s="106">
        <v>-0.05</v>
      </c>
      <c r="DC100" s="453">
        <f t="shared" si="87"/>
        <v>4.5021858486056399</v>
      </c>
      <c r="DD100" s="11">
        <f t="shared" si="88"/>
        <v>189.66850828729281</v>
      </c>
      <c r="DE100" s="11">
        <f t="shared" si="89"/>
        <v>113.67549668874172</v>
      </c>
      <c r="DF100" s="11">
        <f t="shared" si="90"/>
        <v>155.10569105691056</v>
      </c>
      <c r="DG100" s="11">
        <f t="shared" si="91"/>
        <v>262.9655172413793</v>
      </c>
      <c r="DH100" s="11"/>
      <c r="DI100" s="11"/>
      <c r="DJ100" s="11">
        <f t="shared" si="92"/>
        <v>91.282296650717697</v>
      </c>
      <c r="DK100" s="11">
        <f t="shared" si="93"/>
        <v>164</v>
      </c>
      <c r="DL100" s="11"/>
      <c r="DM100" s="11"/>
    </row>
    <row r="101" spans="1:117" x14ac:dyDescent="0.25">
      <c r="A101" s="80">
        <v>43800</v>
      </c>
      <c r="B101" s="105">
        <v>62837</v>
      </c>
      <c r="C101" s="95">
        <v>922</v>
      </c>
      <c r="D101" s="104">
        <f t="shared" si="37"/>
        <v>1.4672883810493817E-2</v>
      </c>
      <c r="E101" s="144">
        <v>61284.890199999987</v>
      </c>
      <c r="F101" s="104">
        <f t="shared" si="27"/>
        <v>0.97529942868055419</v>
      </c>
      <c r="H101" s="110">
        <f t="shared" si="119"/>
        <v>1.002768750895199E-2</v>
      </c>
      <c r="I101" s="112">
        <v>3832569.98</v>
      </c>
      <c r="J101" s="111">
        <f t="shared" si="104"/>
        <v>4941226.9183333339</v>
      </c>
      <c r="K101" s="95">
        <f t="shared" si="45"/>
        <v>30474</v>
      </c>
      <c r="L101" s="95">
        <f t="shared" si="46"/>
        <v>34806.166666666664</v>
      </c>
      <c r="M101" s="95">
        <f t="shared" si="38"/>
        <v>224</v>
      </c>
      <c r="N101" s="95">
        <f t="shared" si="47"/>
        <v>322.33333333333331</v>
      </c>
      <c r="O101" s="95">
        <f t="shared" si="56"/>
        <v>129</v>
      </c>
      <c r="P101" s="95">
        <f t="shared" si="57"/>
        <v>176.33333333333334</v>
      </c>
      <c r="Q101" s="103">
        <v>14238</v>
      </c>
      <c r="R101" s="95">
        <f t="shared" si="43"/>
        <v>14380.75</v>
      </c>
      <c r="S101" s="161">
        <v>64</v>
      </c>
      <c r="T101" s="179">
        <f t="shared" si="48"/>
        <v>82.583333333333329</v>
      </c>
      <c r="U101" s="103">
        <v>43</v>
      </c>
      <c r="V101" s="179">
        <f t="shared" si="49"/>
        <v>50.666666666666664</v>
      </c>
      <c r="W101" s="103">
        <v>16236</v>
      </c>
      <c r="X101" s="95">
        <f t="shared" si="44"/>
        <v>20425.416666666668</v>
      </c>
      <c r="Y101" s="103">
        <v>160</v>
      </c>
      <c r="Z101" s="179">
        <f t="shared" si="50"/>
        <v>239.75</v>
      </c>
      <c r="AA101" s="103">
        <v>86</v>
      </c>
      <c r="AB101" s="179">
        <f t="shared" si="51"/>
        <v>125.66666666666667</v>
      </c>
      <c r="AC101" s="103">
        <v>42262</v>
      </c>
      <c r="AD101" s="103">
        <v>12514</v>
      </c>
      <c r="AE101" s="9">
        <v>124</v>
      </c>
      <c r="AF101">
        <v>73</v>
      </c>
      <c r="AG101">
        <v>44</v>
      </c>
      <c r="AH101">
        <v>7</v>
      </c>
      <c r="AI101" s="102">
        <v>3.8599999999999968E-2</v>
      </c>
      <c r="AJ101" s="159"/>
      <c r="AK101" s="111">
        <v>974002</v>
      </c>
      <c r="AL101" s="101">
        <v>778737</v>
      </c>
      <c r="AM101" s="101">
        <v>8922</v>
      </c>
      <c r="AN101" s="95">
        <v>5470.2740000000003</v>
      </c>
      <c r="AO101" s="905">
        <f t="shared" si="115"/>
        <v>2.3279418370855164E-3</v>
      </c>
      <c r="AP101" s="909">
        <f t="shared" si="59"/>
        <v>0.23279418370855165</v>
      </c>
      <c r="AQ101" s="111">
        <f t="shared" si="94"/>
        <v>122.21917808219177</v>
      </c>
      <c r="AR101" s="101">
        <f t="shared" si="95"/>
        <v>71.951612903225808</v>
      </c>
      <c r="AS101" s="110">
        <f t="shared" si="60"/>
        <v>9.1601454617136306E-3</v>
      </c>
      <c r="AT101" s="112">
        <f t="shared" si="61"/>
        <v>31.961737874909758</v>
      </c>
      <c r="AU101" s="113">
        <f t="shared" si="62"/>
        <v>8.0557394268637115</v>
      </c>
      <c r="AV101" s="101">
        <f t="shared" si="100"/>
        <v>13342.493150684932</v>
      </c>
      <c r="AW101" s="114">
        <f t="shared" si="101"/>
        <v>7854.8548387096771</v>
      </c>
      <c r="AX101" s="116">
        <f t="shared" si="78"/>
        <v>0.79952299892608025</v>
      </c>
      <c r="AY101" s="111">
        <f t="shared" si="63"/>
        <v>25.554144516637134</v>
      </c>
      <c r="AZ101" s="111">
        <f t="shared" si="64"/>
        <v>6.4407489451331381</v>
      </c>
      <c r="BA101" s="111">
        <f t="shared" si="96"/>
        <v>10667.630136986301</v>
      </c>
      <c r="BB101" s="101">
        <f t="shared" si="97"/>
        <v>6280.1370967741932</v>
      </c>
      <c r="BC101" s="95">
        <f t="shared" si="79"/>
        <v>417.45205479452056</v>
      </c>
      <c r="BD101" s="95">
        <f t="shared" si="80"/>
        <v>245.75806451612902</v>
      </c>
      <c r="BE101" s="111">
        <f t="shared" si="98"/>
        <v>125.76524184550765</v>
      </c>
      <c r="BF101" s="118">
        <f t="shared" si="81"/>
        <v>52500.958630136985</v>
      </c>
      <c r="BG101" s="111">
        <f t="shared" si="68"/>
        <v>700.61755224692581</v>
      </c>
      <c r="BH101" s="111">
        <f t="shared" si="69"/>
        <v>17109.687410714287</v>
      </c>
      <c r="BI101" s="114">
        <f t="shared" si="70"/>
        <v>29709.844806201549</v>
      </c>
      <c r="BJ101" s="80">
        <f t="shared" si="39"/>
        <v>43800</v>
      </c>
      <c r="BK101" s="95">
        <f t="shared" si="52"/>
        <v>43909.833333333336</v>
      </c>
      <c r="BL101" s="95">
        <f t="shared" si="52"/>
        <v>17007.583333333332</v>
      </c>
      <c r="BM101" s="95">
        <f t="shared" si="53"/>
        <v>77985</v>
      </c>
      <c r="BN101" s="95">
        <f t="shared" si="71"/>
        <v>74.935260273972602</v>
      </c>
      <c r="BO101" s="134">
        <f t="shared" si="72"/>
        <v>142.35795135673277</v>
      </c>
      <c r="BP101" s="118">
        <f t="shared" si="105"/>
        <v>639.06832676234978</v>
      </c>
      <c r="BQ101" s="115">
        <f t="shared" si="106"/>
        <v>7747.187249999999</v>
      </c>
      <c r="BR101" s="118">
        <f t="shared" si="116"/>
        <v>141.68679002242607</v>
      </c>
      <c r="BS101" s="118">
        <f t="shared" si="117"/>
        <v>12149.788475796007</v>
      </c>
      <c r="BT101" s="80">
        <f t="shared" si="35"/>
        <v>43800</v>
      </c>
      <c r="BU101" s="118">
        <f t="shared" si="107"/>
        <v>125.11268721561468</v>
      </c>
      <c r="BV101" s="1539">
        <f t="shared" si="23"/>
        <v>4.3499008965653891E-3</v>
      </c>
      <c r="BW101" s="11">
        <f t="shared" si="118"/>
        <v>79.75</v>
      </c>
      <c r="BX101" s="118">
        <f t="shared" si="108"/>
        <v>28101.859560194436</v>
      </c>
      <c r="BY101" s="118">
        <f t="shared" si="109"/>
        <v>15470.067002253722</v>
      </c>
      <c r="BZ101" s="96">
        <f t="shared" si="103"/>
        <v>0.97010974992392507</v>
      </c>
      <c r="CA101" s="102">
        <f t="shared" si="54"/>
        <v>2.240593710952073E-2</v>
      </c>
      <c r="CB101" s="102">
        <f t="shared" si="55"/>
        <v>8.4569246369735548E-3</v>
      </c>
      <c r="CC101" s="155">
        <f t="shared" si="36"/>
        <v>3.9348686963681798</v>
      </c>
      <c r="CH101" s="118">
        <f t="shared" si="73"/>
        <v>30907.822419354838</v>
      </c>
      <c r="CI101">
        <v>3</v>
      </c>
      <c r="CJ101" s="11">
        <f t="shared" si="29"/>
        <v>9.4166666666666661</v>
      </c>
      <c r="CK101" s="233">
        <f t="shared" si="30"/>
        <v>3.0900658484828597E-4</v>
      </c>
      <c r="CM101" s="1779"/>
      <c r="CN101" s="1779"/>
      <c r="CO101" s="1779"/>
      <c r="CP101" s="1779"/>
      <c r="CQ101" s="1344">
        <f t="shared" si="113"/>
        <v>4.3499008965653891E-3</v>
      </c>
      <c r="CR101" s="155">
        <f t="shared" si="114"/>
        <v>0.43499008965653885</v>
      </c>
      <c r="CS101" s="137">
        <f t="shared" si="82"/>
        <v>178.05360389625821</v>
      </c>
      <c r="CT101" s="84">
        <f t="shared" si="83"/>
        <v>0.79952299892608025</v>
      </c>
      <c r="CU101" s="84">
        <f t="shared" si="84"/>
        <v>0.99894144913085026</v>
      </c>
      <c r="CV101" s="84">
        <f t="shared" si="85"/>
        <v>0.99894144913085026</v>
      </c>
      <c r="CW101" s="84">
        <f t="shared" si="86"/>
        <v>0.25413808621441009</v>
      </c>
      <c r="CX101" s="84">
        <f t="shared" si="102"/>
        <v>0.22347499896956596</v>
      </c>
      <c r="CY101" s="106">
        <f t="shared" si="77"/>
        <v>-0.20047700107391975</v>
      </c>
      <c r="CZ101" s="106">
        <f t="shared" si="99"/>
        <v>-6.1303697929257051E-2</v>
      </c>
      <c r="DA101" s="106">
        <v>0.05</v>
      </c>
      <c r="DB101" s="106">
        <v>-0.05</v>
      </c>
      <c r="DC101" s="453">
        <f t="shared" si="87"/>
        <v>5.5708361226512597</v>
      </c>
      <c r="DD101" s="11">
        <f t="shared" si="88"/>
        <v>236.23255813953489</v>
      </c>
      <c r="DE101" s="11">
        <f t="shared" si="89"/>
        <v>136.04464285714286</v>
      </c>
      <c r="DF101" s="11">
        <f t="shared" si="90"/>
        <v>188.7906976744186</v>
      </c>
      <c r="DG101" s="11">
        <f t="shared" si="91"/>
        <v>331.11627906976742</v>
      </c>
      <c r="DH101" s="11"/>
      <c r="DI101" s="11"/>
      <c r="DJ101" s="11">
        <f t="shared" si="92"/>
        <v>101.47499999999999</v>
      </c>
      <c r="DK101" s="11">
        <f t="shared" si="93"/>
        <v>222.46875</v>
      </c>
      <c r="DL101" s="11"/>
      <c r="DM101" s="11"/>
    </row>
    <row r="102" spans="1:117" s="31" customFormat="1" x14ac:dyDescent="0.25">
      <c r="A102" s="738">
        <v>43831</v>
      </c>
      <c r="B102" s="739">
        <v>92832</v>
      </c>
      <c r="C102" s="740">
        <v>1311</v>
      </c>
      <c r="D102" s="741">
        <f t="shared" si="37"/>
        <v>1.4122285418821096E-2</v>
      </c>
      <c r="E102" s="742">
        <v>90812.282399999996</v>
      </c>
      <c r="F102" s="741">
        <f t="shared" si="27"/>
        <v>0.97824330403309201</v>
      </c>
      <c r="H102" s="743">
        <f t="shared" si="119"/>
        <v>7.6344105480868948E-3</v>
      </c>
      <c r="I102" s="744">
        <v>5219122.3</v>
      </c>
      <c r="J102" s="745">
        <f t="shared" si="104"/>
        <v>5008573.7675000001</v>
      </c>
      <c r="K102" s="740">
        <f t="shared" si="45"/>
        <v>39057</v>
      </c>
      <c r="L102" s="740">
        <f t="shared" si="46"/>
        <v>35520.25</v>
      </c>
      <c r="M102" s="740">
        <f t="shared" si="38"/>
        <v>293</v>
      </c>
      <c r="N102" s="740">
        <f t="shared" si="47"/>
        <v>325.66666666666669</v>
      </c>
      <c r="O102" s="740">
        <f t="shared" si="56"/>
        <v>151</v>
      </c>
      <c r="P102" s="740">
        <f t="shared" si="57"/>
        <v>176.58333333333334</v>
      </c>
      <c r="Q102" s="746">
        <v>18241</v>
      </c>
      <c r="R102" s="740">
        <f t="shared" si="43"/>
        <v>14912.083333333334</v>
      </c>
      <c r="S102" s="747">
        <v>67</v>
      </c>
      <c r="T102" s="748">
        <f t="shared" si="48"/>
        <v>82.416666666666671</v>
      </c>
      <c r="U102" s="746">
        <v>39</v>
      </c>
      <c r="V102" s="748">
        <f t="shared" si="49"/>
        <v>50.083333333333336</v>
      </c>
      <c r="W102" s="746">
        <v>20816</v>
      </c>
      <c r="X102" s="740">
        <f t="shared" si="44"/>
        <v>20608.166666666668</v>
      </c>
      <c r="Y102" s="746">
        <v>226</v>
      </c>
      <c r="Z102" s="748">
        <f t="shared" si="50"/>
        <v>243.25</v>
      </c>
      <c r="AA102" s="746">
        <v>112</v>
      </c>
      <c r="AB102" s="748">
        <f t="shared" si="51"/>
        <v>126.5</v>
      </c>
      <c r="AC102" s="746">
        <v>50058</v>
      </c>
      <c r="AD102" s="746">
        <v>16445</v>
      </c>
      <c r="AE102" s="649">
        <v>126</v>
      </c>
      <c r="AF102" s="31">
        <v>68</v>
      </c>
      <c r="AG102" s="31">
        <v>50</v>
      </c>
      <c r="AH102" s="31">
        <v>8</v>
      </c>
      <c r="AI102" s="749">
        <v>5.0899999999999945E-2</v>
      </c>
      <c r="AJ102" s="750"/>
      <c r="AK102" s="745">
        <v>1071165</v>
      </c>
      <c r="AL102" s="751">
        <v>1053028</v>
      </c>
      <c r="AM102" s="751">
        <v>10984</v>
      </c>
      <c r="AN102" s="740">
        <v>7737.16</v>
      </c>
      <c r="AO102" s="905">
        <f t="shared" si="115"/>
        <v>2.1045684252311925E-3</v>
      </c>
      <c r="AP102" s="909">
        <f t="shared" si="59"/>
        <v>0.21045684252311925</v>
      </c>
      <c r="AQ102" s="745">
        <f t="shared" si="94"/>
        <v>161.52941176470588</v>
      </c>
      <c r="AR102" s="751">
        <f t="shared" si="95"/>
        <v>87.174603174603178</v>
      </c>
      <c r="AS102" s="743">
        <f t="shared" si="60"/>
        <v>1.0254255880279882E-2</v>
      </c>
      <c r="AT102" s="744">
        <f t="shared" si="61"/>
        <v>27.425685536523542</v>
      </c>
      <c r="AU102" s="753">
        <f t="shared" si="62"/>
        <v>7.5420080055482606</v>
      </c>
      <c r="AV102" s="751">
        <f t="shared" si="100"/>
        <v>15752.426470588236</v>
      </c>
      <c r="AW102" s="754">
        <f t="shared" si="101"/>
        <v>8501.3095238095229</v>
      </c>
      <c r="AX102" s="755">
        <f t="shared" si="78"/>
        <v>0.98306796805347452</v>
      </c>
      <c r="AY102" s="745">
        <f t="shared" si="63"/>
        <v>26.961312952863764</v>
      </c>
      <c r="AZ102" s="745">
        <f t="shared" si="64"/>
        <v>7.4143064850573657</v>
      </c>
      <c r="BA102" s="745">
        <f t="shared" si="96"/>
        <v>15485.705882352941</v>
      </c>
      <c r="BB102" s="751">
        <f t="shared" si="97"/>
        <v>8357.3650793650795</v>
      </c>
      <c r="BC102" s="740">
        <f t="shared" si="79"/>
        <v>574.36764705882354</v>
      </c>
      <c r="BD102" s="740">
        <f t="shared" si="80"/>
        <v>309.97619047619048</v>
      </c>
      <c r="BE102" s="745">
        <f t="shared" si="98"/>
        <v>133.62834575108175</v>
      </c>
      <c r="BF102" s="756">
        <f t="shared" si="81"/>
        <v>76751.798529411768</v>
      </c>
      <c r="BG102" s="745">
        <f t="shared" si="68"/>
        <v>674.55271701761365</v>
      </c>
      <c r="BH102" s="745">
        <f t="shared" si="69"/>
        <v>17812.704095563138</v>
      </c>
      <c r="BI102" s="754">
        <f t="shared" si="70"/>
        <v>34563.723841059604</v>
      </c>
      <c r="BJ102" s="738">
        <f t="shared" si="39"/>
        <v>43831</v>
      </c>
      <c r="BK102" s="740">
        <f t="shared" si="52"/>
        <v>45373</v>
      </c>
      <c r="BL102" s="740">
        <f t="shared" si="52"/>
        <v>16868.666666666668</v>
      </c>
      <c r="BM102" s="740">
        <f t="shared" si="53"/>
        <v>80116.333333333328</v>
      </c>
      <c r="BN102" s="740">
        <f t="shared" si="71"/>
        <v>113.78176470588235</v>
      </c>
      <c r="BO102" s="745">
        <f t="shared" si="72"/>
        <v>136.10006772510843</v>
      </c>
      <c r="BP102" s="756">
        <f t="shared" si="105"/>
        <v>646.36921980290697</v>
      </c>
      <c r="BQ102" s="757">
        <f t="shared" si="106"/>
        <v>7765.6876666666676</v>
      </c>
      <c r="BR102" s="756">
        <f t="shared" si="116"/>
        <v>140.76593836291789</v>
      </c>
      <c r="BS102" s="756">
        <f t="shared" si="117"/>
        <v>12580.55999479867</v>
      </c>
      <c r="BT102" s="738">
        <f t="shared" si="35"/>
        <v>43831</v>
      </c>
      <c r="BU102" s="756">
        <f t="shared" si="107"/>
        <v>127.18828029458517</v>
      </c>
      <c r="BV102" s="1540">
        <f t="shared" si="23"/>
        <v>4.8176404731927764E-3</v>
      </c>
      <c r="BW102" s="759">
        <f t="shared" si="118"/>
        <v>78.666666666666671</v>
      </c>
      <c r="BX102" s="756">
        <f t="shared" si="108"/>
        <v>28498.521169697149</v>
      </c>
      <c r="BY102" s="756">
        <f t="shared" si="109"/>
        <v>15501.573598491363</v>
      </c>
      <c r="BZ102" s="741">
        <f t="shared" si="103"/>
        <v>0.97019745505562283</v>
      </c>
      <c r="CA102" s="749">
        <f t="shared" si="54"/>
        <v>2.0687141795259097E-2</v>
      </c>
      <c r="CB102" s="749">
        <f t="shared" si="55"/>
        <v>8.3655341826528139E-3</v>
      </c>
      <c r="CC102" s="752">
        <f t="shared" si="36"/>
        <v>4.8723794186703264</v>
      </c>
      <c r="CH102" s="756">
        <f t="shared" si="73"/>
        <v>41421.605555555558</v>
      </c>
      <c r="CI102" s="31">
        <v>5</v>
      </c>
      <c r="CJ102" s="759">
        <f t="shared" si="29"/>
        <v>9.0833333333333339</v>
      </c>
      <c r="CK102" s="760">
        <f t="shared" si="30"/>
        <v>2.3256607863720547E-4</v>
      </c>
      <c r="CM102" s="1779"/>
      <c r="CN102" s="1779"/>
      <c r="CO102" s="1779"/>
      <c r="CP102" s="1779"/>
      <c r="CQ102" s="1344">
        <f t="shared" si="113"/>
        <v>4.8176404731927764E-3</v>
      </c>
      <c r="CR102" s="155">
        <f t="shared" si="114"/>
        <v>0.48176404731927763</v>
      </c>
      <c r="CS102" s="137">
        <f t="shared" si="82"/>
        <v>138.44420950322856</v>
      </c>
      <c r="CT102" s="84">
        <f t="shared" si="83"/>
        <v>0.98306796805347452</v>
      </c>
      <c r="CU102" s="84">
        <f t="shared" si="84"/>
        <v>0.79952299892608025</v>
      </c>
      <c r="CV102" s="84">
        <f t="shared" si="85"/>
        <v>0.79952299892608025</v>
      </c>
      <c r="CW102" s="84">
        <f t="shared" si="86"/>
        <v>0.20523853215702573</v>
      </c>
      <c r="CX102" s="84">
        <f t="shared" si="102"/>
        <v>0.22026984029912705</v>
      </c>
      <c r="CY102" s="106">
        <f t="shared" si="77"/>
        <v>-1.6932031946525483E-2</v>
      </c>
      <c r="CZ102" s="106">
        <f t="shared" si="99"/>
        <v>-6.8068143643089329E-2</v>
      </c>
      <c r="DA102" s="106">
        <v>0.05</v>
      </c>
      <c r="DB102" s="106">
        <v>-0.05</v>
      </c>
      <c r="DC102" s="453">
        <f t="shared" si="87"/>
        <v>5.0479762600230575</v>
      </c>
      <c r="DD102" s="11">
        <f t="shared" si="88"/>
        <v>258.65562913907286</v>
      </c>
      <c r="DE102" s="11">
        <f t="shared" si="89"/>
        <v>133.30034129692834</v>
      </c>
      <c r="DF102" s="11">
        <f t="shared" si="90"/>
        <v>185.85714285714286</v>
      </c>
      <c r="DG102" s="11">
        <f t="shared" si="91"/>
        <v>467.71794871794873</v>
      </c>
      <c r="DH102" s="11"/>
      <c r="DI102" s="11"/>
      <c r="DJ102" s="11">
        <f t="shared" si="92"/>
        <v>92.106194690265482</v>
      </c>
      <c r="DK102" s="11">
        <f t="shared" si="93"/>
        <v>272.25373134328356</v>
      </c>
      <c r="DL102" s="11"/>
      <c r="DM102" s="11"/>
    </row>
    <row r="103" spans="1:117" x14ac:dyDescent="0.25">
      <c r="A103" s="80">
        <v>43862</v>
      </c>
      <c r="B103" s="105">
        <v>76316</v>
      </c>
      <c r="C103" s="95">
        <v>1209</v>
      </c>
      <c r="D103" s="104">
        <f t="shared" si="37"/>
        <v>1.5842025263378585E-2</v>
      </c>
      <c r="E103" s="144">
        <v>74341.794800000003</v>
      </c>
      <c r="F103" s="104">
        <f t="shared" si="27"/>
        <v>0.97413117563813623</v>
      </c>
      <c r="H103" s="110">
        <f t="shared" si="119"/>
        <v>1.0026799098485188E-2</v>
      </c>
      <c r="I103" s="112">
        <v>4998390.04</v>
      </c>
      <c r="J103" s="111">
        <f t="shared" si="104"/>
        <v>5028486.2374999998</v>
      </c>
      <c r="K103" s="95">
        <f t="shared" si="45"/>
        <v>33516</v>
      </c>
      <c r="L103" s="95">
        <f t="shared" si="46"/>
        <v>35122.75</v>
      </c>
      <c r="M103" s="95">
        <f t="shared" si="38"/>
        <v>303</v>
      </c>
      <c r="N103" s="95">
        <f t="shared" si="47"/>
        <v>325.83333333333331</v>
      </c>
      <c r="O103" s="95">
        <f t="shared" si="56"/>
        <v>173</v>
      </c>
      <c r="P103" s="95">
        <f t="shared" si="57"/>
        <v>176.58333333333334</v>
      </c>
      <c r="Q103" s="103">
        <v>15062</v>
      </c>
      <c r="R103" s="95">
        <f t="shared" si="43"/>
        <v>14852.25</v>
      </c>
      <c r="S103" s="161">
        <v>62</v>
      </c>
      <c r="T103" s="179">
        <f t="shared" si="48"/>
        <v>79.833333333333329</v>
      </c>
      <c r="U103" s="103">
        <v>41</v>
      </c>
      <c r="V103" s="179">
        <f t="shared" si="49"/>
        <v>48.666666666666664</v>
      </c>
      <c r="W103" s="103">
        <v>18454</v>
      </c>
      <c r="X103" s="95">
        <f t="shared" si="44"/>
        <v>20270.5</v>
      </c>
      <c r="Y103" s="103">
        <v>241</v>
      </c>
      <c r="Z103" s="179">
        <f t="shared" si="50"/>
        <v>246</v>
      </c>
      <c r="AA103" s="103">
        <v>132</v>
      </c>
      <c r="AB103" s="179">
        <f t="shared" si="51"/>
        <v>127.91666666666667</v>
      </c>
      <c r="AC103" s="103">
        <v>46023</v>
      </c>
      <c r="AD103" s="103">
        <v>13516</v>
      </c>
      <c r="AE103" s="9">
        <v>121</v>
      </c>
      <c r="AF103">
        <v>65</v>
      </c>
      <c r="AG103">
        <v>48</v>
      </c>
      <c r="AH103">
        <v>8</v>
      </c>
      <c r="AI103" s="102">
        <v>4.9200000000000021E-2</v>
      </c>
      <c r="AJ103" s="159"/>
      <c r="AK103" s="111">
        <v>1058618</v>
      </c>
      <c r="AL103" s="101">
        <v>1027456</v>
      </c>
      <c r="AM103" s="101">
        <v>4786</v>
      </c>
      <c r="AN103" s="95">
        <v>7124.28</v>
      </c>
      <c r="AO103" s="905">
        <f t="shared" si="115"/>
        <v>9.5750831001575854E-4</v>
      </c>
      <c r="AP103" s="909">
        <f t="shared" si="59"/>
        <v>9.5750831001575859E-2</v>
      </c>
      <c r="AQ103" s="111">
        <f t="shared" si="94"/>
        <v>73.630769230769232</v>
      </c>
      <c r="AR103" s="101">
        <f t="shared" si="95"/>
        <v>39.553719008264466</v>
      </c>
      <c r="AS103" s="110">
        <f t="shared" si="60"/>
        <v>4.5209886852481257E-3</v>
      </c>
      <c r="AT103" s="112">
        <f t="shared" si="61"/>
        <v>31.585451724549468</v>
      </c>
      <c r="AU103" s="113">
        <f t="shared" si="62"/>
        <v>8.1964185475722537</v>
      </c>
      <c r="AV103" s="101">
        <f t="shared" si="100"/>
        <v>16286.430769230768</v>
      </c>
      <c r="AW103" s="114">
        <f t="shared" si="101"/>
        <v>8748.9090909090901</v>
      </c>
      <c r="AX103" s="116">
        <f t="shared" si="78"/>
        <v>0.97056350827210569</v>
      </c>
      <c r="AY103" s="111">
        <f t="shared" si="63"/>
        <v>30.655686836137964</v>
      </c>
      <c r="AZ103" s="111">
        <f t="shared" si="64"/>
        <v>7.9551447407982838</v>
      </c>
      <c r="BA103" s="111">
        <f t="shared" si="96"/>
        <v>15807.015384615384</v>
      </c>
      <c r="BB103" s="101">
        <f t="shared" si="97"/>
        <v>8491.371900826447</v>
      </c>
      <c r="BC103" s="95">
        <f t="shared" si="79"/>
        <v>515.63076923076926</v>
      </c>
      <c r="BD103" s="95">
        <f t="shared" si="80"/>
        <v>276.9917355371901</v>
      </c>
      <c r="BE103" s="111">
        <f t="shared" si="98"/>
        <v>149.13444444444445</v>
      </c>
      <c r="BF103" s="118">
        <f t="shared" si="81"/>
        <v>76898.308307692307</v>
      </c>
      <c r="BG103" s="111">
        <f t="shared" si="68"/>
        <v>701.59932512478451</v>
      </c>
      <c r="BH103" s="111">
        <f t="shared" si="69"/>
        <v>16496.336765676569</v>
      </c>
      <c r="BI103" s="114">
        <f t="shared" si="70"/>
        <v>28892.427976878615</v>
      </c>
      <c r="BJ103" s="80">
        <f t="shared" si="39"/>
        <v>43862</v>
      </c>
      <c r="BK103" s="95">
        <f t="shared" si="52"/>
        <v>46453.75</v>
      </c>
      <c r="BL103" s="95">
        <f t="shared" si="52"/>
        <v>16650.666666666668</v>
      </c>
      <c r="BM103" s="95">
        <f t="shared" si="53"/>
        <v>79977.166666666672</v>
      </c>
      <c r="BN103" s="95">
        <f t="shared" si="71"/>
        <v>109.60430769230769</v>
      </c>
      <c r="BO103" s="134">
        <f t="shared" si="72"/>
        <v>144.21892457904519</v>
      </c>
      <c r="BP103" s="118">
        <f t="shared" si="105"/>
        <v>656.0914407953278</v>
      </c>
      <c r="BQ103" s="115">
        <f t="shared" si="106"/>
        <v>7681.3166666666684</v>
      </c>
      <c r="BR103" s="118">
        <f t="shared" si="116"/>
        <v>142.83440755966518</v>
      </c>
      <c r="BS103" s="118">
        <f t="shared" si="117"/>
        <v>13011.940746546921</v>
      </c>
      <c r="BT103" s="80">
        <f t="shared" si="35"/>
        <v>43862</v>
      </c>
      <c r="BU103" s="118">
        <f t="shared" si="107"/>
        <v>129.62569884939626</v>
      </c>
      <c r="BV103" s="1539">
        <f t="shared" si="23"/>
        <v>4.5716942574364153E-3</v>
      </c>
      <c r="BW103" s="11">
        <f t="shared" si="118"/>
        <v>76.75</v>
      </c>
      <c r="BX103" s="118">
        <f t="shared" si="108"/>
        <v>28613.622152356111</v>
      </c>
      <c r="BY103" s="118">
        <f t="shared" si="109"/>
        <v>15558.593799617787</v>
      </c>
      <c r="BZ103" s="96">
        <f t="shared" si="103"/>
        <v>0.97012505302546781</v>
      </c>
      <c r="CA103" s="102">
        <f t="shared" si="54"/>
        <v>1.9835980670388224E-2</v>
      </c>
      <c r="CB103" s="102">
        <f t="shared" si="55"/>
        <v>8.5316606742360523E-3</v>
      </c>
      <c r="CC103" s="155">
        <f t="shared" si="36"/>
        <v>4.7216182230039543</v>
      </c>
      <c r="CH103" s="118">
        <f t="shared" si="73"/>
        <v>41309.008595041319</v>
      </c>
      <c r="CI103">
        <v>10</v>
      </c>
      <c r="CJ103" s="11">
        <f t="shared" si="29"/>
        <v>9.6666666666666661</v>
      </c>
      <c r="CK103" s="233">
        <f t="shared" si="30"/>
        <v>2.8841946135179216E-4</v>
      </c>
      <c r="CM103" s="1779"/>
      <c r="CN103" s="1779"/>
      <c r="CO103" s="1779"/>
      <c r="CP103" s="1779"/>
      <c r="CQ103" s="1344">
        <f t="shared" si="113"/>
        <v>4.5716942574364153E-3</v>
      </c>
      <c r="CR103" s="155">
        <f t="shared" si="114"/>
        <v>0.45716942574364156</v>
      </c>
      <c r="CS103" s="137">
        <f t="shared" si="82"/>
        <v>148.59298062400691</v>
      </c>
      <c r="CT103" s="84">
        <f t="shared" si="83"/>
        <v>0.9705635082721058</v>
      </c>
      <c r="CU103" s="84">
        <f t="shared" si="84"/>
        <v>0.98306796805347441</v>
      </c>
      <c r="CV103" s="84">
        <f t="shared" si="85"/>
        <v>0.98306796805347463</v>
      </c>
      <c r="CW103" s="84">
        <f t="shared" si="86"/>
        <v>0.21179179526374056</v>
      </c>
      <c r="CX103" s="84">
        <f t="shared" si="102"/>
        <v>0.22436459290439231</v>
      </c>
      <c r="CY103" s="106">
        <f t="shared" si="77"/>
        <v>-2.9436491727894309E-2</v>
      </c>
      <c r="CZ103" s="106">
        <f t="shared" si="99"/>
        <v>-7.8795406253976963E-2</v>
      </c>
      <c r="DA103" s="106">
        <v>0.05</v>
      </c>
      <c r="DB103" s="106">
        <v>-0.05</v>
      </c>
      <c r="DC103" s="453">
        <f t="shared" si="87"/>
        <v>4.70447539961933</v>
      </c>
      <c r="DD103" s="11">
        <f t="shared" si="88"/>
        <v>193.73410404624278</v>
      </c>
      <c r="DE103" s="11">
        <f t="shared" si="89"/>
        <v>110.61386138613861</v>
      </c>
      <c r="DF103" s="11">
        <f t="shared" si="90"/>
        <v>139.80303030303031</v>
      </c>
      <c r="DG103" s="11">
        <f t="shared" si="91"/>
        <v>367.36585365853659</v>
      </c>
      <c r="DH103" s="11"/>
      <c r="DI103" s="11"/>
      <c r="DJ103" s="11">
        <f t="shared" si="92"/>
        <v>76.572614107883822</v>
      </c>
      <c r="DK103" s="11">
        <f t="shared" si="93"/>
        <v>242.93548387096774</v>
      </c>
      <c r="DL103" s="11"/>
      <c r="DM103" s="11"/>
    </row>
    <row r="104" spans="1:117" ht="15.75" thickBot="1" x14ac:dyDescent="0.3">
      <c r="A104" s="80">
        <v>43891</v>
      </c>
      <c r="B104" s="105">
        <v>66537</v>
      </c>
      <c r="C104" s="95">
        <v>920</v>
      </c>
      <c r="D104" s="104">
        <f t="shared" si="37"/>
        <v>1.3826893307483054E-2</v>
      </c>
      <c r="E104" s="144">
        <v>65003.089699999997</v>
      </c>
      <c r="F104" s="104">
        <f t="shared" si="27"/>
        <v>0.97694650645505499</v>
      </c>
      <c r="H104" s="110">
        <f t="shared" si="119"/>
        <v>9.2266002374619595E-3</v>
      </c>
      <c r="I104" s="112">
        <v>3853416.1</v>
      </c>
      <c r="J104" s="111">
        <f t="shared" si="104"/>
        <v>4887773.0808333335</v>
      </c>
      <c r="K104" s="95">
        <f t="shared" si="45"/>
        <v>30730</v>
      </c>
      <c r="L104" s="95">
        <f t="shared" si="46"/>
        <v>34770.5</v>
      </c>
      <c r="M104" s="95">
        <f t="shared" si="38"/>
        <v>281</v>
      </c>
      <c r="N104" s="95">
        <f t="shared" si="47"/>
        <v>320.25</v>
      </c>
      <c r="O104" s="95">
        <f t="shared" si="56"/>
        <v>154</v>
      </c>
      <c r="P104" s="95">
        <f t="shared" si="57"/>
        <v>174.08333333333334</v>
      </c>
      <c r="Q104" s="103">
        <v>16484</v>
      </c>
      <c r="R104" s="95">
        <f t="shared" si="43"/>
        <v>15277.583333333334</v>
      </c>
      <c r="S104" s="161">
        <v>68</v>
      </c>
      <c r="T104" s="179">
        <f t="shared" si="48"/>
        <v>78.916666666666671</v>
      </c>
      <c r="U104" s="103">
        <v>42</v>
      </c>
      <c r="V104" s="179">
        <f t="shared" si="49"/>
        <v>47.833333333333336</v>
      </c>
      <c r="W104" s="103">
        <v>14246</v>
      </c>
      <c r="X104" s="95">
        <f t="shared" si="44"/>
        <v>19492.916666666668</v>
      </c>
      <c r="Y104" s="103">
        <v>213</v>
      </c>
      <c r="Z104" s="179">
        <f t="shared" si="50"/>
        <v>241.33333333333334</v>
      </c>
      <c r="AA104" s="103">
        <v>112</v>
      </c>
      <c r="AB104" s="179">
        <f t="shared" si="51"/>
        <v>126.25</v>
      </c>
      <c r="AC104" s="103">
        <v>54126</v>
      </c>
      <c r="AD104" s="103">
        <v>21103</v>
      </c>
      <c r="AE104" s="9">
        <v>119</v>
      </c>
      <c r="AF104">
        <v>64</v>
      </c>
      <c r="AG104">
        <v>47</v>
      </c>
      <c r="AH104">
        <v>8</v>
      </c>
      <c r="AI104" s="102">
        <v>6.8699999999999983E-2</v>
      </c>
      <c r="AJ104" s="159"/>
      <c r="AK104" s="111">
        <v>1101807</v>
      </c>
      <c r="AL104" s="101">
        <v>810881</v>
      </c>
      <c r="AM104" s="101">
        <v>29102</v>
      </c>
      <c r="AN104" s="95">
        <v>5700.5740000000005</v>
      </c>
      <c r="AO104" s="905">
        <f t="shared" si="115"/>
        <v>7.5522599285345795E-3</v>
      </c>
      <c r="AP104" s="909">
        <f t="shared" si="59"/>
        <v>0.75522599285345793</v>
      </c>
      <c r="AQ104" s="111">
        <f t="shared" si="94"/>
        <v>454.71875</v>
      </c>
      <c r="AR104" s="101">
        <f t="shared" si="95"/>
        <v>244.55462184873949</v>
      </c>
      <c r="AS104" s="110">
        <f t="shared" si="60"/>
        <v>2.6412974323089252E-2</v>
      </c>
      <c r="AT104" s="112">
        <f t="shared" si="61"/>
        <v>35.854441913439636</v>
      </c>
      <c r="AU104" s="113">
        <f t="shared" si="62"/>
        <v>7.7778912481043081</v>
      </c>
      <c r="AV104" s="101">
        <f t="shared" si="100"/>
        <v>17215.734375</v>
      </c>
      <c r="AW104" s="114">
        <f t="shared" si="101"/>
        <v>9258.8823529411766</v>
      </c>
      <c r="AX104" s="116">
        <f t="shared" si="78"/>
        <v>0.73595557116627508</v>
      </c>
      <c r="AY104" s="111">
        <f t="shared" si="63"/>
        <v>26.387276277253498</v>
      </c>
      <c r="AZ104" s="111">
        <f t="shared" si="64"/>
        <v>5.7241823959677776</v>
      </c>
      <c r="BA104" s="111">
        <f t="shared" si="96"/>
        <v>12670.015625</v>
      </c>
      <c r="BB104" s="101">
        <f t="shared" si="97"/>
        <v>6814.1260504201682</v>
      </c>
      <c r="BC104" s="95">
        <f t="shared" si="79"/>
        <v>480.15625</v>
      </c>
      <c r="BD104" s="95">
        <f t="shared" si="80"/>
        <v>258.23529411764707</v>
      </c>
      <c r="BE104" s="111">
        <f t="shared" si="98"/>
        <v>125.39590302635861</v>
      </c>
      <c r="BF104" s="118">
        <f t="shared" si="81"/>
        <v>60209.626562500001</v>
      </c>
      <c r="BG104" s="111">
        <f t="shared" si="68"/>
        <v>675.96984093180788</v>
      </c>
      <c r="BH104" s="111">
        <f t="shared" si="69"/>
        <v>13713.224555160143</v>
      </c>
      <c r="BI104" s="114">
        <f t="shared" si="70"/>
        <v>25022.182467532468</v>
      </c>
      <c r="BJ104" s="80">
        <f t="shared" si="39"/>
        <v>43891</v>
      </c>
      <c r="BK104" s="95">
        <f t="shared" si="52"/>
        <v>47627.916666666664</v>
      </c>
      <c r="BL104" s="95">
        <f t="shared" si="52"/>
        <v>16942.333333333332</v>
      </c>
      <c r="BM104" s="95">
        <f t="shared" si="53"/>
        <v>78966.083333333328</v>
      </c>
      <c r="BN104" s="95">
        <f t="shared" si="71"/>
        <v>89.071468750000008</v>
      </c>
      <c r="BO104" s="134">
        <f t="shared" si="72"/>
        <v>142.24550018998085</v>
      </c>
      <c r="BP104" s="118">
        <f t="shared" si="105"/>
        <v>658.36990513697447</v>
      </c>
      <c r="BQ104" s="115">
        <f t="shared" si="106"/>
        <v>7444.3524166666684</v>
      </c>
      <c r="BR104" s="118">
        <f t="shared" si="116"/>
        <v>140.07265884479742</v>
      </c>
      <c r="BS104" s="118">
        <f t="shared" si="117"/>
        <v>13037.758715296921</v>
      </c>
      <c r="BT104" s="80">
        <f t="shared" si="35"/>
        <v>43891</v>
      </c>
      <c r="BU104" s="118">
        <f t="shared" si="107"/>
        <v>131.83530339165614</v>
      </c>
      <c r="BV104" s="1539">
        <f t="shared" si="23"/>
        <v>4.8195065001741455E-3</v>
      </c>
      <c r="BW104" s="11">
        <f t="shared" si="118"/>
        <v>75.416666666666671</v>
      </c>
      <c r="BX104" s="118">
        <f t="shared" si="108"/>
        <v>28188.852040954833</v>
      </c>
      <c r="BY104" s="118">
        <f t="shared" si="109"/>
        <v>15374.261463697223</v>
      </c>
      <c r="BZ104" s="96">
        <f t="shared" si="103"/>
        <v>0.97045910143741965</v>
      </c>
      <c r="CA104" s="102">
        <f t="shared" si="54"/>
        <v>1.8737257837139306E-2</v>
      </c>
      <c r="CB104" s="102">
        <f t="shared" si="55"/>
        <v>9.4492699797923026E-3</v>
      </c>
      <c r="CC104" s="155">
        <f t="shared" si="36"/>
        <v>3.4973603362476369</v>
      </c>
      <c r="CH104" s="118">
        <f t="shared" si="73"/>
        <v>32381.647899159663</v>
      </c>
      <c r="CI104">
        <v>5</v>
      </c>
      <c r="CJ104" s="11">
        <f t="shared" si="29"/>
        <v>8.75</v>
      </c>
      <c r="CK104" s="233">
        <f t="shared" si="30"/>
        <v>2.8473804100227789E-4</v>
      </c>
      <c r="CM104" s="1779"/>
      <c r="CN104" s="1779"/>
      <c r="CO104" s="1779"/>
      <c r="CP104" s="1779"/>
      <c r="CQ104" s="1344">
        <f t="shared" si="113"/>
        <v>4.8195065001741455E-3</v>
      </c>
      <c r="CR104" s="155">
        <f t="shared" si="114"/>
        <v>0.48195065001741444</v>
      </c>
      <c r="CS104" s="137">
        <f t="shared" si="82"/>
        <v>193.28001004811094</v>
      </c>
      <c r="CT104" s="84">
        <f t="shared" si="83"/>
        <v>0.73595557116627497</v>
      </c>
      <c r="CU104" s="84">
        <f t="shared" si="84"/>
        <v>0.97056350827210569</v>
      </c>
      <c r="CV104" s="84">
        <f t="shared" si="85"/>
        <v>0.97056350827210591</v>
      </c>
      <c r="CW104" s="84">
        <f t="shared" si="86"/>
        <v>0.28592993110710258</v>
      </c>
      <c r="CX104" s="84">
        <f t="shared" si="102"/>
        <v>0.22058139327727261</v>
      </c>
      <c r="CY104" s="106">
        <f t="shared" si="77"/>
        <v>-0.26404442883372492</v>
      </c>
      <c r="CZ104" s="106">
        <f t="shared" si="99"/>
        <v>-0.10528099170996319</v>
      </c>
      <c r="DA104" s="106">
        <v>0.05</v>
      </c>
      <c r="DB104" s="106">
        <v>-0.05</v>
      </c>
      <c r="DC104" s="453">
        <f t="shared" si="87"/>
        <v>5.3906852187165706</v>
      </c>
      <c r="DD104" s="11">
        <f t="shared" si="88"/>
        <v>199.54545454545453</v>
      </c>
      <c r="DE104" s="11">
        <f t="shared" si="89"/>
        <v>109.35943060498221</v>
      </c>
      <c r="DF104" s="11">
        <f t="shared" si="90"/>
        <v>127.19642857142857</v>
      </c>
      <c r="DG104" s="11">
        <f t="shared" si="91"/>
        <v>392.47619047619048</v>
      </c>
      <c r="DH104" s="11"/>
      <c r="DI104" s="11"/>
      <c r="DJ104" s="11">
        <f t="shared" si="92"/>
        <v>66.882629107981217</v>
      </c>
      <c r="DK104" s="11">
        <f t="shared" si="93"/>
        <v>242.41176470588235</v>
      </c>
      <c r="DL104" s="11"/>
      <c r="DM104" s="11"/>
    </row>
    <row r="105" spans="1:117" s="1513" customFormat="1" ht="15.75" thickBot="1" x14ac:dyDescent="0.3">
      <c r="A105" s="1508">
        <v>43922</v>
      </c>
      <c r="B105" s="1509">
        <v>38552</v>
      </c>
      <c r="C105" s="1510">
        <v>466</v>
      </c>
      <c r="D105" s="1511">
        <f t="shared" si="37"/>
        <v>1.2087570035277028E-2</v>
      </c>
      <c r="E105" s="1512">
        <v>37678.227599999998</v>
      </c>
      <c r="F105" s="1511">
        <f t="shared" si="27"/>
        <v>0.97733522515044613</v>
      </c>
      <c r="H105" s="1514">
        <f t="shared" si="119"/>
        <v>1.0577204814276842E-2</v>
      </c>
      <c r="I105" s="1515">
        <v>2311650.86</v>
      </c>
      <c r="J105" s="1516">
        <f>AVERAGE(I94:I105)</f>
        <v>4771042.96</v>
      </c>
      <c r="K105" s="1510">
        <f t="shared" si="45"/>
        <v>8390</v>
      </c>
      <c r="L105" s="1510">
        <f t="shared" si="46"/>
        <v>33003.666666666664</v>
      </c>
      <c r="M105" s="1510">
        <f t="shared" si="38"/>
        <v>56</v>
      </c>
      <c r="N105" s="1510">
        <f t="shared" si="47"/>
        <v>297.5</v>
      </c>
      <c r="O105" s="1510">
        <f t="shared" si="56"/>
        <v>41</v>
      </c>
      <c r="P105" s="1510">
        <f t="shared" si="57"/>
        <v>163.08333333333334</v>
      </c>
      <c r="Q105" s="1517">
        <v>5724</v>
      </c>
      <c r="R105" s="1510">
        <f t="shared" si="43"/>
        <v>14757.916666666666</v>
      </c>
      <c r="S105" s="1518">
        <v>28</v>
      </c>
      <c r="T105" s="1519">
        <f t="shared" si="48"/>
        <v>74.75</v>
      </c>
      <c r="U105" s="1517">
        <v>23</v>
      </c>
      <c r="V105" s="1519">
        <f t="shared" si="49"/>
        <v>45.833333333333336</v>
      </c>
      <c r="W105" s="1517">
        <v>2666</v>
      </c>
      <c r="X105" s="1510">
        <f t="shared" si="44"/>
        <v>18245.75</v>
      </c>
      <c r="Y105" s="1517">
        <v>28</v>
      </c>
      <c r="Z105" s="1519">
        <f t="shared" si="50"/>
        <v>222.75</v>
      </c>
      <c r="AA105" s="1517">
        <v>18</v>
      </c>
      <c r="AB105" s="1519">
        <f t="shared" si="51"/>
        <v>117.25</v>
      </c>
      <c r="AC105" s="1517">
        <v>7734</v>
      </c>
      <c r="AD105" s="1517">
        <v>3349</v>
      </c>
      <c r="AE105" s="1520">
        <v>117</v>
      </c>
      <c r="AF105" s="1513">
        <v>62</v>
      </c>
      <c r="AG105" s="1513">
        <v>47</v>
      </c>
      <c r="AH105" s="1513">
        <v>8</v>
      </c>
      <c r="AI105" s="1521">
        <v>5.0000000000000044E-3</v>
      </c>
      <c r="AJ105" s="1522">
        <v>2.3E-3</v>
      </c>
      <c r="AK105" s="1516">
        <v>1024467</v>
      </c>
      <c r="AL105" s="1523">
        <v>472308</v>
      </c>
      <c r="AM105" s="1523">
        <v>4215</v>
      </c>
      <c r="AN105" s="1510">
        <v>2996.288</v>
      </c>
      <c r="AO105" s="1524">
        <f t="shared" si="115"/>
        <v>1.8233722371033142E-3</v>
      </c>
      <c r="AP105" s="1525">
        <f t="shared" si="59"/>
        <v>0.18233722371033143</v>
      </c>
      <c r="AQ105" s="1516">
        <f t="shared" si="94"/>
        <v>67.983870967741936</v>
      </c>
      <c r="AR105" s="1523">
        <f t="shared" si="95"/>
        <v>36.025641025641029</v>
      </c>
      <c r="AS105" s="1514">
        <f t="shared" si="60"/>
        <v>4.1143345759307032E-3</v>
      </c>
      <c r="AT105" s="1515">
        <f t="shared" si="61"/>
        <v>122.1057210965435</v>
      </c>
      <c r="AU105" s="1526">
        <f t="shared" si="62"/>
        <v>19.317082828549474</v>
      </c>
      <c r="AV105" s="1523">
        <f t="shared" si="100"/>
        <v>16523.66129032258</v>
      </c>
      <c r="AW105" s="1527">
        <f t="shared" si="101"/>
        <v>8756.1282051282051</v>
      </c>
      <c r="AX105" s="1459">
        <f t="shared" si="78"/>
        <v>0.46102802725710051</v>
      </c>
      <c r="AY105" s="1516">
        <f t="shared" si="63"/>
        <v>56.29415971394517</v>
      </c>
      <c r="AZ105" s="1516">
        <f t="shared" si="64"/>
        <v>8.9057165888081755</v>
      </c>
      <c r="BA105" s="1516">
        <f t="shared" si="96"/>
        <v>7617.8709677419356</v>
      </c>
      <c r="BB105" s="1523">
        <f t="shared" si="97"/>
        <v>4036.8205128205127</v>
      </c>
      <c r="BC105" s="1510">
        <f t="shared" si="79"/>
        <v>135.32258064516128</v>
      </c>
      <c r="BD105" s="1510">
        <f t="shared" si="80"/>
        <v>71.709401709401703</v>
      </c>
      <c r="BE105" s="1516">
        <f t="shared" si="98"/>
        <v>275.52453635280096</v>
      </c>
      <c r="BF105" s="1528">
        <f t="shared" si="81"/>
        <v>37284.691290322582</v>
      </c>
      <c r="BG105" s="1516">
        <f t="shared" si="68"/>
        <v>771.50489539056321</v>
      </c>
      <c r="BH105" s="1516">
        <f t="shared" si="69"/>
        <v>41279.479642857143</v>
      </c>
      <c r="BI105" s="1527">
        <f t="shared" si="70"/>
        <v>56381.728292682921</v>
      </c>
      <c r="BJ105" s="1529">
        <f t="shared" si="39"/>
        <v>43922</v>
      </c>
      <c r="BK105" s="1510">
        <f t="shared" si="52"/>
        <v>45635.583333333336</v>
      </c>
      <c r="BL105" s="1510">
        <f t="shared" si="52"/>
        <v>15925.25</v>
      </c>
      <c r="BM105" s="1510">
        <f t="shared" si="53"/>
        <v>76923.666666666672</v>
      </c>
      <c r="BN105" s="1510">
        <f t="shared" si="71"/>
        <v>48.327225806451615</v>
      </c>
      <c r="BO105" s="1516">
        <f>AL105/AN105</f>
        <v>157.63104214281137</v>
      </c>
      <c r="BP105" s="1528">
        <f>AVERAGE(BG94:BG105)</f>
        <v>673.67540741814753</v>
      </c>
      <c r="BQ105" s="1530">
        <f t="shared" si="106"/>
        <v>7167.7633333333333</v>
      </c>
      <c r="BR105" s="1528">
        <f t="shared" si="116"/>
        <v>152.57860011764168</v>
      </c>
      <c r="BS105" s="1528">
        <f t="shared" si="117"/>
        <v>12933.730472896816</v>
      </c>
      <c r="BT105" s="1529">
        <f t="shared" si="35"/>
        <v>43922</v>
      </c>
      <c r="BU105" s="1528">
        <f t="shared" si="107"/>
        <v>135.49481286744532</v>
      </c>
      <c r="BV105" s="1541">
        <f t="shared" si="23"/>
        <v>4.6937820835960421E-3</v>
      </c>
      <c r="BW105" s="1532">
        <f t="shared" si="118"/>
        <v>73.833333333333329</v>
      </c>
      <c r="BX105" s="1528">
        <f t="shared" si="108"/>
        <v>31099.076840874939</v>
      </c>
      <c r="BY105" s="1528">
        <f t="shared" si="109"/>
        <v>17873.89076777524</v>
      </c>
      <c r="BZ105" s="1511">
        <f t="shared" si="103"/>
        <v>0.97053407729837471</v>
      </c>
      <c r="CA105" s="1521">
        <f t="shared" si="54"/>
        <v>1.7537697430013145E-2</v>
      </c>
      <c r="CB105" s="1521">
        <f t="shared" si="55"/>
        <v>9.5518095101999895E-3</v>
      </c>
      <c r="CC105" s="1533">
        <f t="shared" si="36"/>
        <v>2.2564424817978517</v>
      </c>
      <c r="CH105" s="1528">
        <f t="shared" si="73"/>
        <v>19757.699658119658</v>
      </c>
      <c r="CI105" s="1513">
        <v>3</v>
      </c>
      <c r="CJ105" s="1532">
        <f t="shared" si="29"/>
        <v>8.3333333333333339</v>
      </c>
      <c r="CK105" s="1534">
        <f t="shared" si="30"/>
        <v>9.9324592769169649E-4</v>
      </c>
      <c r="CM105" s="1779">
        <f t="shared" ref="CM105" si="120">SUM(W105:W116)/SUM(W93:W104)-1</f>
        <v>0.16736421349635555</v>
      </c>
      <c r="CN105" s="1779">
        <f t="shared" ref="CN105" si="121">SUM(Q105:Q116)/SUM(Q93:Q104)-1</f>
        <v>2.5347595333031547E-2</v>
      </c>
      <c r="CO105" s="1779">
        <f t="shared" ref="CO105:CP105" si="122">SUM(AC105:AC116)/SUM(AC93:AC104)-1</f>
        <v>-3.5227938796399183E-2</v>
      </c>
      <c r="CP105" s="1779">
        <f t="shared" si="122"/>
        <v>0.20968186200247896</v>
      </c>
      <c r="CQ105" s="1535">
        <f t="shared" si="113"/>
        <v>4.6937820835960421E-3</v>
      </c>
      <c r="CR105" s="1533">
        <f t="shared" si="114"/>
        <v>0.46937820835960414</v>
      </c>
      <c r="CS105" s="1531">
        <f t="shared" si="82"/>
        <v>341.91205918790183</v>
      </c>
      <c r="CT105" s="1536">
        <f t="shared" si="83"/>
        <v>0.46102802725710051</v>
      </c>
      <c r="CU105" s="1536">
        <f t="shared" si="84"/>
        <v>0.73595557116627508</v>
      </c>
      <c r="CV105" s="1536">
        <f t="shared" si="85"/>
        <v>0.73595557116627508</v>
      </c>
      <c r="CW105" s="1536">
        <f t="shared" si="86"/>
        <v>0.44317548887983893</v>
      </c>
      <c r="CX105" s="1536">
        <f t="shared" si="102"/>
        <v>0.28947932526635789</v>
      </c>
      <c r="CY105" s="1537">
        <f t="shared" si="77"/>
        <v>-0.53897197274289943</v>
      </c>
      <c r="CZ105" s="1537">
        <f t="shared" si="99"/>
        <v>-0.27449816194709276</v>
      </c>
      <c r="DA105" s="1537">
        <v>0.05</v>
      </c>
      <c r="DB105" s="1537">
        <v>-0.05</v>
      </c>
      <c r="DC105" s="1538">
        <f t="shared" si="87"/>
        <v>2.8001313625392488</v>
      </c>
      <c r="DD105" s="1532">
        <f t="shared" si="88"/>
        <v>204.63414634146341</v>
      </c>
      <c r="DE105" s="1532">
        <f t="shared" si="89"/>
        <v>149.82142857142858</v>
      </c>
      <c r="DF105" s="1532">
        <f t="shared" si="90"/>
        <v>148.11111111111111</v>
      </c>
      <c r="DG105" s="1532">
        <f t="shared" si="91"/>
        <v>248.86956521739131</v>
      </c>
      <c r="DH105" s="1532"/>
      <c r="DI105" s="1532"/>
      <c r="DJ105" s="1532">
        <f t="shared" si="92"/>
        <v>95.214285714285708</v>
      </c>
      <c r="DK105" s="1532">
        <f t="shared" si="93"/>
        <v>204.42857142857142</v>
      </c>
      <c r="DL105" s="1532"/>
      <c r="DM105" s="1532"/>
    </row>
    <row r="106" spans="1:117" x14ac:dyDescent="0.25">
      <c r="A106" s="80">
        <v>43952</v>
      </c>
      <c r="B106" s="105">
        <v>87606</v>
      </c>
      <c r="C106" s="95">
        <v>1314</v>
      </c>
      <c r="D106" s="104">
        <f t="shared" si="37"/>
        <v>1.4998972673104582E-2</v>
      </c>
      <c r="E106" s="144">
        <v>85461.818200000009</v>
      </c>
      <c r="F106" s="104">
        <f t="shared" si="27"/>
        <v>0.97552471520215522</v>
      </c>
      <c r="H106" s="110">
        <f t="shared" si="119"/>
        <v>9.4763121247401945E-3</v>
      </c>
      <c r="I106" s="112">
        <v>6138751.7400000002</v>
      </c>
      <c r="J106" s="111">
        <f t="shared" si="104"/>
        <v>4818648.9441666668</v>
      </c>
      <c r="K106" s="95">
        <f t="shared" si="45"/>
        <v>36921</v>
      </c>
      <c r="L106" s="95">
        <f t="shared" si="46"/>
        <v>32932.083333333336</v>
      </c>
      <c r="M106" s="95">
        <f t="shared" si="38"/>
        <v>290</v>
      </c>
      <c r="N106" s="95">
        <f t="shared" si="47"/>
        <v>289.25</v>
      </c>
      <c r="O106" s="95">
        <f t="shared" ref="O106:O111" si="123">SUM(U106,AA106)</f>
        <v>163</v>
      </c>
      <c r="P106" s="95">
        <f t="shared" si="57"/>
        <v>160.33333333333334</v>
      </c>
      <c r="Q106" s="103">
        <v>16868</v>
      </c>
      <c r="R106" s="95">
        <f t="shared" si="43"/>
        <v>15111.5</v>
      </c>
      <c r="S106" s="161">
        <v>82</v>
      </c>
      <c r="T106" s="179">
        <f t="shared" si="48"/>
        <v>75.666666666666671</v>
      </c>
      <c r="U106" s="103">
        <v>51</v>
      </c>
      <c r="V106" s="179">
        <f t="shared" si="49"/>
        <v>46.083333333333336</v>
      </c>
      <c r="W106" s="103">
        <v>20053</v>
      </c>
      <c r="X106" s="95">
        <f t="shared" si="44"/>
        <v>17820.583333333332</v>
      </c>
      <c r="Y106" s="103">
        <v>208</v>
      </c>
      <c r="Z106" s="179">
        <f t="shared" si="50"/>
        <v>213.58333333333334</v>
      </c>
      <c r="AA106" s="103">
        <v>112</v>
      </c>
      <c r="AB106" s="179">
        <f t="shared" si="51"/>
        <v>114.25</v>
      </c>
      <c r="AC106" s="103">
        <v>46990</v>
      </c>
      <c r="AD106" s="103">
        <v>18279</v>
      </c>
      <c r="AE106" s="9">
        <v>118</v>
      </c>
      <c r="AF106">
        <v>66</v>
      </c>
      <c r="AG106">
        <v>44</v>
      </c>
      <c r="AH106">
        <v>8</v>
      </c>
      <c r="AI106" s="102">
        <v>6.0400000000000009E-2</v>
      </c>
      <c r="AJ106" s="159">
        <v>2.2100000000000002E-2</v>
      </c>
      <c r="AK106" s="111">
        <v>976563</v>
      </c>
      <c r="AL106" s="101">
        <v>1297419</v>
      </c>
      <c r="AM106" s="101">
        <v>12344</v>
      </c>
      <c r="AN106" s="95">
        <v>8154.9969999999994</v>
      </c>
      <c r="AO106" s="905">
        <f t="shared" si="115"/>
        <v>2.0108322543110368E-3</v>
      </c>
      <c r="AP106" s="909">
        <f t="shared" si="59"/>
        <v>0.20108322543110368</v>
      </c>
      <c r="AQ106" s="111">
        <f t="shared" si="94"/>
        <v>187.03030303030303</v>
      </c>
      <c r="AR106" s="101">
        <f t="shared" si="95"/>
        <v>104.61016949152543</v>
      </c>
      <c r="AS106" s="110">
        <f t="shared" si="60"/>
        <v>1.2640249528192241E-2</v>
      </c>
      <c r="AT106" s="112">
        <f t="shared" si="61"/>
        <v>26.450069066384984</v>
      </c>
      <c r="AU106" s="113">
        <f t="shared" si="62"/>
        <v>7.1793081646956196</v>
      </c>
      <c r="AV106" s="101">
        <f t="shared" si="100"/>
        <v>14796.40909090909</v>
      </c>
      <c r="AW106" s="114">
        <f t="shared" si="101"/>
        <v>8275.9576271186434</v>
      </c>
      <c r="AX106" s="116">
        <f t="shared" si="78"/>
        <v>1.3285563757791357</v>
      </c>
      <c r="AY106" s="111">
        <f t="shared" si="63"/>
        <v>35.140407897944257</v>
      </c>
      <c r="AZ106" s="111">
        <f t="shared" si="64"/>
        <v>9.5381156358895698</v>
      </c>
      <c r="BA106" s="111">
        <f t="shared" si="96"/>
        <v>19657.863636363636</v>
      </c>
      <c r="BB106" s="101">
        <f t="shared" si="97"/>
        <v>10995.076271186441</v>
      </c>
      <c r="BC106" s="95">
        <f t="shared" si="79"/>
        <v>559.40909090909088</v>
      </c>
      <c r="BD106" s="95">
        <f t="shared" si="80"/>
        <v>312.88983050847457</v>
      </c>
      <c r="BE106" s="111">
        <f t="shared" si="98"/>
        <v>166.26721215568375</v>
      </c>
      <c r="BF106" s="118">
        <f t="shared" ref="BF106:BF141" si="124">I106/AF106</f>
        <v>93011.39</v>
      </c>
      <c r="BG106" s="111">
        <f t="shared" ref="BG106:BG141" si="125">I106/AN106</f>
        <v>752.75953381711861</v>
      </c>
      <c r="BH106" s="111">
        <f t="shared" ref="BH106:BH118" si="126">I106/M106</f>
        <v>21168.109448275864</v>
      </c>
      <c r="BI106" s="114">
        <f t="shared" ref="BI106:BI118" si="127">I106/O106</f>
        <v>37661.053619631901</v>
      </c>
      <c r="BJ106" s="80">
        <f t="shared" si="39"/>
        <v>43952</v>
      </c>
      <c r="BK106" s="95">
        <f t="shared" si="52"/>
        <v>46003.833333333336</v>
      </c>
      <c r="BL106" s="95">
        <f t="shared" si="52"/>
        <v>15900.916666666666</v>
      </c>
      <c r="BM106" s="95">
        <f t="shared" si="53"/>
        <v>77029.5</v>
      </c>
      <c r="BN106" s="95">
        <f t="shared" ref="BN106:BN113" si="128">AN106/AF106</f>
        <v>123.56056060606059</v>
      </c>
      <c r="BO106" s="134">
        <f t="shared" ref="BO106:BO113" si="129">AL106/AN106</f>
        <v>159.09496962414579</v>
      </c>
      <c r="BP106" s="118">
        <f t="shared" si="105"/>
        <v>685.35243991177595</v>
      </c>
      <c r="BQ106" s="115">
        <f t="shared" si="106"/>
        <v>7090.0332500000004</v>
      </c>
      <c r="BR106" s="118">
        <f t="shared" si="116"/>
        <v>154.15371778404747</v>
      </c>
      <c r="BS106" s="118">
        <f t="shared" si="117"/>
        <v>13519.068702756389</v>
      </c>
      <c r="BT106" s="80">
        <f t="shared" si="35"/>
        <v>43952</v>
      </c>
      <c r="BU106" s="118">
        <f t="shared" ref="BU106:BU112" si="130">AVERAGE(BO95:BO106)</f>
        <v>139.25302421581077</v>
      </c>
      <c r="BV106" s="1539">
        <f t="shared" ref="BV106:BV125" si="131">AVERAGE(AO95:AO106)</f>
        <v>4.4736086842832425E-3</v>
      </c>
      <c r="BW106" s="11">
        <f t="shared" si="118"/>
        <v>72.5</v>
      </c>
      <c r="BX106" s="118">
        <f t="shared" si="108"/>
        <v>31870.372155266039</v>
      </c>
      <c r="BY106" s="118">
        <f t="shared" si="109"/>
        <v>18445.209243649126</v>
      </c>
      <c r="BZ106" s="96">
        <f t="shared" ref="BZ106:BZ111" si="132">AVERAGE(F95:F106)</f>
        <v>0.97406158379594743</v>
      </c>
      <c r="CA106" s="102">
        <f t="shared" si="54"/>
        <v>1.6392898142640899E-2</v>
      </c>
      <c r="CB106" s="102">
        <f t="shared" si="55"/>
        <v>9.545518061411672E-3</v>
      </c>
      <c r="CC106" s="155">
        <f t="shared" si="36"/>
        <v>6.2860785632877763</v>
      </c>
      <c r="CH106" s="118">
        <f t="shared" si="73"/>
        <v>52023.319830508473</v>
      </c>
      <c r="CI106">
        <v>20</v>
      </c>
      <c r="CJ106" s="11">
        <f t="shared" si="29"/>
        <v>9.4166666666666661</v>
      </c>
      <c r="CK106" s="233">
        <f t="shared" si="30"/>
        <v>2.5504906873233837E-4</v>
      </c>
      <c r="CM106" s="1779"/>
      <c r="CN106" s="1779"/>
      <c r="CO106" s="1779"/>
      <c r="CP106" s="1779"/>
      <c r="CQ106" s="1344">
        <f t="shared" si="113"/>
        <v>4.4736086842832425E-3</v>
      </c>
      <c r="CR106" s="155">
        <f t="shared" si="114"/>
        <v>0.44736086842832418</v>
      </c>
      <c r="CS106" s="137">
        <f t="shared" si="82"/>
        <v>119.75025864509823</v>
      </c>
      <c r="CT106" s="84">
        <f t="shared" si="83"/>
        <v>1.3285563757791354</v>
      </c>
      <c r="CU106" s="84">
        <f t="shared" si="84"/>
        <v>0.46102802725710057</v>
      </c>
      <c r="CV106" s="84">
        <f t="shared" si="85"/>
        <v>0.46102802725710051</v>
      </c>
      <c r="CW106" s="84">
        <f t="shared" si="86"/>
        <v>0.1590816897899181</v>
      </c>
      <c r="CX106" s="84">
        <f t="shared" si="102"/>
        <v>0.25885394426366182</v>
      </c>
      <c r="CY106" s="106">
        <f t="shared" si="77"/>
        <v>0.32855637577913566</v>
      </c>
      <c r="CZ106" s="106">
        <f t="shared" si="99"/>
        <v>-0.16830693974578748</v>
      </c>
      <c r="DA106" s="106">
        <v>0.05</v>
      </c>
      <c r="DB106" s="106">
        <v>-0.05</v>
      </c>
      <c r="DC106" s="453">
        <f t="shared" si="87"/>
        <v>4.5274081645891471</v>
      </c>
      <c r="DD106" s="11">
        <f t="shared" si="88"/>
        <v>226.50920245398774</v>
      </c>
      <c r="DE106" s="11">
        <f t="shared" si="89"/>
        <v>127.31379310344828</v>
      </c>
      <c r="DF106" s="11">
        <f t="shared" si="90"/>
        <v>179.04464285714286</v>
      </c>
      <c r="DG106" s="11">
        <f t="shared" si="91"/>
        <v>330.74509803921569</v>
      </c>
      <c r="DH106" s="11"/>
      <c r="DI106" s="11"/>
      <c r="DJ106" s="11">
        <f t="shared" si="92"/>
        <v>96.40865384615384</v>
      </c>
      <c r="DK106" s="11">
        <f t="shared" si="93"/>
        <v>205.70731707317074</v>
      </c>
      <c r="DL106" s="11"/>
      <c r="DM106" s="11"/>
    </row>
    <row r="107" spans="1:117" x14ac:dyDescent="0.25">
      <c r="A107" s="80">
        <v>43983</v>
      </c>
      <c r="B107" s="105">
        <v>105868</v>
      </c>
      <c r="C107" s="95">
        <v>1500</v>
      </c>
      <c r="D107" s="145">
        <f t="shared" si="37"/>
        <v>1.4168587297389202E-2</v>
      </c>
      <c r="E107" s="144">
        <v>103336.2818</v>
      </c>
      <c r="F107" s="104">
        <f t="shared" si="27"/>
        <v>0.9760860864472739</v>
      </c>
      <c r="H107" s="110">
        <f t="shared" si="119"/>
        <v>9.7453262553368943E-3</v>
      </c>
      <c r="I107" s="147">
        <v>6430948</v>
      </c>
      <c r="J107" s="111">
        <f t="shared" si="104"/>
        <v>4979203.7616666667</v>
      </c>
      <c r="K107" s="95">
        <f t="shared" si="45"/>
        <v>47833</v>
      </c>
      <c r="L107" s="95">
        <f t="shared" si="46"/>
        <v>34194.333333333336</v>
      </c>
      <c r="M107" s="95">
        <f t="shared" si="38"/>
        <v>348</v>
      </c>
      <c r="N107" s="95">
        <f t="shared" si="47"/>
        <v>289.08333333333331</v>
      </c>
      <c r="O107" s="95">
        <f t="shared" si="123"/>
        <v>188</v>
      </c>
      <c r="P107" s="95">
        <f t="shared" si="57"/>
        <v>161.5</v>
      </c>
      <c r="Q107" s="103">
        <v>26657</v>
      </c>
      <c r="R107" s="95">
        <f t="shared" ref="R107:R115" si="133">AVERAGE(Q96:Q107)</f>
        <v>16257.75</v>
      </c>
      <c r="S107" s="161">
        <v>109</v>
      </c>
      <c r="T107" s="179">
        <f t="shared" si="48"/>
        <v>78.916666666666671</v>
      </c>
      <c r="U107" s="103">
        <v>59</v>
      </c>
      <c r="V107" s="179">
        <f t="shared" si="49"/>
        <v>47.583333333333336</v>
      </c>
      <c r="W107" s="103">
        <v>21176</v>
      </c>
      <c r="X107" s="95">
        <f t="shared" ref="X107:X141" si="134">AVERAGE(W96:W107)</f>
        <v>17936.583333333332</v>
      </c>
      <c r="Y107" s="103">
        <v>239</v>
      </c>
      <c r="Z107" s="179">
        <f t="shared" si="50"/>
        <v>210.16666666666666</v>
      </c>
      <c r="AA107" s="103">
        <v>129</v>
      </c>
      <c r="AB107" s="179">
        <f t="shared" si="51"/>
        <v>113.91666666666667</v>
      </c>
      <c r="AC107" s="103">
        <v>61357</v>
      </c>
      <c r="AD107" s="103">
        <v>21124</v>
      </c>
      <c r="AE107">
        <v>128</v>
      </c>
      <c r="AF107">
        <v>77</v>
      </c>
      <c r="AG107">
        <v>42</v>
      </c>
      <c r="AH107">
        <v>9</v>
      </c>
      <c r="AI107" s="102">
        <v>9.7699999999999995E-2</v>
      </c>
      <c r="AJ107" s="84">
        <v>4.4400000000000002E-2</v>
      </c>
      <c r="AK107" s="148">
        <v>1207469</v>
      </c>
      <c r="AL107" s="101">
        <v>1318202</v>
      </c>
      <c r="AM107" s="101">
        <v>16152</v>
      </c>
      <c r="AN107" s="95">
        <v>8968</v>
      </c>
      <c r="AO107" s="905">
        <f t="shared" si="115"/>
        <v>2.5116048209377529E-3</v>
      </c>
      <c r="AP107" s="909">
        <f t="shared" si="59"/>
        <v>0.25116048209377528</v>
      </c>
      <c r="AQ107" s="111">
        <f t="shared" ref="AQ107:AQ119" si="135">AM107/AF107</f>
        <v>209.76623376623377</v>
      </c>
      <c r="AR107" s="101">
        <f t="shared" ref="AR107:AR119" si="136">AM107/AE107</f>
        <v>126.1875</v>
      </c>
      <c r="AS107" s="146">
        <f t="shared" si="60"/>
        <v>1.3376740934963962E-2</v>
      </c>
      <c r="AT107" s="147">
        <f t="shared" si="61"/>
        <v>25.243430267806744</v>
      </c>
      <c r="AU107" s="149">
        <f t="shared" si="62"/>
        <v>7.2961092964083987</v>
      </c>
      <c r="AV107" s="101">
        <f t="shared" ref="AV107:AV141" si="137">AK107/AF107</f>
        <v>15681.415584415585</v>
      </c>
      <c r="AW107" s="114">
        <f t="shared" ref="AW107:AW141" si="138">AK107/AE107</f>
        <v>9433.3515625</v>
      </c>
      <c r="AX107" s="150">
        <f t="shared" si="78"/>
        <v>1.0917067022010503</v>
      </c>
      <c r="AY107" s="148">
        <f t="shared" si="63"/>
        <v>27.558422009909478</v>
      </c>
      <c r="AZ107" s="148">
        <f t="shared" si="64"/>
        <v>7.9652114188804379</v>
      </c>
      <c r="BA107" s="111">
        <f>AL107/AF107</f>
        <v>17119.506493506495</v>
      </c>
      <c r="BB107" s="101">
        <f>AL107/AE107</f>
        <v>10298.453125</v>
      </c>
      <c r="BC107" s="95">
        <f>K107/AF107</f>
        <v>621.20779220779218</v>
      </c>
      <c r="BD107" s="95">
        <f>K107/AE107</f>
        <v>373.6953125</v>
      </c>
      <c r="BE107" s="148">
        <f t="shared" si="98"/>
        <v>134.44584282817303</v>
      </c>
      <c r="BF107" s="118">
        <f t="shared" si="124"/>
        <v>83518.805194805202</v>
      </c>
      <c r="BG107" s="148">
        <f t="shared" si="125"/>
        <v>717.09946476360392</v>
      </c>
      <c r="BH107" s="148">
        <f t="shared" si="126"/>
        <v>18479.735632183907</v>
      </c>
      <c r="BI107" s="114">
        <f t="shared" si="127"/>
        <v>34207.170212765959</v>
      </c>
      <c r="BJ107" s="80">
        <f t="shared" si="39"/>
        <v>43983</v>
      </c>
      <c r="BK107" s="95">
        <f t="shared" ref="BK107:BK125" si="139">AVERAGE(AC96:AC107)</f>
        <v>47561.833333333336</v>
      </c>
      <c r="BL107" s="95">
        <f t="shared" ref="BL107:BL125" si="140">AVERAGE(AD96:AD107)</f>
        <v>16352.416666666666</v>
      </c>
      <c r="BM107" s="95">
        <f t="shared" ref="BM107:BM125" si="141">AVERAGE(B96:B107)</f>
        <v>79775</v>
      </c>
      <c r="BN107" s="95">
        <f t="shared" si="128"/>
        <v>116.46753246753246</v>
      </c>
      <c r="BO107" s="134">
        <f t="shared" si="129"/>
        <v>146.98951828724353</v>
      </c>
      <c r="BP107" s="118">
        <f t="shared" ref="BP107:BP125" si="142">AVERAGE(BG96:BG107)</f>
        <v>697.30708404428515</v>
      </c>
      <c r="BQ107" s="115">
        <f t="shared" ref="BQ107:BQ125" si="143">AVERAGE(AN96:AN107)</f>
        <v>7183.0274999999992</v>
      </c>
      <c r="BR107" s="118">
        <f t="shared" ref="BR107:BR125" si="144">AVERAGE(BE96:BE107)</f>
        <v>153.87379831975508</v>
      </c>
      <c r="BS107" s="118">
        <f>AVERAGE(BA96:BA107)</f>
        <v>14066.345037532721</v>
      </c>
      <c r="BT107" s="80">
        <f>BJ107</f>
        <v>43983</v>
      </c>
      <c r="BU107" s="118">
        <f t="shared" si="130"/>
        <v>142.09503354129555</v>
      </c>
      <c r="BV107" s="1539">
        <f t="shared" si="131"/>
        <v>4.3828063077920908E-3</v>
      </c>
      <c r="BW107" s="11">
        <f t="shared" ref="BW107:BW125" si="145">AVERAGE(AF96:AF107)</f>
        <v>71.916666666666671</v>
      </c>
      <c r="BX107" s="118">
        <f t="shared" ref="BX107:BX125" si="146">AVERAGE(BI96:BI107)</f>
        <v>32563.742570506114</v>
      </c>
      <c r="BY107" s="118">
        <f t="shared" ref="BY107:BY125" si="147">AVERAGE(BH96:BH107)</f>
        <v>18912.737167759693</v>
      </c>
      <c r="BZ107" s="96">
        <f t="shared" si="132"/>
        <v>0.97403773776400937</v>
      </c>
      <c r="CA107" s="102">
        <f t="shared" ref="CA107:CA125" si="148">AVERAGE(D96:D107)</f>
        <v>1.562975593007155E-2</v>
      </c>
      <c r="CB107" s="102">
        <f t="shared" ref="CB107:CB125" si="149">AVERAGE(H96:H107)</f>
        <v>1.0332506305919142E-2</v>
      </c>
      <c r="CC107" s="155">
        <f t="shared" ref="CC107:CC112" si="150">I107/AK107</f>
        <v>5.3259735860713606</v>
      </c>
      <c r="CF107">
        <v>54</v>
      </c>
      <c r="CG107">
        <v>30</v>
      </c>
      <c r="CH107" s="118">
        <f t="shared" si="73"/>
        <v>50241.78125</v>
      </c>
      <c r="CI107">
        <v>9</v>
      </c>
      <c r="CJ107" s="11">
        <f t="shared" si="29"/>
        <v>9.1666666666666661</v>
      </c>
      <c r="CK107" s="233">
        <f t="shared" si="30"/>
        <v>1.9163896612519948E-4</v>
      </c>
      <c r="CM107" s="1779"/>
      <c r="CN107" s="1779"/>
      <c r="CO107" s="1779"/>
      <c r="CP107" s="1779"/>
      <c r="CQ107" s="1344">
        <f t="shared" si="113"/>
        <v>4.3828063077920908E-3</v>
      </c>
      <c r="CR107" s="155">
        <f t="shared" si="114"/>
        <v>0.43828063077920904</v>
      </c>
      <c r="CS107" s="137">
        <f t="shared" si="82"/>
        <v>134.64194915254237</v>
      </c>
      <c r="CT107" s="84">
        <f t="shared" si="83"/>
        <v>1.0917067022010503</v>
      </c>
      <c r="CU107" s="84">
        <f t="shared" si="84"/>
        <v>1.3285563757791357</v>
      </c>
      <c r="CV107" s="84">
        <f t="shared" si="85"/>
        <v>1.3285563757791357</v>
      </c>
      <c r="CW107" s="84">
        <f t="shared" si="86"/>
        <v>0.18775909865854926</v>
      </c>
      <c r="CX107" s="84">
        <f t="shared" si="102"/>
        <v>0.20850506673769248</v>
      </c>
      <c r="CY107" s="106">
        <f t="shared" si="77"/>
        <v>9.1706702201050261E-2</v>
      </c>
      <c r="CZ107" s="106">
        <f t="shared" si="99"/>
        <v>-3.7578319332497889E-2</v>
      </c>
      <c r="DA107" s="106">
        <v>0.05</v>
      </c>
      <c r="DB107" s="106">
        <v>-0.05</v>
      </c>
      <c r="DC107" s="453">
        <f t="shared" si="87"/>
        <v>5.3337421944692238</v>
      </c>
      <c r="DD107" s="11">
        <f t="shared" si="88"/>
        <v>254.43085106382978</v>
      </c>
      <c r="DE107" s="11">
        <f t="shared" si="89"/>
        <v>137.45114942528735</v>
      </c>
      <c r="DF107" s="11">
        <f t="shared" si="90"/>
        <v>164.15503875968992</v>
      </c>
      <c r="DG107" s="11">
        <f t="shared" si="91"/>
        <v>451.81355932203388</v>
      </c>
      <c r="DH107" s="11"/>
      <c r="DI107" s="11">
        <f t="shared" ref="DI107:DI141" si="151">AD107/CG107</f>
        <v>704.13333333333333</v>
      </c>
      <c r="DJ107" s="11">
        <f t="shared" si="92"/>
        <v>88.60251046025104</v>
      </c>
      <c r="DK107" s="11">
        <f t="shared" si="93"/>
        <v>244.55963302752295</v>
      </c>
      <c r="DL107" s="11"/>
      <c r="DM107" s="11">
        <f t="shared" ref="DM107:DM141" si="152">AD107/CF107</f>
        <v>391.18518518518516</v>
      </c>
    </row>
    <row r="108" spans="1:117" x14ac:dyDescent="0.25">
      <c r="A108" s="80">
        <v>44013</v>
      </c>
      <c r="B108" s="105">
        <v>107756</v>
      </c>
      <c r="C108" s="95">
        <v>1944</v>
      </c>
      <c r="D108" s="145">
        <f t="shared" si="37"/>
        <v>1.8040758751252831E-2</v>
      </c>
      <c r="E108" s="157">
        <v>111959</v>
      </c>
      <c r="F108" s="104">
        <v>0.97499999999999998</v>
      </c>
      <c r="G108" s="156"/>
      <c r="H108" s="110"/>
      <c r="I108" s="147">
        <v>7451275</v>
      </c>
      <c r="J108" s="111">
        <f t="shared" si="104"/>
        <v>5182387.1341666672</v>
      </c>
      <c r="K108" s="95">
        <f t="shared" si="45"/>
        <v>47950</v>
      </c>
      <c r="L108" s="95">
        <f t="shared" si="46"/>
        <v>35183.75</v>
      </c>
      <c r="M108" s="95">
        <f t="shared" si="38"/>
        <v>355</v>
      </c>
      <c r="N108" s="95">
        <f t="shared" si="47"/>
        <v>289.58333333333331</v>
      </c>
      <c r="O108" s="95">
        <f t="shared" si="123"/>
        <v>181</v>
      </c>
      <c r="P108" s="95">
        <f t="shared" si="57"/>
        <v>160.91666666666666</v>
      </c>
      <c r="Q108" s="103">
        <v>24139</v>
      </c>
      <c r="R108" s="95">
        <f t="shared" si="133"/>
        <v>16979.583333333332</v>
      </c>
      <c r="S108" s="161">
        <v>93</v>
      </c>
      <c r="T108" s="179">
        <f t="shared" si="48"/>
        <v>78.916666666666671</v>
      </c>
      <c r="U108" s="103">
        <v>58</v>
      </c>
      <c r="V108" s="179">
        <f t="shared" si="49"/>
        <v>48.333333333333336</v>
      </c>
      <c r="W108" s="103">
        <v>23811</v>
      </c>
      <c r="X108" s="95">
        <f t="shared" si="134"/>
        <v>18204.166666666668</v>
      </c>
      <c r="Y108" s="103">
        <v>262</v>
      </c>
      <c r="Z108" s="179">
        <f t="shared" si="50"/>
        <v>210.66666666666666</v>
      </c>
      <c r="AA108" s="103">
        <v>123</v>
      </c>
      <c r="AB108" s="179">
        <f t="shared" si="51"/>
        <v>112.58333333333333</v>
      </c>
      <c r="AC108" s="103">
        <v>52884</v>
      </c>
      <c r="AD108" s="160">
        <v>15318</v>
      </c>
      <c r="AE108" s="9">
        <v>135</v>
      </c>
      <c r="AF108">
        <v>85</v>
      </c>
      <c r="AG108">
        <v>42</v>
      </c>
      <c r="AH108">
        <v>8</v>
      </c>
      <c r="AI108" s="102">
        <v>5.6799999999999996E-2</v>
      </c>
      <c r="AJ108" s="159">
        <v>3.1899999999999998E-2</v>
      </c>
      <c r="AK108" s="148">
        <v>1242234</v>
      </c>
      <c r="AL108" s="101">
        <v>1512163</v>
      </c>
      <c r="AM108" s="101">
        <v>30306</v>
      </c>
      <c r="AN108" s="95">
        <v>10438</v>
      </c>
      <c r="AO108" s="905">
        <f t="shared" si="115"/>
        <v>4.0672233946539354E-3</v>
      </c>
      <c r="AP108" s="909">
        <f t="shared" si="59"/>
        <v>0.40672233946539355</v>
      </c>
      <c r="AQ108" s="148">
        <f t="shared" si="135"/>
        <v>356.54117647058825</v>
      </c>
      <c r="AR108" s="101">
        <f t="shared" si="136"/>
        <v>224.48888888888888</v>
      </c>
      <c r="AS108" s="146">
        <f t="shared" si="60"/>
        <v>2.4396369766082719E-2</v>
      </c>
      <c r="AT108" s="147">
        <f t="shared" si="61"/>
        <v>25.906861313868614</v>
      </c>
      <c r="AU108" s="149">
        <f t="shared" si="62"/>
        <v>8.1553023277951837</v>
      </c>
      <c r="AV108" s="101">
        <f t="shared" si="137"/>
        <v>14614.517647058823</v>
      </c>
      <c r="AW108" s="158">
        <f t="shared" si="138"/>
        <v>9201.7333333333336</v>
      </c>
      <c r="AX108" s="150">
        <f t="shared" si="78"/>
        <v>1.2172931991879148</v>
      </c>
      <c r="AY108" s="148">
        <f t="shared" si="63"/>
        <v>31.536246089676748</v>
      </c>
      <c r="AZ108" s="148">
        <f t="shared" si="64"/>
        <v>9.9273940609464475</v>
      </c>
      <c r="BA108" s="148">
        <f>AL108/AF108</f>
        <v>17790.152941176471</v>
      </c>
      <c r="BB108" s="101">
        <f>AL108/AE108</f>
        <v>11201.207407407408</v>
      </c>
      <c r="BC108" s="95">
        <f>K108/AF108</f>
        <v>564.11764705882354</v>
      </c>
      <c r="BD108" s="95">
        <f>K108/AE108</f>
        <v>355.18518518518516</v>
      </c>
      <c r="BE108" s="148">
        <f t="shared" si="98"/>
        <v>155.39676746611053</v>
      </c>
      <c r="BF108" s="118">
        <f t="shared" si="124"/>
        <v>87662.058823529413</v>
      </c>
      <c r="BG108" s="148">
        <f t="shared" si="125"/>
        <v>713.86041387238936</v>
      </c>
      <c r="BH108" s="148">
        <f t="shared" si="126"/>
        <v>20989.507042253521</v>
      </c>
      <c r="BI108" s="114">
        <f t="shared" si="127"/>
        <v>41167.265193370164</v>
      </c>
      <c r="BJ108" s="80">
        <f t="shared" si="39"/>
        <v>44013</v>
      </c>
      <c r="BK108" s="95">
        <f t="shared" si="139"/>
        <v>46743.75</v>
      </c>
      <c r="BL108" s="95">
        <f t="shared" si="140"/>
        <v>15730</v>
      </c>
      <c r="BM108" s="95">
        <f t="shared" si="141"/>
        <v>81871.166666666672</v>
      </c>
      <c r="BN108" s="95">
        <f t="shared" si="128"/>
        <v>122.8</v>
      </c>
      <c r="BO108" s="134">
        <f t="shared" si="129"/>
        <v>144.87095228971069</v>
      </c>
      <c r="BP108" s="118">
        <f t="shared" si="142"/>
        <v>705.71902238908672</v>
      </c>
      <c r="BQ108" s="115">
        <f t="shared" si="143"/>
        <v>7371.2740833333328</v>
      </c>
      <c r="BR108" s="118">
        <f t="shared" si="144"/>
        <v>155.24395716951824</v>
      </c>
      <c r="BS108" s="118">
        <f t="shared" ref="BS108:BS113" si="153">AVERAGE(BA97:BA108)</f>
        <v>14540.018120183502</v>
      </c>
      <c r="BT108" s="80">
        <f t="shared" si="35"/>
        <v>44013</v>
      </c>
      <c r="BU108" s="118">
        <f t="shared" si="130"/>
        <v>144.42339798001342</v>
      </c>
      <c r="BV108" s="1539">
        <f t="shared" si="131"/>
        <v>2.544085955466372E-3</v>
      </c>
      <c r="BW108" s="11">
        <f t="shared" si="145"/>
        <v>72.416666666666671</v>
      </c>
      <c r="BX108" s="118">
        <f t="shared" si="146"/>
        <v>33772.240498854335</v>
      </c>
      <c r="BY108" s="118">
        <f t="shared" si="147"/>
        <v>19464.853554518642</v>
      </c>
      <c r="BZ108" s="96">
        <f t="shared" si="132"/>
        <v>0.97387497969923276</v>
      </c>
      <c r="CA108" s="102">
        <f t="shared" si="148"/>
        <v>1.5370685078650465E-2</v>
      </c>
      <c r="CB108" s="102">
        <f t="shared" si="149"/>
        <v>1.1099343765150316E-2</v>
      </c>
      <c r="CC108" s="155">
        <f t="shared" si="150"/>
        <v>5.9982861522064281</v>
      </c>
      <c r="CD108">
        <v>140</v>
      </c>
      <c r="CE108">
        <v>93</v>
      </c>
      <c r="CF108">
        <v>54</v>
      </c>
      <c r="CG108">
        <v>29</v>
      </c>
      <c r="CH108" s="118">
        <f t="shared" ref="CH108:CH141" si="154">I108/AE108</f>
        <v>55194.629629629628</v>
      </c>
      <c r="CI108">
        <v>6</v>
      </c>
      <c r="CJ108" s="11">
        <f t="shared" si="29"/>
        <v>7.833333333333333</v>
      </c>
      <c r="CK108" s="233">
        <f t="shared" si="30"/>
        <v>1.6336461591936043E-4</v>
      </c>
      <c r="CM108" s="1779"/>
      <c r="CN108" s="1779"/>
      <c r="CO108" s="1779"/>
      <c r="CP108" s="1779"/>
      <c r="CQ108" s="1344">
        <f t="shared" si="113"/>
        <v>2.544085955466372E-3</v>
      </c>
      <c r="CR108" s="155">
        <f t="shared" si="114"/>
        <v>0.2544085955466372</v>
      </c>
      <c r="CS108" s="137">
        <f t="shared" si="82"/>
        <v>119.01073002490898</v>
      </c>
      <c r="CT108" s="84">
        <f t="shared" si="83"/>
        <v>1.2172931991879148</v>
      </c>
      <c r="CU108" s="84">
        <f t="shared" si="84"/>
        <v>1.0917067022010503</v>
      </c>
      <c r="CV108" s="84">
        <f t="shared" si="85"/>
        <v>1.0917067022010503</v>
      </c>
      <c r="CW108" s="84">
        <f t="shared" si="86"/>
        <v>0.1667142871521988</v>
      </c>
      <c r="CX108" s="84">
        <f t="shared" si="102"/>
        <v>0.1602568826776313</v>
      </c>
      <c r="CY108" s="106">
        <f t="shared" si="77"/>
        <v>0.21729319918791479</v>
      </c>
      <c r="CZ108" s="106">
        <f t="shared" si="99"/>
        <v>0.20474709202379504</v>
      </c>
      <c r="DA108" s="106">
        <v>0.05</v>
      </c>
      <c r="DB108" s="106">
        <v>-0.05</v>
      </c>
      <c r="DC108" s="453">
        <f t="shared" si="87"/>
        <v>4.5937919141598007</v>
      </c>
      <c r="DD108" s="11">
        <f t="shared" si="88"/>
        <v>264.91712707182319</v>
      </c>
      <c r="DE108" s="11">
        <f t="shared" si="89"/>
        <v>135.07042253521126</v>
      </c>
      <c r="DF108" s="11">
        <f t="shared" si="90"/>
        <v>193.58536585365854</v>
      </c>
      <c r="DG108" s="11">
        <f t="shared" si="91"/>
        <v>416.18965517241378</v>
      </c>
      <c r="DH108" s="11">
        <f t="shared" ref="DH108:DH141" si="155">AC108/CE108</f>
        <v>568.64516129032256</v>
      </c>
      <c r="DI108" s="11">
        <f t="shared" si="151"/>
        <v>528.20689655172418</v>
      </c>
      <c r="DJ108" s="11">
        <f t="shared" si="92"/>
        <v>90.881679389312978</v>
      </c>
      <c r="DK108" s="11">
        <f t="shared" si="93"/>
        <v>259.55913978494624</v>
      </c>
      <c r="DL108" s="11">
        <f t="shared" ref="DL108:DL141" si="156">AC108/CD108</f>
        <v>377.74285714285713</v>
      </c>
      <c r="DM108" s="11">
        <f t="shared" si="152"/>
        <v>283.66666666666669</v>
      </c>
    </row>
    <row r="109" spans="1:117" x14ac:dyDescent="0.25">
      <c r="A109" s="80">
        <v>44044</v>
      </c>
      <c r="B109" s="105">
        <v>90073</v>
      </c>
      <c r="C109" s="95">
        <v>1559</v>
      </c>
      <c r="D109" s="145">
        <f t="shared" si="37"/>
        <v>1.7308183362383843E-2</v>
      </c>
      <c r="E109" s="167">
        <v>87758</v>
      </c>
      <c r="F109" s="104">
        <f t="shared" si="27"/>
        <v>0.97429862444905801</v>
      </c>
      <c r="H109" s="107">
        <f t="shared" ref="H109:H140" si="157">1-F109-D109</f>
        <v>8.393192188558142E-3</v>
      </c>
      <c r="I109" s="147">
        <v>5621755</v>
      </c>
      <c r="J109" s="111">
        <f>AVERAGE(I98:I109)</f>
        <v>5191688.248333334</v>
      </c>
      <c r="K109" s="95">
        <f>SUM(Q109,W109)</f>
        <v>42421</v>
      </c>
      <c r="L109" s="95">
        <f>AVERAGE(K98:K109)</f>
        <v>35473.75</v>
      </c>
      <c r="M109" s="95">
        <f>SUM(S109,Y109)</f>
        <v>345</v>
      </c>
      <c r="N109" s="95">
        <f>AVERAGE(M98:M109)</f>
        <v>288.33333333333331</v>
      </c>
      <c r="O109" s="95">
        <f t="shared" si="123"/>
        <v>198</v>
      </c>
      <c r="P109" s="95">
        <f>AVERAGE(O98:O109)</f>
        <v>159.83333333333334</v>
      </c>
      <c r="Q109" s="103">
        <v>17912</v>
      </c>
      <c r="R109" s="95">
        <f t="shared" si="133"/>
        <v>17092.416666666668</v>
      </c>
      <c r="S109" s="161">
        <v>74</v>
      </c>
      <c r="T109" s="179">
        <f t="shared" si="48"/>
        <v>77.833333333333329</v>
      </c>
      <c r="U109" s="103">
        <v>53</v>
      </c>
      <c r="V109" s="179">
        <f t="shared" si="49"/>
        <v>48</v>
      </c>
      <c r="W109" s="103">
        <v>24509</v>
      </c>
      <c r="X109" s="95">
        <f t="shared" si="134"/>
        <v>18381.333333333332</v>
      </c>
      <c r="Y109" s="103">
        <v>271</v>
      </c>
      <c r="Z109" s="179">
        <f t="shared" si="50"/>
        <v>210.5</v>
      </c>
      <c r="AA109" s="103">
        <v>145</v>
      </c>
      <c r="AB109" s="179">
        <f t="shared" si="51"/>
        <v>111.83333333333333</v>
      </c>
      <c r="AC109" s="103">
        <v>55544</v>
      </c>
      <c r="AD109" s="160">
        <v>26131</v>
      </c>
      <c r="AE109" s="9">
        <v>132</v>
      </c>
      <c r="AF109">
        <v>83</v>
      </c>
      <c r="AG109">
        <v>40</v>
      </c>
      <c r="AH109">
        <v>9</v>
      </c>
      <c r="AI109" s="102">
        <v>6.0100000000000001E-2</v>
      </c>
      <c r="AJ109" s="159">
        <v>4.2200000000000001E-2</v>
      </c>
      <c r="AK109" s="148">
        <v>1155925</v>
      </c>
      <c r="AL109" s="101">
        <v>1218145</v>
      </c>
      <c r="AM109" s="101">
        <v>21677</v>
      </c>
      <c r="AN109" s="95">
        <v>9155</v>
      </c>
      <c r="AO109" s="905">
        <f t="shared" si="115"/>
        <v>3.855913322441124E-3</v>
      </c>
      <c r="AP109" s="909">
        <f t="shared" si="59"/>
        <v>0.38559133224411241</v>
      </c>
      <c r="AQ109" s="148">
        <f t="shared" si="135"/>
        <v>261.1686746987952</v>
      </c>
      <c r="AR109" s="101">
        <f t="shared" si="136"/>
        <v>164.21969696969697</v>
      </c>
      <c r="AS109" s="146">
        <f t="shared" ref="AS109:AS141" si="158">AM109/AK109</f>
        <v>1.8752946774228431E-2</v>
      </c>
      <c r="AT109" s="147">
        <f>AK109/K109</f>
        <v>27.248886164871173</v>
      </c>
      <c r="AU109" s="149">
        <f t="shared" ref="AU109:AU141" si="159">AK109/SUM(Q109:AD109)</f>
        <v>7.1992924803721943</v>
      </c>
      <c r="AV109" s="101">
        <f t="shared" si="137"/>
        <v>13926.807228915663</v>
      </c>
      <c r="AW109" s="158">
        <f t="shared" si="138"/>
        <v>8757.007575757576</v>
      </c>
      <c r="AX109" s="150">
        <f>AL109/AK109</f>
        <v>1.0538270216493284</v>
      </c>
      <c r="AY109" s="148">
        <f>AL109/K109</f>
        <v>28.715612550387778</v>
      </c>
      <c r="AZ109" s="148">
        <f>AL109/SUM(Q109:AD109)</f>
        <v>7.586808952573036</v>
      </c>
      <c r="BA109" s="148">
        <f>AL109/AF109</f>
        <v>14676.445783132531</v>
      </c>
      <c r="BB109" s="101">
        <f>AL109/AE109</f>
        <v>9228.371212121212</v>
      </c>
      <c r="BC109" s="95">
        <f>K109/AF109</f>
        <v>511.09638554216866</v>
      </c>
      <c r="BD109" s="95">
        <f>K109/AE109</f>
        <v>321.37121212121212</v>
      </c>
      <c r="BE109" s="148">
        <f>I109/K109</f>
        <v>132.52292496640814</v>
      </c>
      <c r="BF109" s="118">
        <f t="shared" si="124"/>
        <v>67731.987951807227</v>
      </c>
      <c r="BG109" s="148">
        <f t="shared" si="125"/>
        <v>614.06389950846528</v>
      </c>
      <c r="BH109" s="148">
        <f t="shared" si="126"/>
        <v>16294.942028985508</v>
      </c>
      <c r="BI109" s="114">
        <f t="shared" si="127"/>
        <v>28392.702020202021</v>
      </c>
      <c r="BJ109" s="80">
        <f t="shared" si="39"/>
        <v>44044</v>
      </c>
      <c r="BK109" s="95">
        <f t="shared" si="139"/>
        <v>47443.416666666664</v>
      </c>
      <c r="BL109" s="95">
        <f t="shared" si="140"/>
        <v>16542.25</v>
      </c>
      <c r="BM109" s="95">
        <f t="shared" si="141"/>
        <v>82148.833333333328</v>
      </c>
      <c r="BN109" s="95">
        <f t="shared" si="128"/>
        <v>110.3012048192771</v>
      </c>
      <c r="BO109" s="134">
        <f t="shared" si="129"/>
        <v>133.0578918623703</v>
      </c>
      <c r="BP109" s="118">
        <f t="shared" si="142"/>
        <v>703.14735389680254</v>
      </c>
      <c r="BQ109" s="115">
        <f t="shared" si="143"/>
        <v>7422.2021666666669</v>
      </c>
      <c r="BR109" s="118">
        <f t="shared" si="144"/>
        <v>154.49588870508251</v>
      </c>
      <c r="BS109" s="118">
        <f t="shared" si="153"/>
        <v>14520.268810444548</v>
      </c>
      <c r="BT109" s="80">
        <f t="shared" si="35"/>
        <v>44044</v>
      </c>
      <c r="BU109" s="118">
        <f t="shared" si="130"/>
        <v>143.8747917186235</v>
      </c>
      <c r="BV109" s="1539">
        <f t="shared" si="131"/>
        <v>2.8839233865847937E-3</v>
      </c>
      <c r="BW109" s="11">
        <f t="shared" si="145"/>
        <v>72.666666666666671</v>
      </c>
      <c r="BX109" s="118">
        <f t="shared" si="146"/>
        <v>33962.097724866435</v>
      </c>
      <c r="BY109" s="118">
        <f t="shared" si="147"/>
        <v>19547.269642582243</v>
      </c>
      <c r="BZ109" s="96">
        <f t="shared" si="132"/>
        <v>0.97384841756150464</v>
      </c>
      <c r="CA109" s="102">
        <f t="shared" si="148"/>
        <v>1.5198072677975407E-2</v>
      </c>
      <c r="CB109" s="102">
        <f t="shared" si="149"/>
        <v>1.131662507977212E-2</v>
      </c>
      <c r="CC109" s="155">
        <f t="shared" si="150"/>
        <v>4.8634253952462316</v>
      </c>
      <c r="CD109">
        <v>186</v>
      </c>
      <c r="CE109">
        <v>113</v>
      </c>
      <c r="CF109">
        <v>68</v>
      </c>
      <c r="CG109">
        <v>33</v>
      </c>
      <c r="CH109" s="118">
        <f t="shared" si="154"/>
        <v>42589.053030303032</v>
      </c>
      <c r="CI109">
        <v>7</v>
      </c>
      <c r="CJ109" s="11">
        <f t="shared" si="29"/>
        <v>7.583333333333333</v>
      </c>
      <c r="CK109" s="233">
        <f t="shared" si="30"/>
        <v>1.7876366265135978E-4</v>
      </c>
      <c r="CM109" s="1779"/>
      <c r="CN109" s="1779"/>
      <c r="CO109" s="1779"/>
      <c r="CP109" s="1779"/>
      <c r="CQ109" s="1344">
        <f t="shared" si="113"/>
        <v>2.8839233865847937E-3</v>
      </c>
      <c r="CR109" s="155">
        <f t="shared" si="114"/>
        <v>0.2883923386584793</v>
      </c>
      <c r="CS109" s="137">
        <f t="shared" si="82"/>
        <v>126.2616056799563</v>
      </c>
      <c r="CT109" s="84">
        <f t="shared" si="83"/>
        <v>1.0538270216493286</v>
      </c>
      <c r="CU109" s="84">
        <f t="shared" si="84"/>
        <v>1.2172931991879148</v>
      </c>
      <c r="CV109" s="84">
        <f t="shared" si="85"/>
        <v>1.2172931991879148</v>
      </c>
      <c r="CW109" s="84">
        <f t="shared" si="86"/>
        <v>0.20561639559176806</v>
      </c>
      <c r="CX109" s="84">
        <f t="shared" si="102"/>
        <v>0.17567011201509763</v>
      </c>
      <c r="CY109" s="106">
        <f t="shared" si="77"/>
        <v>5.3827021649328399E-2</v>
      </c>
      <c r="CZ109" s="106">
        <f t="shared" si="99"/>
        <v>0.12283075236824215</v>
      </c>
      <c r="DA109" s="106">
        <v>0.05</v>
      </c>
      <c r="DB109" s="106">
        <v>-0.05</v>
      </c>
      <c r="DC109" s="453">
        <f t="shared" si="87"/>
        <v>4.6336428181321683</v>
      </c>
      <c r="DD109" s="11">
        <f t="shared" si="88"/>
        <v>214.24747474747474</v>
      </c>
      <c r="DE109" s="11">
        <f t="shared" si="89"/>
        <v>122.95942028985507</v>
      </c>
      <c r="DF109" s="11">
        <f t="shared" si="90"/>
        <v>169.02758620689656</v>
      </c>
      <c r="DG109" s="11">
        <f t="shared" si="91"/>
        <v>337.96226415094338</v>
      </c>
      <c r="DH109" s="11">
        <f t="shared" si="155"/>
        <v>491.53982300884957</v>
      </c>
      <c r="DI109" s="11">
        <f t="shared" si="151"/>
        <v>791.84848484848487</v>
      </c>
      <c r="DJ109" s="11">
        <f t="shared" si="92"/>
        <v>90.439114391143917</v>
      </c>
      <c r="DK109" s="11">
        <f t="shared" si="93"/>
        <v>242.05405405405406</v>
      </c>
      <c r="DL109" s="11">
        <f t="shared" si="156"/>
        <v>298.6236559139785</v>
      </c>
      <c r="DM109" s="11">
        <f t="shared" si="152"/>
        <v>384.27941176470586</v>
      </c>
    </row>
    <row r="110" spans="1:117" x14ac:dyDescent="0.25">
      <c r="A110" s="80">
        <v>44075</v>
      </c>
      <c r="B110" s="180">
        <v>97767</v>
      </c>
      <c r="C110" s="95">
        <v>1593</v>
      </c>
      <c r="D110" s="145">
        <f t="shared" ref="D110:D140" si="160">C110/B110</f>
        <v>1.6293841480254073E-2</v>
      </c>
      <c r="E110" s="167">
        <v>95642</v>
      </c>
      <c r="F110" s="104">
        <f t="shared" ref="F110:F140" si="161">E110/B110</f>
        <v>0.97826464962615201</v>
      </c>
      <c r="H110" s="107">
        <f t="shared" si="157"/>
        <v>5.4415088935939222E-3</v>
      </c>
      <c r="I110" s="147">
        <v>5924969</v>
      </c>
      <c r="J110" s="111">
        <f>AVERAGE(I99:I110)</f>
        <v>5230166.4616666669</v>
      </c>
      <c r="K110" s="95">
        <f>SUM(Q110,W110)</f>
        <v>42639</v>
      </c>
      <c r="L110" s="95">
        <f>AVERAGE(K99:K110)</f>
        <v>35864.25</v>
      </c>
      <c r="M110" s="95">
        <f t="shared" ref="M110:M141" si="162">SUM(S110,Y110)</f>
        <v>358</v>
      </c>
      <c r="N110" s="95">
        <f>AVERAGE(M99:M110)</f>
        <v>291</v>
      </c>
      <c r="O110" s="95">
        <f t="shared" si="123"/>
        <v>199</v>
      </c>
      <c r="P110" s="95">
        <f>AVERAGE(O99:O110)</f>
        <v>162.33333333333334</v>
      </c>
      <c r="Q110" s="103">
        <v>14201</v>
      </c>
      <c r="R110" s="95">
        <f t="shared" si="133"/>
        <v>16672.416666666668</v>
      </c>
      <c r="S110" s="161">
        <v>62</v>
      </c>
      <c r="T110" s="179">
        <f t="shared" si="48"/>
        <v>73.833333333333329</v>
      </c>
      <c r="U110" s="103">
        <v>44</v>
      </c>
      <c r="V110" s="179">
        <f t="shared" si="49"/>
        <v>46.833333333333336</v>
      </c>
      <c r="W110" s="103">
        <v>28438</v>
      </c>
      <c r="X110" s="95">
        <f t="shared" si="134"/>
        <v>19191.833333333332</v>
      </c>
      <c r="Y110" s="103">
        <v>296</v>
      </c>
      <c r="Z110" s="179">
        <f t="shared" si="50"/>
        <v>217.16666666666666</v>
      </c>
      <c r="AA110" s="103">
        <v>155</v>
      </c>
      <c r="AB110" s="179">
        <f t="shared" si="51"/>
        <v>115.5</v>
      </c>
      <c r="AC110" s="103">
        <v>45106</v>
      </c>
      <c r="AD110" s="160">
        <v>27003</v>
      </c>
      <c r="AE110" s="9">
        <v>135</v>
      </c>
      <c r="AF110">
        <v>83</v>
      </c>
      <c r="AG110">
        <v>42</v>
      </c>
      <c r="AH110">
        <v>10</v>
      </c>
      <c r="AI110" s="102">
        <v>3.0200000000000001E-2</v>
      </c>
      <c r="AJ110" s="159">
        <v>3.9199999999999999E-2</v>
      </c>
      <c r="AK110" s="148">
        <v>1273607</v>
      </c>
      <c r="AL110" s="101">
        <v>1339989</v>
      </c>
      <c r="AM110" s="101">
        <v>22125</v>
      </c>
      <c r="AN110" s="95">
        <v>9603</v>
      </c>
      <c r="AO110" s="905">
        <f t="shared" si="115"/>
        <v>3.7341967527593817E-3</v>
      </c>
      <c r="AP110" s="909">
        <f t="shared" si="59"/>
        <v>0.37341967527593817</v>
      </c>
      <c r="AQ110" s="148">
        <f t="shared" si="135"/>
        <v>266.56626506024094</v>
      </c>
      <c r="AR110" s="101">
        <f t="shared" si="136"/>
        <v>163.88888888888889</v>
      </c>
      <c r="AS110" s="146">
        <f t="shared" si="158"/>
        <v>1.7371920851565671E-2</v>
      </c>
      <c r="AT110" s="147">
        <f t="shared" ref="AT110:AT115" si="163">AK110/K110</f>
        <v>29.869532587537233</v>
      </c>
      <c r="AU110" s="149">
        <f t="shared" si="159"/>
        <v>8.3998502861546029</v>
      </c>
      <c r="AV110" s="101">
        <f t="shared" si="137"/>
        <v>15344.662650602409</v>
      </c>
      <c r="AW110" s="158">
        <f t="shared" si="138"/>
        <v>9434.1259259259259</v>
      </c>
      <c r="AX110" s="150">
        <f t="shared" ref="AX110:AX136" si="164">AL110/AK110</f>
        <v>1.0521212587556443</v>
      </c>
      <c r="AY110" s="148">
        <f t="shared" ref="AY110:AY141" si="165">AL110/K110</f>
        <v>31.426370224442412</v>
      </c>
      <c r="AZ110" s="148">
        <f t="shared" ref="AZ110:AZ119" si="166">AL110/SUM(Q110:AD110)</f>
        <v>8.8376610564279403</v>
      </c>
      <c r="BA110" s="148">
        <f>AL110/AF110</f>
        <v>16144.445783132531</v>
      </c>
      <c r="BB110" s="101">
        <f>AL110/AE110</f>
        <v>9925.8444444444449</v>
      </c>
      <c r="BC110" s="95">
        <f>K110/AF110</f>
        <v>513.72289156626505</v>
      </c>
      <c r="BD110" s="95">
        <f>K110/AE110</f>
        <v>315.84444444444443</v>
      </c>
      <c r="BE110" s="148">
        <f t="shared" ref="BE110:BE141" si="167">I110/K110</f>
        <v>138.95656558549683</v>
      </c>
      <c r="BF110" s="118">
        <f t="shared" si="124"/>
        <v>71385.168674698798</v>
      </c>
      <c r="BG110" s="148">
        <f t="shared" si="125"/>
        <v>616.99146100177029</v>
      </c>
      <c r="BH110" s="148">
        <f t="shared" si="126"/>
        <v>16550.192737430167</v>
      </c>
      <c r="BI110" s="114">
        <f t="shared" si="127"/>
        <v>29773.713567839197</v>
      </c>
      <c r="BJ110" s="80">
        <f t="shared" si="39"/>
        <v>44075</v>
      </c>
      <c r="BK110" s="95">
        <f t="shared" si="139"/>
        <v>46831</v>
      </c>
      <c r="BL110" s="95">
        <f t="shared" si="140"/>
        <v>17109.666666666668</v>
      </c>
      <c r="BM110" s="95">
        <f t="shared" si="141"/>
        <v>83604.416666666672</v>
      </c>
      <c r="BN110" s="95">
        <f t="shared" si="128"/>
        <v>115.6987951807229</v>
      </c>
      <c r="BO110" s="134">
        <f t="shared" si="129"/>
        <v>139.53858169322086</v>
      </c>
      <c r="BP110" s="118">
        <f t="shared" si="142"/>
        <v>695.63810551948029</v>
      </c>
      <c r="BQ110" s="115">
        <f t="shared" si="143"/>
        <v>7578.6003333333329</v>
      </c>
      <c r="BR110" s="118">
        <f t="shared" si="144"/>
        <v>154.07999732553932</v>
      </c>
      <c r="BS110" s="118">
        <f t="shared" si="153"/>
        <v>14713.037070150036</v>
      </c>
      <c r="BT110" s="80">
        <f>BJ110</f>
        <v>44075</v>
      </c>
      <c r="BU110" s="118">
        <f t="shared" si="130"/>
        <v>144.3144639125168</v>
      </c>
      <c r="BV110" s="1539">
        <f t="shared" si="131"/>
        <v>2.8184520096751799E-3</v>
      </c>
      <c r="BW110" s="11">
        <f t="shared" si="145"/>
        <v>73.333333333333329</v>
      </c>
      <c r="BX110" s="118">
        <f t="shared" si="146"/>
        <v>33749.339910746516</v>
      </c>
      <c r="BY110" s="118">
        <f t="shared" si="147"/>
        <v>19529.921072132918</v>
      </c>
      <c r="BZ110" s="96">
        <f t="shared" si="132"/>
        <v>0.97611648466920486</v>
      </c>
      <c r="CA110" s="102">
        <f t="shared" si="148"/>
        <v>1.4940077110171755E-2</v>
      </c>
      <c r="CB110" s="102">
        <f t="shared" si="149"/>
        <v>9.1238197635212254E-3</v>
      </c>
      <c r="CC110" s="155">
        <f t="shared" si="150"/>
        <v>4.6521171758635118</v>
      </c>
      <c r="CD110">
        <v>143</v>
      </c>
      <c r="CE110">
        <v>92</v>
      </c>
      <c r="CF110">
        <v>53</v>
      </c>
      <c r="CG110">
        <v>28</v>
      </c>
      <c r="CH110" s="118">
        <f t="shared" si="154"/>
        <v>43888.659259259257</v>
      </c>
      <c r="CI110">
        <v>5</v>
      </c>
      <c r="CJ110" s="11">
        <f t="shared" si="29"/>
        <v>7</v>
      </c>
      <c r="CK110" s="233">
        <f t="shared" si="30"/>
        <v>1.6416895330565915E-4</v>
      </c>
      <c r="CM110" s="1779"/>
      <c r="CN110" s="1779"/>
      <c r="CO110" s="1779"/>
      <c r="CP110" s="1779"/>
      <c r="CQ110" s="1344">
        <f t="shared" si="113"/>
        <v>2.8184520096751799E-3</v>
      </c>
      <c r="CR110" s="155">
        <f t="shared" si="114"/>
        <v>0.28184520096751792</v>
      </c>
      <c r="CS110" s="137">
        <f t="shared" si="82"/>
        <v>132.62595022388837</v>
      </c>
      <c r="CT110" s="84">
        <f t="shared" si="83"/>
        <v>1.0521212587556443</v>
      </c>
      <c r="CU110" s="84">
        <f t="shared" si="84"/>
        <v>1.0538270216493286</v>
      </c>
      <c r="CV110" s="84">
        <f t="shared" si="85"/>
        <v>1.0538270216493284</v>
      </c>
      <c r="CW110" s="84">
        <f t="shared" si="86"/>
        <v>0.2149558925962313</v>
      </c>
      <c r="CX110" s="84">
        <f t="shared" si="102"/>
        <v>0.1897898826081631</v>
      </c>
      <c r="CY110" s="106">
        <f t="shared" si="77"/>
        <v>5.2121258755644329E-2</v>
      </c>
      <c r="CZ110" s="106">
        <f t="shared" si="99"/>
        <v>0.1085393241290431</v>
      </c>
      <c r="DA110" s="106">
        <v>0.05</v>
      </c>
      <c r="DB110" s="106">
        <v>-0.05</v>
      </c>
      <c r="DC110" s="453">
        <f t="shared" si="87"/>
        <v>4.4401749453295842</v>
      </c>
      <c r="DD110" s="11">
        <f t="shared" si="88"/>
        <v>214.26633165829145</v>
      </c>
      <c r="DE110" s="11">
        <f t="shared" si="89"/>
        <v>119.10335195530726</v>
      </c>
      <c r="DF110" s="11">
        <f t="shared" si="90"/>
        <v>183.47096774193548</v>
      </c>
      <c r="DG110" s="11">
        <f t="shared" si="91"/>
        <v>322.75</v>
      </c>
      <c r="DH110" s="11">
        <f t="shared" si="155"/>
        <v>490.28260869565219</v>
      </c>
      <c r="DI110" s="11">
        <f t="shared" si="151"/>
        <v>964.39285714285711</v>
      </c>
      <c r="DJ110" s="11">
        <f t="shared" si="92"/>
        <v>96.074324324324323</v>
      </c>
      <c r="DK110" s="11">
        <f t="shared" si="93"/>
        <v>229.04838709677421</v>
      </c>
      <c r="DL110" s="11">
        <f t="shared" si="156"/>
        <v>315.42657342657344</v>
      </c>
      <c r="DM110" s="11">
        <f t="shared" si="152"/>
        <v>509.49056603773585</v>
      </c>
    </row>
    <row r="111" spans="1:117" x14ac:dyDescent="0.25">
      <c r="A111" s="80">
        <v>44105</v>
      </c>
      <c r="B111" s="180">
        <v>96319</v>
      </c>
      <c r="C111" s="95">
        <v>1582</v>
      </c>
      <c r="D111" s="145">
        <f t="shared" si="160"/>
        <v>1.6424589125717669E-2</v>
      </c>
      <c r="E111" s="167">
        <v>94050</v>
      </c>
      <c r="F111" s="145">
        <f t="shared" si="161"/>
        <v>0.97644286174067418</v>
      </c>
      <c r="H111" s="107">
        <f t="shared" si="157"/>
        <v>7.1325491336081473E-3</v>
      </c>
      <c r="I111" s="147">
        <v>5648569</v>
      </c>
      <c r="J111" s="111">
        <f>AVERAGE(I100:I111)</f>
        <v>5242978.4241666673</v>
      </c>
      <c r="K111" s="95">
        <f>SUM(Q111,W111)</f>
        <v>39090</v>
      </c>
      <c r="L111" s="95">
        <f>AVERAGE(K100:K111)</f>
        <v>36112.583333333336</v>
      </c>
      <c r="M111" s="95">
        <f t="shared" si="162"/>
        <v>344</v>
      </c>
      <c r="N111" s="95">
        <f>AVERAGE(M100:M111)</f>
        <v>291.58333333333331</v>
      </c>
      <c r="O111" s="95">
        <f t="shared" si="123"/>
        <v>189</v>
      </c>
      <c r="P111" s="95">
        <f>AVERAGE(O100:O111)</f>
        <v>162.25</v>
      </c>
      <c r="Q111" s="103">
        <v>14917</v>
      </c>
      <c r="R111" s="95">
        <f t="shared" si="133"/>
        <v>16641.25</v>
      </c>
      <c r="S111" s="161">
        <v>72</v>
      </c>
      <c r="T111" s="179">
        <f t="shared" si="48"/>
        <v>72.833333333333329</v>
      </c>
      <c r="U111" s="103">
        <v>52</v>
      </c>
      <c r="V111" s="179">
        <f>AVERAGE(U100:U111)</f>
        <v>46.916666666666664</v>
      </c>
      <c r="W111" s="103">
        <v>24173</v>
      </c>
      <c r="X111" s="95">
        <f t="shared" si="134"/>
        <v>19471.333333333332</v>
      </c>
      <c r="Y111" s="103">
        <v>272</v>
      </c>
      <c r="Z111" s="179">
        <f t="shared" si="50"/>
        <v>218.75</v>
      </c>
      <c r="AA111" s="103">
        <v>137</v>
      </c>
      <c r="AB111" s="179">
        <f t="shared" si="51"/>
        <v>115.33333333333333</v>
      </c>
      <c r="AC111" s="103">
        <v>51740</v>
      </c>
      <c r="AD111" s="160">
        <v>26659</v>
      </c>
      <c r="AE111" s="9">
        <v>141</v>
      </c>
      <c r="AF111">
        <v>89</v>
      </c>
      <c r="AG111">
        <v>43</v>
      </c>
      <c r="AH111">
        <v>9</v>
      </c>
      <c r="AI111" s="102">
        <v>3.4500000000000003E-2</v>
      </c>
      <c r="AJ111" s="159">
        <v>3.5700000000000003E-2</v>
      </c>
      <c r="AK111" s="148">
        <v>1246836</v>
      </c>
      <c r="AL111" s="101">
        <v>1154505</v>
      </c>
      <c r="AM111" s="101">
        <v>19232</v>
      </c>
      <c r="AN111" s="178">
        <v>9571</v>
      </c>
      <c r="AO111" s="905">
        <f t="shared" si="115"/>
        <v>3.4047561426619735E-3</v>
      </c>
      <c r="AP111" s="909">
        <f t="shared" si="59"/>
        <v>0.34047561426619732</v>
      </c>
      <c r="AQ111" s="148">
        <f t="shared" si="135"/>
        <v>216.08988764044943</v>
      </c>
      <c r="AR111" s="101">
        <f t="shared" si="136"/>
        <v>136.39716312056737</v>
      </c>
      <c r="AS111" s="146">
        <f t="shared" si="158"/>
        <v>1.54246428559971E-2</v>
      </c>
      <c r="AT111" s="147">
        <f t="shared" si="163"/>
        <v>31.896546431312355</v>
      </c>
      <c r="AU111" s="149">
        <f t="shared" si="159"/>
        <v>8.0655202173944698</v>
      </c>
      <c r="AV111" s="101">
        <f t="shared" si="137"/>
        <v>14009.393258426966</v>
      </c>
      <c r="AW111" s="158">
        <f t="shared" si="138"/>
        <v>8842.8085106382987</v>
      </c>
      <c r="AX111" s="150">
        <f t="shared" si="164"/>
        <v>0.92594775896749848</v>
      </c>
      <c r="AY111" s="148">
        <f t="shared" si="165"/>
        <v>29.534535686876438</v>
      </c>
      <c r="AZ111" s="148">
        <f t="shared" si="166"/>
        <v>7.4682503702034602</v>
      </c>
      <c r="BA111" s="148">
        <f t="shared" ref="BA111:BA119" si="168">AL111/AF111</f>
        <v>12971.966292134832</v>
      </c>
      <c r="BB111" s="101">
        <f t="shared" ref="BB111:BB119" si="169">AL111/AE111</f>
        <v>8187.9787234042551</v>
      </c>
      <c r="BC111" s="95">
        <f t="shared" ref="BC111:BC119" si="170">K111/AF111</f>
        <v>439.2134831460674</v>
      </c>
      <c r="BD111" s="95">
        <f t="shared" ref="BD111:BD119" si="171">K111/AE111</f>
        <v>277.2340425531915</v>
      </c>
      <c r="BE111" s="148">
        <f t="shared" si="167"/>
        <v>144.50163724737786</v>
      </c>
      <c r="BF111" s="118">
        <f t="shared" si="124"/>
        <v>63467.067415730337</v>
      </c>
      <c r="BG111" s="148">
        <f t="shared" si="125"/>
        <v>590.17542576533276</v>
      </c>
      <c r="BH111" s="148">
        <f t="shared" si="126"/>
        <v>16420.258720930233</v>
      </c>
      <c r="BI111" s="114">
        <f t="shared" si="127"/>
        <v>29886.608465608464</v>
      </c>
      <c r="BJ111" s="80">
        <f t="shared" si="39"/>
        <v>44105</v>
      </c>
      <c r="BK111" s="95">
        <f t="shared" si="139"/>
        <v>46525.666666666664</v>
      </c>
      <c r="BL111" s="95">
        <f t="shared" si="140"/>
        <v>17971.5</v>
      </c>
      <c r="BM111" s="95">
        <f t="shared" si="141"/>
        <v>84133</v>
      </c>
      <c r="BN111" s="95">
        <f t="shared" si="128"/>
        <v>107.53932584269663</v>
      </c>
      <c r="BO111" s="134">
        <f t="shared" si="129"/>
        <v>120.62532650715704</v>
      </c>
      <c r="BP111" s="118">
        <f t="shared" si="142"/>
        <v>687.36939123412321</v>
      </c>
      <c r="BQ111" s="115">
        <f t="shared" si="143"/>
        <v>7711.9798333333338</v>
      </c>
      <c r="BR111" s="118">
        <f t="shared" si="144"/>
        <v>153.44104382928438</v>
      </c>
      <c r="BS111" s="118">
        <f t="shared" si="153"/>
        <v>14581.023438650451</v>
      </c>
      <c r="BT111" s="80">
        <f t="shared" si="35"/>
        <v>44105</v>
      </c>
      <c r="BU111" s="118">
        <f t="shared" si="130"/>
        <v>142.64805414445681</v>
      </c>
      <c r="BV111" s="1539">
        <f t="shared" si="131"/>
        <v>2.8715101206739989E-3</v>
      </c>
      <c r="BW111" s="11">
        <f t="shared" si="145"/>
        <v>74.333333333333329</v>
      </c>
      <c r="BX111" s="118">
        <f t="shared" si="146"/>
        <v>33829.879453933187</v>
      </c>
      <c r="BY111" s="118">
        <f t="shared" si="147"/>
        <v>19539.515963070968</v>
      </c>
      <c r="BZ111" s="96">
        <f t="shared" si="132"/>
        <v>0.97624639859808482</v>
      </c>
      <c r="CA111" s="102">
        <f t="shared" si="148"/>
        <v>1.5067721177455971E-2</v>
      </c>
      <c r="CB111" s="102">
        <f t="shared" si="149"/>
        <v>8.8428474040693553E-3</v>
      </c>
      <c r="CC111" s="155">
        <f t="shared" si="150"/>
        <v>4.5303223519372233</v>
      </c>
      <c r="CD111">
        <v>172</v>
      </c>
      <c r="CE111">
        <v>99</v>
      </c>
      <c r="CF111">
        <v>51</v>
      </c>
      <c r="CG111">
        <v>27</v>
      </c>
      <c r="CH111" s="118">
        <f t="shared" si="154"/>
        <v>40060.773049645388</v>
      </c>
      <c r="CI111">
        <v>2</v>
      </c>
      <c r="CJ111" s="11">
        <f t="shared" si="29"/>
        <v>6.75</v>
      </c>
      <c r="CK111" s="233">
        <f t="shared" si="30"/>
        <v>1.7267843438219493E-4</v>
      </c>
      <c r="CM111" s="1779"/>
      <c r="CN111" s="1779"/>
      <c r="CO111" s="1779"/>
      <c r="CP111" s="1779"/>
      <c r="CQ111" s="1344">
        <f t="shared" si="113"/>
        <v>2.8715101206739989E-3</v>
      </c>
      <c r="CR111" s="155">
        <f t="shared" si="114"/>
        <v>0.28715101206739985</v>
      </c>
      <c r="CS111" s="137">
        <f t="shared" si="82"/>
        <v>130.27228084839621</v>
      </c>
      <c r="CT111" s="84">
        <f t="shared" si="83"/>
        <v>0.92594775896749848</v>
      </c>
      <c r="CU111" s="84">
        <f t="shared" si="84"/>
        <v>1.0521212587556446</v>
      </c>
      <c r="CV111" s="84">
        <f t="shared" si="85"/>
        <v>1.0521212587556446</v>
      </c>
      <c r="CW111" s="84">
        <f t="shared" si="86"/>
        <v>0.22073484452433881</v>
      </c>
      <c r="CX111" s="84">
        <f t="shared" si="102"/>
        <v>0.21353320353424626</v>
      </c>
      <c r="CY111" s="106">
        <f t="shared" si="77"/>
        <v>-7.405224103250152E-2</v>
      </c>
      <c r="CZ111" s="106">
        <f t="shared" si="99"/>
        <v>9.8659873005095822E-3</v>
      </c>
      <c r="DA111" s="106">
        <v>0.05</v>
      </c>
      <c r="DB111" s="106">
        <v>-0.05</v>
      </c>
      <c r="DC111" s="453">
        <f t="shared" si="87"/>
        <v>4.0842127259429528</v>
      </c>
      <c r="DD111" s="11">
        <f t="shared" si="88"/>
        <v>206.82539682539684</v>
      </c>
      <c r="DE111" s="11">
        <f t="shared" si="89"/>
        <v>113.63372093023256</v>
      </c>
      <c r="DF111" s="11">
        <f t="shared" si="90"/>
        <v>176.44525547445255</v>
      </c>
      <c r="DG111" s="11">
        <f t="shared" si="91"/>
        <v>286.86538461538464</v>
      </c>
      <c r="DH111" s="11">
        <f t="shared" si="155"/>
        <v>522.62626262626259</v>
      </c>
      <c r="DI111" s="11">
        <f t="shared" si="151"/>
        <v>987.37037037037032</v>
      </c>
      <c r="DJ111" s="11">
        <f t="shared" si="92"/>
        <v>88.871323529411768</v>
      </c>
      <c r="DK111" s="11">
        <f t="shared" si="93"/>
        <v>207.18055555555554</v>
      </c>
      <c r="DL111" s="11">
        <f t="shared" si="156"/>
        <v>300.81395348837208</v>
      </c>
      <c r="DM111" s="11">
        <f t="shared" si="152"/>
        <v>522.72549019607845</v>
      </c>
    </row>
    <row r="112" spans="1:117" x14ac:dyDescent="0.25">
      <c r="A112" s="80">
        <v>44136</v>
      </c>
      <c r="B112" s="180">
        <v>100372</v>
      </c>
      <c r="C112" s="95">
        <v>1770</v>
      </c>
      <c r="D112" s="145">
        <f t="shared" si="160"/>
        <v>1.7634400031881402E-2</v>
      </c>
      <c r="E112" s="167">
        <v>98022</v>
      </c>
      <c r="F112" s="145">
        <f t="shared" si="161"/>
        <v>0.9765870960028693</v>
      </c>
      <c r="H112" s="107">
        <f t="shared" si="157"/>
        <v>5.7785039652492945E-3</v>
      </c>
      <c r="I112" s="147">
        <v>6154335</v>
      </c>
      <c r="J112" s="111">
        <f t="shared" ref="J112:J118" si="172">AVERAGE(I101:I112)</f>
        <v>5298812.6683333339</v>
      </c>
      <c r="K112" s="95">
        <f t="shared" ref="K112:K141" si="173">SUM(Q112,W112)</f>
        <v>47073</v>
      </c>
      <c r="L112" s="95">
        <f t="shared" ref="L112:L141" si="174">AVERAGE(K101:K112)</f>
        <v>37174.5</v>
      </c>
      <c r="M112" s="95">
        <f t="shared" si="162"/>
        <v>312</v>
      </c>
      <c r="N112" s="95">
        <f t="shared" ref="N112:N141" si="175">AVERAGE(M101:M112)</f>
        <v>292.41666666666669</v>
      </c>
      <c r="O112" s="95">
        <f t="shared" ref="O112:O141" si="176">SUM(U112,AA112)</f>
        <v>185</v>
      </c>
      <c r="P112" s="95">
        <f t="shared" ref="P112:P141" si="177">AVERAGE(O101:O112)</f>
        <v>162.58333333333334</v>
      </c>
      <c r="Q112" s="103">
        <v>16963</v>
      </c>
      <c r="R112" s="95">
        <f t="shared" si="133"/>
        <v>16783.833333333332</v>
      </c>
      <c r="S112" s="161">
        <v>75</v>
      </c>
      <c r="T112" s="179">
        <f t="shared" si="48"/>
        <v>71.333333333333329</v>
      </c>
      <c r="U112" s="103">
        <v>52</v>
      </c>
      <c r="V112" s="179">
        <f>AVERAGE(U101:U112)</f>
        <v>46.416666666666664</v>
      </c>
      <c r="W112" s="103">
        <f>33310-3200</f>
        <v>30110</v>
      </c>
      <c r="X112" s="95">
        <f t="shared" si="134"/>
        <v>20390.666666666668</v>
      </c>
      <c r="Y112" s="103">
        <v>237</v>
      </c>
      <c r="Z112" s="179">
        <f t="shared" si="50"/>
        <v>221.08333333333334</v>
      </c>
      <c r="AA112" s="103">
        <v>133</v>
      </c>
      <c r="AB112" s="179">
        <f t="shared" si="51"/>
        <v>116.16666666666667</v>
      </c>
      <c r="AC112" s="103">
        <v>65536</v>
      </c>
      <c r="AD112" s="160">
        <v>31529</v>
      </c>
      <c r="AE112" s="9">
        <v>141</v>
      </c>
      <c r="AF112">
        <v>90</v>
      </c>
      <c r="AG112">
        <v>42</v>
      </c>
      <c r="AH112">
        <v>9</v>
      </c>
      <c r="AI112" s="102">
        <v>6.5700000000000008E-2</v>
      </c>
      <c r="AJ112" s="159">
        <v>2.9499999999999998E-2</v>
      </c>
      <c r="AK112" s="112">
        <v>1254403</v>
      </c>
      <c r="AL112" s="101">
        <v>1316918</v>
      </c>
      <c r="AM112" s="101">
        <v>11240</v>
      </c>
      <c r="AN112" s="178">
        <v>9935</v>
      </c>
      <c r="AO112" s="905">
        <f t="shared" si="115"/>
        <v>1.8263549189311275E-3</v>
      </c>
      <c r="AP112" s="909">
        <f t="shared" si="59"/>
        <v>0.18263549189311273</v>
      </c>
      <c r="AQ112" s="148">
        <f t="shared" si="135"/>
        <v>124.88888888888889</v>
      </c>
      <c r="AR112" s="101">
        <f t="shared" si="136"/>
        <v>79.716312056737593</v>
      </c>
      <c r="AS112" s="110">
        <f t="shared" si="158"/>
        <v>8.9604377540551169E-3</v>
      </c>
      <c r="AT112" s="147">
        <f t="shared" si="163"/>
        <v>26.648036029146219</v>
      </c>
      <c r="AU112" s="149">
        <f t="shared" si="159"/>
        <v>6.8823221197764788</v>
      </c>
      <c r="AV112" s="101">
        <f t="shared" si="137"/>
        <v>13937.81111111111</v>
      </c>
      <c r="AW112" s="158">
        <f t="shared" si="138"/>
        <v>8896.4751773049647</v>
      </c>
      <c r="AX112" s="150">
        <f t="shared" si="164"/>
        <v>1.0498364560671491</v>
      </c>
      <c r="AY112" s="148">
        <f t="shared" si="165"/>
        <v>27.976079705988571</v>
      </c>
      <c r="AZ112" s="148">
        <f t="shared" si="166"/>
        <v>7.2253126637386877</v>
      </c>
      <c r="BA112" s="148">
        <f t="shared" si="168"/>
        <v>14632.422222222222</v>
      </c>
      <c r="BB112" s="101">
        <f t="shared" si="169"/>
        <v>9339.8439716312059</v>
      </c>
      <c r="BC112" s="95">
        <f t="shared" si="170"/>
        <v>523.0333333333333</v>
      </c>
      <c r="BD112" s="95">
        <f t="shared" si="171"/>
        <v>333.85106382978722</v>
      </c>
      <c r="BE112" s="148">
        <f t="shared" si="167"/>
        <v>130.740233254732</v>
      </c>
      <c r="BF112" s="118">
        <f t="shared" si="124"/>
        <v>68381.5</v>
      </c>
      <c r="BG112" s="148">
        <f t="shared" si="125"/>
        <v>619.45998993457476</v>
      </c>
      <c r="BH112" s="148">
        <f t="shared" si="126"/>
        <v>19725.432692307691</v>
      </c>
      <c r="BI112" s="114">
        <f t="shared" si="127"/>
        <v>33266.675675675673</v>
      </c>
      <c r="BJ112" s="80">
        <f t="shared" si="39"/>
        <v>44136</v>
      </c>
      <c r="BK112" s="95">
        <f t="shared" si="139"/>
        <v>48280</v>
      </c>
      <c r="BL112" s="95">
        <f t="shared" si="140"/>
        <v>19414.166666666668</v>
      </c>
      <c r="BM112" s="95">
        <f t="shared" si="141"/>
        <v>85236.25</v>
      </c>
      <c r="BN112" s="95">
        <f t="shared" si="128"/>
        <v>110.38888888888889</v>
      </c>
      <c r="BO112" s="134">
        <f t="shared" si="129"/>
        <v>132.55339708102667</v>
      </c>
      <c r="BP112" s="118">
        <f t="shared" si="142"/>
        <v>679.05454328124597</v>
      </c>
      <c r="BQ112" s="115">
        <f t="shared" si="143"/>
        <v>7904.4644166666667</v>
      </c>
      <c r="BR112" s="118">
        <f t="shared" si="144"/>
        <v>151.02330457701461</v>
      </c>
      <c r="BS112" s="118">
        <f t="shared" si="153"/>
        <v>14603.420095697109</v>
      </c>
      <c r="BT112" s="80">
        <f t="shared" si="35"/>
        <v>44136</v>
      </c>
      <c r="BU112" s="118">
        <f t="shared" si="130"/>
        <v>141.60701027821278</v>
      </c>
      <c r="BV112" s="1539">
        <f t="shared" si="131"/>
        <v>3.0147110287222245E-3</v>
      </c>
      <c r="BW112" s="11">
        <f t="shared" si="145"/>
        <v>75.416666666666671</v>
      </c>
      <c r="BX112" s="118">
        <f t="shared" si="146"/>
        <v>34077.091344954039</v>
      </c>
      <c r="BY112" s="118">
        <f t="shared" si="147"/>
        <v>19669.967564361516</v>
      </c>
      <c r="BZ112" s="96">
        <f t="shared" ref="BZ112:BZ125" si="178">AVERAGE(F101:F112)</f>
        <v>0.97617997278545554</v>
      </c>
      <c r="CA112" s="102">
        <f t="shared" si="148"/>
        <v>1.5451749213119766E-2</v>
      </c>
      <c r="CB112" s="102">
        <f t="shared" si="149"/>
        <v>8.4963722516681328E-3</v>
      </c>
      <c r="CC112" s="155">
        <f t="shared" si="150"/>
        <v>4.9061864488525622</v>
      </c>
      <c r="CD112">
        <v>190</v>
      </c>
      <c r="CE112">
        <v>106</v>
      </c>
      <c r="CF112">
        <v>70</v>
      </c>
      <c r="CG112">
        <v>28</v>
      </c>
      <c r="CH112" s="118">
        <f t="shared" si="154"/>
        <v>43647.765957446805</v>
      </c>
      <c r="CI112">
        <v>2</v>
      </c>
      <c r="CJ112" s="11">
        <f t="shared" si="29"/>
        <v>6.416666666666667</v>
      </c>
      <c r="CK112" s="233">
        <f t="shared" si="30"/>
        <v>1.3631310234458536E-4</v>
      </c>
      <c r="CM112" s="1779"/>
      <c r="CN112" s="1779"/>
      <c r="CO112" s="1779"/>
      <c r="CP112" s="1779"/>
      <c r="CQ112" s="1344">
        <f t="shared" si="113"/>
        <v>3.0147110287222245E-3</v>
      </c>
      <c r="CR112" s="155">
        <f t="shared" si="114"/>
        <v>0.30147110287222245</v>
      </c>
      <c r="CS112" s="137">
        <f t="shared" si="82"/>
        <v>126.26099647710116</v>
      </c>
      <c r="CT112" s="84">
        <f t="shared" si="83"/>
        <v>1.0498364560671491</v>
      </c>
      <c r="CU112" s="84">
        <f t="shared" si="84"/>
        <v>0.92594775896749859</v>
      </c>
      <c r="CV112" s="84">
        <f t="shared" si="85"/>
        <v>0.92594775896749837</v>
      </c>
      <c r="CW112" s="84">
        <f t="shared" si="86"/>
        <v>0.20382429620747003</v>
      </c>
      <c r="CX112" s="84">
        <f t="shared" si="102"/>
        <v>0.20737783940577642</v>
      </c>
      <c r="CY112" s="106">
        <f t="shared" si="77"/>
        <v>4.9836456067149149E-2</v>
      </c>
      <c r="CZ112" s="106">
        <f t="shared" si="99"/>
        <v>9.6867527840871492E-3</v>
      </c>
      <c r="DA112" s="106">
        <v>0.05</v>
      </c>
      <c r="DB112" s="106">
        <v>-0.05</v>
      </c>
      <c r="DC112" s="453">
        <f t="shared" si="87"/>
        <v>4.7380976346250625</v>
      </c>
      <c r="DD112" s="11">
        <f t="shared" si="88"/>
        <v>254.44864864864866</v>
      </c>
      <c r="DE112" s="11">
        <f t="shared" si="89"/>
        <v>150.875</v>
      </c>
      <c r="DF112" s="11">
        <f t="shared" si="90"/>
        <v>226.39097744360902</v>
      </c>
      <c r="DG112" s="11">
        <f t="shared" si="91"/>
        <v>326.21153846153845</v>
      </c>
      <c r="DH112" s="11">
        <f t="shared" si="155"/>
        <v>618.2641509433962</v>
      </c>
      <c r="DI112" s="11">
        <f t="shared" si="151"/>
        <v>1126.0357142857142</v>
      </c>
      <c r="DJ112" s="11">
        <f t="shared" si="92"/>
        <v>127.0464135021097</v>
      </c>
      <c r="DK112" s="11">
        <f t="shared" si="93"/>
        <v>226.17333333333335</v>
      </c>
      <c r="DL112" s="11">
        <f t="shared" si="156"/>
        <v>344.92631578947368</v>
      </c>
      <c r="DM112" s="11">
        <f t="shared" si="152"/>
        <v>450.41428571428571</v>
      </c>
    </row>
    <row r="113" spans="1:117" x14ac:dyDescent="0.25">
      <c r="A113" s="80">
        <v>44166</v>
      </c>
      <c r="B113" s="180">
        <v>66556</v>
      </c>
      <c r="C113" s="95">
        <v>999</v>
      </c>
      <c r="D113" s="145">
        <f t="shared" si="160"/>
        <v>1.50099164613258E-2</v>
      </c>
      <c r="E113" s="167">
        <v>64875</v>
      </c>
      <c r="F113" s="145">
        <f t="shared" si="161"/>
        <v>0.97474307350201339</v>
      </c>
      <c r="H113" s="107">
        <f t="shared" si="157"/>
        <v>1.0247010036660809E-2</v>
      </c>
      <c r="I113" s="147">
        <v>4568308</v>
      </c>
      <c r="J113" s="111">
        <f>AVERAGE(I102:I113)</f>
        <v>5360124.17</v>
      </c>
      <c r="K113" s="95">
        <f t="shared" si="173"/>
        <v>33170</v>
      </c>
      <c r="L113" s="95">
        <f t="shared" si="174"/>
        <v>37399.166666666664</v>
      </c>
      <c r="M113" s="95">
        <f t="shared" si="162"/>
        <v>287</v>
      </c>
      <c r="N113" s="95">
        <f t="shared" si="175"/>
        <v>297.66666666666669</v>
      </c>
      <c r="O113" s="95">
        <f t="shared" si="176"/>
        <v>183</v>
      </c>
      <c r="P113" s="95">
        <f t="shared" si="177"/>
        <v>167.08333333333334</v>
      </c>
      <c r="Q113" s="103">
        <v>7905</v>
      </c>
      <c r="R113" s="95">
        <f t="shared" si="133"/>
        <v>16256.083333333334</v>
      </c>
      <c r="S113" s="161">
        <v>57</v>
      </c>
      <c r="T113" s="179">
        <f t="shared" si="48"/>
        <v>70.75</v>
      </c>
      <c r="U113" s="103">
        <v>49</v>
      </c>
      <c r="V113" s="179">
        <f>AVERAGE(U102:U113)</f>
        <v>46.916666666666664</v>
      </c>
      <c r="W113" s="103">
        <v>25265</v>
      </c>
      <c r="X113" s="95">
        <f t="shared" si="134"/>
        <v>21143.083333333332</v>
      </c>
      <c r="Y113" s="103">
        <v>230</v>
      </c>
      <c r="Z113" s="179">
        <f t="shared" si="50"/>
        <v>226.91666666666666</v>
      </c>
      <c r="AA113" s="103">
        <v>134</v>
      </c>
      <c r="AB113" s="179">
        <f t="shared" si="51"/>
        <v>120.16666666666667</v>
      </c>
      <c r="AC113" s="103">
        <v>32406</v>
      </c>
      <c r="AD113" s="160">
        <v>11482</v>
      </c>
      <c r="AE113" s="9">
        <v>139</v>
      </c>
      <c r="AF113">
        <v>87</v>
      </c>
      <c r="AG113">
        <v>43</v>
      </c>
      <c r="AH113">
        <v>9</v>
      </c>
      <c r="AI113" s="102">
        <v>6.3799999999999996E-2</v>
      </c>
      <c r="AJ113" s="159">
        <v>0.26350000000000001</v>
      </c>
      <c r="AK113" s="112">
        <v>1227528</v>
      </c>
      <c r="AL113" s="101">
        <v>975774</v>
      </c>
      <c r="AM113" s="101">
        <v>15701</v>
      </c>
      <c r="AN113" s="178">
        <v>7227</v>
      </c>
      <c r="AO113" s="905">
        <f t="shared" si="115"/>
        <v>3.4369398910931576E-3</v>
      </c>
      <c r="AP113" s="909">
        <f t="shared" si="59"/>
        <v>0.34369398910931576</v>
      </c>
      <c r="AQ113" s="148">
        <f t="shared" si="135"/>
        <v>180.4712643678161</v>
      </c>
      <c r="AR113" s="101">
        <f t="shared" si="136"/>
        <v>112.9568345323741</v>
      </c>
      <c r="AS113" s="110">
        <f t="shared" si="158"/>
        <v>1.2790746932045542E-2</v>
      </c>
      <c r="AT113" s="147">
        <f t="shared" si="163"/>
        <v>37.007175158275551</v>
      </c>
      <c r="AU113" s="149">
        <f t="shared" si="159"/>
        <v>10.637902857146983</v>
      </c>
      <c r="AV113" s="101">
        <f t="shared" si="137"/>
        <v>14109.51724137931</v>
      </c>
      <c r="AW113" s="158">
        <f t="shared" si="138"/>
        <v>8831.1366906474814</v>
      </c>
      <c r="AX113" s="150">
        <f t="shared" si="164"/>
        <v>0.79490976987897632</v>
      </c>
      <c r="AY113" s="148">
        <f t="shared" si="165"/>
        <v>29.417365088935785</v>
      </c>
      <c r="AZ113" s="148">
        <f t="shared" si="166"/>
        <v>8.4561729121696132</v>
      </c>
      <c r="BA113" s="148">
        <f t="shared" si="168"/>
        <v>11215.793103448275</v>
      </c>
      <c r="BB113" s="101">
        <f t="shared" si="169"/>
        <v>7019.9568345323742</v>
      </c>
      <c r="BC113" s="95">
        <f t="shared" si="170"/>
        <v>381.26436781609198</v>
      </c>
      <c r="BD113" s="95">
        <f t="shared" si="171"/>
        <v>238.63309352517985</v>
      </c>
      <c r="BE113" s="148">
        <f t="shared" si="167"/>
        <v>137.72408803135363</v>
      </c>
      <c r="BF113" s="118">
        <f t="shared" si="124"/>
        <v>52509.287356321838</v>
      </c>
      <c r="BG113" s="148">
        <f t="shared" si="125"/>
        <v>632.11678428116784</v>
      </c>
      <c r="BH113" s="148">
        <f t="shared" si="126"/>
        <v>15917.449477351916</v>
      </c>
      <c r="BI113" s="114">
        <f t="shared" si="127"/>
        <v>24963.43169398907</v>
      </c>
      <c r="BJ113" s="80">
        <f t="shared" si="39"/>
        <v>44166</v>
      </c>
      <c r="BK113" s="95">
        <f t="shared" si="139"/>
        <v>47458.666666666664</v>
      </c>
      <c r="BL113" s="95">
        <f t="shared" si="140"/>
        <v>19328.166666666668</v>
      </c>
      <c r="BM113" s="95">
        <f t="shared" si="141"/>
        <v>85546.166666666672</v>
      </c>
      <c r="BN113" s="95">
        <f t="shared" si="128"/>
        <v>83.068965517241381</v>
      </c>
      <c r="BO113" s="134">
        <f t="shared" si="129"/>
        <v>135.01784973017851</v>
      </c>
      <c r="BP113" s="118">
        <f t="shared" si="142"/>
        <v>673.34614595076607</v>
      </c>
      <c r="BQ113" s="115">
        <f t="shared" si="143"/>
        <v>8050.8582500000002</v>
      </c>
      <c r="BR113" s="118">
        <f t="shared" si="144"/>
        <v>152.01987509250179</v>
      </c>
      <c r="BS113" s="118">
        <f t="shared" si="153"/>
        <v>14649.100342902273</v>
      </c>
      <c r="BT113" s="80">
        <f t="shared" ref="BT113:BT127" si="179">BJ113</f>
        <v>44166</v>
      </c>
      <c r="BU113" s="118">
        <f t="shared" ref="BU113:BU125" si="180">AVERAGE(BO102:BO113)</f>
        <v>140.99533514266662</v>
      </c>
      <c r="BV113" s="1539">
        <f t="shared" si="131"/>
        <v>3.1071275332228612E-3</v>
      </c>
      <c r="BW113" s="11">
        <f t="shared" si="145"/>
        <v>76.583333333333329</v>
      </c>
      <c r="BX113" s="118">
        <f t="shared" si="146"/>
        <v>33681.556918936338</v>
      </c>
      <c r="BY113" s="118">
        <f t="shared" si="147"/>
        <v>19570.614403247982</v>
      </c>
      <c r="BZ113" s="96">
        <f t="shared" si="178"/>
        <v>0.9761336098539104</v>
      </c>
      <c r="CA113" s="102">
        <f t="shared" si="148"/>
        <v>1.5479835267355765E-2</v>
      </c>
      <c r="CB113" s="102">
        <f t="shared" si="149"/>
        <v>8.5163106632780254E-3</v>
      </c>
      <c r="CC113" s="155">
        <f t="shared" ref="CC113:CC126" si="181">I113/AK113</f>
        <v>3.7215509544385137</v>
      </c>
      <c r="CD113">
        <v>93</v>
      </c>
      <c r="CE113">
        <v>70</v>
      </c>
      <c r="CF113">
        <v>33</v>
      </c>
      <c r="CG113">
        <v>24</v>
      </c>
      <c r="CH113" s="118">
        <f t="shared" si="154"/>
        <v>32865.525179856115</v>
      </c>
      <c r="CI113">
        <v>3</v>
      </c>
      <c r="CJ113" s="11">
        <f t="shared" si="29"/>
        <v>6.416666666666667</v>
      </c>
      <c r="CK113" s="233">
        <f t="shared" si="30"/>
        <v>1.9344789468395137E-4</v>
      </c>
      <c r="CM113" s="1779"/>
      <c r="CN113" s="1779"/>
      <c r="CO113" s="1779"/>
      <c r="CP113" s="1779"/>
      <c r="CQ113" s="1344">
        <f t="shared" si="113"/>
        <v>3.1071275332228612E-3</v>
      </c>
      <c r="CR113" s="155">
        <f t="shared" si="114"/>
        <v>0.31071275332228615</v>
      </c>
      <c r="CS113" s="137">
        <f t="shared" si="82"/>
        <v>169.8530510585305</v>
      </c>
      <c r="CT113" s="84">
        <f t="shared" si="83"/>
        <v>0.79490976987897644</v>
      </c>
      <c r="CU113" s="84">
        <f t="shared" si="84"/>
        <v>1.0498364560671491</v>
      </c>
      <c r="CV113" s="84">
        <f t="shared" si="85"/>
        <v>1.0498364560671491</v>
      </c>
      <c r="CW113" s="84">
        <f t="shared" si="86"/>
        <v>0.26870517486999562</v>
      </c>
      <c r="CX113" s="84">
        <f t="shared" si="102"/>
        <v>0.23057828583491558</v>
      </c>
      <c r="CY113" s="106">
        <f t="shared" ref="CY113:CY139" si="182">AX113-1</f>
        <v>-0.20509023012102368</v>
      </c>
      <c r="CZ113" s="106">
        <f t="shared" si="99"/>
        <v>-7.5512897426951109E-2</v>
      </c>
      <c r="DA113" s="106">
        <v>0.05</v>
      </c>
      <c r="DB113" s="106">
        <v>-0.05</v>
      </c>
      <c r="DC113" s="453">
        <f t="shared" si="87"/>
        <v>4.5897329458973291</v>
      </c>
      <c r="DD113" s="11">
        <f t="shared" si="88"/>
        <v>181.2568306010929</v>
      </c>
      <c r="DE113" s="11">
        <f t="shared" si="89"/>
        <v>115.57491289198606</v>
      </c>
      <c r="DF113" s="11">
        <f t="shared" si="90"/>
        <v>188.544776119403</v>
      </c>
      <c r="DG113" s="11">
        <f t="shared" si="91"/>
        <v>161.32653061224491</v>
      </c>
      <c r="DH113" s="11">
        <f t="shared" si="155"/>
        <v>462.94285714285712</v>
      </c>
      <c r="DI113" s="11">
        <f t="shared" si="151"/>
        <v>478.41666666666669</v>
      </c>
      <c r="DJ113" s="11">
        <f t="shared" si="92"/>
        <v>109.84782608695652</v>
      </c>
      <c r="DK113" s="11">
        <f t="shared" si="93"/>
        <v>138.68421052631578</v>
      </c>
      <c r="DL113" s="11">
        <f t="shared" si="156"/>
        <v>348.45161290322579</v>
      </c>
      <c r="DM113" s="11">
        <f t="shared" si="152"/>
        <v>347.93939393939394</v>
      </c>
    </row>
    <row r="114" spans="1:117" s="31" customFormat="1" x14ac:dyDescent="0.25">
      <c r="A114" s="738">
        <v>44197</v>
      </c>
      <c r="B114" s="761">
        <v>77022</v>
      </c>
      <c r="C114" s="740">
        <v>1346</v>
      </c>
      <c r="D114" s="762">
        <f t="shared" si="160"/>
        <v>1.747552647295578E-2</v>
      </c>
      <c r="E114" s="763">
        <v>74996</v>
      </c>
      <c r="F114" s="762">
        <f t="shared" si="161"/>
        <v>0.97369582716626424</v>
      </c>
      <c r="H114" s="764">
        <f t="shared" si="157"/>
        <v>8.8286463607799813E-3</v>
      </c>
      <c r="I114" s="765">
        <v>4840134</v>
      </c>
      <c r="J114" s="745">
        <f t="shared" si="172"/>
        <v>5328541.8116666665</v>
      </c>
      <c r="K114" s="740">
        <f t="shared" si="173"/>
        <v>33542</v>
      </c>
      <c r="L114" s="740">
        <f t="shared" si="174"/>
        <v>36939.583333333336</v>
      </c>
      <c r="M114" s="740">
        <f t="shared" si="162"/>
        <v>282</v>
      </c>
      <c r="N114" s="740">
        <f t="shared" si="175"/>
        <v>296.75</v>
      </c>
      <c r="O114" s="740">
        <f t="shared" si="176"/>
        <v>174</v>
      </c>
      <c r="P114" s="740">
        <f t="shared" si="177"/>
        <v>169</v>
      </c>
      <c r="Q114" s="746">
        <v>12451</v>
      </c>
      <c r="R114" s="740">
        <f t="shared" si="133"/>
        <v>15773.583333333334</v>
      </c>
      <c r="S114" s="747">
        <v>55</v>
      </c>
      <c r="T114" s="748">
        <f t="shared" si="48"/>
        <v>69.75</v>
      </c>
      <c r="U114" s="746">
        <v>42</v>
      </c>
      <c r="V114" s="748">
        <f>AVERAGE(U103:U114)</f>
        <v>47.166666666666664</v>
      </c>
      <c r="W114" s="746">
        <f>22691-1600</f>
        <v>21091</v>
      </c>
      <c r="X114" s="740">
        <f t="shared" si="134"/>
        <v>21166</v>
      </c>
      <c r="Y114" s="746">
        <v>227</v>
      </c>
      <c r="Z114" s="748">
        <f t="shared" si="50"/>
        <v>227</v>
      </c>
      <c r="AA114" s="746">
        <v>132</v>
      </c>
      <c r="AB114" s="748">
        <f t="shared" si="51"/>
        <v>121.83333333333333</v>
      </c>
      <c r="AC114" s="746">
        <v>34378</v>
      </c>
      <c r="AD114" s="766">
        <v>21182</v>
      </c>
      <c r="AE114" s="649">
        <v>136</v>
      </c>
      <c r="AF114" s="31">
        <v>82</v>
      </c>
      <c r="AG114" s="31">
        <v>45</v>
      </c>
      <c r="AH114" s="31">
        <v>9</v>
      </c>
      <c r="AI114" s="749">
        <v>6.6799999999999998E-2</v>
      </c>
      <c r="AJ114" s="767">
        <v>9.3399999999999997E-2</v>
      </c>
      <c r="AK114" s="744">
        <v>1100908</v>
      </c>
      <c r="AL114" s="751">
        <v>1058078</v>
      </c>
      <c r="AM114" s="751">
        <v>11284</v>
      </c>
      <c r="AN114" s="768">
        <v>7664</v>
      </c>
      <c r="AO114" s="905">
        <f t="shared" si="115"/>
        <v>2.3313404133026069E-3</v>
      </c>
      <c r="AP114" s="909">
        <f t="shared" si="59"/>
        <v>0.23313404133026069</v>
      </c>
      <c r="AQ114" s="769">
        <f t="shared" si="135"/>
        <v>137.60975609756099</v>
      </c>
      <c r="AR114" s="751">
        <f t="shared" si="136"/>
        <v>82.970588235294116</v>
      </c>
      <c r="AS114" s="770">
        <f t="shared" si="158"/>
        <v>1.0249721139277759E-2</v>
      </c>
      <c r="AT114" s="765">
        <f t="shared" si="163"/>
        <v>32.821775684216803</v>
      </c>
      <c r="AU114" s="771">
        <f t="shared" si="159"/>
        <v>8.6710703877759983</v>
      </c>
      <c r="AV114" s="751">
        <f t="shared" si="137"/>
        <v>13425.707317073171</v>
      </c>
      <c r="AW114" s="772">
        <f t="shared" si="138"/>
        <v>8094.911764705882</v>
      </c>
      <c r="AX114" s="773">
        <f t="shared" si="164"/>
        <v>0.96109575005359216</v>
      </c>
      <c r="AY114" s="769">
        <f t="shared" si="165"/>
        <v>31.544869119313098</v>
      </c>
      <c r="AZ114" s="769">
        <f t="shared" si="166"/>
        <v>8.333728898107065</v>
      </c>
      <c r="BA114" s="769">
        <f t="shared" si="168"/>
        <v>12903.390243902439</v>
      </c>
      <c r="BB114" s="751">
        <f t="shared" si="169"/>
        <v>7779.9852941176468</v>
      </c>
      <c r="BC114" s="740">
        <f t="shared" si="170"/>
        <v>409.04878048780489</v>
      </c>
      <c r="BD114" s="740">
        <f t="shared" si="171"/>
        <v>246.63235294117646</v>
      </c>
      <c r="BE114" s="769">
        <f t="shared" si="167"/>
        <v>144.30069763281855</v>
      </c>
      <c r="BF114" s="756">
        <f t="shared" si="124"/>
        <v>59026.024390243903</v>
      </c>
      <c r="BG114" s="769">
        <f t="shared" si="125"/>
        <v>631.54149269311063</v>
      </c>
      <c r="BH114" s="769">
        <f t="shared" si="126"/>
        <v>17163.59574468085</v>
      </c>
      <c r="BI114" s="772">
        <f t="shared" si="127"/>
        <v>27816.862068965518</v>
      </c>
      <c r="BJ114" s="738">
        <f t="shared" si="39"/>
        <v>44197</v>
      </c>
      <c r="BK114" s="740">
        <f t="shared" si="139"/>
        <v>46152</v>
      </c>
      <c r="BL114" s="740">
        <f t="shared" si="140"/>
        <v>19722.916666666668</v>
      </c>
      <c r="BM114" s="740">
        <f t="shared" si="141"/>
        <v>84228.666666666672</v>
      </c>
      <c r="BN114" s="740">
        <f t="shared" ref="BN114:BN119" si="183">AN114/AF114</f>
        <v>93.463414634146346</v>
      </c>
      <c r="BO114" s="745">
        <f t="shared" ref="BO114:BO119" si="184">AL114/AN114</f>
        <v>138.05819415448852</v>
      </c>
      <c r="BP114" s="756">
        <f t="shared" si="142"/>
        <v>669.76187725705745</v>
      </c>
      <c r="BQ114" s="757">
        <f t="shared" si="143"/>
        <v>8044.761583333333</v>
      </c>
      <c r="BR114" s="756">
        <f t="shared" si="144"/>
        <v>152.90923774931318</v>
      </c>
      <c r="BS114" s="756">
        <f t="shared" ref="BS114:BS125" si="185">AVERAGE(BA103:BA114)</f>
        <v>14433.907373031398</v>
      </c>
      <c r="BT114" s="738">
        <f t="shared" si="179"/>
        <v>44197</v>
      </c>
      <c r="BU114" s="756">
        <f t="shared" si="180"/>
        <v>141.15851234511496</v>
      </c>
      <c r="BV114" s="1540">
        <f t="shared" si="131"/>
        <v>3.1260251988954792E-3</v>
      </c>
      <c r="BW114" s="759">
        <f t="shared" si="145"/>
        <v>77.75</v>
      </c>
      <c r="BX114" s="756">
        <f t="shared" si="146"/>
        <v>33119.318437928494</v>
      </c>
      <c r="BY114" s="756">
        <f t="shared" si="147"/>
        <v>19516.522040674459</v>
      </c>
      <c r="BZ114" s="741">
        <f t="shared" si="178"/>
        <v>0.97575465344834145</v>
      </c>
      <c r="CA114" s="749">
        <f t="shared" si="148"/>
        <v>1.5759272021866989E-2</v>
      </c>
      <c r="CB114" s="749">
        <f t="shared" si="149"/>
        <v>8.6248775553410331E-3</v>
      </c>
      <c r="CC114" s="752">
        <f t="shared" si="181"/>
        <v>4.3964927132875768</v>
      </c>
      <c r="CD114" s="31">
        <v>106</v>
      </c>
      <c r="CE114" s="31">
        <v>74</v>
      </c>
      <c r="CF114" s="31">
        <v>39</v>
      </c>
      <c r="CG114" s="31">
        <v>27</v>
      </c>
      <c r="CH114" s="756">
        <f t="shared" si="154"/>
        <v>35589.220588235294</v>
      </c>
      <c r="CI114" s="31">
        <v>4</v>
      </c>
      <c r="CJ114" s="759">
        <f t="shared" si="29"/>
        <v>6.333333333333333</v>
      </c>
      <c r="CK114" s="760">
        <f t="shared" si="30"/>
        <v>1.888179993242303E-4</v>
      </c>
      <c r="CM114" s="1779"/>
      <c r="CN114" s="1779"/>
      <c r="CO114" s="1779"/>
      <c r="CP114" s="1779"/>
      <c r="CQ114" s="1344">
        <f t="shared" si="113"/>
        <v>3.1260251988954792E-3</v>
      </c>
      <c r="CR114" s="155">
        <f t="shared" si="114"/>
        <v>0.3126025198895479</v>
      </c>
      <c r="CS114" s="137">
        <f t="shared" si="82"/>
        <v>143.64665970772444</v>
      </c>
      <c r="CT114" s="84">
        <f t="shared" si="83"/>
        <v>0.96109575005359205</v>
      </c>
      <c r="CU114" s="84">
        <f t="shared" si="84"/>
        <v>0.79490976987897632</v>
      </c>
      <c r="CV114" s="84">
        <f t="shared" si="85"/>
        <v>0.79490976987897632</v>
      </c>
      <c r="CW114" s="84">
        <f t="shared" si="86"/>
        <v>0.22745403329742522</v>
      </c>
      <c r="CX114" s="84">
        <f t="shared" si="102"/>
        <v>0.23959522134128119</v>
      </c>
      <c r="CY114" s="106">
        <f t="shared" si="182"/>
        <v>-3.8904249946407843E-2</v>
      </c>
      <c r="CZ114" s="106">
        <f t="shared" si="99"/>
        <v>-6.47723774358826E-2</v>
      </c>
      <c r="DA114" s="106">
        <v>0.05</v>
      </c>
      <c r="DB114" s="106">
        <v>-0.05</v>
      </c>
      <c r="DC114" s="453">
        <f t="shared" si="87"/>
        <v>4.3765657620041756</v>
      </c>
      <c r="DD114" s="11">
        <f t="shared" si="88"/>
        <v>192.77011494252875</v>
      </c>
      <c r="DE114" s="11">
        <f t="shared" si="89"/>
        <v>118.94326241134752</v>
      </c>
      <c r="DF114" s="11">
        <f t="shared" si="90"/>
        <v>159.78030303030303</v>
      </c>
      <c r="DG114" s="11">
        <f t="shared" si="91"/>
        <v>296.45238095238096</v>
      </c>
      <c r="DH114" s="11">
        <f t="shared" si="155"/>
        <v>464.56756756756755</v>
      </c>
      <c r="DI114" s="11">
        <f t="shared" si="151"/>
        <v>784.51851851851848</v>
      </c>
      <c r="DJ114" s="11">
        <f t="shared" si="92"/>
        <v>92.911894273127757</v>
      </c>
      <c r="DK114" s="11">
        <f t="shared" si="93"/>
        <v>226.38181818181818</v>
      </c>
      <c r="DL114" s="11">
        <f t="shared" si="156"/>
        <v>324.32075471698113</v>
      </c>
      <c r="DM114" s="11">
        <f t="shared" si="152"/>
        <v>543.12820512820508</v>
      </c>
    </row>
    <row r="115" spans="1:117" x14ac:dyDescent="0.25">
      <c r="A115" s="80">
        <v>44228</v>
      </c>
      <c r="B115" s="180">
        <v>75949</v>
      </c>
      <c r="C115" s="95">
        <v>1102</v>
      </c>
      <c r="D115" s="145">
        <f t="shared" si="160"/>
        <v>1.4509736797061187E-2</v>
      </c>
      <c r="E115" s="167">
        <v>74398</v>
      </c>
      <c r="F115" s="145">
        <f t="shared" si="161"/>
        <v>0.97957840129560625</v>
      </c>
      <c r="H115" s="107">
        <f t="shared" si="157"/>
        <v>5.9118619073325641E-3</v>
      </c>
      <c r="I115" s="147">
        <v>4600143</v>
      </c>
      <c r="J115" s="111">
        <f t="shared" si="172"/>
        <v>5295354.5583333336</v>
      </c>
      <c r="K115" s="95">
        <f t="shared" si="173"/>
        <v>31481</v>
      </c>
      <c r="L115" s="95">
        <f t="shared" si="174"/>
        <v>36770</v>
      </c>
      <c r="M115" s="95">
        <f t="shared" si="162"/>
        <v>319</v>
      </c>
      <c r="N115" s="95">
        <f t="shared" si="175"/>
        <v>298.08333333333331</v>
      </c>
      <c r="O115" s="95">
        <f t="shared" si="176"/>
        <v>196</v>
      </c>
      <c r="P115" s="95">
        <f t="shared" si="177"/>
        <v>170.91666666666666</v>
      </c>
      <c r="Q115" s="103">
        <v>10428</v>
      </c>
      <c r="R115" s="95">
        <f t="shared" si="133"/>
        <v>15387.416666666666</v>
      </c>
      <c r="S115" s="161">
        <v>72</v>
      </c>
      <c r="T115" s="179">
        <f t="shared" si="48"/>
        <v>70.583333333333329</v>
      </c>
      <c r="U115" s="103">
        <v>51</v>
      </c>
      <c r="V115" s="179">
        <f>AVERAGE(U104:U115)</f>
        <v>48</v>
      </c>
      <c r="W115" s="103">
        <f>22653-1600</f>
        <v>21053</v>
      </c>
      <c r="X115" s="95">
        <f t="shared" si="134"/>
        <v>21382.583333333332</v>
      </c>
      <c r="Y115" s="103">
        <v>247</v>
      </c>
      <c r="Z115" s="179">
        <f t="shared" si="50"/>
        <v>227.5</v>
      </c>
      <c r="AA115" s="103">
        <v>145</v>
      </c>
      <c r="AB115" s="179">
        <f t="shared" si="51"/>
        <v>122.91666666666667</v>
      </c>
      <c r="AC115" s="103">
        <v>40800</v>
      </c>
      <c r="AD115" s="160">
        <v>18744</v>
      </c>
      <c r="AE115" s="9">
        <v>132</v>
      </c>
      <c r="AF115">
        <v>78</v>
      </c>
      <c r="AG115">
        <v>45</v>
      </c>
      <c r="AH115">
        <v>9</v>
      </c>
      <c r="AI115" s="102">
        <v>4.4500000000000005E-2</v>
      </c>
      <c r="AJ115" s="205">
        <v>3.7200000000000004E-2</v>
      </c>
      <c r="AK115" s="147">
        <v>1177971</v>
      </c>
      <c r="AL115" s="101">
        <v>997771</v>
      </c>
      <c r="AM115" s="101">
        <v>32539</v>
      </c>
      <c r="AN115" s="206">
        <v>7342</v>
      </c>
      <c r="AO115" s="905">
        <f t="shared" si="115"/>
        <v>7.0734757593405246E-3</v>
      </c>
      <c r="AP115" s="909">
        <f t="shared" si="59"/>
        <v>0.70734757593405251</v>
      </c>
      <c r="AQ115" s="148">
        <f t="shared" si="135"/>
        <v>417.16666666666669</v>
      </c>
      <c r="AR115" s="101">
        <f t="shared" si="136"/>
        <v>246.50757575757575</v>
      </c>
      <c r="AS115" s="146">
        <f t="shared" si="158"/>
        <v>2.7622921107565465E-2</v>
      </c>
      <c r="AT115" s="147">
        <f t="shared" si="163"/>
        <v>37.418474635494427</v>
      </c>
      <c r="AU115" s="149">
        <f t="shared" si="159"/>
        <v>9.1472289736680672</v>
      </c>
      <c r="AV115" s="101">
        <f t="shared" si="137"/>
        <v>15102.192307692309</v>
      </c>
      <c r="AW115" s="158">
        <f t="shared" si="138"/>
        <v>8924.0227272727279</v>
      </c>
      <c r="AX115" s="150">
        <f t="shared" si="164"/>
        <v>0.84702509654312375</v>
      </c>
      <c r="AY115" s="148">
        <f t="shared" si="165"/>
        <v>31.69438709062609</v>
      </c>
      <c r="AZ115" s="148">
        <f t="shared" si="166"/>
        <v>7.747932504523253</v>
      </c>
      <c r="BA115" s="148">
        <f t="shared" si="168"/>
        <v>12791.935897435897</v>
      </c>
      <c r="BB115" s="101">
        <f t="shared" si="169"/>
        <v>7558.871212121212</v>
      </c>
      <c r="BC115" s="95">
        <f t="shared" si="170"/>
        <v>403.60256410256409</v>
      </c>
      <c r="BD115" s="95">
        <f t="shared" si="171"/>
        <v>238.49242424242425</v>
      </c>
      <c r="BE115" s="148">
        <f t="shared" si="167"/>
        <v>146.12442425590038</v>
      </c>
      <c r="BF115" s="118">
        <f t="shared" si="124"/>
        <v>58976.192307692305</v>
      </c>
      <c r="BG115" s="148">
        <f t="shared" si="125"/>
        <v>626.5517570144375</v>
      </c>
      <c r="BH115" s="148">
        <f t="shared" si="126"/>
        <v>14420.510971786834</v>
      </c>
      <c r="BI115" s="158">
        <f t="shared" si="127"/>
        <v>23470.117346938776</v>
      </c>
      <c r="BJ115" s="80">
        <f t="shared" si="39"/>
        <v>44228</v>
      </c>
      <c r="BK115" s="95">
        <f t="shared" si="139"/>
        <v>45716.75</v>
      </c>
      <c r="BL115" s="95">
        <f t="shared" si="140"/>
        <v>20158.583333333332</v>
      </c>
      <c r="BM115" s="95">
        <f t="shared" si="141"/>
        <v>84198.083333333328</v>
      </c>
      <c r="BN115" s="95">
        <f t="shared" si="183"/>
        <v>94.128205128205124</v>
      </c>
      <c r="BO115" s="134">
        <f t="shared" si="184"/>
        <v>135.89907382184691</v>
      </c>
      <c r="BP115" s="118">
        <f t="shared" si="142"/>
        <v>663.50791324786189</v>
      </c>
      <c r="BQ115" s="115">
        <f t="shared" si="143"/>
        <v>8062.9049166666664</v>
      </c>
      <c r="BR115" s="118">
        <f t="shared" si="144"/>
        <v>152.65840273360118</v>
      </c>
      <c r="BS115" s="118">
        <f t="shared" si="185"/>
        <v>14182.650749099774</v>
      </c>
      <c r="BT115" s="80">
        <f t="shared" si="179"/>
        <v>44228</v>
      </c>
      <c r="BU115" s="118">
        <f t="shared" si="180"/>
        <v>140.46519144868174</v>
      </c>
      <c r="BV115" s="1539">
        <f t="shared" si="131"/>
        <v>3.6356891530058763E-3</v>
      </c>
      <c r="BW115" s="11">
        <f t="shared" si="145"/>
        <v>78.833333333333329</v>
      </c>
      <c r="BX115" s="118">
        <f t="shared" si="146"/>
        <v>32667.459218766846</v>
      </c>
      <c r="BY115" s="118">
        <f t="shared" si="147"/>
        <v>19343.536557850315</v>
      </c>
      <c r="BZ115" s="96">
        <f t="shared" si="178"/>
        <v>0.97620858891979723</v>
      </c>
      <c r="CA115" s="102">
        <f t="shared" si="148"/>
        <v>1.5648247983007204E-2</v>
      </c>
      <c r="CB115" s="102">
        <f t="shared" si="149"/>
        <v>8.2507923561453405E-3</v>
      </c>
      <c r="CC115" s="155">
        <f t="shared" si="181"/>
        <v>3.9051411282620712</v>
      </c>
      <c r="CD115">
        <v>123</v>
      </c>
      <c r="CE115">
        <v>82</v>
      </c>
      <c r="CF115">
        <v>33</v>
      </c>
      <c r="CG115">
        <v>20</v>
      </c>
      <c r="CH115" s="118">
        <f t="shared" si="154"/>
        <v>34849.568181818184</v>
      </c>
      <c r="CI115">
        <v>2</v>
      </c>
      <c r="CJ115" s="11">
        <f t="shared" si="29"/>
        <v>5.666666666666667</v>
      </c>
      <c r="CK115" s="233">
        <f t="shared" si="30"/>
        <v>1.8000275298328094E-4</v>
      </c>
      <c r="CM115" s="1779"/>
      <c r="CN115" s="1779"/>
      <c r="CO115" s="1779"/>
      <c r="CP115" s="1779"/>
      <c r="CQ115" s="1344">
        <f t="shared" si="113"/>
        <v>3.6356891530058763E-3</v>
      </c>
      <c r="CR115" s="155">
        <f t="shared" si="114"/>
        <v>0.36356891530058766</v>
      </c>
      <c r="CS115" s="137">
        <f t="shared" si="82"/>
        <v>160.44279487877964</v>
      </c>
      <c r="CT115" s="84">
        <f t="shared" si="83"/>
        <v>0.84702509654312363</v>
      </c>
      <c r="CU115" s="84">
        <f t="shared" si="84"/>
        <v>0.96109575005359205</v>
      </c>
      <c r="CV115" s="84">
        <f t="shared" si="85"/>
        <v>0.96109575005359216</v>
      </c>
      <c r="CW115" s="84">
        <f t="shared" si="86"/>
        <v>0.25607269165328123</v>
      </c>
      <c r="CX115" s="84">
        <f t="shared" si="102"/>
        <v>0.25576023559838484</v>
      </c>
      <c r="CY115" s="106">
        <f t="shared" si="182"/>
        <v>-0.15297490345687625</v>
      </c>
      <c r="CZ115" s="106">
        <f t="shared" ref="CZ115:CZ139" si="186">SUM(AL113:AL115)/SUM(AK113:AK115)-1</f>
        <v>-0.13540470344714695</v>
      </c>
      <c r="DA115" s="106">
        <v>0.05</v>
      </c>
      <c r="DB115" s="106">
        <v>-0.05</v>
      </c>
      <c r="DC115" s="453">
        <f t="shared" si="87"/>
        <v>4.2877962408063199</v>
      </c>
      <c r="DD115" s="11">
        <f t="shared" si="88"/>
        <v>160.61734693877551</v>
      </c>
      <c r="DE115" s="11">
        <f t="shared" si="89"/>
        <v>98.686520376175551</v>
      </c>
      <c r="DF115" s="11">
        <f t="shared" si="90"/>
        <v>145.19310344827585</v>
      </c>
      <c r="DG115" s="11">
        <f t="shared" si="91"/>
        <v>204.47058823529412</v>
      </c>
      <c r="DH115" s="11">
        <f t="shared" si="155"/>
        <v>497.5609756097561</v>
      </c>
      <c r="DI115" s="11">
        <f t="shared" si="151"/>
        <v>937.2</v>
      </c>
      <c r="DJ115" s="11">
        <f t="shared" si="92"/>
        <v>85.234817813765176</v>
      </c>
      <c r="DK115" s="11">
        <f t="shared" si="93"/>
        <v>144.83333333333334</v>
      </c>
      <c r="DL115" s="11">
        <f t="shared" si="156"/>
        <v>331.70731707317071</v>
      </c>
      <c r="DM115" s="11">
        <f t="shared" si="152"/>
        <v>568</v>
      </c>
    </row>
    <row r="116" spans="1:117" x14ac:dyDescent="0.25">
      <c r="A116" s="80">
        <v>44256</v>
      </c>
      <c r="B116" s="180">
        <v>99450</v>
      </c>
      <c r="C116" s="95">
        <v>2026</v>
      </c>
      <c r="D116" s="145">
        <f t="shared" si="160"/>
        <v>2.0372046254399194E-2</v>
      </c>
      <c r="E116" s="167">
        <v>97087</v>
      </c>
      <c r="F116" s="145">
        <f t="shared" si="161"/>
        <v>0.97623931623931626</v>
      </c>
      <c r="H116" s="107">
        <f t="shared" si="157"/>
        <v>3.3886375062845489E-3</v>
      </c>
      <c r="I116" s="147">
        <v>5568012</v>
      </c>
      <c r="J116" s="111">
        <f t="shared" si="172"/>
        <v>5438237.5499999998</v>
      </c>
      <c r="K116" s="95">
        <f t="shared" si="173"/>
        <v>50532</v>
      </c>
      <c r="L116" s="95">
        <f t="shared" si="174"/>
        <v>38420.166666666664</v>
      </c>
      <c r="M116" s="95">
        <f t="shared" si="162"/>
        <v>343</v>
      </c>
      <c r="N116" s="95">
        <f t="shared" si="175"/>
        <v>303.25</v>
      </c>
      <c r="O116" s="95">
        <f t="shared" si="176"/>
        <v>200</v>
      </c>
      <c r="P116" s="95">
        <f t="shared" si="177"/>
        <v>174.75</v>
      </c>
      <c r="Q116" s="103">
        <v>19813</v>
      </c>
      <c r="R116" s="95">
        <f t="shared" ref="R116:R141" si="187">AVERAGE(Q105:Q116)</f>
        <v>15664.833333333334</v>
      </c>
      <c r="S116" s="161">
        <v>75</v>
      </c>
      <c r="T116" s="179">
        <f t="shared" si="48"/>
        <v>71.166666666666671</v>
      </c>
      <c r="U116" s="103">
        <v>49</v>
      </c>
      <c r="V116" s="179">
        <f t="shared" ref="V116:V141" si="188">AVERAGE(U105:U116)</f>
        <v>48.583333333333336</v>
      </c>
      <c r="W116" s="103">
        <f>33919-3200</f>
        <v>30719</v>
      </c>
      <c r="X116" s="95">
        <f t="shared" si="134"/>
        <v>22755.333333333332</v>
      </c>
      <c r="Y116" s="103">
        <v>268</v>
      </c>
      <c r="Z116" s="179">
        <f t="shared" si="50"/>
        <v>232.08333333333334</v>
      </c>
      <c r="AA116" s="103">
        <v>151</v>
      </c>
      <c r="AB116" s="179">
        <f t="shared" si="51"/>
        <v>126.16666666666667</v>
      </c>
      <c r="AC116" s="103">
        <v>56926</v>
      </c>
      <c r="AD116" s="160">
        <v>25138</v>
      </c>
      <c r="AE116" s="9">
        <v>138</v>
      </c>
      <c r="AF116">
        <v>89</v>
      </c>
      <c r="AG116">
        <v>41</v>
      </c>
      <c r="AH116">
        <v>8</v>
      </c>
      <c r="AI116" s="102">
        <v>3.1300000000000001E-2</v>
      </c>
      <c r="AJ116" s="205">
        <v>2.8799999999999999E-2</v>
      </c>
      <c r="AK116" s="147">
        <v>1235014</v>
      </c>
      <c r="AL116" s="101">
        <v>983776</v>
      </c>
      <c r="AM116" s="101">
        <v>-15429</v>
      </c>
      <c r="AN116" s="206">
        <v>9653</v>
      </c>
      <c r="AO116" s="905">
        <f t="shared" si="115"/>
        <v>-2.7710069590367262E-3</v>
      </c>
      <c r="AP116" s="909">
        <f t="shared" si="59"/>
        <v>-0.27710069590367264</v>
      </c>
      <c r="AQ116" s="148">
        <f t="shared" si="135"/>
        <v>-173.35955056179776</v>
      </c>
      <c r="AR116" s="101">
        <f t="shared" si="136"/>
        <v>-111.80434782608695</v>
      </c>
      <c r="AS116" s="146">
        <f t="shared" si="158"/>
        <v>-1.2492975788128717E-2</v>
      </c>
      <c r="AT116" s="147">
        <f t="shared" ref="AT116:AT141" si="189">AK116/K116</f>
        <v>24.440235890129028</v>
      </c>
      <c r="AU116" s="149">
        <f t="shared" si="159"/>
        <v>7.1787627285964364</v>
      </c>
      <c r="AV116" s="101">
        <f t="shared" si="137"/>
        <v>13876.561797752809</v>
      </c>
      <c r="AW116" s="158">
        <f t="shared" si="138"/>
        <v>8949.3768115942021</v>
      </c>
      <c r="AX116" s="150">
        <f t="shared" si="164"/>
        <v>0.79657072713345756</v>
      </c>
      <c r="AY116" s="148">
        <f t="shared" si="165"/>
        <v>19.468376474313306</v>
      </c>
      <c r="AZ116" s="148">
        <f t="shared" si="166"/>
        <v>5.7183922466366273</v>
      </c>
      <c r="BA116" s="148">
        <f t="shared" si="168"/>
        <v>11053.662921348314</v>
      </c>
      <c r="BB116" s="101">
        <f t="shared" si="169"/>
        <v>7128.811594202899</v>
      </c>
      <c r="BC116" s="95">
        <f t="shared" si="170"/>
        <v>567.77528089887642</v>
      </c>
      <c r="BD116" s="95">
        <f t="shared" si="171"/>
        <v>366.17391304347825</v>
      </c>
      <c r="BE116" s="148">
        <f t="shared" si="167"/>
        <v>110.18784136784612</v>
      </c>
      <c r="BF116" s="118">
        <f t="shared" si="124"/>
        <v>62561.932584269663</v>
      </c>
      <c r="BG116" s="148">
        <f t="shared" si="125"/>
        <v>576.81674090956176</v>
      </c>
      <c r="BH116" s="148">
        <f t="shared" si="126"/>
        <v>16233.271137026239</v>
      </c>
      <c r="BI116" s="158">
        <f t="shared" si="127"/>
        <v>27840.06</v>
      </c>
      <c r="BJ116" s="80">
        <f t="shared" si="39"/>
        <v>44256</v>
      </c>
      <c r="BK116" s="95">
        <f t="shared" si="139"/>
        <v>45950.083333333336</v>
      </c>
      <c r="BL116" s="95">
        <f t="shared" si="140"/>
        <v>20494.833333333332</v>
      </c>
      <c r="BM116" s="95">
        <f t="shared" si="141"/>
        <v>86940.833333333328</v>
      </c>
      <c r="BN116" s="95">
        <f t="shared" si="183"/>
        <v>108.46067415730337</v>
      </c>
      <c r="BO116" s="134">
        <f t="shared" si="184"/>
        <v>101.9140163679685</v>
      </c>
      <c r="BP116" s="118">
        <f t="shared" si="142"/>
        <v>655.24515491267482</v>
      </c>
      <c r="BQ116" s="115">
        <f t="shared" si="143"/>
        <v>8392.2737500000003</v>
      </c>
      <c r="BR116" s="118">
        <f t="shared" si="144"/>
        <v>151.39106426205848</v>
      </c>
      <c r="BS116" s="118">
        <f t="shared" si="185"/>
        <v>14047.954690462133</v>
      </c>
      <c r="BT116" s="80">
        <f t="shared" si="179"/>
        <v>44256</v>
      </c>
      <c r="BU116" s="118">
        <f t="shared" si="180"/>
        <v>137.10423446351408</v>
      </c>
      <c r="BV116" s="1539">
        <f t="shared" si="131"/>
        <v>2.775416912374934E-3</v>
      </c>
      <c r="BW116" s="11">
        <f t="shared" si="145"/>
        <v>80.916666666666671</v>
      </c>
      <c r="BX116" s="118">
        <f t="shared" si="146"/>
        <v>32902.282346472472</v>
      </c>
      <c r="BY116" s="118">
        <f t="shared" si="147"/>
        <v>19553.540439672488</v>
      </c>
      <c r="BZ116" s="96">
        <f t="shared" si="178"/>
        <v>0.97614965640181905</v>
      </c>
      <c r="CA116" s="102">
        <f t="shared" si="148"/>
        <v>1.6193677395250215E-2</v>
      </c>
      <c r="CB116" s="102">
        <f t="shared" si="149"/>
        <v>7.7200684714928492E-3</v>
      </c>
      <c r="CC116" s="155">
        <f t="shared" si="181"/>
        <v>4.5084606328349315</v>
      </c>
      <c r="CD116">
        <v>159</v>
      </c>
      <c r="CE116">
        <v>89</v>
      </c>
      <c r="CF116">
        <v>64</v>
      </c>
      <c r="CG116">
        <v>28</v>
      </c>
      <c r="CH116" s="118">
        <f t="shared" si="154"/>
        <v>40347.913043478264</v>
      </c>
      <c r="CI116">
        <v>10</v>
      </c>
      <c r="CJ116" s="11">
        <f t="shared" si="29"/>
        <v>6.083333333333333</v>
      </c>
      <c r="CK116" s="233">
        <f t="shared" si="30"/>
        <v>1.2038576215731285E-4</v>
      </c>
      <c r="CM116" s="1779"/>
      <c r="CN116" s="1779"/>
      <c r="CO116" s="1779"/>
      <c r="CP116" s="1779"/>
      <c r="CQ116" s="1344">
        <f t="shared" si="113"/>
        <v>2.775416912374934E-3</v>
      </c>
      <c r="CR116" s="155">
        <f t="shared" si="114"/>
        <v>0.27754169123749345</v>
      </c>
      <c r="CS116" s="137">
        <f t="shared" si="82"/>
        <v>127.94095099968922</v>
      </c>
      <c r="CT116" s="84">
        <f t="shared" si="83"/>
        <v>0.79657072713345756</v>
      </c>
      <c r="CU116" s="84">
        <f t="shared" si="84"/>
        <v>0.84702509654312363</v>
      </c>
      <c r="CV116" s="84">
        <f t="shared" si="85"/>
        <v>0.84702509654312363</v>
      </c>
      <c r="CW116" s="84">
        <f t="shared" si="86"/>
        <v>0.22180519725891396</v>
      </c>
      <c r="CX116" s="84">
        <f t="shared" si="102"/>
        <v>0.2336313619760387</v>
      </c>
      <c r="CY116" s="106">
        <f t="shared" si="182"/>
        <v>-0.20342927286654244</v>
      </c>
      <c r="CZ116" s="106">
        <f t="shared" si="186"/>
        <v>-0.13496939149826137</v>
      </c>
      <c r="DA116" s="106">
        <v>0.05</v>
      </c>
      <c r="DB116" s="106">
        <v>-0.05</v>
      </c>
      <c r="DC116" s="453">
        <f t="shared" si="87"/>
        <v>5.2348492696571016</v>
      </c>
      <c r="DD116" s="11">
        <f t="shared" si="88"/>
        <v>252.66</v>
      </c>
      <c r="DE116" s="11">
        <f t="shared" si="89"/>
        <v>147.32361516034985</v>
      </c>
      <c r="DF116" s="11">
        <f t="shared" si="90"/>
        <v>203.43708609271522</v>
      </c>
      <c r="DG116" s="11">
        <f t="shared" si="91"/>
        <v>404.34693877551018</v>
      </c>
      <c r="DH116" s="11">
        <f t="shared" si="155"/>
        <v>639.61797752808991</v>
      </c>
      <c r="DI116" s="11">
        <f t="shared" si="151"/>
        <v>897.78571428571433</v>
      </c>
      <c r="DJ116" s="11">
        <f t="shared" si="92"/>
        <v>114.6231343283582</v>
      </c>
      <c r="DK116" s="11">
        <f t="shared" si="93"/>
        <v>264.17333333333335</v>
      </c>
      <c r="DL116" s="11">
        <f t="shared" si="156"/>
        <v>358.02515723270443</v>
      </c>
      <c r="DM116" s="11">
        <f t="shared" si="152"/>
        <v>392.78125</v>
      </c>
    </row>
    <row r="117" spans="1:117" x14ac:dyDescent="0.25">
      <c r="A117" s="80">
        <v>44287</v>
      </c>
      <c r="B117" s="180">
        <v>76552</v>
      </c>
      <c r="C117" s="95">
        <v>1401</v>
      </c>
      <c r="D117" s="145">
        <f t="shared" si="160"/>
        <v>1.8301285400773332E-2</v>
      </c>
      <c r="E117" s="167">
        <v>74772</v>
      </c>
      <c r="F117" s="145">
        <f t="shared" si="161"/>
        <v>0.97674783153934586</v>
      </c>
      <c r="H117" s="107">
        <f t="shared" si="157"/>
        <v>4.9508830598808118E-3</v>
      </c>
      <c r="I117" s="147">
        <v>4844169</v>
      </c>
      <c r="J117" s="111">
        <f t="shared" si="172"/>
        <v>5649280.7283333344</v>
      </c>
      <c r="K117" s="95">
        <f t="shared" si="173"/>
        <v>35887</v>
      </c>
      <c r="L117" s="95">
        <f t="shared" si="174"/>
        <v>40711.583333333336</v>
      </c>
      <c r="M117" s="95">
        <f t="shared" si="162"/>
        <v>285</v>
      </c>
      <c r="N117" s="95">
        <f t="shared" si="175"/>
        <v>322.33333333333331</v>
      </c>
      <c r="O117" s="95">
        <f t="shared" si="176"/>
        <v>163</v>
      </c>
      <c r="P117" s="95">
        <f t="shared" si="177"/>
        <v>184.91666666666666</v>
      </c>
      <c r="Q117" s="103">
        <v>10844</v>
      </c>
      <c r="R117" s="95">
        <f t="shared" si="187"/>
        <v>16091.5</v>
      </c>
      <c r="S117" s="161">
        <v>54</v>
      </c>
      <c r="T117" s="179">
        <f t="shared" si="48"/>
        <v>73.333333333333329</v>
      </c>
      <c r="U117" s="103">
        <v>37</v>
      </c>
      <c r="V117" s="179">
        <f t="shared" si="188"/>
        <v>49.75</v>
      </c>
      <c r="W117" s="103">
        <f>27443-2400</f>
        <v>25043</v>
      </c>
      <c r="X117" s="95">
        <f t="shared" si="134"/>
        <v>24620.083333333332</v>
      </c>
      <c r="Y117" s="103">
        <v>231</v>
      </c>
      <c r="Z117" s="179">
        <f t="shared" si="50"/>
        <v>249</v>
      </c>
      <c r="AA117" s="103">
        <v>126</v>
      </c>
      <c r="AB117" s="179">
        <f t="shared" si="51"/>
        <v>135.16666666666666</v>
      </c>
      <c r="AC117" s="103">
        <v>44560</v>
      </c>
      <c r="AD117" s="160">
        <v>18272</v>
      </c>
      <c r="AE117" s="9">
        <v>136</v>
      </c>
      <c r="AF117">
        <v>87</v>
      </c>
      <c r="AG117">
        <v>41</v>
      </c>
      <c r="AH117">
        <v>8</v>
      </c>
      <c r="AI117" s="102">
        <v>3.9900000000000005E-2</v>
      </c>
      <c r="AJ117" s="205">
        <v>6.9500000000000006E-2</v>
      </c>
      <c r="AK117" s="147">
        <v>1004637</v>
      </c>
      <c r="AL117" s="101">
        <v>971890</v>
      </c>
      <c r="AM117" s="101">
        <v>21210</v>
      </c>
      <c r="AN117" s="206">
        <v>7946</v>
      </c>
      <c r="AO117" s="905">
        <f t="shared" si="115"/>
        <v>4.3784599587669212E-3</v>
      </c>
      <c r="AP117" s="909">
        <f t="shared" si="59"/>
        <v>0.43784599587669215</v>
      </c>
      <c r="AQ117" s="148">
        <f t="shared" si="135"/>
        <v>243.79310344827587</v>
      </c>
      <c r="AR117" s="101">
        <f t="shared" si="136"/>
        <v>155.95588235294119</v>
      </c>
      <c r="AS117" s="146">
        <f t="shared" si="158"/>
        <v>2.1112103177565629E-2</v>
      </c>
      <c r="AT117" s="147">
        <f t="shared" si="189"/>
        <v>27.994454816507371</v>
      </c>
      <c r="AU117" s="149">
        <f t="shared" si="159"/>
        <v>7.156256269922773</v>
      </c>
      <c r="AV117" s="101">
        <f t="shared" si="137"/>
        <v>11547.551724137931</v>
      </c>
      <c r="AW117" s="158">
        <f t="shared" si="138"/>
        <v>7387.036764705882</v>
      </c>
      <c r="AX117" s="150">
        <f t="shared" si="164"/>
        <v>0.96740414697049781</v>
      </c>
      <c r="AY117" s="148">
        <f t="shared" si="165"/>
        <v>27.081951681667455</v>
      </c>
      <c r="AZ117" s="148">
        <f t="shared" si="166"/>
        <v>6.9229919923069172</v>
      </c>
      <c r="BA117" s="148">
        <f t="shared" si="168"/>
        <v>11171.149425287356</v>
      </c>
      <c r="BB117" s="101">
        <f t="shared" si="169"/>
        <v>7146.25</v>
      </c>
      <c r="BC117" s="95">
        <f t="shared" si="170"/>
        <v>412.4942528735632</v>
      </c>
      <c r="BD117" s="95">
        <f t="shared" si="171"/>
        <v>263.875</v>
      </c>
      <c r="BE117" s="148">
        <f t="shared" si="167"/>
        <v>134.98394961963942</v>
      </c>
      <c r="BF117" s="118">
        <f t="shared" si="124"/>
        <v>55680.103448275862</v>
      </c>
      <c r="BG117" s="148">
        <f t="shared" si="125"/>
        <v>609.63616914170655</v>
      </c>
      <c r="BH117" s="148">
        <f t="shared" si="126"/>
        <v>16997.084210526315</v>
      </c>
      <c r="BI117" s="158">
        <f t="shared" si="127"/>
        <v>29718.828220858897</v>
      </c>
      <c r="BJ117" s="80">
        <f t="shared" si="39"/>
        <v>44287</v>
      </c>
      <c r="BK117" s="95">
        <f t="shared" si="139"/>
        <v>49018.916666666664</v>
      </c>
      <c r="BL117" s="95">
        <f t="shared" si="140"/>
        <v>21738.416666666668</v>
      </c>
      <c r="BM117" s="95">
        <f t="shared" si="141"/>
        <v>90107.5</v>
      </c>
      <c r="BN117" s="95">
        <f t="shared" si="183"/>
        <v>91.333333333333329</v>
      </c>
      <c r="BO117" s="134">
        <f t="shared" si="184"/>
        <v>122.31185502139441</v>
      </c>
      <c r="BP117" s="118">
        <f t="shared" si="142"/>
        <v>641.7560943919367</v>
      </c>
      <c r="BQ117" s="115">
        <f t="shared" si="143"/>
        <v>8804.7497500000009</v>
      </c>
      <c r="BR117" s="118">
        <f t="shared" si="144"/>
        <v>139.6793487009617</v>
      </c>
      <c r="BS117" s="118">
        <f t="shared" si="185"/>
        <v>14344.061228590917</v>
      </c>
      <c r="BT117" s="80">
        <f t="shared" si="179"/>
        <v>44287</v>
      </c>
      <c r="BU117" s="118">
        <f t="shared" si="180"/>
        <v>134.16096887006265</v>
      </c>
      <c r="BV117" s="1539">
        <f t="shared" si="131"/>
        <v>2.988340889180235E-3</v>
      </c>
      <c r="BW117" s="11">
        <f t="shared" si="145"/>
        <v>83</v>
      </c>
      <c r="BX117" s="118">
        <f t="shared" si="146"/>
        <v>30680.374007153805</v>
      </c>
      <c r="BY117" s="118">
        <f t="shared" si="147"/>
        <v>17530.007486978251</v>
      </c>
      <c r="BZ117" s="96">
        <f t="shared" si="178"/>
        <v>0.97610070693422735</v>
      </c>
      <c r="CA117" s="102">
        <f t="shared" si="148"/>
        <v>1.6711487009041574E-2</v>
      </c>
      <c r="CB117" s="102">
        <f t="shared" si="149"/>
        <v>7.2085846756386636E-3</v>
      </c>
      <c r="CC117" s="155">
        <f t="shared" si="181"/>
        <v>4.8218102657974971</v>
      </c>
      <c r="CD117">
        <v>134</v>
      </c>
      <c r="CE117">
        <v>90</v>
      </c>
      <c r="CF117">
        <v>49</v>
      </c>
      <c r="CG117">
        <v>28</v>
      </c>
      <c r="CH117" s="118">
        <f t="shared" si="154"/>
        <v>35618.88970588235</v>
      </c>
      <c r="CI117">
        <v>4</v>
      </c>
      <c r="CJ117" s="11">
        <f t="shared" si="29"/>
        <v>6.166666666666667</v>
      </c>
      <c r="CK117" s="233">
        <f t="shared" si="30"/>
        <v>1.718356693695953E-4</v>
      </c>
      <c r="CM117" s="1779">
        <f t="shared" ref="CM117" si="190">SUM(W117:W128)/SUM(W105:W116)-1</f>
        <v>0.22804543989687409</v>
      </c>
      <c r="CN117" s="1779">
        <f t="shared" ref="CN117" si="191">SUM(Q117:Q128)/SUM(Q105:Q116)-1</f>
        <v>0.58102543914713434</v>
      </c>
      <c r="CO117" s="1779">
        <f t="shared" ref="CO117:CP117" si="192">SUM(AC117:AC128)/SUM(AC105:AC116)-1</f>
        <v>0.3804653963268112</v>
      </c>
      <c r="CP117" s="1779">
        <f t="shared" si="192"/>
        <v>0.15848303230895588</v>
      </c>
      <c r="CQ117" s="1344">
        <f t="shared" si="113"/>
        <v>2.988340889180235E-3</v>
      </c>
      <c r="CR117" s="155">
        <f t="shared" si="114"/>
        <v>0.29883408891802343</v>
      </c>
      <c r="CS117" s="137">
        <f t="shared" si="82"/>
        <v>126.43304807450289</v>
      </c>
      <c r="CT117" s="84">
        <f t="shared" si="83"/>
        <v>0.96740414697049781</v>
      </c>
      <c r="CU117" s="84">
        <f t="shared" si="84"/>
        <v>0.79657072713345756</v>
      </c>
      <c r="CV117" s="84">
        <f t="shared" si="85"/>
        <v>0.79657072713345767</v>
      </c>
      <c r="CW117" s="84">
        <f t="shared" si="86"/>
        <v>0.20739098904270267</v>
      </c>
      <c r="CX117" s="84">
        <f t="shared" si="102"/>
        <v>0.23406722370233948</v>
      </c>
      <c r="CY117" s="106">
        <f t="shared" si="182"/>
        <v>-3.2595853029502186E-2</v>
      </c>
      <c r="CZ117" s="106">
        <f t="shared" si="186"/>
        <v>-0.13582104750027946</v>
      </c>
      <c r="DA117" s="106">
        <v>0.05</v>
      </c>
      <c r="DB117" s="106">
        <v>-0.05</v>
      </c>
      <c r="DC117" s="453">
        <f t="shared" si="87"/>
        <v>4.5163604329222249</v>
      </c>
      <c r="DD117" s="11">
        <f t="shared" si="88"/>
        <v>220.16564417177915</v>
      </c>
      <c r="DE117" s="11">
        <f t="shared" si="89"/>
        <v>125.91929824561403</v>
      </c>
      <c r="DF117" s="11">
        <f t="shared" si="90"/>
        <v>198.75396825396825</v>
      </c>
      <c r="DG117" s="11">
        <f t="shared" si="91"/>
        <v>293.08108108108109</v>
      </c>
      <c r="DH117" s="11">
        <f t="shared" si="155"/>
        <v>495.11111111111109</v>
      </c>
      <c r="DI117" s="11">
        <f t="shared" si="151"/>
        <v>652.57142857142856</v>
      </c>
      <c r="DJ117" s="11">
        <f t="shared" si="92"/>
        <v>108.41125541125541</v>
      </c>
      <c r="DK117" s="11">
        <f t="shared" si="93"/>
        <v>200.81481481481481</v>
      </c>
      <c r="DL117" s="11">
        <f t="shared" si="156"/>
        <v>332.53731343283584</v>
      </c>
      <c r="DM117" s="11">
        <f t="shared" si="152"/>
        <v>372.89795918367349</v>
      </c>
    </row>
    <row r="118" spans="1:117" x14ac:dyDescent="0.25">
      <c r="A118" s="80">
        <v>44317</v>
      </c>
      <c r="B118" s="180">
        <v>95267</v>
      </c>
      <c r="C118" s="95">
        <v>1447</v>
      </c>
      <c r="D118" s="145">
        <f t="shared" si="160"/>
        <v>1.5188890171832848E-2</v>
      </c>
      <c r="E118" s="167">
        <v>93267</v>
      </c>
      <c r="F118" s="145">
        <f t="shared" si="161"/>
        <v>0.97900637156622961</v>
      </c>
      <c r="H118" s="107">
        <f t="shared" si="157"/>
        <v>5.8047382619375466E-3</v>
      </c>
      <c r="I118" s="147">
        <v>5464720</v>
      </c>
      <c r="J118" s="111">
        <f t="shared" si="172"/>
        <v>5593111.416666667</v>
      </c>
      <c r="K118" s="95">
        <f t="shared" si="173"/>
        <v>50285</v>
      </c>
      <c r="L118" s="95">
        <f t="shared" si="174"/>
        <v>41825.25</v>
      </c>
      <c r="M118" s="95">
        <f t="shared" si="162"/>
        <v>355</v>
      </c>
      <c r="N118" s="95">
        <f t="shared" si="175"/>
        <v>327.75</v>
      </c>
      <c r="O118" s="95">
        <f t="shared" si="176"/>
        <v>185</v>
      </c>
      <c r="P118" s="95">
        <f t="shared" si="177"/>
        <v>186.75</v>
      </c>
      <c r="Q118" s="103">
        <v>18263</v>
      </c>
      <c r="R118" s="95">
        <f t="shared" si="187"/>
        <v>16207.75</v>
      </c>
      <c r="S118" s="161">
        <v>84</v>
      </c>
      <c r="T118" s="179">
        <f t="shared" si="48"/>
        <v>73.5</v>
      </c>
      <c r="U118" s="103">
        <v>56</v>
      </c>
      <c r="V118" s="179">
        <f t="shared" si="188"/>
        <v>50.166666666666664</v>
      </c>
      <c r="W118" s="103">
        <f>35222-3200</f>
        <v>32022</v>
      </c>
      <c r="X118" s="95">
        <f t="shared" si="134"/>
        <v>25617.5</v>
      </c>
      <c r="Y118" s="103">
        <v>271</v>
      </c>
      <c r="Z118" s="179">
        <f t="shared" si="50"/>
        <v>254.25</v>
      </c>
      <c r="AA118" s="103">
        <v>129</v>
      </c>
      <c r="AB118" s="179">
        <f t="shared" si="51"/>
        <v>136.58333333333334</v>
      </c>
      <c r="AC118" s="103">
        <v>49588</v>
      </c>
      <c r="AD118" s="160">
        <v>23730</v>
      </c>
      <c r="AE118" s="9">
        <v>140</v>
      </c>
      <c r="AF118">
        <v>89</v>
      </c>
      <c r="AG118">
        <v>42</v>
      </c>
      <c r="AH118">
        <v>9</v>
      </c>
      <c r="AI118" s="102">
        <v>6.9199999999999998E-2</v>
      </c>
      <c r="AJ118" s="205">
        <v>3.4500000000000003E-2</v>
      </c>
      <c r="AK118" s="147">
        <v>1004637</v>
      </c>
      <c r="AL118" s="101">
        <v>1098912</v>
      </c>
      <c r="AM118" s="101">
        <v>15217</v>
      </c>
      <c r="AN118" s="206">
        <v>9093</v>
      </c>
      <c r="AO118" s="905">
        <f t="shared" si="115"/>
        <v>2.7845891463789546E-3</v>
      </c>
      <c r="AP118" s="909">
        <f t="shared" si="59"/>
        <v>0.27845891463789546</v>
      </c>
      <c r="AQ118" s="148">
        <f t="shared" si="135"/>
        <v>170.97752808988764</v>
      </c>
      <c r="AR118" s="101">
        <f t="shared" si="136"/>
        <v>108.69285714285714</v>
      </c>
      <c r="AS118" s="146">
        <f t="shared" si="158"/>
        <v>1.514676445323037E-2</v>
      </c>
      <c r="AT118" s="147">
        <f t="shared" si="189"/>
        <v>19.978860495177489</v>
      </c>
      <c r="AU118" s="149">
        <f t="shared" si="159"/>
        <v>6.0344810498384964</v>
      </c>
      <c r="AV118" s="101">
        <f t="shared" si="137"/>
        <v>11288.056179775282</v>
      </c>
      <c r="AW118" s="158">
        <f t="shared" si="138"/>
        <v>7175.9785714285717</v>
      </c>
      <c r="AX118" s="150">
        <f t="shared" si="164"/>
        <v>1.0938398645480905</v>
      </c>
      <c r="AY118" s="148">
        <f t="shared" si="165"/>
        <v>21.853674057870141</v>
      </c>
      <c r="AZ118" s="148">
        <f t="shared" si="166"/>
        <v>6.6007559341733604</v>
      </c>
      <c r="BA118" s="148">
        <f t="shared" si="168"/>
        <v>12347.325842696629</v>
      </c>
      <c r="BB118" s="101">
        <f t="shared" si="169"/>
        <v>7849.3714285714286</v>
      </c>
      <c r="BC118" s="95">
        <f t="shared" si="170"/>
        <v>565</v>
      </c>
      <c r="BD118" s="95">
        <f t="shared" si="171"/>
        <v>359.17857142857144</v>
      </c>
      <c r="BE118" s="148">
        <f t="shared" si="167"/>
        <v>108.67495276921547</v>
      </c>
      <c r="BF118" s="118">
        <f t="shared" si="124"/>
        <v>61401.348314606745</v>
      </c>
      <c r="BG118" s="148">
        <f t="shared" si="125"/>
        <v>600.98097437589354</v>
      </c>
      <c r="BH118" s="148">
        <f t="shared" si="126"/>
        <v>15393.577464788732</v>
      </c>
      <c r="BI118" s="158">
        <f t="shared" si="127"/>
        <v>29539.027027027027</v>
      </c>
      <c r="BJ118" s="80">
        <f t="shared" ref="BJ118:BJ127" si="193">A118</f>
        <v>44317</v>
      </c>
      <c r="BK118" s="95">
        <f t="shared" si="139"/>
        <v>49235.416666666664</v>
      </c>
      <c r="BL118" s="95">
        <f t="shared" si="140"/>
        <v>22192.666666666668</v>
      </c>
      <c r="BM118" s="95">
        <f t="shared" si="141"/>
        <v>90745.916666666672</v>
      </c>
      <c r="BN118" s="95">
        <f t="shared" si="183"/>
        <v>102.1685393258427</v>
      </c>
      <c r="BO118" s="134">
        <f t="shared" si="184"/>
        <v>120.85252391949851</v>
      </c>
      <c r="BP118" s="118">
        <f t="shared" si="142"/>
        <v>629.10788110516796</v>
      </c>
      <c r="BQ118" s="115">
        <f t="shared" si="143"/>
        <v>8882.9166666666661</v>
      </c>
      <c r="BR118" s="118">
        <f t="shared" si="144"/>
        <v>134.87999375208932</v>
      </c>
      <c r="BS118" s="118">
        <f t="shared" si="185"/>
        <v>13734.84974578533</v>
      </c>
      <c r="BT118" s="80">
        <f t="shared" si="179"/>
        <v>44317</v>
      </c>
      <c r="BU118" s="118">
        <f t="shared" si="180"/>
        <v>130.97409839467539</v>
      </c>
      <c r="BV118" s="1539">
        <f t="shared" si="131"/>
        <v>3.0528206301858947E-3</v>
      </c>
      <c r="BW118" s="11">
        <f t="shared" si="145"/>
        <v>84.916666666666671</v>
      </c>
      <c r="BX118" s="118">
        <f t="shared" si="146"/>
        <v>30003.538457770061</v>
      </c>
      <c r="BY118" s="118">
        <f t="shared" si="147"/>
        <v>17048.796488354325</v>
      </c>
      <c r="BZ118" s="96">
        <f t="shared" si="178"/>
        <v>0.97639084496456696</v>
      </c>
      <c r="CA118" s="102">
        <f t="shared" si="148"/>
        <v>1.6727313467268929E-2</v>
      </c>
      <c r="CB118" s="102">
        <f t="shared" si="149"/>
        <v>6.8748052335656949E-3</v>
      </c>
      <c r="CC118" s="155">
        <f t="shared" si="181"/>
        <v>5.4394970521690915</v>
      </c>
      <c r="CD118">
        <v>158</v>
      </c>
      <c r="CE118">
        <v>91</v>
      </c>
      <c r="CF118">
        <v>71</v>
      </c>
      <c r="CG118">
        <v>33</v>
      </c>
      <c r="CH118" s="118">
        <f t="shared" si="154"/>
        <v>39033.714285714283</v>
      </c>
      <c r="CI118">
        <v>2</v>
      </c>
      <c r="CJ118" s="11">
        <f t="shared" ref="CJ118:CJ129" si="194">AVERAGE(CI107:CI118)</f>
        <v>4.666666666666667</v>
      </c>
      <c r="CK118" s="233">
        <f t="shared" ref="CK118:CK129" si="195">CJ118/K118</f>
        <v>9.2804348546617622E-5</v>
      </c>
      <c r="CM118" s="1779"/>
      <c r="CN118" s="1779"/>
      <c r="CO118" s="1779"/>
      <c r="CP118" s="1779"/>
      <c r="CQ118" s="1344">
        <f t="shared" si="113"/>
        <v>3.0528206301858947E-3</v>
      </c>
      <c r="CR118" s="155">
        <f t="shared" si="114"/>
        <v>0.3052820630185894</v>
      </c>
      <c r="CS118" s="137">
        <f t="shared" si="82"/>
        <v>110.48465852853843</v>
      </c>
      <c r="CT118" s="84">
        <f t="shared" si="83"/>
        <v>1.0938398645480905</v>
      </c>
      <c r="CU118" s="84">
        <f t="shared" si="84"/>
        <v>0.96740414697049781</v>
      </c>
      <c r="CV118" s="84">
        <f t="shared" si="85"/>
        <v>0.96740414697049781</v>
      </c>
      <c r="CW118" s="84">
        <f t="shared" si="86"/>
        <v>0.18384052613857618</v>
      </c>
      <c r="CX118" s="84">
        <f t="shared" si="102"/>
        <v>0.2152574989287897</v>
      </c>
      <c r="CY118" s="106">
        <f t="shared" si="182"/>
        <v>9.3839864548090457E-2</v>
      </c>
      <c r="CZ118" s="106">
        <f t="shared" si="186"/>
        <v>-5.8475079894263371E-2</v>
      </c>
      <c r="DA118" s="106">
        <v>0.05</v>
      </c>
      <c r="DB118" s="106">
        <v>-0.05</v>
      </c>
      <c r="DC118" s="453">
        <f t="shared" si="87"/>
        <v>5.5300780820411308</v>
      </c>
      <c r="DD118" s="11">
        <f t="shared" si="88"/>
        <v>271.81081081081084</v>
      </c>
      <c r="DE118" s="11">
        <f t="shared" si="89"/>
        <v>141.64788732394365</v>
      </c>
      <c r="DF118" s="11">
        <f t="shared" si="90"/>
        <v>248.23255813953489</v>
      </c>
      <c r="DG118" s="11">
        <f t="shared" si="91"/>
        <v>326.125</v>
      </c>
      <c r="DH118" s="11">
        <f t="shared" si="155"/>
        <v>544.92307692307691</v>
      </c>
      <c r="DI118" s="11">
        <f t="shared" si="151"/>
        <v>719.09090909090912</v>
      </c>
      <c r="DJ118" s="11">
        <f t="shared" si="92"/>
        <v>118.16236162361623</v>
      </c>
      <c r="DK118" s="11">
        <f t="shared" si="93"/>
        <v>217.41666666666666</v>
      </c>
      <c r="DL118" s="11">
        <f t="shared" si="156"/>
        <v>313.84810126582278</v>
      </c>
      <c r="DM118" s="11">
        <f t="shared" si="152"/>
        <v>334.22535211267603</v>
      </c>
    </row>
    <row r="119" spans="1:117" x14ac:dyDescent="0.25">
      <c r="A119" s="80">
        <v>44348</v>
      </c>
      <c r="B119" s="180">
        <v>84696</v>
      </c>
      <c r="C119" s="95">
        <v>1547</v>
      </c>
      <c r="D119" s="145">
        <f t="shared" si="160"/>
        <v>1.8265325399074335E-2</v>
      </c>
      <c r="E119" s="167">
        <v>82296</v>
      </c>
      <c r="F119" s="145">
        <f t="shared" si="161"/>
        <v>0.97166336072541792</v>
      </c>
      <c r="H119" s="107">
        <f t="shared" si="157"/>
        <v>1.0071313875507741E-2</v>
      </c>
      <c r="I119" s="147">
        <v>5464721</v>
      </c>
      <c r="J119" s="111">
        <f t="shared" ref="J119:J141" si="196">AVERAGE(I108:I119)</f>
        <v>5512592.5</v>
      </c>
      <c r="K119" s="95">
        <f t="shared" si="173"/>
        <v>39588</v>
      </c>
      <c r="L119" s="95">
        <f t="shared" si="174"/>
        <v>41138.166666666664</v>
      </c>
      <c r="M119" s="95">
        <f t="shared" si="162"/>
        <v>355</v>
      </c>
      <c r="N119" s="95">
        <f t="shared" si="175"/>
        <v>328.33333333333331</v>
      </c>
      <c r="O119" s="95">
        <f t="shared" si="176"/>
        <v>197</v>
      </c>
      <c r="P119" s="95">
        <f t="shared" si="177"/>
        <v>187.5</v>
      </c>
      <c r="Q119" s="103">
        <v>13628</v>
      </c>
      <c r="R119" s="95">
        <f t="shared" si="187"/>
        <v>15122</v>
      </c>
      <c r="S119" s="161">
        <v>76</v>
      </c>
      <c r="T119" s="179">
        <f t="shared" si="48"/>
        <v>70.75</v>
      </c>
      <c r="U119" s="103">
        <v>56</v>
      </c>
      <c r="V119" s="179">
        <f t="shared" si="188"/>
        <v>49.916666666666664</v>
      </c>
      <c r="W119" s="103">
        <f>29960-4000</f>
        <v>25960</v>
      </c>
      <c r="X119" s="95">
        <f t="shared" si="134"/>
        <v>26016.166666666668</v>
      </c>
      <c r="Y119" s="103">
        <v>279</v>
      </c>
      <c r="Z119" s="179">
        <f t="shared" si="50"/>
        <v>257.58333333333331</v>
      </c>
      <c r="AA119" s="103">
        <v>141</v>
      </c>
      <c r="AB119" s="179">
        <f t="shared" si="51"/>
        <v>137.58333333333334</v>
      </c>
      <c r="AC119" s="103">
        <v>48437</v>
      </c>
      <c r="AD119" s="160">
        <v>20702</v>
      </c>
      <c r="AE119" s="9">
        <v>138</v>
      </c>
      <c r="AF119">
        <v>86</v>
      </c>
      <c r="AG119">
        <v>44</v>
      </c>
      <c r="AH119">
        <v>8</v>
      </c>
      <c r="AI119" s="102">
        <v>6.2199999999999998E-2</v>
      </c>
      <c r="AJ119" s="205">
        <v>4.4999999999999998E-2</v>
      </c>
      <c r="AK119" s="147">
        <v>1422347</v>
      </c>
      <c r="AL119" s="101">
        <v>1123368</v>
      </c>
      <c r="AM119" s="101">
        <v>22441</v>
      </c>
      <c r="AN119" s="206">
        <v>8666</v>
      </c>
      <c r="AO119" s="905">
        <f t="shared" si="115"/>
        <v>4.1065225470797136E-3</v>
      </c>
      <c r="AP119" s="909">
        <f t="shared" si="59"/>
        <v>0.41065225470797134</v>
      </c>
      <c r="AQ119" s="148">
        <f t="shared" si="135"/>
        <v>260.94186046511629</v>
      </c>
      <c r="AR119" s="101">
        <f t="shared" si="136"/>
        <v>162.6159420289855</v>
      </c>
      <c r="AS119" s="146">
        <f t="shared" si="158"/>
        <v>1.5777443900820264E-2</v>
      </c>
      <c r="AT119" s="147">
        <f t="shared" si="189"/>
        <v>35.928741032636154</v>
      </c>
      <c r="AU119" s="149">
        <f t="shared" si="159"/>
        <v>9.4236979321950791</v>
      </c>
      <c r="AV119" s="101">
        <f t="shared" si="137"/>
        <v>16538.918604651164</v>
      </c>
      <c r="AW119" s="158">
        <f t="shared" si="138"/>
        <v>10306.86231884058</v>
      </c>
      <c r="AX119" s="150">
        <f t="shared" si="164"/>
        <v>0.78979883249305549</v>
      </c>
      <c r="AY119" s="148">
        <f t="shared" si="165"/>
        <v>28.376477720521372</v>
      </c>
      <c r="AZ119" s="148">
        <f t="shared" si="166"/>
        <v>7.4428256246148949</v>
      </c>
      <c r="BA119" s="148">
        <f t="shared" si="168"/>
        <v>13062.418604651162</v>
      </c>
      <c r="BB119" s="101">
        <f t="shared" si="169"/>
        <v>8140.347826086957</v>
      </c>
      <c r="BC119" s="95">
        <f t="shared" si="170"/>
        <v>460.32558139534882</v>
      </c>
      <c r="BD119" s="95">
        <f t="shared" si="171"/>
        <v>286.86956521739131</v>
      </c>
      <c r="BE119" s="148">
        <f t="shared" si="167"/>
        <v>138.03983530362737</v>
      </c>
      <c r="BF119" s="118">
        <f t="shared" si="124"/>
        <v>63543.267441860466</v>
      </c>
      <c r="BG119" s="148">
        <f t="shared" si="125"/>
        <v>630.59323794138015</v>
      </c>
      <c r="BH119" s="148">
        <f t="shared" ref="BH119:BH141" si="197">I119/M119</f>
        <v>15393.580281690141</v>
      </c>
      <c r="BI119" s="158">
        <f t="shared" ref="BI119:BI141" si="198">I119/O119</f>
        <v>27739.700507614212</v>
      </c>
      <c r="BJ119" s="80">
        <f t="shared" si="193"/>
        <v>44348</v>
      </c>
      <c r="BK119" s="95">
        <f t="shared" si="139"/>
        <v>48158.75</v>
      </c>
      <c r="BL119" s="95">
        <f t="shared" si="140"/>
        <v>22157.5</v>
      </c>
      <c r="BM119" s="95">
        <f t="shared" si="141"/>
        <v>88981.583333333328</v>
      </c>
      <c r="BN119" s="95">
        <f t="shared" si="183"/>
        <v>100.76744186046511</v>
      </c>
      <c r="BO119" s="134">
        <f t="shared" si="184"/>
        <v>129.62935610431572</v>
      </c>
      <c r="BP119" s="118">
        <f t="shared" si="142"/>
        <v>621.89902886998254</v>
      </c>
      <c r="BQ119" s="115">
        <f t="shared" si="143"/>
        <v>8857.75</v>
      </c>
      <c r="BR119" s="118">
        <f t="shared" si="144"/>
        <v>135.17949312504385</v>
      </c>
      <c r="BS119" s="118">
        <f t="shared" si="185"/>
        <v>13396.759088380721</v>
      </c>
      <c r="BT119" s="80">
        <f t="shared" si="179"/>
        <v>44348</v>
      </c>
      <c r="BU119" s="118">
        <f t="shared" si="180"/>
        <v>129.52741821276473</v>
      </c>
      <c r="BV119" s="1539">
        <f t="shared" si="131"/>
        <v>3.1857304406977247E-3</v>
      </c>
      <c r="BW119" s="11">
        <f t="shared" si="145"/>
        <v>85.666666666666671</v>
      </c>
      <c r="BX119" s="118">
        <f t="shared" si="146"/>
        <v>29464.582649007421</v>
      </c>
      <c r="BY119" s="118">
        <f t="shared" si="147"/>
        <v>16791.616875813179</v>
      </c>
      <c r="BZ119" s="96">
        <f t="shared" si="178"/>
        <v>0.97602228448774575</v>
      </c>
      <c r="CA119" s="102">
        <f t="shared" si="148"/>
        <v>1.7068708309076024E-2</v>
      </c>
      <c r="CB119" s="102">
        <f t="shared" si="149"/>
        <v>6.9044404717630466E-3</v>
      </c>
      <c r="CC119" s="155">
        <f t="shared" si="181"/>
        <v>3.8420448737192823</v>
      </c>
      <c r="CD119">
        <v>147</v>
      </c>
      <c r="CE119">
        <v>94</v>
      </c>
      <c r="CF119">
        <v>51</v>
      </c>
      <c r="CG119">
        <v>24</v>
      </c>
      <c r="CH119" s="118">
        <f t="shared" si="154"/>
        <v>39599.427536231888</v>
      </c>
      <c r="CI119">
        <v>5</v>
      </c>
      <c r="CJ119" s="11">
        <f t="shared" si="194"/>
        <v>4.333333333333333</v>
      </c>
      <c r="CK119" s="233">
        <f t="shared" si="195"/>
        <v>1.0946077936074905E-4</v>
      </c>
      <c r="CM119" s="1779"/>
      <c r="CN119" s="1779"/>
      <c r="CO119" s="1779"/>
      <c r="CP119" s="1779"/>
      <c r="CQ119" s="1344">
        <f t="shared" si="113"/>
        <v>3.1857304406977247E-3</v>
      </c>
      <c r="CR119" s="155">
        <f t="shared" si="114"/>
        <v>0.31857304406977244</v>
      </c>
      <c r="CS119" s="137">
        <f t="shared" si="82"/>
        <v>164.12958689129934</v>
      </c>
      <c r="CT119" s="84">
        <f t="shared" si="83"/>
        <v>0.78979883249305549</v>
      </c>
      <c r="CU119" s="84">
        <f t="shared" si="84"/>
        <v>1.0938398645480905</v>
      </c>
      <c r="CV119" s="84">
        <f t="shared" si="85"/>
        <v>1.0938398645480905</v>
      </c>
      <c r="CW119" s="84">
        <f t="shared" si="86"/>
        <v>0.26027806360105116</v>
      </c>
      <c r="CX119" s="84">
        <f t="shared" si="102"/>
        <v>0.20567821823919827</v>
      </c>
      <c r="CY119" s="106">
        <f t="shared" si="182"/>
        <v>-0.21020116750694451</v>
      </c>
      <c r="CZ119" s="106">
        <f t="shared" si="186"/>
        <v>-6.9194995601204234E-2</v>
      </c>
      <c r="DA119" s="106">
        <v>0.05</v>
      </c>
      <c r="DB119" s="106">
        <v>-0.05</v>
      </c>
      <c r="DC119" s="453">
        <f t="shared" si="87"/>
        <v>4.5681975536579733</v>
      </c>
      <c r="DD119" s="11">
        <f t="shared" si="88"/>
        <v>200.95431472081219</v>
      </c>
      <c r="DE119" s="11">
        <f t="shared" si="89"/>
        <v>111.51549295774647</v>
      </c>
      <c r="DF119" s="11">
        <f t="shared" si="90"/>
        <v>184.11347517730496</v>
      </c>
      <c r="DG119" s="11">
        <f t="shared" si="91"/>
        <v>243.35714285714286</v>
      </c>
      <c r="DH119" s="11">
        <f t="shared" si="155"/>
        <v>515.28723404255322</v>
      </c>
      <c r="DI119" s="11">
        <f t="shared" si="151"/>
        <v>862.58333333333337</v>
      </c>
      <c r="DJ119" s="11">
        <f t="shared" si="92"/>
        <v>93.046594982078858</v>
      </c>
      <c r="DK119" s="11">
        <f t="shared" si="93"/>
        <v>179.31578947368422</v>
      </c>
      <c r="DL119" s="11">
        <f t="shared" si="156"/>
        <v>329.50340136054422</v>
      </c>
      <c r="DM119" s="11">
        <f t="shared" si="152"/>
        <v>405.92156862745099</v>
      </c>
    </row>
    <row r="120" spans="1:117" x14ac:dyDescent="0.25">
      <c r="A120" s="80">
        <v>44378</v>
      </c>
      <c r="B120" s="180">
        <v>98436</v>
      </c>
      <c r="C120" s="95">
        <v>1842</v>
      </c>
      <c r="D120" s="145">
        <f t="shared" si="160"/>
        <v>1.8712666097769108E-2</v>
      </c>
      <c r="E120" s="167">
        <v>95876</v>
      </c>
      <c r="F120" s="145">
        <f t="shared" si="161"/>
        <v>0.97399325450038599</v>
      </c>
      <c r="H120" s="107">
        <f t="shared" si="157"/>
        <v>7.2940794018449065E-3</v>
      </c>
      <c r="I120" s="147">
        <v>6986771</v>
      </c>
      <c r="J120" s="111">
        <f t="shared" si="196"/>
        <v>5473883.833333333</v>
      </c>
      <c r="K120" s="95">
        <f t="shared" si="173"/>
        <v>45140</v>
      </c>
      <c r="L120" s="95">
        <f t="shared" si="174"/>
        <v>40904</v>
      </c>
      <c r="M120" s="95">
        <f t="shared" si="162"/>
        <v>361</v>
      </c>
      <c r="N120" s="95">
        <f t="shared" si="175"/>
        <v>328.83333333333331</v>
      </c>
      <c r="O120" s="95">
        <f t="shared" si="176"/>
        <v>183</v>
      </c>
      <c r="P120" s="95">
        <f t="shared" si="177"/>
        <v>187.66666666666666</v>
      </c>
      <c r="Q120" s="103">
        <v>19866</v>
      </c>
      <c r="R120" s="95">
        <f t="shared" si="187"/>
        <v>14765.916666666666</v>
      </c>
      <c r="S120" s="161">
        <v>84</v>
      </c>
      <c r="T120" s="179">
        <f t="shared" si="48"/>
        <v>70</v>
      </c>
      <c r="U120" s="103">
        <v>59</v>
      </c>
      <c r="V120" s="179">
        <f t="shared" si="188"/>
        <v>50</v>
      </c>
      <c r="W120" s="103">
        <f>30074-4800</f>
        <v>25274</v>
      </c>
      <c r="X120" s="95">
        <f t="shared" si="134"/>
        <v>26138.083333333332</v>
      </c>
      <c r="Y120" s="103">
        <v>277</v>
      </c>
      <c r="Z120" s="179">
        <f t="shared" si="50"/>
        <v>258.83333333333331</v>
      </c>
      <c r="AA120" s="103">
        <v>124</v>
      </c>
      <c r="AB120" s="179">
        <f t="shared" si="51"/>
        <v>137.66666666666666</v>
      </c>
      <c r="AC120" s="103">
        <v>47168</v>
      </c>
      <c r="AD120" s="160">
        <v>21659</v>
      </c>
      <c r="AE120" s="9">
        <v>147</v>
      </c>
      <c r="AF120">
        <v>95</v>
      </c>
      <c r="AG120">
        <v>45</v>
      </c>
      <c r="AH120">
        <v>7</v>
      </c>
      <c r="AI120" s="102">
        <v>4.4999999999999998E-2</v>
      </c>
      <c r="AJ120" s="205">
        <v>4.8099999999999997E-2</v>
      </c>
      <c r="AK120" s="147">
        <v>1515606</v>
      </c>
      <c r="AL120" s="101">
        <v>1338707</v>
      </c>
      <c r="AM120" s="101">
        <v>12553</v>
      </c>
      <c r="AN120" s="206">
        <v>9861</v>
      </c>
      <c r="AO120" s="905">
        <f>AM120/I120</f>
        <v>1.7966811850567308E-3</v>
      </c>
      <c r="AP120" s="909">
        <f t="shared" si="59"/>
        <v>0.17966811850567307</v>
      </c>
      <c r="AQ120" s="148">
        <f t="shared" ref="AQ120:AQ141" si="199">AM120/AF120</f>
        <v>132.13684210526316</v>
      </c>
      <c r="AR120" s="101">
        <f t="shared" ref="AR120:AR141" si="200">AM120/AE120</f>
        <v>85.394557823129247</v>
      </c>
      <c r="AS120" s="146">
        <f t="shared" si="158"/>
        <v>8.2824955826250359E-3</v>
      </c>
      <c r="AT120" s="147">
        <f t="shared" si="189"/>
        <v>33.575675675675676</v>
      </c>
      <c r="AU120" s="149">
        <f t="shared" si="159"/>
        <v>9.7196910181714404</v>
      </c>
      <c r="AV120" s="101">
        <f t="shared" si="137"/>
        <v>15953.747368421053</v>
      </c>
      <c r="AW120" s="158">
        <f t="shared" si="138"/>
        <v>10310.244897959185</v>
      </c>
      <c r="AX120" s="150">
        <f t="shared" si="164"/>
        <v>0.88328167083001785</v>
      </c>
      <c r="AY120" s="148">
        <f t="shared" si="165"/>
        <v>29.6567789100576</v>
      </c>
      <c r="AZ120" s="148">
        <f t="shared" ref="AZ120:AZ141" si="201">AL120/SUM(Q120:AD120)</f>
        <v>8.5852249224819879</v>
      </c>
      <c r="BA120" s="148">
        <f t="shared" ref="BA120:BA141" si="202">AL120/AF120</f>
        <v>14091.652631578947</v>
      </c>
      <c r="BB120" s="101">
        <f t="shared" ref="BB120:BB141" si="203">AL120/AE120</f>
        <v>9106.850340136054</v>
      </c>
      <c r="BC120" s="95">
        <f t="shared" ref="BC120:BC141" si="204">K120/AF120</f>
        <v>475.15789473684208</v>
      </c>
      <c r="BD120" s="95">
        <f t="shared" ref="BD120:BD141" si="205">K120/AE120</f>
        <v>307.07482993197277</v>
      </c>
      <c r="BE120" s="148">
        <f t="shared" si="167"/>
        <v>154.78003987594153</v>
      </c>
      <c r="BF120" s="118">
        <f t="shared" si="124"/>
        <v>73544.957894736843</v>
      </c>
      <c r="BG120" s="148">
        <f t="shared" si="125"/>
        <v>708.52560592232021</v>
      </c>
      <c r="BH120" s="148">
        <f t="shared" si="197"/>
        <v>19353.936288088644</v>
      </c>
      <c r="BI120" s="158">
        <f t="shared" si="198"/>
        <v>38179.076502732241</v>
      </c>
      <c r="BJ120" s="80">
        <f t="shared" si="193"/>
        <v>44378</v>
      </c>
      <c r="BK120" s="95">
        <f t="shared" si="139"/>
        <v>47682.416666666664</v>
      </c>
      <c r="BL120" s="95">
        <f t="shared" si="140"/>
        <v>22685.916666666668</v>
      </c>
      <c r="BM120" s="95">
        <f t="shared" si="141"/>
        <v>88204.916666666672</v>
      </c>
      <c r="BN120" s="95">
        <f t="shared" ref="BN120:BN132" si="206">AN120/AF120</f>
        <v>103.8</v>
      </c>
      <c r="BO120" s="134">
        <f t="shared" ref="BO120:BO126" si="207">AL120/AN120</f>
        <v>135.75773248149275</v>
      </c>
      <c r="BP120" s="118">
        <f t="shared" si="142"/>
        <v>621.45446154081003</v>
      </c>
      <c r="BQ120" s="115">
        <f t="shared" si="143"/>
        <v>8809.6666666666661</v>
      </c>
      <c r="BR120" s="118">
        <f t="shared" si="144"/>
        <v>135.12809915919644</v>
      </c>
      <c r="BS120" s="118">
        <f t="shared" si="185"/>
        <v>13088.550729247594</v>
      </c>
      <c r="BT120" s="80">
        <f t="shared" si="179"/>
        <v>44378</v>
      </c>
      <c r="BU120" s="118">
        <f t="shared" si="180"/>
        <v>128.76798322874657</v>
      </c>
      <c r="BV120" s="1539">
        <f t="shared" si="131"/>
        <v>2.9965185898979574E-3</v>
      </c>
      <c r="BW120" s="11">
        <f t="shared" si="145"/>
        <v>86.5</v>
      </c>
      <c r="BX120" s="118">
        <f t="shared" si="146"/>
        <v>29215.566924787596</v>
      </c>
      <c r="BY120" s="118">
        <f t="shared" si="147"/>
        <v>16655.319312966105</v>
      </c>
      <c r="BZ120" s="96">
        <f t="shared" si="178"/>
        <v>0.97593838902944441</v>
      </c>
      <c r="CA120" s="102">
        <f t="shared" si="148"/>
        <v>1.7124700587952377E-2</v>
      </c>
      <c r="CB120" s="102">
        <f t="shared" si="149"/>
        <v>6.936910382603201E-3</v>
      </c>
      <c r="CC120" s="155">
        <f t="shared" si="181"/>
        <v>4.6098860785718712</v>
      </c>
      <c r="CD120">
        <v>142</v>
      </c>
      <c r="CE120">
        <v>90</v>
      </c>
      <c r="CF120">
        <v>63</v>
      </c>
      <c r="CG120">
        <v>33</v>
      </c>
      <c r="CH120" s="118">
        <f t="shared" si="154"/>
        <v>47529.054421768706</v>
      </c>
      <c r="CI120">
        <v>7</v>
      </c>
      <c r="CJ120" s="11">
        <f t="shared" si="194"/>
        <v>4.416666666666667</v>
      </c>
      <c r="CK120" s="233">
        <f t="shared" si="195"/>
        <v>9.7843745384729001E-5</v>
      </c>
      <c r="CM120" s="1779"/>
      <c r="CN120" s="1779"/>
      <c r="CO120" s="1779"/>
      <c r="CP120" s="1779"/>
      <c r="CQ120" s="1344">
        <f t="shared" si="113"/>
        <v>2.9965185898979574E-3</v>
      </c>
      <c r="CR120" s="155">
        <f t="shared" si="114"/>
        <v>0.29965185898979574</v>
      </c>
      <c r="CS120" s="137">
        <f t="shared" si="82"/>
        <v>153.69698813507759</v>
      </c>
      <c r="CT120" s="84">
        <f t="shared" si="83"/>
        <v>0.88328167083001774</v>
      </c>
      <c r="CU120" s="84">
        <f t="shared" si="84"/>
        <v>0.78979883249305538</v>
      </c>
      <c r="CV120" s="84">
        <f t="shared" si="85"/>
        <v>0.78979883249305549</v>
      </c>
      <c r="CW120" s="84">
        <f t="shared" si="86"/>
        <v>0.21692510030742385</v>
      </c>
      <c r="CX120" s="84">
        <f t="shared" si="102"/>
        <v>0.19153719547413259</v>
      </c>
      <c r="CY120" s="106">
        <f t="shared" si="182"/>
        <v>-0.11671832916998215</v>
      </c>
      <c r="CZ120" s="106">
        <f t="shared" si="186"/>
        <v>-9.6789927433489131E-2</v>
      </c>
      <c r="DA120" s="106">
        <v>0.05</v>
      </c>
      <c r="DB120" s="106">
        <v>-0.05</v>
      </c>
      <c r="DC120" s="453">
        <f t="shared" si="87"/>
        <v>4.5776290437075344</v>
      </c>
      <c r="DD120" s="11">
        <f t="shared" si="88"/>
        <v>246.66666666666666</v>
      </c>
      <c r="DE120" s="11">
        <f t="shared" si="89"/>
        <v>125.0415512465374</v>
      </c>
      <c r="DF120" s="11">
        <f t="shared" si="90"/>
        <v>203.82258064516128</v>
      </c>
      <c r="DG120" s="11">
        <f t="shared" si="91"/>
        <v>336.71186440677968</v>
      </c>
      <c r="DH120" s="11">
        <f t="shared" si="155"/>
        <v>524.08888888888885</v>
      </c>
      <c r="DI120" s="11">
        <f t="shared" si="151"/>
        <v>656.33333333333337</v>
      </c>
      <c r="DJ120" s="11">
        <f t="shared" si="92"/>
        <v>91.241877256317693</v>
      </c>
      <c r="DK120" s="11">
        <f t="shared" si="93"/>
        <v>236.5</v>
      </c>
      <c r="DL120" s="11">
        <f t="shared" si="156"/>
        <v>332.16901408450707</v>
      </c>
      <c r="DM120" s="11">
        <f t="shared" si="152"/>
        <v>343.79365079365078</v>
      </c>
    </row>
    <row r="121" spans="1:117" x14ac:dyDescent="0.25">
      <c r="A121" s="80">
        <v>44409</v>
      </c>
      <c r="B121" s="180">
        <v>103934</v>
      </c>
      <c r="C121" s="95">
        <v>2032</v>
      </c>
      <c r="D121" s="145">
        <f t="shared" si="160"/>
        <v>1.9550868820597686E-2</v>
      </c>
      <c r="E121" s="167">
        <v>100988</v>
      </c>
      <c r="F121" s="145">
        <f t="shared" si="161"/>
        <v>0.97165508880635787</v>
      </c>
      <c r="H121" s="107">
        <f t="shared" si="157"/>
        <v>8.7940423730444445E-3</v>
      </c>
      <c r="I121" s="147">
        <v>10143380</v>
      </c>
      <c r="J121" s="111">
        <f t="shared" si="196"/>
        <v>5850685.916666667</v>
      </c>
      <c r="K121" s="95">
        <f t="shared" si="173"/>
        <v>46010</v>
      </c>
      <c r="L121" s="95">
        <f t="shared" si="174"/>
        <v>41203.083333333336</v>
      </c>
      <c r="M121" s="95">
        <f t="shared" si="162"/>
        <v>320</v>
      </c>
      <c r="N121" s="95">
        <f t="shared" si="175"/>
        <v>326.75</v>
      </c>
      <c r="O121" s="95">
        <f t="shared" si="176"/>
        <v>178</v>
      </c>
      <c r="P121" s="95">
        <f t="shared" si="177"/>
        <v>186</v>
      </c>
      <c r="Q121" s="103">
        <v>23942</v>
      </c>
      <c r="R121" s="95">
        <f t="shared" si="187"/>
        <v>15268.416666666666</v>
      </c>
      <c r="S121" s="161">
        <v>95</v>
      </c>
      <c r="T121" s="179">
        <f t="shared" si="48"/>
        <v>71.75</v>
      </c>
      <c r="U121" s="103">
        <v>59</v>
      </c>
      <c r="V121" s="179">
        <f t="shared" si="188"/>
        <v>50.5</v>
      </c>
      <c r="W121" s="103">
        <f>26768-4700</f>
        <v>22068</v>
      </c>
      <c r="X121" s="95">
        <f t="shared" si="134"/>
        <v>25934.666666666668</v>
      </c>
      <c r="Y121" s="103">
        <v>225</v>
      </c>
      <c r="Z121" s="179">
        <f t="shared" si="50"/>
        <v>255</v>
      </c>
      <c r="AA121" s="103">
        <v>119</v>
      </c>
      <c r="AB121" s="179">
        <f t="shared" si="51"/>
        <v>135.5</v>
      </c>
      <c r="AC121" s="103">
        <v>76959</v>
      </c>
      <c r="AD121" s="160">
        <v>25562</v>
      </c>
      <c r="AE121" s="9">
        <v>152</v>
      </c>
      <c r="AF121">
        <v>98</v>
      </c>
      <c r="AG121">
        <v>44</v>
      </c>
      <c r="AH121">
        <v>10</v>
      </c>
      <c r="AI121" s="102">
        <v>4.8600000000000004E-2</v>
      </c>
      <c r="AJ121" s="205">
        <v>4.3700000000000003E-2</v>
      </c>
      <c r="AK121" s="147">
        <v>1402452</v>
      </c>
      <c r="AL121" s="101">
        <v>1693015</v>
      </c>
      <c r="AM121" s="101">
        <v>45962</v>
      </c>
      <c r="AN121" s="206">
        <v>9369</v>
      </c>
      <c r="AO121" s="905">
        <f t="shared" si="115"/>
        <v>4.5312312069546836E-3</v>
      </c>
      <c r="AP121" s="909">
        <f t="shared" si="59"/>
        <v>0.45312312069546834</v>
      </c>
      <c r="AQ121" s="148">
        <f t="shared" si="199"/>
        <v>469</v>
      </c>
      <c r="AR121" s="101">
        <f t="shared" si="200"/>
        <v>302.38157894736844</v>
      </c>
      <c r="AS121" s="146">
        <f t="shared" si="158"/>
        <v>3.2772601130020847E-2</v>
      </c>
      <c r="AT121" s="147">
        <f t="shared" si="189"/>
        <v>30.4814605520539</v>
      </c>
      <c r="AU121" s="149">
        <f t="shared" si="159"/>
        <v>7.3525032132805705</v>
      </c>
      <c r="AV121" s="101">
        <f t="shared" si="137"/>
        <v>14310.734693877552</v>
      </c>
      <c r="AW121" s="158">
        <f t="shared" si="138"/>
        <v>9226.6578947368416</v>
      </c>
      <c r="AX121" s="150">
        <f t="shared" si="164"/>
        <v>1.2071821352887657</v>
      </c>
      <c r="AY121" s="148">
        <f t="shared" si="165"/>
        <v>36.796674635948705</v>
      </c>
      <c r="AZ121" s="148">
        <f t="shared" si="201"/>
        <v>8.87581052872555</v>
      </c>
      <c r="BA121" s="148">
        <f t="shared" si="202"/>
        <v>17275.663265306124</v>
      </c>
      <c r="BB121" s="101">
        <f t="shared" si="203"/>
        <v>11138.256578947368</v>
      </c>
      <c r="BC121" s="95">
        <f t="shared" si="204"/>
        <v>469.48979591836735</v>
      </c>
      <c r="BD121" s="95">
        <f t="shared" si="205"/>
        <v>302.69736842105266</v>
      </c>
      <c r="BE121" s="148">
        <f t="shared" si="167"/>
        <v>220.46033470984568</v>
      </c>
      <c r="BF121" s="118">
        <f t="shared" si="124"/>
        <v>103503.87755102041</v>
      </c>
      <c r="BG121" s="148">
        <f t="shared" si="125"/>
        <v>1082.6534315295123</v>
      </c>
      <c r="BH121" s="148">
        <f t="shared" si="197"/>
        <v>31698.0625</v>
      </c>
      <c r="BI121" s="158">
        <f t="shared" si="198"/>
        <v>56985.280898876401</v>
      </c>
      <c r="BJ121" s="80">
        <f t="shared" si="193"/>
        <v>44409</v>
      </c>
      <c r="BK121" s="95">
        <f t="shared" si="139"/>
        <v>49467</v>
      </c>
      <c r="BL121" s="95">
        <f t="shared" si="140"/>
        <v>22638.5</v>
      </c>
      <c r="BM121" s="95">
        <f t="shared" si="141"/>
        <v>89360</v>
      </c>
      <c r="BN121" s="95">
        <f t="shared" si="206"/>
        <v>95.602040816326536</v>
      </c>
      <c r="BO121" s="134">
        <f t="shared" si="207"/>
        <v>180.7039171736578</v>
      </c>
      <c r="BP121" s="118">
        <f t="shared" si="142"/>
        <v>660.50358920923065</v>
      </c>
      <c r="BQ121" s="115">
        <f t="shared" si="143"/>
        <v>8827.5</v>
      </c>
      <c r="BR121" s="118">
        <f t="shared" si="144"/>
        <v>142.45621663781625</v>
      </c>
      <c r="BS121" s="118">
        <f t="shared" si="185"/>
        <v>13305.152186095393</v>
      </c>
      <c r="BT121" s="80">
        <f t="shared" si="179"/>
        <v>44409</v>
      </c>
      <c r="BU121" s="118">
        <f t="shared" si="180"/>
        <v>132.73848533802052</v>
      </c>
      <c r="BV121" s="1539">
        <f t="shared" si="131"/>
        <v>3.0527950802740878E-3</v>
      </c>
      <c r="BW121" s="11">
        <f t="shared" si="145"/>
        <v>87.75</v>
      </c>
      <c r="BX121" s="118">
        <f t="shared" si="146"/>
        <v>31598.281831343793</v>
      </c>
      <c r="BY121" s="118">
        <f t="shared" si="147"/>
        <v>17938.912685550647</v>
      </c>
      <c r="BZ121" s="96">
        <f t="shared" si="178"/>
        <v>0.97571809439255264</v>
      </c>
      <c r="CA121" s="102">
        <f t="shared" si="148"/>
        <v>1.7311591042803536E-2</v>
      </c>
      <c r="CB121" s="102">
        <f t="shared" si="149"/>
        <v>6.9703145646437268E-3</v>
      </c>
      <c r="CC121" s="155">
        <f t="shared" si="181"/>
        <v>7.2326040392113242</v>
      </c>
      <c r="CD121">
        <v>173</v>
      </c>
      <c r="CE121">
        <v>99</v>
      </c>
      <c r="CF121">
        <v>44</v>
      </c>
      <c r="CG121">
        <v>22</v>
      </c>
      <c r="CH121" s="118">
        <f t="shared" si="154"/>
        <v>66732.763157894733</v>
      </c>
      <c r="CI121">
        <v>3</v>
      </c>
      <c r="CJ121" s="11">
        <f t="shared" si="194"/>
        <v>4.083333333333333</v>
      </c>
      <c r="CK121" s="233">
        <f t="shared" si="195"/>
        <v>8.8748822719698613E-5</v>
      </c>
      <c r="CM121" s="1779"/>
      <c r="CN121" s="1779"/>
      <c r="CO121" s="1779"/>
      <c r="CP121" s="1779"/>
      <c r="CQ121" s="1344">
        <f t="shared" si="113"/>
        <v>3.0527950802740878E-3</v>
      </c>
      <c r="CR121" s="155">
        <f t="shared" si="114"/>
        <v>0.30527950802740877</v>
      </c>
      <c r="CS121" s="137">
        <f t="shared" si="82"/>
        <v>149.69068203650338</v>
      </c>
      <c r="CT121" s="84">
        <f t="shared" si="83"/>
        <v>1.2071821352887655</v>
      </c>
      <c r="CU121" s="84">
        <f t="shared" si="84"/>
        <v>0.88328167083001785</v>
      </c>
      <c r="CV121" s="84">
        <f t="shared" si="85"/>
        <v>0.88328167083001774</v>
      </c>
      <c r="CW121" s="84">
        <f t="shared" si="86"/>
        <v>0.1382627881435971</v>
      </c>
      <c r="CX121" s="84">
        <f t="shared" si="102"/>
        <v>0.17449047730830253</v>
      </c>
      <c r="CY121" s="106">
        <f t="shared" si="182"/>
        <v>0.20718213528876572</v>
      </c>
      <c r="CZ121" s="106">
        <f t="shared" si="186"/>
        <v>-4.2695324514647859E-2</v>
      </c>
      <c r="DA121" s="106">
        <v>0.05</v>
      </c>
      <c r="DB121" s="106">
        <v>-0.05</v>
      </c>
      <c r="DC121" s="453">
        <f t="shared" si="87"/>
        <v>4.9108762941615964</v>
      </c>
      <c r="DD121" s="11">
        <f t="shared" si="88"/>
        <v>258.4831460674157</v>
      </c>
      <c r="DE121" s="11">
        <f t="shared" si="89"/>
        <v>143.78125</v>
      </c>
      <c r="DF121" s="11">
        <f t="shared" si="90"/>
        <v>185.44537815126051</v>
      </c>
      <c r="DG121" s="11">
        <f t="shared" si="91"/>
        <v>405.79661016949154</v>
      </c>
      <c r="DH121" s="11">
        <f t="shared" si="155"/>
        <v>777.36363636363637</v>
      </c>
      <c r="DI121" s="11">
        <f t="shared" si="151"/>
        <v>1161.909090909091</v>
      </c>
      <c r="DJ121" s="11">
        <f t="shared" si="92"/>
        <v>98.08</v>
      </c>
      <c r="DK121" s="11">
        <f t="shared" si="93"/>
        <v>252.02105263157895</v>
      </c>
      <c r="DL121" s="11">
        <f t="shared" si="156"/>
        <v>444.84971098265896</v>
      </c>
      <c r="DM121" s="11">
        <f t="shared" si="152"/>
        <v>580.9545454545455</v>
      </c>
    </row>
    <row r="122" spans="1:117" x14ac:dyDescent="0.25">
      <c r="A122" s="80">
        <v>44440</v>
      </c>
      <c r="B122" s="180">
        <v>124244</v>
      </c>
      <c r="C122" s="95">
        <v>2577</v>
      </c>
      <c r="D122" s="145">
        <f t="shared" si="160"/>
        <v>2.0741444254853351E-2</v>
      </c>
      <c r="E122" s="167">
        <v>116131</v>
      </c>
      <c r="F122" s="145">
        <f t="shared" si="161"/>
        <v>0.9347010720839638</v>
      </c>
      <c r="H122" s="107">
        <f t="shared" si="157"/>
        <v>4.4557483661182846E-2</v>
      </c>
      <c r="I122" s="147">
        <v>16448447</v>
      </c>
      <c r="J122" s="111">
        <f t="shared" si="196"/>
        <v>6727642.416666667</v>
      </c>
      <c r="K122" s="95">
        <f t="shared" si="173"/>
        <v>62523</v>
      </c>
      <c r="L122" s="95">
        <f t="shared" si="174"/>
        <v>42860.083333333336</v>
      </c>
      <c r="M122" s="95">
        <f t="shared" si="162"/>
        <v>352</v>
      </c>
      <c r="N122" s="95">
        <f t="shared" si="175"/>
        <v>326.25</v>
      </c>
      <c r="O122" s="95">
        <f t="shared" si="176"/>
        <v>199</v>
      </c>
      <c r="P122" s="95">
        <f t="shared" si="177"/>
        <v>186</v>
      </c>
      <c r="Q122" s="103">
        <v>34318</v>
      </c>
      <c r="R122" s="95">
        <f t="shared" si="187"/>
        <v>16944.833333333332</v>
      </c>
      <c r="S122" s="161">
        <v>107</v>
      </c>
      <c r="T122" s="179">
        <f t="shared" si="48"/>
        <v>75.5</v>
      </c>
      <c r="U122" s="103">
        <v>68</v>
      </c>
      <c r="V122" s="179">
        <f t="shared" si="188"/>
        <v>52.5</v>
      </c>
      <c r="W122" s="103">
        <f>31405-3200</f>
        <v>28205</v>
      </c>
      <c r="X122" s="95">
        <f t="shared" si="134"/>
        <v>25915.25</v>
      </c>
      <c r="Y122" s="103">
        <v>245</v>
      </c>
      <c r="Z122" s="179">
        <f t="shared" si="50"/>
        <v>250.75</v>
      </c>
      <c r="AA122" s="103">
        <v>131</v>
      </c>
      <c r="AB122" s="179">
        <f t="shared" si="51"/>
        <v>133.5</v>
      </c>
      <c r="AC122" s="103">
        <v>79466</v>
      </c>
      <c r="AD122" s="160">
        <v>22259</v>
      </c>
      <c r="AE122" s="9">
        <v>154</v>
      </c>
      <c r="AF122">
        <v>101</v>
      </c>
      <c r="AG122">
        <v>43</v>
      </c>
      <c r="AH122">
        <v>10</v>
      </c>
      <c r="AI122" s="102">
        <v>3.8599999999999995E-2</v>
      </c>
      <c r="AJ122" s="205">
        <v>0.03</v>
      </c>
      <c r="AK122" s="147">
        <v>1508162</v>
      </c>
      <c r="AL122" s="101">
        <v>2217482</v>
      </c>
      <c r="AM122" s="101">
        <v>63785</v>
      </c>
      <c r="AN122" s="206">
        <v>11329</v>
      </c>
      <c r="AO122" s="905">
        <f t="shared" si="115"/>
        <v>3.8778736983497591E-3</v>
      </c>
      <c r="AP122" s="909">
        <f t="shared" si="59"/>
        <v>0.38778736983497591</v>
      </c>
      <c r="AQ122" s="148">
        <f t="shared" si="199"/>
        <v>631.53465346534654</v>
      </c>
      <c r="AR122" s="101">
        <f t="shared" si="200"/>
        <v>414.18831168831167</v>
      </c>
      <c r="AS122" s="146">
        <f t="shared" si="158"/>
        <v>4.2293201923931246E-2</v>
      </c>
      <c r="AT122" s="147">
        <f t="shared" si="189"/>
        <v>24.12171520880316</v>
      </c>
      <c r="AU122" s="149">
        <f t="shared" si="159"/>
        <v>7.2448111651620311</v>
      </c>
      <c r="AV122" s="101">
        <f t="shared" si="137"/>
        <v>14932.29702970297</v>
      </c>
      <c r="AW122" s="158">
        <f t="shared" si="138"/>
        <v>9793.2597402597403</v>
      </c>
      <c r="AX122" s="150">
        <f t="shared" si="164"/>
        <v>1.4703208276034008</v>
      </c>
      <c r="AY122" s="148">
        <f t="shared" si="165"/>
        <v>35.466660269020998</v>
      </c>
      <c r="AZ122" s="148">
        <f t="shared" si="201"/>
        <v>10.652196748191395</v>
      </c>
      <c r="BA122" s="148">
        <f t="shared" si="202"/>
        <v>21955.267326732672</v>
      </c>
      <c r="BB122" s="101">
        <f t="shared" si="203"/>
        <v>14399.233766233767</v>
      </c>
      <c r="BC122" s="95">
        <f t="shared" si="204"/>
        <v>619.03960396039599</v>
      </c>
      <c r="BD122" s="95">
        <f t="shared" si="205"/>
        <v>405.99350649350652</v>
      </c>
      <c r="BE122" s="148">
        <f t="shared" si="167"/>
        <v>263.07833917118501</v>
      </c>
      <c r="BF122" s="118">
        <f t="shared" si="124"/>
        <v>162855.91089108912</v>
      </c>
      <c r="BG122" s="148">
        <f t="shared" si="125"/>
        <v>1451.8886927354577</v>
      </c>
      <c r="BH122" s="148">
        <f t="shared" si="197"/>
        <v>46728.54261363636</v>
      </c>
      <c r="BI122" s="158">
        <f t="shared" si="198"/>
        <v>82655.512562814067</v>
      </c>
      <c r="BJ122" s="80">
        <f t="shared" si="193"/>
        <v>44440</v>
      </c>
      <c r="BK122" s="95">
        <f t="shared" si="139"/>
        <v>52330.333333333336</v>
      </c>
      <c r="BL122" s="95">
        <f t="shared" si="140"/>
        <v>22243.166666666668</v>
      </c>
      <c r="BM122" s="95">
        <f t="shared" si="141"/>
        <v>91566.416666666672</v>
      </c>
      <c r="BN122" s="95">
        <f t="shared" si="206"/>
        <v>112.16831683168317</v>
      </c>
      <c r="BO122" s="134">
        <f t="shared" si="207"/>
        <v>195.73501632977315</v>
      </c>
      <c r="BP122" s="118">
        <f t="shared" si="142"/>
        <v>730.07835852037124</v>
      </c>
      <c r="BQ122" s="115">
        <f t="shared" si="143"/>
        <v>8971.3333333333339</v>
      </c>
      <c r="BR122" s="118">
        <f t="shared" si="144"/>
        <v>152.79969776995691</v>
      </c>
      <c r="BS122" s="118">
        <f t="shared" si="185"/>
        <v>13789.38731472874</v>
      </c>
      <c r="BT122" s="80">
        <f t="shared" si="179"/>
        <v>44440</v>
      </c>
      <c r="BU122" s="118">
        <f t="shared" si="180"/>
        <v>137.4215215577332</v>
      </c>
      <c r="BV122" s="1539">
        <f t="shared" si="131"/>
        <v>3.0647681590732852E-3</v>
      </c>
      <c r="BW122" s="11">
        <f t="shared" si="145"/>
        <v>89.25</v>
      </c>
      <c r="BX122" s="118">
        <f t="shared" si="146"/>
        <v>36005.098414258362</v>
      </c>
      <c r="BY122" s="118">
        <f t="shared" si="147"/>
        <v>20453.775175234496</v>
      </c>
      <c r="BZ122" s="96">
        <f t="shared" si="178"/>
        <v>0.97208779626403707</v>
      </c>
      <c r="CA122" s="102">
        <f t="shared" si="148"/>
        <v>1.7682224607353473E-2</v>
      </c>
      <c r="CB122" s="102">
        <f t="shared" si="149"/>
        <v>1.022997912860947E-2</v>
      </c>
      <c r="CC122" s="155">
        <f t="shared" si="181"/>
        <v>10.90628659255438</v>
      </c>
      <c r="CD122">
        <v>174</v>
      </c>
      <c r="CE122">
        <v>112</v>
      </c>
      <c r="CF122">
        <v>45</v>
      </c>
      <c r="CG122">
        <v>30</v>
      </c>
      <c r="CH122" s="118">
        <f t="shared" si="154"/>
        <v>106808.0974025974</v>
      </c>
      <c r="CI122">
        <v>4</v>
      </c>
      <c r="CJ122" s="11">
        <f t="shared" si="194"/>
        <v>4</v>
      </c>
      <c r="CK122" s="233">
        <f t="shared" si="195"/>
        <v>6.3976456663947663E-5</v>
      </c>
      <c r="CM122" s="1779"/>
      <c r="CN122" s="1779"/>
      <c r="CO122" s="1779"/>
      <c r="CP122" s="1779"/>
      <c r="CQ122" s="1344">
        <f t="shared" si="113"/>
        <v>3.0647681590732852E-3</v>
      </c>
      <c r="CR122" s="155">
        <f t="shared" si="114"/>
        <v>0.30647681590732861</v>
      </c>
      <c r="CS122" s="137">
        <f t="shared" si="82"/>
        <v>133.124018006885</v>
      </c>
      <c r="CT122" s="84">
        <f t="shared" si="83"/>
        <v>1.4703208276034005</v>
      </c>
      <c r="CU122" s="84">
        <f t="shared" si="84"/>
        <v>1.2071821352887657</v>
      </c>
      <c r="CV122" s="84">
        <f t="shared" si="85"/>
        <v>1.2071821352887657</v>
      </c>
      <c r="CW122" s="84">
        <f t="shared" si="86"/>
        <v>9.1690236774328901E-2</v>
      </c>
      <c r="CX122" s="84">
        <f t="shared" si="102"/>
        <v>0.12926105491360895</v>
      </c>
      <c r="CY122" s="106">
        <f t="shared" si="182"/>
        <v>0.47032082760340077</v>
      </c>
      <c r="CZ122" s="106">
        <f t="shared" si="186"/>
        <v>0.18593382163561678</v>
      </c>
      <c r="DA122" s="106">
        <v>0.05</v>
      </c>
      <c r="DB122" s="106">
        <v>-0.05</v>
      </c>
      <c r="DC122" s="453">
        <f t="shared" si="87"/>
        <v>5.518845440903875</v>
      </c>
      <c r="DD122" s="11">
        <f t="shared" si="88"/>
        <v>314.1859296482412</v>
      </c>
      <c r="DE122" s="11">
        <f t="shared" si="89"/>
        <v>177.62215909090909</v>
      </c>
      <c r="DF122" s="11">
        <f t="shared" si="90"/>
        <v>215.30534351145039</v>
      </c>
      <c r="DG122" s="11">
        <f t="shared" si="91"/>
        <v>504.6764705882353</v>
      </c>
      <c r="DH122" s="11">
        <f t="shared" si="155"/>
        <v>709.51785714285711</v>
      </c>
      <c r="DI122" s="11">
        <f t="shared" si="151"/>
        <v>741.9666666666667</v>
      </c>
      <c r="DJ122" s="11">
        <f t="shared" si="92"/>
        <v>115.12244897959184</v>
      </c>
      <c r="DK122" s="11">
        <f t="shared" si="93"/>
        <v>320.72897196261681</v>
      </c>
      <c r="DL122" s="11">
        <f t="shared" si="156"/>
        <v>456.70114942528738</v>
      </c>
      <c r="DM122" s="11">
        <f t="shared" si="152"/>
        <v>494.64444444444445</v>
      </c>
    </row>
    <row r="123" spans="1:117" x14ac:dyDescent="0.25">
      <c r="A123" s="80">
        <v>44470</v>
      </c>
      <c r="B123" s="180">
        <v>130875</v>
      </c>
      <c r="C123" s="95">
        <v>2187</v>
      </c>
      <c r="D123" s="145">
        <f t="shared" si="160"/>
        <v>1.6710601719197707E-2</v>
      </c>
      <c r="E123" s="167">
        <v>127685</v>
      </c>
      <c r="F123" s="145">
        <f t="shared" si="161"/>
        <v>0.97562559694364848</v>
      </c>
      <c r="H123" s="107">
        <f t="shared" si="157"/>
        <v>7.6638013371538166E-3</v>
      </c>
      <c r="I123" s="147">
        <v>17127174</v>
      </c>
      <c r="J123" s="111">
        <f t="shared" si="196"/>
        <v>7684192.833333333</v>
      </c>
      <c r="K123" s="95">
        <f t="shared" si="173"/>
        <v>61764</v>
      </c>
      <c r="L123" s="95">
        <f t="shared" si="174"/>
        <v>44749.583333333336</v>
      </c>
      <c r="M123" s="95">
        <f t="shared" si="162"/>
        <v>314</v>
      </c>
      <c r="N123" s="95">
        <f t="shared" si="175"/>
        <v>323.75</v>
      </c>
      <c r="O123" s="95">
        <f t="shared" si="176"/>
        <v>169</v>
      </c>
      <c r="P123" s="95">
        <f t="shared" si="177"/>
        <v>184.33333333333334</v>
      </c>
      <c r="Q123" s="103">
        <v>36138</v>
      </c>
      <c r="R123" s="95">
        <f t="shared" si="187"/>
        <v>18713.25</v>
      </c>
      <c r="S123" s="161">
        <v>91</v>
      </c>
      <c r="T123" s="179">
        <f t="shared" si="48"/>
        <v>77.083333333333329</v>
      </c>
      <c r="U123" s="103">
        <v>57</v>
      </c>
      <c r="V123" s="179">
        <f t="shared" si="188"/>
        <v>52.916666666666664</v>
      </c>
      <c r="W123" s="103">
        <f>26426-800</f>
        <v>25626</v>
      </c>
      <c r="X123" s="95">
        <f t="shared" si="134"/>
        <v>26036.333333333332</v>
      </c>
      <c r="Y123" s="103">
        <v>223</v>
      </c>
      <c r="Z123" s="179">
        <f t="shared" si="50"/>
        <v>246.66666666666666</v>
      </c>
      <c r="AA123" s="103">
        <v>112</v>
      </c>
      <c r="AB123" s="179">
        <f t="shared" si="51"/>
        <v>131.41666666666666</v>
      </c>
      <c r="AC123" s="103">
        <v>75159</v>
      </c>
      <c r="AD123" s="160">
        <v>24389</v>
      </c>
      <c r="AE123" s="9">
        <v>173</v>
      </c>
      <c r="AF123">
        <v>111</v>
      </c>
      <c r="AG123">
        <v>47</v>
      </c>
      <c r="AH123">
        <v>10</v>
      </c>
      <c r="AI123" s="102">
        <v>5.1799999999999999E-2</v>
      </c>
      <c r="AJ123" s="205">
        <v>3.2400000000000005E-2</v>
      </c>
      <c r="AK123" s="111">
        <v>1558477</v>
      </c>
      <c r="AL123" s="101">
        <v>1747731</v>
      </c>
      <c r="AM123" s="101">
        <v>104425</v>
      </c>
      <c r="AN123" s="206">
        <v>11659.727999999999</v>
      </c>
      <c r="AO123" s="905">
        <f t="shared" ref="AO123:AO141" si="208">AM123/I123</f>
        <v>6.0970362069072224E-3</v>
      </c>
      <c r="AP123" s="909">
        <f t="shared" ref="AP123:AP141" si="209">AM123/SUM(I123)*100</f>
        <v>0.60970362069072226</v>
      </c>
      <c r="AQ123" s="148">
        <f t="shared" si="199"/>
        <v>940.76576576576576</v>
      </c>
      <c r="AR123" s="101">
        <f t="shared" si="200"/>
        <v>603.61271676300578</v>
      </c>
      <c r="AS123" s="146">
        <f t="shared" si="158"/>
        <v>6.7004517872256059E-2</v>
      </c>
      <c r="AT123" s="147">
        <f t="shared" si="189"/>
        <v>25.232773136454892</v>
      </c>
      <c r="AU123" s="149">
        <f t="shared" si="159"/>
        <v>7.526959324358697</v>
      </c>
      <c r="AV123" s="101">
        <f t="shared" si="137"/>
        <v>14040.333333333334</v>
      </c>
      <c r="AW123" s="158">
        <f t="shared" si="138"/>
        <v>9008.5375722543358</v>
      </c>
      <c r="AX123" s="150">
        <f t="shared" si="164"/>
        <v>1.121435221694</v>
      </c>
      <c r="AY123" s="148">
        <f t="shared" si="165"/>
        <v>28.296920536234701</v>
      </c>
      <c r="AZ123" s="148">
        <f t="shared" si="201"/>
        <v>8.4409972985939152</v>
      </c>
      <c r="BA123" s="148">
        <f t="shared" si="202"/>
        <v>15745.324324324325</v>
      </c>
      <c r="BB123" s="101">
        <f t="shared" si="203"/>
        <v>10102.491329479768</v>
      </c>
      <c r="BC123" s="95">
        <f t="shared" si="204"/>
        <v>556.43243243243239</v>
      </c>
      <c r="BD123" s="95">
        <f t="shared" si="205"/>
        <v>357.01734104046244</v>
      </c>
      <c r="BE123" s="148">
        <f t="shared" si="167"/>
        <v>277.3002720031086</v>
      </c>
      <c r="BF123" s="118">
        <f t="shared" si="124"/>
        <v>154298.86486486485</v>
      </c>
      <c r="BG123" s="148">
        <f t="shared" si="125"/>
        <v>1468.9171136753791</v>
      </c>
      <c r="BH123" s="148">
        <f t="shared" si="197"/>
        <v>54545.140127388535</v>
      </c>
      <c r="BI123" s="158">
        <f t="shared" si="198"/>
        <v>101344.22485207101</v>
      </c>
      <c r="BJ123" s="80">
        <f t="shared" si="193"/>
        <v>44470</v>
      </c>
      <c r="BK123" s="95">
        <f t="shared" si="139"/>
        <v>54281.916666666664</v>
      </c>
      <c r="BL123" s="95">
        <f t="shared" si="140"/>
        <v>22054</v>
      </c>
      <c r="BM123" s="95">
        <f t="shared" si="141"/>
        <v>94446.083333333328</v>
      </c>
      <c r="BN123" s="95">
        <f t="shared" si="206"/>
        <v>105.04259459459459</v>
      </c>
      <c r="BO123" s="134">
        <f t="shared" si="207"/>
        <v>149.89466306589657</v>
      </c>
      <c r="BP123" s="118">
        <f t="shared" si="142"/>
        <v>803.30683251287519</v>
      </c>
      <c r="BQ123" s="115">
        <f t="shared" si="143"/>
        <v>9145.3940000000002</v>
      </c>
      <c r="BR123" s="118">
        <f t="shared" si="144"/>
        <v>163.8662506662678</v>
      </c>
      <c r="BS123" s="118">
        <f t="shared" si="185"/>
        <v>14020.500484077864</v>
      </c>
      <c r="BT123" s="80">
        <f t="shared" si="179"/>
        <v>44470</v>
      </c>
      <c r="BU123" s="118">
        <f t="shared" si="180"/>
        <v>139.86063293762817</v>
      </c>
      <c r="BV123" s="1539">
        <f t="shared" si="131"/>
        <v>3.289124831093723E-3</v>
      </c>
      <c r="BW123" s="11">
        <f t="shared" si="145"/>
        <v>91.083333333333329</v>
      </c>
      <c r="BX123" s="118">
        <f t="shared" si="146"/>
        <v>41959.899779796913</v>
      </c>
      <c r="BY123" s="118">
        <f t="shared" si="147"/>
        <v>23630.848625772691</v>
      </c>
      <c r="BZ123" s="96">
        <f t="shared" si="178"/>
        <v>0.97201969086428486</v>
      </c>
      <c r="CA123" s="102">
        <f t="shared" si="148"/>
        <v>1.7706058990143478E-2</v>
      </c>
      <c r="CB123" s="102">
        <f t="shared" si="149"/>
        <v>1.0274250145571607E-2</v>
      </c>
      <c r="CC123" s="155">
        <f t="shared" si="181"/>
        <v>10.989686726207701</v>
      </c>
      <c r="CD123">
        <v>149</v>
      </c>
      <c r="CE123">
        <v>100</v>
      </c>
      <c r="CF123">
        <v>40</v>
      </c>
      <c r="CG123">
        <v>25</v>
      </c>
      <c r="CH123" s="118">
        <f t="shared" si="154"/>
        <v>99001.005780346823</v>
      </c>
      <c r="CI123">
        <v>3</v>
      </c>
      <c r="CJ123" s="11">
        <f t="shared" si="194"/>
        <v>4.083333333333333</v>
      </c>
      <c r="CK123" s="233">
        <f t="shared" si="195"/>
        <v>6.6111866675301679E-5</v>
      </c>
      <c r="CM123" s="1779"/>
      <c r="CN123" s="1779"/>
      <c r="CO123" s="1779"/>
      <c r="CP123" s="1779"/>
      <c r="CQ123" s="1344">
        <f t="shared" si="113"/>
        <v>3.289124831093723E-3</v>
      </c>
      <c r="CR123" s="155">
        <f t="shared" si="114"/>
        <v>0.32891248310937232</v>
      </c>
      <c r="CS123" s="137">
        <f t="shared" si="82"/>
        <v>133.66323811327331</v>
      </c>
      <c r="CT123" s="84">
        <f t="shared" si="83"/>
        <v>1.121435221694</v>
      </c>
      <c r="CU123" s="84">
        <f t="shared" si="84"/>
        <v>1.4703208276034005</v>
      </c>
      <c r="CV123" s="84">
        <f t="shared" si="85"/>
        <v>1.4703208276034008</v>
      </c>
      <c r="CW123" s="84">
        <f t="shared" si="86"/>
        <v>9.0994404564349027E-2</v>
      </c>
      <c r="CX123" s="84">
        <f t="shared" si="102"/>
        <v>0.10124247807034749</v>
      </c>
      <c r="CY123" s="106">
        <f t="shared" si="182"/>
        <v>0.12143522169400001</v>
      </c>
      <c r="CZ123" s="106">
        <f t="shared" si="186"/>
        <v>0.26608028344018941</v>
      </c>
      <c r="DA123" s="106">
        <v>0.05</v>
      </c>
      <c r="DB123" s="106">
        <v>-0.05</v>
      </c>
      <c r="DC123" s="453">
        <f t="shared" si="87"/>
        <v>5.2972076192514956</v>
      </c>
      <c r="DD123" s="11">
        <f t="shared" si="88"/>
        <v>365.46745562130178</v>
      </c>
      <c r="DE123" s="11">
        <f t="shared" si="89"/>
        <v>196.70063694267515</v>
      </c>
      <c r="DF123" s="11">
        <f t="shared" si="90"/>
        <v>228.80357142857142</v>
      </c>
      <c r="DG123" s="11">
        <f t="shared" si="91"/>
        <v>634</v>
      </c>
      <c r="DH123" s="11">
        <f t="shared" si="155"/>
        <v>751.59</v>
      </c>
      <c r="DI123" s="11">
        <f t="shared" si="151"/>
        <v>975.56</v>
      </c>
      <c r="DJ123" s="11">
        <f t="shared" si="92"/>
        <v>114.91479820627802</v>
      </c>
      <c r="DK123" s="11">
        <f t="shared" si="93"/>
        <v>397.12087912087912</v>
      </c>
      <c r="DL123" s="11">
        <f t="shared" si="156"/>
        <v>504.42281879194633</v>
      </c>
      <c r="DM123" s="11">
        <f t="shared" si="152"/>
        <v>609.72500000000002</v>
      </c>
    </row>
    <row r="124" spans="1:117" x14ac:dyDescent="0.25">
      <c r="A124" s="80">
        <v>44501</v>
      </c>
      <c r="B124" s="180">
        <v>155119</v>
      </c>
      <c r="C124" s="95">
        <v>2780</v>
      </c>
      <c r="D124" s="145">
        <f t="shared" si="160"/>
        <v>1.7921724611427357E-2</v>
      </c>
      <c r="E124" s="167">
        <v>150756</v>
      </c>
      <c r="F124" s="145">
        <f t="shared" si="161"/>
        <v>0.97187320702170588</v>
      </c>
      <c r="H124" s="107">
        <f t="shared" si="157"/>
        <v>1.0205068366866767E-2</v>
      </c>
      <c r="I124" s="147">
        <v>15363040</v>
      </c>
      <c r="J124" s="111">
        <f t="shared" si="196"/>
        <v>8451584.916666666</v>
      </c>
      <c r="K124" s="95">
        <f t="shared" si="173"/>
        <v>68326</v>
      </c>
      <c r="L124" s="95">
        <f t="shared" si="174"/>
        <v>46520.666666666664</v>
      </c>
      <c r="M124" s="95">
        <f t="shared" si="162"/>
        <v>411</v>
      </c>
      <c r="N124" s="95">
        <f t="shared" si="175"/>
        <v>332</v>
      </c>
      <c r="O124" s="95">
        <f t="shared" si="176"/>
        <v>233</v>
      </c>
      <c r="P124" s="95">
        <f t="shared" si="177"/>
        <v>188.33333333333334</v>
      </c>
      <c r="Q124" s="103">
        <v>38980</v>
      </c>
      <c r="R124" s="95">
        <f t="shared" si="187"/>
        <v>20548</v>
      </c>
      <c r="S124" s="161">
        <v>142</v>
      </c>
      <c r="T124" s="179">
        <f t="shared" si="48"/>
        <v>82.666666666666671</v>
      </c>
      <c r="U124" s="103">
        <v>82</v>
      </c>
      <c r="V124" s="179">
        <f t="shared" si="188"/>
        <v>55.416666666666664</v>
      </c>
      <c r="W124" s="103">
        <v>29346</v>
      </c>
      <c r="X124" s="95">
        <f t="shared" si="134"/>
        <v>25972.666666666668</v>
      </c>
      <c r="Y124" s="103">
        <v>269</v>
      </c>
      <c r="Z124" s="179">
        <f t="shared" si="50"/>
        <v>249.33333333333334</v>
      </c>
      <c r="AA124" s="103">
        <v>151</v>
      </c>
      <c r="AB124" s="179">
        <f t="shared" si="51"/>
        <v>132.91666666666666</v>
      </c>
      <c r="AC124" s="103">
        <v>84812</v>
      </c>
      <c r="AD124" s="160">
        <v>28636</v>
      </c>
      <c r="AE124" s="9">
        <v>185</v>
      </c>
      <c r="AF124">
        <v>128</v>
      </c>
      <c r="AG124">
        <v>47</v>
      </c>
      <c r="AH124">
        <v>10</v>
      </c>
      <c r="AI124" s="102">
        <v>2.8999999999999998E-2</v>
      </c>
      <c r="AJ124" s="205">
        <v>6.25E-2</v>
      </c>
      <c r="AK124" s="111">
        <v>1752743</v>
      </c>
      <c r="AL124" s="101">
        <v>1829118</v>
      </c>
      <c r="AM124" s="101">
        <v>42212</v>
      </c>
      <c r="AN124" s="206">
        <v>11382.971</v>
      </c>
      <c r="AO124" s="905">
        <f t="shared" si="208"/>
        <v>2.7476332809131527E-3</v>
      </c>
      <c r="AP124" s="909">
        <f t="shared" si="209"/>
        <v>0.27476332809131526</v>
      </c>
      <c r="AQ124" s="148">
        <f t="shared" si="199"/>
        <v>329.78125</v>
      </c>
      <c r="AR124" s="101">
        <f t="shared" si="200"/>
        <v>228.17297297297299</v>
      </c>
      <c r="AS124" s="146">
        <f t="shared" si="158"/>
        <v>2.4083393857513624E-2</v>
      </c>
      <c r="AT124" s="147">
        <f t="shared" si="189"/>
        <v>25.652650528349383</v>
      </c>
      <c r="AU124" s="149">
        <f t="shared" si="159"/>
        <v>7.6385890289768543</v>
      </c>
      <c r="AV124" s="101">
        <f t="shared" si="137"/>
        <v>13693.3046875</v>
      </c>
      <c r="AW124" s="158">
        <f t="shared" si="138"/>
        <v>9474.286486486486</v>
      </c>
      <c r="AX124" s="150">
        <f t="shared" si="164"/>
        <v>1.0435745571370132</v>
      </c>
      <c r="AY124" s="148">
        <f t="shared" si="165"/>
        <v>26.770453414512776</v>
      </c>
      <c r="AZ124" s="148">
        <f t="shared" si="201"/>
        <v>7.9714371630661685</v>
      </c>
      <c r="BA124" s="148">
        <f t="shared" si="202"/>
        <v>14289.984375</v>
      </c>
      <c r="BB124" s="101">
        <f t="shared" si="203"/>
        <v>9887.1243243243243</v>
      </c>
      <c r="BC124" s="95">
        <f t="shared" si="204"/>
        <v>533.796875</v>
      </c>
      <c r="BD124" s="95">
        <f t="shared" si="205"/>
        <v>369.32972972972971</v>
      </c>
      <c r="BE124" s="148">
        <f t="shared" si="167"/>
        <v>224.84910575769106</v>
      </c>
      <c r="BF124" s="118">
        <f t="shared" si="124"/>
        <v>120023.75</v>
      </c>
      <c r="BG124" s="148">
        <f t="shared" si="125"/>
        <v>1349.6511587352722</v>
      </c>
      <c r="BH124" s="148">
        <f t="shared" si="197"/>
        <v>37379.659367396591</v>
      </c>
      <c r="BI124" s="158">
        <f t="shared" si="198"/>
        <v>65935.793991416314</v>
      </c>
      <c r="BJ124" s="80">
        <f t="shared" si="193"/>
        <v>44501</v>
      </c>
      <c r="BK124" s="95">
        <f t="shared" si="139"/>
        <v>55888.25</v>
      </c>
      <c r="BL124" s="95">
        <f t="shared" si="140"/>
        <v>21812.916666666668</v>
      </c>
      <c r="BM124" s="95">
        <f t="shared" si="141"/>
        <v>99008.333333333328</v>
      </c>
      <c r="BN124" s="95">
        <f t="shared" si="206"/>
        <v>88.929460937499996</v>
      </c>
      <c r="BO124" s="134">
        <f t="shared" si="207"/>
        <v>160.68898005626124</v>
      </c>
      <c r="BP124" s="118">
        <f t="shared" si="142"/>
        <v>864.15609657959988</v>
      </c>
      <c r="BQ124" s="115">
        <f t="shared" si="143"/>
        <v>9266.05825</v>
      </c>
      <c r="BR124" s="118">
        <f t="shared" si="144"/>
        <v>171.70865670818105</v>
      </c>
      <c r="BS124" s="118">
        <f t="shared" si="185"/>
        <v>13991.963996809345</v>
      </c>
      <c r="BT124" s="80">
        <f t="shared" si="179"/>
        <v>44501</v>
      </c>
      <c r="BU124" s="118">
        <f t="shared" si="180"/>
        <v>142.20526485223104</v>
      </c>
      <c r="BV124" s="1539">
        <f t="shared" si="131"/>
        <v>3.3658980279255585E-3</v>
      </c>
      <c r="BW124" s="11">
        <f t="shared" si="145"/>
        <v>94.25</v>
      </c>
      <c r="BX124" s="118">
        <f t="shared" si="146"/>
        <v>44682.326306108625</v>
      </c>
      <c r="BY124" s="118">
        <f t="shared" si="147"/>
        <v>25102.034182030096</v>
      </c>
      <c r="BZ124" s="96">
        <f t="shared" si="178"/>
        <v>0.9716268667825213</v>
      </c>
      <c r="CA124" s="102">
        <f t="shared" si="148"/>
        <v>1.7730002705105642E-2</v>
      </c>
      <c r="CB124" s="102">
        <f t="shared" si="149"/>
        <v>1.0643130512373063E-2</v>
      </c>
      <c r="CC124" s="155">
        <f t="shared" si="181"/>
        <v>8.7651412671452693</v>
      </c>
      <c r="CD124">
        <v>184</v>
      </c>
      <c r="CE124">
        <v>108</v>
      </c>
      <c r="CF124">
        <v>48</v>
      </c>
      <c r="CG124">
        <v>29</v>
      </c>
      <c r="CH124" s="118">
        <f t="shared" si="154"/>
        <v>83043.459459459453</v>
      </c>
      <c r="CI124">
        <v>4</v>
      </c>
      <c r="CJ124" s="11">
        <f t="shared" si="194"/>
        <v>4.25</v>
      </c>
      <c r="CK124" s="233">
        <f t="shared" si="195"/>
        <v>6.2201797266048058E-5</v>
      </c>
      <c r="CM124" s="1779"/>
      <c r="CN124" s="1779"/>
      <c r="CO124" s="1779"/>
      <c r="CP124" s="1779"/>
      <c r="CQ124" s="1344">
        <f t="shared" si="113"/>
        <v>3.3658980279255585E-3</v>
      </c>
      <c r="CR124" s="155">
        <f t="shared" si="114"/>
        <v>0.33658980279255585</v>
      </c>
      <c r="CS124" s="137">
        <f t="shared" si="82"/>
        <v>153.97939606452482</v>
      </c>
      <c r="CT124" s="84">
        <f t="shared" si="83"/>
        <v>1.0435745571370132</v>
      </c>
      <c r="CU124" s="84">
        <f t="shared" si="84"/>
        <v>1.121435221694</v>
      </c>
      <c r="CV124" s="84">
        <f t="shared" si="85"/>
        <v>1.1214352216939998</v>
      </c>
      <c r="CW124" s="84">
        <f t="shared" si="86"/>
        <v>0.11408829242129162</v>
      </c>
      <c r="CX124" s="84">
        <f t="shared" si="102"/>
        <v>9.1320254961614097E-2</v>
      </c>
      <c r="CY124" s="106">
        <f t="shared" si="182"/>
        <v>4.3574557137013192E-2</v>
      </c>
      <c r="CZ124" s="106">
        <f t="shared" si="186"/>
        <v>0.2022975144945971</v>
      </c>
      <c r="DA124" s="106">
        <v>0.05</v>
      </c>
      <c r="DB124" s="106">
        <v>-0.05</v>
      </c>
      <c r="DC124" s="453">
        <f t="shared" si="87"/>
        <v>6.0024751007447881</v>
      </c>
      <c r="DD124" s="11">
        <f t="shared" si="88"/>
        <v>293.24463519313304</v>
      </c>
      <c r="DE124" s="11">
        <f t="shared" si="89"/>
        <v>166.24330900243308</v>
      </c>
      <c r="DF124" s="11">
        <f t="shared" si="90"/>
        <v>194.34437086092714</v>
      </c>
      <c r="DG124" s="11">
        <f t="shared" si="91"/>
        <v>475.36585365853659</v>
      </c>
      <c r="DH124" s="11">
        <f t="shared" si="155"/>
        <v>785.2962962962963</v>
      </c>
      <c r="DI124" s="11">
        <f t="shared" si="151"/>
        <v>987.44827586206895</v>
      </c>
      <c r="DJ124" s="11">
        <f t="shared" si="92"/>
        <v>109.09293680297398</v>
      </c>
      <c r="DK124" s="11">
        <f t="shared" si="93"/>
        <v>274.50704225352115</v>
      </c>
      <c r="DL124" s="11">
        <f t="shared" si="156"/>
        <v>460.93478260869563</v>
      </c>
      <c r="DM124" s="11">
        <f t="shared" si="152"/>
        <v>596.58333333333337</v>
      </c>
    </row>
    <row r="125" spans="1:117" x14ac:dyDescent="0.25">
      <c r="A125" s="80">
        <v>44531</v>
      </c>
      <c r="B125" s="180">
        <v>119820</v>
      </c>
      <c r="C125" s="95">
        <v>2445</v>
      </c>
      <c r="D125" s="145">
        <f t="shared" si="160"/>
        <v>2.0405608412618927E-2</v>
      </c>
      <c r="E125" s="167">
        <v>116883</v>
      </c>
      <c r="F125" s="145">
        <f t="shared" si="161"/>
        <v>0.97548823234852278</v>
      </c>
      <c r="H125" s="107">
        <f t="shared" si="157"/>
        <v>4.1061592388582958E-3</v>
      </c>
      <c r="I125" s="147">
        <v>11226330</v>
      </c>
      <c r="J125" s="111">
        <f t="shared" si="196"/>
        <v>9006420.083333334</v>
      </c>
      <c r="K125" s="95">
        <f t="shared" si="173"/>
        <v>62116</v>
      </c>
      <c r="L125" s="95">
        <f t="shared" si="174"/>
        <v>48932.833333333336</v>
      </c>
      <c r="M125" s="95">
        <f t="shared" si="162"/>
        <v>316</v>
      </c>
      <c r="N125" s="95">
        <f t="shared" si="175"/>
        <v>334.41666666666669</v>
      </c>
      <c r="O125" s="95">
        <f t="shared" si="176"/>
        <v>206</v>
      </c>
      <c r="P125" s="95">
        <f t="shared" si="177"/>
        <v>190.25</v>
      </c>
      <c r="Q125" s="103">
        <v>30630</v>
      </c>
      <c r="R125" s="95">
        <f t="shared" si="187"/>
        <v>22441.75</v>
      </c>
      <c r="S125" s="161">
        <v>93</v>
      </c>
      <c r="T125" s="179">
        <f t="shared" si="48"/>
        <v>85.666666666666671</v>
      </c>
      <c r="U125" s="103">
        <v>71</v>
      </c>
      <c r="V125" s="179">
        <f t="shared" si="188"/>
        <v>57.25</v>
      </c>
      <c r="W125" s="103">
        <v>31486</v>
      </c>
      <c r="X125" s="95">
        <f t="shared" si="134"/>
        <v>26491.083333333332</v>
      </c>
      <c r="Y125" s="103">
        <v>223</v>
      </c>
      <c r="Z125" s="179">
        <f t="shared" si="50"/>
        <v>248.75</v>
      </c>
      <c r="AA125" s="103">
        <v>135</v>
      </c>
      <c r="AB125" s="179">
        <f t="shared" ref="AB125:AB141" si="210">AVERAGE(AA114:AA125)</f>
        <v>133</v>
      </c>
      <c r="AC125" s="103">
        <v>64750</v>
      </c>
      <c r="AD125" s="160">
        <v>17991</v>
      </c>
      <c r="AE125" s="9">
        <v>191</v>
      </c>
      <c r="AF125">
        <v>131</v>
      </c>
      <c r="AG125">
        <v>50</v>
      </c>
      <c r="AH125">
        <v>10</v>
      </c>
      <c r="AI125" s="102">
        <v>2.3599999999999999E-2</v>
      </c>
      <c r="AJ125" s="205">
        <v>0.24109999999999998</v>
      </c>
      <c r="AK125" s="111">
        <v>1607770</v>
      </c>
      <c r="AL125" s="101">
        <v>1411046</v>
      </c>
      <c r="AM125" s="101">
        <v>33721</v>
      </c>
      <c r="AN125" s="206">
        <v>13834.32</v>
      </c>
      <c r="AO125" s="905">
        <f t="shared" si="208"/>
        <v>3.0037420955913463E-3</v>
      </c>
      <c r="AP125" s="909">
        <f t="shared" si="209"/>
        <v>0.30037420955913463</v>
      </c>
      <c r="AQ125" s="148">
        <f t="shared" si="199"/>
        <v>257.41221374045801</v>
      </c>
      <c r="AR125" s="101">
        <f t="shared" si="200"/>
        <v>176.54973821989529</v>
      </c>
      <c r="AS125" s="146">
        <f t="shared" si="158"/>
        <v>2.0973771123979176E-2</v>
      </c>
      <c r="AT125" s="147">
        <f t="shared" si="189"/>
        <v>25.883347285723485</v>
      </c>
      <c r="AU125" s="149">
        <f t="shared" si="159"/>
        <v>8.2518932540874008</v>
      </c>
      <c r="AV125" s="101">
        <f t="shared" si="137"/>
        <v>12273.053435114503</v>
      </c>
      <c r="AW125" s="158">
        <f t="shared" si="138"/>
        <v>8417.6439790575914</v>
      </c>
      <c r="AX125" s="150">
        <f>AL125/AK125</f>
        <v>0.87764170248232021</v>
      </c>
      <c r="AY125" s="148">
        <f t="shared" si="165"/>
        <v>22.716304977783501</v>
      </c>
      <c r="AZ125" s="148">
        <f t="shared" si="201"/>
        <v>7.2422056442196405</v>
      </c>
      <c r="BA125" s="148">
        <f t="shared" si="202"/>
        <v>10771.343511450381</v>
      </c>
      <c r="BB125" s="101">
        <f t="shared" si="203"/>
        <v>7387.6753926701567</v>
      </c>
      <c r="BC125" s="95">
        <f t="shared" si="204"/>
        <v>474.16793893129773</v>
      </c>
      <c r="BD125" s="95">
        <f t="shared" si="205"/>
        <v>325.21465968586386</v>
      </c>
      <c r="BE125" s="148">
        <f t="shared" si="167"/>
        <v>180.73169553738168</v>
      </c>
      <c r="BF125" s="118">
        <f t="shared" si="124"/>
        <v>85697.175572519089</v>
      </c>
      <c r="BG125" s="148">
        <f t="shared" si="125"/>
        <v>811.48404836667078</v>
      </c>
      <c r="BH125" s="148">
        <f t="shared" si="197"/>
        <v>35526.360759493669</v>
      </c>
      <c r="BI125" s="158">
        <f t="shared" si="198"/>
        <v>54496.747572815533</v>
      </c>
      <c r="BJ125" s="80">
        <f t="shared" si="193"/>
        <v>44531</v>
      </c>
      <c r="BK125" s="95">
        <f t="shared" si="139"/>
        <v>58583.583333333336</v>
      </c>
      <c r="BL125" s="95">
        <f t="shared" si="140"/>
        <v>22355.333333333332</v>
      </c>
      <c r="BM125" s="95">
        <f t="shared" si="141"/>
        <v>103447</v>
      </c>
      <c r="BN125" s="95">
        <f t="shared" si="206"/>
        <v>105.6054961832061</v>
      </c>
      <c r="BO125" s="134">
        <f t="shared" si="207"/>
        <v>101.99605040218819</v>
      </c>
      <c r="BP125" s="118">
        <f t="shared" si="142"/>
        <v>879.1033685867252</v>
      </c>
      <c r="BQ125" s="115">
        <f t="shared" si="143"/>
        <v>9816.6682500000006</v>
      </c>
      <c r="BR125" s="118">
        <f t="shared" si="144"/>
        <v>175.29262400035006</v>
      </c>
      <c r="BS125" s="118">
        <f t="shared" si="185"/>
        <v>13954.92653080952</v>
      </c>
      <c r="BT125" s="80">
        <f t="shared" si="179"/>
        <v>44531</v>
      </c>
      <c r="BU125" s="118">
        <f t="shared" si="180"/>
        <v>139.45344824156518</v>
      </c>
      <c r="BV125" s="1539">
        <f t="shared" si="131"/>
        <v>3.3297982116337406E-3</v>
      </c>
      <c r="BW125" s="11">
        <f t="shared" si="145"/>
        <v>97.916666666666671</v>
      </c>
      <c r="BX125" s="118">
        <f t="shared" si="146"/>
        <v>47143.435962677497</v>
      </c>
      <c r="BY125" s="118">
        <f t="shared" si="147"/>
        <v>26736.110122208574</v>
      </c>
      <c r="BZ125" s="96">
        <f t="shared" si="178"/>
        <v>0.97168896335306376</v>
      </c>
      <c r="CA125" s="102">
        <f t="shared" si="148"/>
        <v>1.8179643701046733E-2</v>
      </c>
      <c r="CB125" s="102">
        <f t="shared" si="149"/>
        <v>1.0131392945889522E-2</v>
      </c>
      <c r="CC125" s="155">
        <f t="shared" si="181"/>
        <v>6.982547254893424</v>
      </c>
      <c r="CD125">
        <v>141</v>
      </c>
      <c r="CE125">
        <v>96</v>
      </c>
      <c r="CF125">
        <v>36</v>
      </c>
      <c r="CG125">
        <v>26</v>
      </c>
      <c r="CH125" s="118">
        <f t="shared" si="154"/>
        <v>58776.596858638746</v>
      </c>
      <c r="CI125">
        <v>1</v>
      </c>
      <c r="CJ125" s="11">
        <f t="shared" si="194"/>
        <v>4.083333333333333</v>
      </c>
      <c r="CK125" s="233">
        <f t="shared" si="195"/>
        <v>6.5737222830403324E-5</v>
      </c>
      <c r="CM125" s="1779"/>
      <c r="CN125" s="1779"/>
      <c r="CO125" s="1779"/>
      <c r="CP125" s="1779"/>
      <c r="CQ125" s="1344">
        <f t="shared" si="113"/>
        <v>3.3297982116337406E-3</v>
      </c>
      <c r="CR125" s="155">
        <f t="shared" si="114"/>
        <v>0.33297982116337405</v>
      </c>
      <c r="CS125" s="137">
        <f t="shared" si="82"/>
        <v>116.21604820475456</v>
      </c>
      <c r="CT125" s="84">
        <f t="shared" si="83"/>
        <v>0.87764170248232021</v>
      </c>
      <c r="CU125" s="84">
        <f t="shared" si="84"/>
        <v>1.0435745571370132</v>
      </c>
      <c r="CV125" s="84">
        <f t="shared" si="85"/>
        <v>1.0435745571370132</v>
      </c>
      <c r="CW125" s="84">
        <f t="shared" si="86"/>
        <v>0.14321421159007441</v>
      </c>
      <c r="CX125" s="84">
        <f t="shared" si="102"/>
        <v>0.11024160555784099</v>
      </c>
      <c r="CY125" s="106">
        <f t="shared" si="182"/>
        <v>-0.12235829751767979</v>
      </c>
      <c r="CZ125" s="106">
        <f t="shared" si="186"/>
        <v>1.4007956917985176E-2</v>
      </c>
      <c r="DA125" s="106">
        <v>0.05</v>
      </c>
      <c r="DB125" s="106">
        <v>-0.05</v>
      </c>
      <c r="DC125" s="453">
        <f t="shared" si="87"/>
        <v>4.4899930029087081</v>
      </c>
      <c r="DD125" s="11">
        <f t="shared" si="88"/>
        <v>301.53398058252429</v>
      </c>
      <c r="DE125" s="11">
        <f t="shared" si="89"/>
        <v>196.56962025316454</v>
      </c>
      <c r="DF125" s="11">
        <f t="shared" si="90"/>
        <v>233.22962962962964</v>
      </c>
      <c r="DG125" s="11">
        <f t="shared" si="91"/>
        <v>431.40845070422534</v>
      </c>
      <c r="DH125" s="11">
        <f t="shared" si="155"/>
        <v>674.47916666666663</v>
      </c>
      <c r="DI125" s="11">
        <f t="shared" si="151"/>
        <v>691.96153846153845</v>
      </c>
      <c r="DJ125" s="11">
        <f t="shared" si="92"/>
        <v>141.19282511210761</v>
      </c>
      <c r="DK125" s="11">
        <f t="shared" si="93"/>
        <v>329.35483870967744</v>
      </c>
      <c r="DL125" s="11">
        <f t="shared" si="156"/>
        <v>459.21985815602835</v>
      </c>
      <c r="DM125" s="11">
        <f t="shared" si="152"/>
        <v>499.75</v>
      </c>
    </row>
    <row r="126" spans="1:117" s="31" customFormat="1" x14ac:dyDescent="0.25">
      <c r="A126" s="738">
        <v>44562</v>
      </c>
      <c r="B126" s="761">
        <v>91133</v>
      </c>
      <c r="C126" s="740">
        <v>1878</v>
      </c>
      <c r="D126" s="762">
        <f t="shared" si="160"/>
        <v>2.0607244357148342E-2</v>
      </c>
      <c r="E126" s="763">
        <v>88946</v>
      </c>
      <c r="F126" s="762">
        <f t="shared" si="161"/>
        <v>0.9760021068109247</v>
      </c>
      <c r="H126" s="764">
        <f t="shared" si="157"/>
        <v>3.3906488319269609E-3</v>
      </c>
      <c r="I126" s="765">
        <v>9733117</v>
      </c>
      <c r="J126" s="745">
        <f t="shared" si="196"/>
        <v>9414168.666666666</v>
      </c>
      <c r="K126" s="740">
        <f t="shared" si="173"/>
        <v>42762</v>
      </c>
      <c r="L126" s="740">
        <f t="shared" si="174"/>
        <v>49701.166666666664</v>
      </c>
      <c r="M126" s="740">
        <f t="shared" si="162"/>
        <v>310</v>
      </c>
      <c r="N126" s="740">
        <f t="shared" si="175"/>
        <v>336.75</v>
      </c>
      <c r="O126" s="740">
        <f t="shared" si="176"/>
        <v>191</v>
      </c>
      <c r="P126" s="740">
        <f t="shared" si="177"/>
        <v>191.66666666666666</v>
      </c>
      <c r="Q126" s="746">
        <v>19268</v>
      </c>
      <c r="R126" s="740">
        <f t="shared" si="187"/>
        <v>23009.833333333332</v>
      </c>
      <c r="S126" s="747">
        <v>90</v>
      </c>
      <c r="T126" s="748">
        <f t="shared" si="48"/>
        <v>88.583333333333329</v>
      </c>
      <c r="U126" s="746">
        <v>60</v>
      </c>
      <c r="V126" s="748">
        <f t="shared" si="188"/>
        <v>58.75</v>
      </c>
      <c r="W126" s="746">
        <v>23494</v>
      </c>
      <c r="X126" s="740">
        <f t="shared" si="134"/>
        <v>26691.333333333332</v>
      </c>
      <c r="Y126" s="746">
        <v>220</v>
      </c>
      <c r="Z126" s="748">
        <f t="shared" si="50"/>
        <v>248.16666666666666</v>
      </c>
      <c r="AA126" s="746">
        <v>131</v>
      </c>
      <c r="AB126" s="748">
        <f t="shared" si="210"/>
        <v>132.91666666666666</v>
      </c>
      <c r="AC126" s="746">
        <v>56660</v>
      </c>
      <c r="AD126" s="766">
        <v>21366</v>
      </c>
      <c r="AE126" s="649">
        <v>200</v>
      </c>
      <c r="AF126" s="31">
        <v>139</v>
      </c>
      <c r="AG126" s="31">
        <v>52</v>
      </c>
      <c r="AH126" s="31">
        <v>9</v>
      </c>
      <c r="AI126" s="749">
        <v>4.2300000000000004E-2</v>
      </c>
      <c r="AJ126" s="767">
        <v>0.15659999999999999</v>
      </c>
      <c r="AK126" s="745">
        <v>1319071</v>
      </c>
      <c r="AL126" s="751">
        <v>1353860</v>
      </c>
      <c r="AM126" s="751">
        <v>47884</v>
      </c>
      <c r="AN126" s="768">
        <v>10828.633</v>
      </c>
      <c r="AO126" s="1310">
        <f t="shared" si="208"/>
        <v>4.9196983864470143E-3</v>
      </c>
      <c r="AP126" s="1311">
        <f t="shared" si="209"/>
        <v>0.49196983864470145</v>
      </c>
      <c r="AQ126" s="769">
        <f t="shared" si="199"/>
        <v>344.48920863309354</v>
      </c>
      <c r="AR126" s="751">
        <f t="shared" si="200"/>
        <v>239.42</v>
      </c>
      <c r="AS126" s="770">
        <f t="shared" si="158"/>
        <v>3.6301305994900959E-2</v>
      </c>
      <c r="AT126" s="765">
        <f t="shared" si="189"/>
        <v>30.846803236518404</v>
      </c>
      <c r="AU126" s="771">
        <f t="shared" si="159"/>
        <v>7.6905427643165982</v>
      </c>
      <c r="AV126" s="751">
        <f t="shared" si="137"/>
        <v>9489.7194244604325</v>
      </c>
      <c r="AW126" s="772">
        <f t="shared" si="138"/>
        <v>6595.3549999999996</v>
      </c>
      <c r="AX126" s="773">
        <f t="shared" si="164"/>
        <v>1.026373864636551</v>
      </c>
      <c r="AY126" s="769">
        <f t="shared" si="165"/>
        <v>31.660352649548663</v>
      </c>
      <c r="AZ126" s="769">
        <f t="shared" si="201"/>
        <v>7.8933720981642912</v>
      </c>
      <c r="BA126" s="769">
        <f t="shared" si="202"/>
        <v>9740</v>
      </c>
      <c r="BB126" s="751">
        <f t="shared" si="203"/>
        <v>6769.3</v>
      </c>
      <c r="BC126" s="740">
        <f t="shared" si="204"/>
        <v>307.64028776978415</v>
      </c>
      <c r="BD126" s="740">
        <f t="shared" si="205"/>
        <v>213.81</v>
      </c>
      <c r="BE126" s="769">
        <f t="shared" si="167"/>
        <v>227.61136055376269</v>
      </c>
      <c r="BF126" s="756">
        <f t="shared" si="124"/>
        <v>70022.424460431648</v>
      </c>
      <c r="BG126" s="769">
        <f t="shared" si="125"/>
        <v>898.83155149869799</v>
      </c>
      <c r="BH126" s="769">
        <f t="shared" si="197"/>
        <v>31397.151612903224</v>
      </c>
      <c r="BI126" s="772">
        <f t="shared" si="198"/>
        <v>50958.727748691097</v>
      </c>
      <c r="BJ126" s="738">
        <f t="shared" si="193"/>
        <v>44562</v>
      </c>
      <c r="BK126" s="740">
        <f t="shared" ref="BK126" si="211">AVERAGE(AC115:AC126)</f>
        <v>60440.416666666664</v>
      </c>
      <c r="BL126" s="740">
        <f t="shared" ref="BL126" si="212">AVERAGE(AD115:AD126)</f>
        <v>22370.666666666668</v>
      </c>
      <c r="BM126" s="740">
        <f t="shared" ref="BM126" si="213">AVERAGE(B115:B126)</f>
        <v>104622.91666666667</v>
      </c>
      <c r="BN126" s="740">
        <f t="shared" si="206"/>
        <v>77.903834532374105</v>
      </c>
      <c r="BO126" s="745">
        <f t="shared" si="207"/>
        <v>125.02593817705338</v>
      </c>
      <c r="BP126" s="756">
        <f t="shared" ref="BP126" si="214">AVERAGE(BG115:BG126)</f>
        <v>901.37754015385747</v>
      </c>
      <c r="BQ126" s="757">
        <f t="shared" ref="BQ126" si="215">AVERAGE(AN115:AN126)</f>
        <v>10080.387666666667</v>
      </c>
      <c r="BR126" s="756">
        <f t="shared" ref="BR126" si="216">AVERAGE(BE115:BE126)</f>
        <v>182.23517924376208</v>
      </c>
      <c r="BS126" s="756">
        <f t="shared" ref="BS126" si="217">AVERAGE(BA115:BA126)</f>
        <v>13691.310677150983</v>
      </c>
      <c r="BT126" s="738">
        <f t="shared" si="179"/>
        <v>44562</v>
      </c>
      <c r="BU126" s="756">
        <f t="shared" ref="BU126" si="218">AVERAGE(BO115:BO126)</f>
        <v>138.36742691011227</v>
      </c>
      <c r="BV126" s="1540">
        <f t="shared" ref="BV126" si="219">AVERAGE(AO115:AO126)</f>
        <v>3.5454947093957745E-3</v>
      </c>
      <c r="BW126" s="759">
        <f t="shared" ref="BW126" si="220">AVERAGE(AF115:AF126)</f>
        <v>102.66666666666667</v>
      </c>
      <c r="BX126" s="756">
        <f t="shared" ref="BX126" si="221">AVERAGE(BI115:BI126)</f>
        <v>49071.924769321304</v>
      </c>
      <c r="BY126" s="756">
        <f t="shared" ref="BY126" si="222">AVERAGE(BH115:BH126)</f>
        <v>27922.239777893774</v>
      </c>
      <c r="BZ126" s="741">
        <f t="shared" ref="BZ126" si="223">AVERAGE(F115:F126)</f>
        <v>0.97188115332345204</v>
      </c>
      <c r="CA126" s="749">
        <f t="shared" ref="CA126" si="224">AVERAGE(D115:D126)</f>
        <v>1.8440620191396112E-2</v>
      </c>
      <c r="CB126" s="749">
        <f t="shared" ref="CB126" si="225">AVERAGE(H115:H126)</f>
        <v>9.678226485151771E-3</v>
      </c>
      <c r="CC126" s="752">
        <f t="shared" si="181"/>
        <v>7.378766571321786</v>
      </c>
      <c r="CD126" s="31">
        <v>124</v>
      </c>
      <c r="CE126" s="31">
        <v>90</v>
      </c>
      <c r="CF126" s="31">
        <v>41</v>
      </c>
      <c r="CG126" s="31">
        <v>23</v>
      </c>
      <c r="CH126" s="756">
        <f t="shared" si="154"/>
        <v>48665.584999999999</v>
      </c>
      <c r="CI126" s="31">
        <v>1</v>
      </c>
      <c r="CJ126" s="11">
        <f t="shared" si="194"/>
        <v>3.8333333333333335</v>
      </c>
      <c r="CK126" s="233">
        <f t="shared" si="195"/>
        <v>8.9643452909904441E-5</v>
      </c>
      <c r="CM126" s="1779"/>
      <c r="CN126" s="1779"/>
      <c r="CO126" s="1779"/>
      <c r="CP126" s="1779"/>
      <c r="CQ126" s="1344">
        <f t="shared" si="113"/>
        <v>3.5454947093957745E-3</v>
      </c>
      <c r="CR126" s="155">
        <f t="shared" si="114"/>
        <v>0.3545494709395775</v>
      </c>
      <c r="CS126" s="137">
        <f t="shared" si="82"/>
        <v>121.81325195894995</v>
      </c>
      <c r="CT126" s="84">
        <f t="shared" si="83"/>
        <v>1.026373864636551</v>
      </c>
      <c r="CU126" s="84">
        <f t="shared" si="84"/>
        <v>0.87764170248232021</v>
      </c>
      <c r="CV126" s="84">
        <f t="shared" si="85"/>
        <v>0.87764170248232021</v>
      </c>
      <c r="CW126" s="84">
        <f t="shared" si="86"/>
        <v>0.13552400531093997</v>
      </c>
      <c r="CX126" s="84">
        <f t="shared" si="102"/>
        <v>0.13542547348148271</v>
      </c>
      <c r="CY126" s="106">
        <f t="shared" si="182"/>
        <v>2.6373864636551003E-2</v>
      </c>
      <c r="CZ126" s="106">
        <f t="shared" si="186"/>
        <v>-1.8283676497739987E-2</v>
      </c>
      <c r="DA126" s="106">
        <v>0.05</v>
      </c>
      <c r="DB126" s="106">
        <v>-0.05</v>
      </c>
      <c r="DC126" s="453">
        <f t="shared" si="87"/>
        <v>3.9489749075437315</v>
      </c>
      <c r="DD126" s="11">
        <f t="shared" si="88"/>
        <v>223.88481675392671</v>
      </c>
      <c r="DE126" s="11">
        <f t="shared" si="89"/>
        <v>137.94193548387096</v>
      </c>
      <c r="DF126" s="11">
        <f t="shared" si="90"/>
        <v>179.34351145038167</v>
      </c>
      <c r="DG126" s="11">
        <f t="shared" si="91"/>
        <v>321.13333333333333</v>
      </c>
      <c r="DH126" s="11">
        <f t="shared" si="155"/>
        <v>629.55555555555554</v>
      </c>
      <c r="DI126" s="11">
        <f t="shared" si="151"/>
        <v>928.95652173913038</v>
      </c>
      <c r="DJ126" s="11">
        <f t="shared" si="92"/>
        <v>106.7909090909091</v>
      </c>
      <c r="DK126" s="11">
        <f t="shared" si="93"/>
        <v>214.0888888888889</v>
      </c>
      <c r="DL126" s="11">
        <f t="shared" si="156"/>
        <v>456.93548387096774</v>
      </c>
      <c r="DM126" s="11">
        <f t="shared" si="152"/>
        <v>521.1219512195122</v>
      </c>
    </row>
    <row r="127" spans="1:117" x14ac:dyDescent="0.25">
      <c r="A127" s="80">
        <v>44593</v>
      </c>
      <c r="B127" s="180">
        <v>118125</v>
      </c>
      <c r="C127" s="95">
        <v>2882</v>
      </c>
      <c r="D127" s="145">
        <f t="shared" si="160"/>
        <v>2.4397883597883599E-2</v>
      </c>
      <c r="E127" s="167">
        <v>114625</v>
      </c>
      <c r="F127" s="145">
        <f t="shared" si="161"/>
        <v>0.97037037037037033</v>
      </c>
      <c r="H127" s="107">
        <f t="shared" si="157"/>
        <v>5.2317460317460734E-3</v>
      </c>
      <c r="I127" s="147">
        <v>10406780</v>
      </c>
      <c r="J127" s="111">
        <f t="shared" si="196"/>
        <v>9898055.083333334</v>
      </c>
      <c r="K127" s="95">
        <f t="shared" si="173"/>
        <v>52184</v>
      </c>
      <c r="L127" s="95">
        <f t="shared" si="174"/>
        <v>51426.416666666664</v>
      </c>
      <c r="M127" s="95">
        <f t="shared" si="162"/>
        <v>369</v>
      </c>
      <c r="N127" s="95">
        <f t="shared" si="175"/>
        <v>340.91666666666669</v>
      </c>
      <c r="O127" s="95">
        <f t="shared" si="176"/>
        <v>220</v>
      </c>
      <c r="P127" s="95">
        <f t="shared" si="177"/>
        <v>193.66666666666666</v>
      </c>
      <c r="Q127" s="103">
        <v>21795</v>
      </c>
      <c r="R127" s="95">
        <f t="shared" si="187"/>
        <v>23957.083333333332</v>
      </c>
      <c r="S127" s="161">
        <v>108</v>
      </c>
      <c r="T127" s="179">
        <f t="shared" si="48"/>
        <v>91.583333333333329</v>
      </c>
      <c r="U127" s="103">
        <v>77</v>
      </c>
      <c r="V127" s="179">
        <f t="shared" si="188"/>
        <v>60.916666666666664</v>
      </c>
      <c r="W127" s="103">
        <v>30389</v>
      </c>
      <c r="X127" s="95">
        <f t="shared" si="134"/>
        <v>27469.333333333332</v>
      </c>
      <c r="Y127" s="103">
        <v>261</v>
      </c>
      <c r="Z127" s="179">
        <f t="shared" si="50"/>
        <v>249.33333333333334</v>
      </c>
      <c r="AA127" s="103">
        <v>143</v>
      </c>
      <c r="AB127" s="179">
        <f t="shared" si="210"/>
        <v>132.75</v>
      </c>
      <c r="AC127" s="103">
        <v>58263</v>
      </c>
      <c r="AD127" s="160">
        <v>28277</v>
      </c>
      <c r="AE127" s="9">
        <v>199</v>
      </c>
      <c r="AF127">
        <v>135</v>
      </c>
      <c r="AG127">
        <v>54</v>
      </c>
      <c r="AH127">
        <v>10</v>
      </c>
      <c r="AI127" s="102">
        <v>3.0600000000000002E-2</v>
      </c>
      <c r="AJ127" s="205">
        <v>4.2099999999999999E-2</v>
      </c>
      <c r="AK127" s="111">
        <v>1803505</v>
      </c>
      <c r="AL127" s="101">
        <v>1465793</v>
      </c>
      <c r="AM127" s="101">
        <v>79169</v>
      </c>
      <c r="AN127" s="206">
        <v>12449</v>
      </c>
      <c r="AO127" s="905">
        <f t="shared" si="208"/>
        <v>7.6074443776076748E-3</v>
      </c>
      <c r="AP127" s="909">
        <f t="shared" si="209"/>
        <v>0.7607444377607675</v>
      </c>
      <c r="AQ127" s="148">
        <f t="shared" si="199"/>
        <v>586.43703703703704</v>
      </c>
      <c r="AR127" s="101">
        <f t="shared" si="200"/>
        <v>397.83417085427135</v>
      </c>
      <c r="AS127" s="146">
        <f t="shared" si="158"/>
        <v>4.3897299979761634E-2</v>
      </c>
      <c r="AT127" s="147">
        <f t="shared" si="189"/>
        <v>34.56049747048904</v>
      </c>
      <c r="AU127" s="149">
        <f t="shared" si="159"/>
        <v>9.4289082677206526</v>
      </c>
      <c r="AV127" s="101">
        <f t="shared" si="137"/>
        <v>13359.296296296296</v>
      </c>
      <c r="AW127" s="158">
        <f t="shared" si="138"/>
        <v>9062.8391959798992</v>
      </c>
      <c r="AX127" s="150">
        <f t="shared" si="164"/>
        <v>0.8127468457254069</v>
      </c>
      <c r="AY127" s="148">
        <f t="shared" si="165"/>
        <v>28.08893530584087</v>
      </c>
      <c r="AZ127" s="148">
        <f t="shared" si="201"/>
        <v>7.663315453224171</v>
      </c>
      <c r="BA127" s="148">
        <f t="shared" si="202"/>
        <v>10857.725925925926</v>
      </c>
      <c r="BB127" s="101">
        <f t="shared" si="203"/>
        <v>7365.7939698492464</v>
      </c>
      <c r="BC127" s="95">
        <f t="shared" si="204"/>
        <v>386.54814814814813</v>
      </c>
      <c r="BD127" s="95">
        <f t="shared" si="205"/>
        <v>262.23115577889445</v>
      </c>
      <c r="BE127" s="148">
        <f t="shared" si="167"/>
        <v>199.42472788594205</v>
      </c>
      <c r="BF127" s="118">
        <f t="shared" si="124"/>
        <v>77087.259259259255</v>
      </c>
      <c r="BG127" s="148">
        <f t="shared" si="125"/>
        <v>835.95308860149407</v>
      </c>
      <c r="BH127" s="148">
        <f t="shared" si="197"/>
        <v>28202.655826558264</v>
      </c>
      <c r="BI127" s="158">
        <f t="shared" si="198"/>
        <v>47303.545454545456</v>
      </c>
      <c r="BJ127" s="80">
        <f t="shared" si="193"/>
        <v>44593</v>
      </c>
      <c r="BK127" s="95">
        <f t="shared" ref="BK127" si="226">AVERAGE(AC116:AC127)</f>
        <v>61895.666666666664</v>
      </c>
      <c r="BL127" s="95">
        <f t="shared" ref="BL127" si="227">AVERAGE(AD116:AD127)</f>
        <v>23165.083333333332</v>
      </c>
      <c r="BM127" s="95">
        <f t="shared" ref="BM127" si="228">AVERAGE(B116:B127)</f>
        <v>108137.58333333333</v>
      </c>
      <c r="BN127" s="95">
        <f t="shared" si="206"/>
        <v>92.214814814814815</v>
      </c>
      <c r="BO127" s="134">
        <f t="shared" ref="BO127:BO132" si="229">AL127/AN127</f>
        <v>117.74383484617238</v>
      </c>
      <c r="BP127" s="118">
        <f t="shared" ref="BP127" si="230">AVERAGE(BG116:BG127)</f>
        <v>918.8276511194457</v>
      </c>
      <c r="BQ127" s="115">
        <f t="shared" ref="BQ127" si="231">AVERAGE(AN116:AN127)</f>
        <v>10505.971</v>
      </c>
      <c r="BR127" s="118">
        <f t="shared" ref="BR127" si="232">AVERAGE(BE116:BE127)</f>
        <v>186.67687121293224</v>
      </c>
      <c r="BS127" s="118">
        <f t="shared" ref="BS127" si="233">AVERAGE(BA116:BA127)</f>
        <v>13530.126512858486</v>
      </c>
      <c r="BT127" s="80">
        <f t="shared" si="179"/>
        <v>44593</v>
      </c>
      <c r="BU127" s="118">
        <f t="shared" ref="BU127" si="234">AVERAGE(BO116:BO127)</f>
        <v>136.85449032880604</v>
      </c>
      <c r="BV127" s="1539">
        <f t="shared" ref="BV127" si="235">AVERAGE(AO116:AO127)</f>
        <v>3.5899920942513708E-3</v>
      </c>
      <c r="BW127" s="11">
        <f t="shared" ref="BW127" si="236">AVERAGE(AF116:AF127)</f>
        <v>107.41666666666667</v>
      </c>
      <c r="BX127" s="118">
        <f t="shared" ref="BX127" si="237">AVERAGE(BI116:BI127)</f>
        <v>51058.04377828852</v>
      </c>
      <c r="BY127" s="118">
        <f t="shared" ref="BY127" si="238">AVERAGE(BH116:BH127)</f>
        <v>29070.751849124721</v>
      </c>
      <c r="BZ127" s="96">
        <f t="shared" ref="BZ127" si="239">AVERAGE(F116:F127)</f>
        <v>0.97111381741301572</v>
      </c>
      <c r="CA127" s="102">
        <f t="shared" ref="CA127" si="240">AVERAGE(D116:D127)</f>
        <v>1.9264632424797978E-2</v>
      </c>
      <c r="CB127" s="102">
        <f t="shared" ref="CB127" si="241">AVERAGE(H116:H127)</f>
        <v>9.621550162186231E-3</v>
      </c>
      <c r="CC127" s="155">
        <f t="shared" ref="CC127:CC141" si="242">I127/AK127</f>
        <v>5.7703083717538908</v>
      </c>
      <c r="CD127">
        <v>151</v>
      </c>
      <c r="CE127">
        <v>100</v>
      </c>
      <c r="CF127">
        <v>57</v>
      </c>
      <c r="CG127">
        <v>28</v>
      </c>
      <c r="CH127" s="118">
        <f t="shared" si="154"/>
        <v>52295.376884422112</v>
      </c>
      <c r="CI127">
        <v>2</v>
      </c>
      <c r="CJ127" s="11">
        <f t="shared" si="194"/>
        <v>3.8333333333333335</v>
      </c>
      <c r="CK127" s="233">
        <f t="shared" si="195"/>
        <v>7.3458020338290162E-5</v>
      </c>
      <c r="CM127" s="1779"/>
      <c r="CN127" s="1779"/>
      <c r="CO127" s="1779"/>
      <c r="CP127" s="1779"/>
      <c r="CQ127" s="1344">
        <f t="shared" si="113"/>
        <v>3.5899920942513708E-3</v>
      </c>
      <c r="CR127" s="155">
        <f t="shared" si="114"/>
        <v>0.35899920942513702</v>
      </c>
      <c r="CS127" s="137">
        <f t="shared" si="82"/>
        <v>144.87147562053178</v>
      </c>
      <c r="CT127" s="84">
        <f t="shared" si="83"/>
        <v>0.81274684572540679</v>
      </c>
      <c r="CU127" s="84">
        <f t="shared" si="84"/>
        <v>1.026373864636551</v>
      </c>
      <c r="CV127" s="84">
        <f t="shared" si="85"/>
        <v>1.0263738646365512</v>
      </c>
      <c r="CW127" s="84">
        <f t="shared" si="86"/>
        <v>0.17330096341039208</v>
      </c>
      <c r="CX127" s="84">
        <f t="shared" si="102"/>
        <v>0.14919180429319726</v>
      </c>
      <c r="CY127" s="106">
        <f t="shared" si="182"/>
        <v>-0.1872531542745931</v>
      </c>
      <c r="CZ127" s="106">
        <f t="shared" si="186"/>
        <v>-0.10562588867706502</v>
      </c>
      <c r="DA127" s="106">
        <v>0.05</v>
      </c>
      <c r="DB127" s="106">
        <v>-0.05</v>
      </c>
      <c r="DC127" s="453">
        <f t="shared" si="87"/>
        <v>4.191822636356334</v>
      </c>
      <c r="DD127" s="11">
        <f t="shared" si="88"/>
        <v>237.2</v>
      </c>
      <c r="DE127" s="11">
        <f t="shared" si="89"/>
        <v>141.42005420054201</v>
      </c>
      <c r="DF127" s="11">
        <f t="shared" si="90"/>
        <v>212.51048951048952</v>
      </c>
      <c r="DG127" s="11">
        <f t="shared" si="91"/>
        <v>283.05194805194805</v>
      </c>
      <c r="DH127" s="11">
        <f t="shared" si="155"/>
        <v>582.63</v>
      </c>
      <c r="DI127" s="11">
        <f t="shared" si="151"/>
        <v>1009.8928571428571</v>
      </c>
      <c r="DJ127" s="11">
        <f t="shared" si="92"/>
        <v>116.43295019157088</v>
      </c>
      <c r="DK127" s="11">
        <f t="shared" si="93"/>
        <v>201.80555555555554</v>
      </c>
      <c r="DL127" s="11">
        <f t="shared" si="156"/>
        <v>385.84768211920527</v>
      </c>
      <c r="DM127" s="11">
        <f t="shared" si="152"/>
        <v>496.08771929824559</v>
      </c>
    </row>
    <row r="128" spans="1:117" x14ac:dyDescent="0.25">
      <c r="A128" s="80">
        <v>44621</v>
      </c>
      <c r="B128" s="180">
        <v>142262</v>
      </c>
      <c r="C128" s="95">
        <v>2903</v>
      </c>
      <c r="D128" s="145">
        <f t="shared" si="160"/>
        <v>2.0406011443674349E-2</v>
      </c>
      <c r="E128" s="167">
        <v>138181</v>
      </c>
      <c r="F128" s="145">
        <f t="shared" si="161"/>
        <v>0.97131349200770412</v>
      </c>
      <c r="H128" s="107">
        <f t="shared" si="157"/>
        <v>8.2804965486215354E-3</v>
      </c>
      <c r="I128" s="147">
        <v>10658832</v>
      </c>
      <c r="J128" s="111">
        <f t="shared" si="196"/>
        <v>10322290.083333334</v>
      </c>
      <c r="K128" s="95">
        <f t="shared" si="173"/>
        <v>65948</v>
      </c>
      <c r="L128" s="95">
        <f t="shared" si="174"/>
        <v>52711.083333333336</v>
      </c>
      <c r="M128" s="95">
        <f t="shared" si="162"/>
        <v>342</v>
      </c>
      <c r="N128" s="95">
        <f t="shared" si="175"/>
        <v>340.83333333333331</v>
      </c>
      <c r="O128" s="95">
        <f t="shared" si="176"/>
        <v>181</v>
      </c>
      <c r="P128" s="95">
        <f t="shared" si="177"/>
        <v>192.08333333333334</v>
      </c>
      <c r="Q128" s="103">
        <v>29526</v>
      </c>
      <c r="R128" s="95">
        <f t="shared" si="187"/>
        <v>24766.5</v>
      </c>
      <c r="S128" s="161">
        <v>98</v>
      </c>
      <c r="T128" s="179">
        <f t="shared" si="48"/>
        <v>93.5</v>
      </c>
      <c r="U128" s="103">
        <v>66</v>
      </c>
      <c r="V128" s="179">
        <f t="shared" si="188"/>
        <v>62.333333333333336</v>
      </c>
      <c r="W128" s="103">
        <v>36422</v>
      </c>
      <c r="X128" s="95">
        <f t="shared" si="134"/>
        <v>27944.583333333332</v>
      </c>
      <c r="Y128" s="103">
        <v>244</v>
      </c>
      <c r="Z128" s="179">
        <f t="shared" si="50"/>
        <v>247.33333333333334</v>
      </c>
      <c r="AA128" s="103">
        <v>115</v>
      </c>
      <c r="AB128" s="179">
        <f t="shared" si="210"/>
        <v>129.75</v>
      </c>
      <c r="AC128" s="103">
        <v>75368</v>
      </c>
      <c r="AD128" s="160">
        <v>32072</v>
      </c>
      <c r="AE128" s="9">
        <v>193</v>
      </c>
      <c r="AF128">
        <v>128</v>
      </c>
      <c r="AG128">
        <v>56</v>
      </c>
      <c r="AH128">
        <v>9</v>
      </c>
      <c r="AI128" s="102">
        <v>3.1400000000000004E-2</v>
      </c>
      <c r="AJ128" s="205">
        <v>2.4E-2</v>
      </c>
      <c r="AK128" s="111">
        <v>1430112</v>
      </c>
      <c r="AL128" s="101">
        <v>1604985</v>
      </c>
      <c r="AM128" s="101">
        <v>-9607</v>
      </c>
      <c r="AN128" s="206">
        <v>14185</v>
      </c>
      <c r="AO128" s="905">
        <f t="shared" si="208"/>
        <v>-9.0131826826804289E-4</v>
      </c>
      <c r="AP128" s="909">
        <f t="shared" si="209"/>
        <v>-9.013182682680429E-2</v>
      </c>
      <c r="AQ128" s="148">
        <f t="shared" si="199"/>
        <v>-75.0546875</v>
      </c>
      <c r="AR128" s="101">
        <f t="shared" si="200"/>
        <v>-49.777202072538863</v>
      </c>
      <c r="AS128" s="146">
        <f t="shared" si="158"/>
        <v>-6.7176556801145648E-3</v>
      </c>
      <c r="AT128" s="147">
        <f t="shared" si="189"/>
        <v>21.685449141748045</v>
      </c>
      <c r="AU128" s="149">
        <f t="shared" si="159"/>
        <v>6.2957540005722965</v>
      </c>
      <c r="AV128" s="101">
        <f t="shared" si="137"/>
        <v>11172.75</v>
      </c>
      <c r="AW128" s="158">
        <f t="shared" si="138"/>
        <v>7409.9067357512949</v>
      </c>
      <c r="AX128" s="150">
        <f t="shared" si="164"/>
        <v>1.1222792340739747</v>
      </c>
      <c r="AY128" s="148">
        <f t="shared" si="165"/>
        <v>24.337129253351126</v>
      </c>
      <c r="AZ128" s="148">
        <f t="shared" si="201"/>
        <v>7.0655939776804386</v>
      </c>
      <c r="BA128" s="148">
        <f t="shared" si="202"/>
        <v>12538.9453125</v>
      </c>
      <c r="BB128" s="101">
        <f t="shared" si="203"/>
        <v>8315.984455958549</v>
      </c>
      <c r="BC128" s="95">
        <f t="shared" si="204"/>
        <v>515.21875</v>
      </c>
      <c r="BD128" s="95">
        <f t="shared" si="205"/>
        <v>341.69948186528495</v>
      </c>
      <c r="BE128" s="148">
        <f t="shared" si="167"/>
        <v>161.62479529326137</v>
      </c>
      <c r="BF128" s="118">
        <f t="shared" si="124"/>
        <v>83272.125</v>
      </c>
      <c r="BG128" s="148">
        <f t="shared" si="125"/>
        <v>751.41572083186463</v>
      </c>
      <c r="BH128" s="148">
        <f t="shared" si="197"/>
        <v>31166.175438596492</v>
      </c>
      <c r="BI128" s="158">
        <f t="shared" si="198"/>
        <v>58888.574585635361</v>
      </c>
      <c r="BJ128" s="80">
        <f t="shared" ref="BJ128" si="243">A128</f>
        <v>44621</v>
      </c>
      <c r="BK128" s="95">
        <f t="shared" ref="BK128" si="244">AVERAGE(AC117:AC128)</f>
        <v>63432.5</v>
      </c>
      <c r="BL128" s="95">
        <f t="shared" ref="BL128" si="245">AVERAGE(AD117:AD128)</f>
        <v>23742.916666666668</v>
      </c>
      <c r="BM128" s="95">
        <f t="shared" ref="BM128" si="246">AVERAGE(B117:B128)</f>
        <v>111705.25</v>
      </c>
      <c r="BN128" s="95">
        <f t="shared" si="206"/>
        <v>110.8203125</v>
      </c>
      <c r="BO128" s="134">
        <f t="shared" si="229"/>
        <v>113.14663376806486</v>
      </c>
      <c r="BP128" s="118">
        <f t="shared" ref="BP128" si="247">AVERAGE(BG117:BG128)</f>
        <v>933.37756611297084</v>
      </c>
      <c r="BQ128" s="115">
        <f t="shared" ref="BQ128" si="248">AVERAGE(AN117:AN128)</f>
        <v>10883.637666666667</v>
      </c>
      <c r="BR128" s="118">
        <f t="shared" ref="BR128" si="249">AVERAGE(BE117:BE128)</f>
        <v>190.96328404005018</v>
      </c>
      <c r="BS128" s="118">
        <f t="shared" ref="BS128" si="250">AVERAGE(BA117:BA128)</f>
        <v>13653.900045454458</v>
      </c>
      <c r="BT128" s="80">
        <f t="shared" ref="BT128" si="251">BJ128</f>
        <v>44621</v>
      </c>
      <c r="BU128" s="118">
        <f t="shared" ref="BU128" si="252">AVERAGE(BO117:BO128)</f>
        <v>137.79054177881406</v>
      </c>
      <c r="BV128" s="1539">
        <f t="shared" ref="BV128" si="253">AVERAGE(AO117:AO128)</f>
        <v>3.7457994851487603E-3</v>
      </c>
      <c r="BW128" s="11">
        <f t="shared" ref="BW128" si="254">AVERAGE(AF117:AF128)</f>
        <v>110.66666666666667</v>
      </c>
      <c r="BX128" s="118">
        <f t="shared" ref="BX128" si="255">AVERAGE(BI117:BI128)</f>
        <v>53645.419993758122</v>
      </c>
      <c r="BY128" s="118">
        <f t="shared" ref="BY128" si="256">AVERAGE(BH117:BH128)</f>
        <v>30315.16054092225</v>
      </c>
      <c r="BZ128" s="96">
        <f t="shared" ref="BZ128" si="257">AVERAGE(F117:F128)</f>
        <v>0.9707033320603814</v>
      </c>
      <c r="CA128" s="102">
        <f t="shared" ref="CA128" si="258">AVERAGE(D117:D128)</f>
        <v>1.9267462857237579E-2</v>
      </c>
      <c r="CB128" s="102">
        <f t="shared" ref="CB128" si="259">AVERAGE(H117:H128)</f>
        <v>1.0029205082380978E-2</v>
      </c>
      <c r="CC128" s="155">
        <f t="shared" si="242"/>
        <v>7.4531449285090954</v>
      </c>
      <c r="CD128">
        <v>148</v>
      </c>
      <c r="CE128">
        <v>96</v>
      </c>
      <c r="CF128">
        <v>53</v>
      </c>
      <c r="CG128">
        <v>31</v>
      </c>
      <c r="CH128" s="118">
        <f t="shared" si="154"/>
        <v>55227.108808290155</v>
      </c>
      <c r="CI128">
        <v>4</v>
      </c>
      <c r="CJ128" s="11">
        <f t="shared" si="194"/>
        <v>3.3333333333333335</v>
      </c>
      <c r="CK128" s="233">
        <f t="shared" si="195"/>
        <v>5.0544873738905401E-5</v>
      </c>
      <c r="CM128" s="1779"/>
      <c r="CN128" s="1779"/>
      <c r="CO128" s="1779"/>
      <c r="CP128" s="1779"/>
      <c r="CQ128" s="1344">
        <f t="shared" si="113"/>
        <v>3.7457994851487603E-3</v>
      </c>
      <c r="CR128" s="155">
        <f t="shared" si="114"/>
        <v>0.37457994851487614</v>
      </c>
      <c r="CS128" s="137">
        <f t="shared" si="82"/>
        <v>100.81861120902362</v>
      </c>
      <c r="CT128" s="84">
        <f t="shared" si="83"/>
        <v>1.1222792340739747</v>
      </c>
      <c r="CU128" s="84">
        <f t="shared" si="84"/>
        <v>0.81274684572540701</v>
      </c>
      <c r="CV128" s="84">
        <f t="shared" si="85"/>
        <v>0.81274684572540701</v>
      </c>
      <c r="CW128" s="84">
        <f t="shared" si="86"/>
        <v>0.1341715490027425</v>
      </c>
      <c r="CX128" s="84">
        <f t="shared" si="102"/>
        <v>0.15358900037725584</v>
      </c>
      <c r="CY128" s="106">
        <f t="shared" si="182"/>
        <v>0.12227923407397467</v>
      </c>
      <c r="CZ128" s="106">
        <f t="shared" si="186"/>
        <v>-2.8126241025082321E-2</v>
      </c>
      <c r="DA128" s="106">
        <v>0.05</v>
      </c>
      <c r="DB128" s="106">
        <v>-0.05</v>
      </c>
      <c r="DC128" s="453">
        <f t="shared" si="87"/>
        <v>4.6491364117025027</v>
      </c>
      <c r="DD128" s="11">
        <f t="shared" si="88"/>
        <v>364.35359116022101</v>
      </c>
      <c r="DE128" s="11">
        <f t="shared" si="89"/>
        <v>192.83040935672514</v>
      </c>
      <c r="DF128" s="11">
        <f t="shared" si="90"/>
        <v>316.71304347826089</v>
      </c>
      <c r="DG128" s="11">
        <f t="shared" si="91"/>
        <v>447.36363636363637</v>
      </c>
      <c r="DH128" s="11">
        <f t="shared" si="155"/>
        <v>785.08333333333337</v>
      </c>
      <c r="DI128" s="11">
        <f t="shared" si="151"/>
        <v>1034.5806451612902</v>
      </c>
      <c r="DJ128" s="11">
        <f t="shared" si="92"/>
        <v>149.2704918032787</v>
      </c>
      <c r="DK128" s="11">
        <f t="shared" si="93"/>
        <v>301.28571428571428</v>
      </c>
      <c r="DL128" s="11">
        <f t="shared" si="156"/>
        <v>509.24324324324323</v>
      </c>
      <c r="DM128" s="11">
        <f t="shared" si="152"/>
        <v>605.13207547169816</v>
      </c>
    </row>
    <row r="129" spans="1:117" x14ac:dyDescent="0.25">
      <c r="A129" s="80">
        <v>44652</v>
      </c>
      <c r="B129" s="180">
        <v>114270</v>
      </c>
      <c r="C129" s="95">
        <v>2088</v>
      </c>
      <c r="D129" s="145">
        <f t="shared" si="160"/>
        <v>1.8272512470464689E-2</v>
      </c>
      <c r="E129" s="167">
        <v>110849</v>
      </c>
      <c r="F129" s="145">
        <f t="shared" si="161"/>
        <v>0.97006213354336224</v>
      </c>
      <c r="H129" s="107">
        <f t="shared" si="157"/>
        <v>1.1665353986173074E-2</v>
      </c>
      <c r="I129" s="147">
        <v>8970290</v>
      </c>
      <c r="J129" s="111">
        <f t="shared" si="196"/>
        <v>10666133.5</v>
      </c>
      <c r="K129" s="95">
        <f t="shared" si="173"/>
        <v>58682</v>
      </c>
      <c r="L129" s="95">
        <f t="shared" si="174"/>
        <v>54610.666666666664</v>
      </c>
      <c r="M129" s="95">
        <f t="shared" si="162"/>
        <v>260</v>
      </c>
      <c r="N129" s="95">
        <f t="shared" si="175"/>
        <v>338.75</v>
      </c>
      <c r="O129" s="95">
        <f t="shared" si="176"/>
        <v>150</v>
      </c>
      <c r="P129" s="95">
        <f t="shared" si="177"/>
        <v>191</v>
      </c>
      <c r="Q129" s="103">
        <v>27593</v>
      </c>
      <c r="R129" s="95">
        <f t="shared" si="187"/>
        <v>26162.25</v>
      </c>
      <c r="S129" s="161">
        <v>71</v>
      </c>
      <c r="T129" s="179">
        <f t="shared" si="48"/>
        <v>94.916666666666671</v>
      </c>
      <c r="U129" s="103">
        <v>53</v>
      </c>
      <c r="V129" s="179">
        <f t="shared" si="188"/>
        <v>63.666666666666664</v>
      </c>
      <c r="W129" s="103">
        <v>31089</v>
      </c>
      <c r="X129" s="95">
        <f t="shared" si="134"/>
        <v>28448.416666666668</v>
      </c>
      <c r="Y129" s="103">
        <v>189</v>
      </c>
      <c r="Z129" s="179">
        <f t="shared" si="50"/>
        <v>243.83333333333334</v>
      </c>
      <c r="AA129" s="103">
        <v>97</v>
      </c>
      <c r="AB129" s="179">
        <f t="shared" si="210"/>
        <v>127.33333333333333</v>
      </c>
      <c r="AC129" s="103">
        <v>64025</v>
      </c>
      <c r="AD129" s="160">
        <v>20194</v>
      </c>
      <c r="AE129" s="9">
        <v>183</v>
      </c>
      <c r="AF129">
        <v>120</v>
      </c>
      <c r="AG129">
        <v>55</v>
      </c>
      <c r="AH129">
        <v>8</v>
      </c>
      <c r="AI129" s="102">
        <v>3.6799999999999999E-2</v>
      </c>
      <c r="AJ129" s="205">
        <v>0.1191</v>
      </c>
      <c r="AK129" s="111">
        <v>1580054</v>
      </c>
      <c r="AL129" s="101">
        <v>1439385</v>
      </c>
      <c r="AM129" s="101">
        <v>6318</v>
      </c>
      <c r="AN129" s="206">
        <v>9758</v>
      </c>
      <c r="AO129" s="905">
        <f t="shared" si="208"/>
        <v>7.0432505526577178E-4</v>
      </c>
      <c r="AP129" s="909">
        <f t="shared" si="209"/>
        <v>7.0432505526577177E-2</v>
      </c>
      <c r="AQ129" s="148">
        <f t="shared" si="199"/>
        <v>52.65</v>
      </c>
      <c r="AR129" s="101">
        <f t="shared" si="200"/>
        <v>34.524590163934427</v>
      </c>
      <c r="AS129" s="146">
        <f t="shared" si="158"/>
        <v>3.9985975162874178E-3</v>
      </c>
      <c r="AT129" s="147">
        <f t="shared" si="189"/>
        <v>26.925701237176646</v>
      </c>
      <c r="AU129" s="149">
        <f t="shared" si="159"/>
        <v>7.9619184712295246</v>
      </c>
      <c r="AV129" s="101">
        <f t="shared" si="137"/>
        <v>13167.116666666667</v>
      </c>
      <c r="AW129" s="158">
        <f t="shared" si="138"/>
        <v>8634.1748633879779</v>
      </c>
      <c r="AX129" s="150">
        <f t="shared" si="164"/>
        <v>0.91097203006985839</v>
      </c>
      <c r="AY129" s="148">
        <f t="shared" si="165"/>
        <v>24.528560717085305</v>
      </c>
      <c r="AZ129" s="148">
        <f t="shared" si="201"/>
        <v>7.2530850329866636</v>
      </c>
      <c r="BA129" s="148">
        <f t="shared" si="202"/>
        <v>11994.875</v>
      </c>
      <c r="BB129" s="101">
        <f t="shared" si="203"/>
        <v>7865.4918032786882</v>
      </c>
      <c r="BC129" s="95">
        <f t="shared" si="204"/>
        <v>489.01666666666665</v>
      </c>
      <c r="BD129" s="95">
        <f t="shared" si="205"/>
        <v>320.66666666666669</v>
      </c>
      <c r="BE129" s="148">
        <f t="shared" si="167"/>
        <v>152.86271769878329</v>
      </c>
      <c r="BF129" s="118">
        <f t="shared" si="124"/>
        <v>74752.416666666672</v>
      </c>
      <c r="BG129" s="148">
        <f t="shared" si="125"/>
        <v>919.27546628407458</v>
      </c>
      <c r="BH129" s="148">
        <f t="shared" si="197"/>
        <v>34501.115384615383</v>
      </c>
      <c r="BI129" s="158">
        <f t="shared" si="198"/>
        <v>59801.933333333334</v>
      </c>
      <c r="BJ129" s="80">
        <f t="shared" ref="BJ129" si="260">A129</f>
        <v>44652</v>
      </c>
      <c r="BK129" s="95">
        <f t="shared" ref="BK129" si="261">AVERAGE(AC118:AC129)</f>
        <v>65054.583333333336</v>
      </c>
      <c r="BL129" s="95">
        <f t="shared" ref="BL129" si="262">AVERAGE(AD118:AD129)</f>
        <v>23903.083333333332</v>
      </c>
      <c r="BM129" s="95">
        <f t="shared" ref="BM129" si="263">AVERAGE(B118:B129)</f>
        <v>114848.41666666667</v>
      </c>
      <c r="BN129" s="95">
        <f t="shared" si="206"/>
        <v>81.316666666666663</v>
      </c>
      <c r="BO129" s="134">
        <f t="shared" si="229"/>
        <v>147.50819840131174</v>
      </c>
      <c r="BP129" s="118">
        <f t="shared" ref="BP129" si="264">AVERAGE(BG118:BG129)</f>
        <v>959.18084087483476</v>
      </c>
      <c r="BQ129" s="115">
        <f t="shared" ref="BQ129" si="265">AVERAGE(AN118:AN129)</f>
        <v>11034.637666666667</v>
      </c>
      <c r="BR129" s="118">
        <f t="shared" ref="BR129" si="266">AVERAGE(BE118:BE129)</f>
        <v>192.45318137997887</v>
      </c>
      <c r="BS129" s="118">
        <f t="shared" ref="BS129" si="267">AVERAGE(BA118:BA129)</f>
        <v>13722.543843347179</v>
      </c>
      <c r="BT129" s="80">
        <f t="shared" ref="BT129" si="268">BJ129</f>
        <v>44652</v>
      </c>
      <c r="BU129" s="118">
        <f t="shared" ref="BU129" si="269">AVERAGE(BO118:BO129)</f>
        <v>139.89023706047385</v>
      </c>
      <c r="BV129" s="1539">
        <f t="shared" ref="BV129" si="270">AVERAGE(AO118:AO129)</f>
        <v>3.4396215765236647E-3</v>
      </c>
      <c r="BW129" s="11">
        <f t="shared" ref="BW129" si="271">AVERAGE(AF118:AF129)</f>
        <v>113.41666666666667</v>
      </c>
      <c r="BX129" s="118">
        <f t="shared" ref="BX129" si="272">AVERAGE(BI118:BI129)</f>
        <v>56152.345419797668</v>
      </c>
      <c r="BY129" s="118">
        <f t="shared" ref="BY129" si="273">AVERAGE(BH118:BH129)</f>
        <v>31773.829805429665</v>
      </c>
      <c r="BZ129" s="96">
        <f t="shared" ref="BZ129" si="274">AVERAGE(F118:F129)</f>
        <v>0.97014619056071616</v>
      </c>
      <c r="CA129" s="102">
        <f t="shared" ref="CA129" si="275">AVERAGE(D118:D129)</f>
        <v>1.9265065113045193E-2</v>
      </c>
      <c r="CB129" s="102">
        <f t="shared" ref="CB129" si="276">AVERAGE(H118:H129)</f>
        <v>1.0588744326238665E-2</v>
      </c>
      <c r="CC129" s="155">
        <f t="shared" si="242"/>
        <v>5.6772047031303989</v>
      </c>
      <c r="CD129">
        <v>128</v>
      </c>
      <c r="CE129">
        <v>95</v>
      </c>
      <c r="CF129">
        <v>49</v>
      </c>
      <c r="CG129">
        <v>30</v>
      </c>
      <c r="CH129" s="118">
        <f t="shared" si="154"/>
        <v>49017.978142076499</v>
      </c>
      <c r="CI129">
        <v>6</v>
      </c>
      <c r="CJ129" s="11">
        <f t="shared" si="194"/>
        <v>3.5</v>
      </c>
      <c r="CK129" s="233">
        <f t="shared" si="195"/>
        <v>5.9643502266453083E-5</v>
      </c>
      <c r="CM129" s="1779">
        <f>SUM(W129:W140)/SUM(W117:W128)-1</f>
        <v>-0.28159303383183976</v>
      </c>
      <c r="CN129" s="1779">
        <f t="shared" ref="CN129" si="277">SUM(Q129:Q140)/SUM(Q117:Q128)-1</f>
        <v>-5.3704937449107981E-2</v>
      </c>
      <c r="CO129" s="1779">
        <f t="shared" ref="CO129:CP129" si="278">SUM(AC129:AC140)/SUM(AC117:AC128)-1</f>
        <v>-0.159191529053193</v>
      </c>
      <c r="CP129" s="1779">
        <f t="shared" si="278"/>
        <v>-0.43087236544232488</v>
      </c>
      <c r="CQ129" s="1344">
        <f t="shared" si="113"/>
        <v>3.4396215765236647E-3</v>
      </c>
      <c r="CR129" s="155">
        <f t="shared" si="114"/>
        <v>0.34396215765236654</v>
      </c>
      <c r="CS129" s="137">
        <f t="shared" si="82"/>
        <v>161.92395982783358</v>
      </c>
      <c r="CT129" s="84">
        <f t="shared" si="83"/>
        <v>0.91097203006985827</v>
      </c>
      <c r="CU129" s="84">
        <f t="shared" si="84"/>
        <v>1.1222792340739747</v>
      </c>
      <c r="CV129" s="84">
        <f t="shared" si="85"/>
        <v>1.1222792340739747</v>
      </c>
      <c r="CW129" s="84">
        <f t="shared" si="86"/>
        <v>0.17614302324674008</v>
      </c>
      <c r="CX129" s="84">
        <f t="shared" si="102"/>
        <v>0.15157487196489056</v>
      </c>
      <c r="CY129" s="106">
        <f t="shared" si="182"/>
        <v>-8.9027969930141615E-2</v>
      </c>
      <c r="CZ129" s="106">
        <f t="shared" si="186"/>
        <v>-6.3051255476329837E-2</v>
      </c>
      <c r="DA129" s="106">
        <v>0.05</v>
      </c>
      <c r="DB129" s="106">
        <v>-0.05</v>
      </c>
      <c r="DC129" s="453">
        <f t="shared" si="87"/>
        <v>6.0137323221971712</v>
      </c>
      <c r="DD129" s="11">
        <f t="shared" si="88"/>
        <v>391.21333333333331</v>
      </c>
      <c r="DE129" s="11">
        <f t="shared" si="89"/>
        <v>225.7</v>
      </c>
      <c r="DF129" s="11">
        <f t="shared" si="90"/>
        <v>320.50515463917526</v>
      </c>
      <c r="DG129" s="11">
        <f t="shared" si="91"/>
        <v>520.62264150943395</v>
      </c>
      <c r="DH129" s="11">
        <f t="shared" si="155"/>
        <v>673.9473684210526</v>
      </c>
      <c r="DI129" s="11">
        <f t="shared" si="151"/>
        <v>673.13333333333333</v>
      </c>
      <c r="DJ129" s="11">
        <f t="shared" si="92"/>
        <v>164.49206349206349</v>
      </c>
      <c r="DK129" s="11">
        <f t="shared" si="93"/>
        <v>388.63380281690144</v>
      </c>
      <c r="DL129" s="11">
        <f t="shared" si="156"/>
        <v>500.1953125</v>
      </c>
      <c r="DM129" s="11">
        <f t="shared" si="152"/>
        <v>412.12244897959181</v>
      </c>
    </row>
    <row r="130" spans="1:117" ht="15.75" thickBot="1" x14ac:dyDescent="0.3">
      <c r="A130" s="80">
        <v>44682</v>
      </c>
      <c r="B130" s="180">
        <v>125108</v>
      </c>
      <c r="C130" s="95">
        <v>2605</v>
      </c>
      <c r="D130" s="145">
        <f t="shared" si="160"/>
        <v>2.0822009783547014E-2</v>
      </c>
      <c r="E130" s="167">
        <v>121554</v>
      </c>
      <c r="F130" s="145">
        <f t="shared" si="161"/>
        <v>0.97159254404194773</v>
      </c>
      <c r="H130" s="107">
        <f t="shared" si="157"/>
        <v>7.5854461745052601E-3</v>
      </c>
      <c r="I130" s="147">
        <v>9434352</v>
      </c>
      <c r="J130" s="111">
        <f t="shared" si="196"/>
        <v>10996936.166666666</v>
      </c>
      <c r="K130" s="95">
        <f t="shared" si="173"/>
        <v>56920</v>
      </c>
      <c r="L130" s="95">
        <f t="shared" si="174"/>
        <v>55163.583333333336</v>
      </c>
      <c r="M130" s="95">
        <f t="shared" si="162"/>
        <v>360</v>
      </c>
      <c r="N130" s="95">
        <f t="shared" si="175"/>
        <v>339.16666666666669</v>
      </c>
      <c r="O130" s="95">
        <f t="shared" si="176"/>
        <v>212</v>
      </c>
      <c r="P130" s="95">
        <f t="shared" si="177"/>
        <v>193.25</v>
      </c>
      <c r="Q130" s="103">
        <v>25682</v>
      </c>
      <c r="R130" s="95">
        <f t="shared" si="187"/>
        <v>26780.5</v>
      </c>
      <c r="S130" s="161">
        <v>92</v>
      </c>
      <c r="T130" s="179">
        <f t="shared" si="48"/>
        <v>95.583333333333329</v>
      </c>
      <c r="U130" s="103">
        <v>67</v>
      </c>
      <c r="V130" s="179">
        <f t="shared" si="188"/>
        <v>64.583333333333329</v>
      </c>
      <c r="W130" s="103">
        <v>31238</v>
      </c>
      <c r="X130" s="95">
        <f t="shared" si="134"/>
        <v>28383.083333333332</v>
      </c>
      <c r="Y130" s="103">
        <v>268</v>
      </c>
      <c r="Z130" s="179">
        <f t="shared" si="50"/>
        <v>243.58333333333334</v>
      </c>
      <c r="AA130" s="103">
        <v>145</v>
      </c>
      <c r="AB130" s="179">
        <f t="shared" si="210"/>
        <v>128.66666666666666</v>
      </c>
      <c r="AC130" s="103">
        <v>74483</v>
      </c>
      <c r="AD130" s="160">
        <v>19509</v>
      </c>
      <c r="AE130" s="9">
        <v>187</v>
      </c>
      <c r="AF130">
        <v>118</v>
      </c>
      <c r="AG130">
        <v>56</v>
      </c>
      <c r="AH130">
        <v>13</v>
      </c>
      <c r="AI130" s="102">
        <v>4.2099999999999999E-2</v>
      </c>
      <c r="AJ130" s="205">
        <v>3.5000000000000003E-2</v>
      </c>
      <c r="AK130" s="111">
        <v>1636239</v>
      </c>
      <c r="AL130" s="101">
        <v>1449767</v>
      </c>
      <c r="AM130" s="101">
        <v>45699</v>
      </c>
      <c r="AN130" s="206">
        <v>11383</v>
      </c>
      <c r="AO130" s="905">
        <f t="shared" si="208"/>
        <v>4.8438938890556556E-3</v>
      </c>
      <c r="AP130" s="909">
        <f t="shared" si="209"/>
        <v>0.48438938890556554</v>
      </c>
      <c r="AQ130" s="148">
        <f t="shared" si="199"/>
        <v>387.27966101694915</v>
      </c>
      <c r="AR130" s="101">
        <f t="shared" si="200"/>
        <v>244.37967914438502</v>
      </c>
      <c r="AS130" s="146">
        <f t="shared" si="158"/>
        <v>2.7929293947889032E-2</v>
      </c>
      <c r="AT130" s="147">
        <f t="shared" si="189"/>
        <v>28.746293042867183</v>
      </c>
      <c r="AU130" s="149">
        <f t="shared" si="159"/>
        <v>7.8976686938893712</v>
      </c>
      <c r="AV130" s="101">
        <f t="shared" si="137"/>
        <v>13866.43220338983</v>
      </c>
      <c r="AW130" s="158">
        <f t="shared" si="138"/>
        <v>8749.9411764705874</v>
      </c>
      <c r="AX130" s="150">
        <f t="shared" si="164"/>
        <v>0.88603620864678079</v>
      </c>
      <c r="AY130" s="148">
        <f t="shared" si="165"/>
        <v>25.470256500351372</v>
      </c>
      <c r="AZ130" s="148">
        <f t="shared" si="201"/>
        <v>6.9976204266821123</v>
      </c>
      <c r="BA130" s="148">
        <f t="shared" si="202"/>
        <v>12286.161016949152</v>
      </c>
      <c r="BB130" s="101">
        <f t="shared" si="203"/>
        <v>7752.7647058823532</v>
      </c>
      <c r="BC130" s="95">
        <f t="shared" si="204"/>
        <v>482.37288135593218</v>
      </c>
      <c r="BD130" s="95">
        <f t="shared" si="205"/>
        <v>304.38502673796791</v>
      </c>
      <c r="BE130" s="148">
        <f t="shared" si="167"/>
        <v>165.74757554462403</v>
      </c>
      <c r="BF130" s="118">
        <f t="shared" si="124"/>
        <v>79952.135593220344</v>
      </c>
      <c r="BG130" s="148">
        <f t="shared" si="125"/>
        <v>828.81068259685492</v>
      </c>
      <c r="BH130" s="148">
        <f t="shared" si="197"/>
        <v>26206.533333333333</v>
      </c>
      <c r="BI130" s="158">
        <f t="shared" si="198"/>
        <v>44501.660377358494</v>
      </c>
      <c r="BJ130" s="80">
        <f t="shared" ref="BJ130" si="279">A130</f>
        <v>44682</v>
      </c>
      <c r="BK130" s="95">
        <f t="shared" ref="BK130" si="280">AVERAGE(AC119:AC130)</f>
        <v>67129.166666666672</v>
      </c>
      <c r="BL130" s="95">
        <f t="shared" ref="BL130" si="281">AVERAGE(AD119:AD130)</f>
        <v>23551.333333333332</v>
      </c>
      <c r="BM130" s="95">
        <f t="shared" ref="BM130" si="282">AVERAGE(B119:B130)</f>
        <v>117335.16666666667</v>
      </c>
      <c r="BN130" s="95">
        <f t="shared" si="206"/>
        <v>96.466101694915253</v>
      </c>
      <c r="BO130" s="134">
        <f t="shared" si="229"/>
        <v>127.36247035052271</v>
      </c>
      <c r="BP130" s="118">
        <f t="shared" ref="BP130" si="283">AVERAGE(BG119:BG130)</f>
        <v>978.16664989324829</v>
      </c>
      <c r="BQ130" s="115">
        <f t="shared" ref="BQ130" si="284">AVERAGE(AN119:AN130)</f>
        <v>11225.471</v>
      </c>
      <c r="BR130" s="118">
        <f t="shared" ref="BR130" si="285">AVERAGE(BE119:BE130)</f>
        <v>197.20923327792954</v>
      </c>
      <c r="BS130" s="118">
        <f t="shared" ref="BS130" si="286">AVERAGE(BA119:BA130)</f>
        <v>13717.44677453489</v>
      </c>
      <c r="BT130" s="80">
        <f t="shared" ref="BT130" si="287">BJ130</f>
        <v>44682</v>
      </c>
      <c r="BU130" s="118">
        <f t="shared" ref="BU130" si="288">AVERAGE(BO119:BO130)</f>
        <v>140.43273259639255</v>
      </c>
      <c r="BV130" s="1539">
        <f t="shared" ref="BV130" si="289">AVERAGE(AO119:AO130)</f>
        <v>3.6112303050800567E-3</v>
      </c>
      <c r="BW130" s="11">
        <f t="shared" ref="BW130" si="290">AVERAGE(AF119:AF130)</f>
        <v>115.83333333333333</v>
      </c>
      <c r="BX130" s="118">
        <f t="shared" ref="BX130" si="291">AVERAGE(BI119:BI130)</f>
        <v>57399.231532325291</v>
      </c>
      <c r="BY130" s="118">
        <f t="shared" ref="BY130" si="292">AVERAGE(BH119:BH130)</f>
        <v>32674.90946114172</v>
      </c>
      <c r="BZ130" s="96">
        <f t="shared" ref="BZ130" si="293">AVERAGE(F119:F130)</f>
        <v>0.96952837160035921</v>
      </c>
      <c r="CA130" s="102">
        <f t="shared" ref="CA130" si="294">AVERAGE(D119:D130)</f>
        <v>1.9734491747354702E-2</v>
      </c>
      <c r="CB130" s="102">
        <f t="shared" ref="CB130" si="295">AVERAGE(H119:H130)</f>
        <v>1.0737136652285977E-2</v>
      </c>
      <c r="CC130" s="155">
        <f t="shared" si="242"/>
        <v>5.7658765009268205</v>
      </c>
      <c r="CD130">
        <v>138</v>
      </c>
      <c r="CE130">
        <v>109</v>
      </c>
      <c r="CF130">
        <v>52</v>
      </c>
      <c r="CG130">
        <v>26</v>
      </c>
      <c r="CH130" s="118">
        <f t="shared" si="154"/>
        <v>50451.080213903741</v>
      </c>
      <c r="CI130">
        <v>1</v>
      </c>
      <c r="CJ130" s="11">
        <f t="shared" ref="CJ130:CJ132" si="296">AVERAGE(CI119:CI130)</f>
        <v>3.4166666666666665</v>
      </c>
      <c r="CK130" s="233">
        <f t="shared" ref="CK130:CK132" si="297">CJ130/K130</f>
        <v>6.0025767158585147E-5</v>
      </c>
      <c r="CM130" s="1779"/>
      <c r="CN130" s="1779"/>
      <c r="CO130" s="1779"/>
      <c r="CP130" s="1779"/>
      <c r="CQ130" s="1344">
        <f t="shared" si="113"/>
        <v>3.6112303050800567E-3</v>
      </c>
      <c r="CR130" s="155">
        <f t="shared" si="114"/>
        <v>0.36112303050800559</v>
      </c>
      <c r="CS130" s="137">
        <f t="shared" si="82"/>
        <v>143.74409206711763</v>
      </c>
      <c r="CT130" s="84">
        <f t="shared" si="83"/>
        <v>0.88603620864678079</v>
      </c>
      <c r="CU130" s="84">
        <f t="shared" si="84"/>
        <v>0.91097203006985839</v>
      </c>
      <c r="CV130" s="84">
        <f t="shared" si="85"/>
        <v>0.91097203006985839</v>
      </c>
      <c r="CW130" s="84">
        <f t="shared" si="86"/>
        <v>0.17343416908760664</v>
      </c>
      <c r="CX130" s="84">
        <f t="shared" si="102"/>
        <v>0.16562613953170224</v>
      </c>
      <c r="CY130" s="106">
        <f t="shared" si="182"/>
        <v>-0.11396379135321921</v>
      </c>
      <c r="CZ130" s="106">
        <f t="shared" si="186"/>
        <v>-3.2771142420860877E-2</v>
      </c>
      <c r="DA130" s="106">
        <v>0.05</v>
      </c>
      <c r="DB130" s="106">
        <v>-0.05</v>
      </c>
      <c r="DC130" s="453">
        <f t="shared" si="87"/>
        <v>5.0004392515154175</v>
      </c>
      <c r="DD130" s="11">
        <f t="shared" si="88"/>
        <v>268.49056603773585</v>
      </c>
      <c r="DE130" s="11">
        <f t="shared" si="89"/>
        <v>158.11111111111111</v>
      </c>
      <c r="DF130" s="11">
        <f t="shared" si="90"/>
        <v>215.4344827586207</v>
      </c>
      <c r="DG130" s="11">
        <f t="shared" si="91"/>
        <v>383.31343283582089</v>
      </c>
      <c r="DH130" s="11">
        <f t="shared" si="155"/>
        <v>683.33027522935777</v>
      </c>
      <c r="DI130" s="11">
        <f t="shared" si="151"/>
        <v>750.34615384615381</v>
      </c>
      <c r="DJ130" s="11">
        <f t="shared" si="92"/>
        <v>116.55970149253731</v>
      </c>
      <c r="DK130" s="11">
        <f t="shared" si="93"/>
        <v>279.1521739130435</v>
      </c>
      <c r="DL130" s="11">
        <f t="shared" si="156"/>
        <v>539.731884057971</v>
      </c>
      <c r="DM130" s="11">
        <f t="shared" si="152"/>
        <v>375.17307692307691</v>
      </c>
    </row>
    <row r="131" spans="1:117" ht="15.75" thickBot="1" x14ac:dyDescent="0.3">
      <c r="A131" s="80">
        <v>44713</v>
      </c>
      <c r="B131" s="180">
        <v>111549</v>
      </c>
      <c r="C131" s="95">
        <v>2147</v>
      </c>
      <c r="D131" s="145">
        <f t="shared" si="160"/>
        <v>1.9247146993697836E-2</v>
      </c>
      <c r="E131" s="167">
        <v>108072</v>
      </c>
      <c r="F131" s="145">
        <f t="shared" si="161"/>
        <v>0.96882984159427699</v>
      </c>
      <c r="H131" s="107">
        <f t="shared" si="157"/>
        <v>1.1923011412025179E-2</v>
      </c>
      <c r="I131" s="147">
        <v>9335502</v>
      </c>
      <c r="J131" s="111">
        <f t="shared" si="196"/>
        <v>11319501.25</v>
      </c>
      <c r="K131" s="95">
        <f t="shared" si="173"/>
        <v>58872</v>
      </c>
      <c r="L131" s="95">
        <f t="shared" si="174"/>
        <v>56770.583333333336</v>
      </c>
      <c r="M131" s="95">
        <f t="shared" si="162"/>
        <v>319</v>
      </c>
      <c r="N131" s="95">
        <f t="shared" si="175"/>
        <v>336.16666666666669</v>
      </c>
      <c r="O131" s="95">
        <f t="shared" si="176"/>
        <v>183</v>
      </c>
      <c r="P131" s="95">
        <f t="shared" si="177"/>
        <v>192.08333333333334</v>
      </c>
      <c r="Q131" s="103">
        <v>35456</v>
      </c>
      <c r="R131" s="95">
        <f t="shared" si="187"/>
        <v>28599.5</v>
      </c>
      <c r="S131" s="161">
        <v>89</v>
      </c>
      <c r="T131" s="179">
        <f t="shared" si="48"/>
        <v>96.666666666666671</v>
      </c>
      <c r="U131" s="103">
        <v>55</v>
      </c>
      <c r="V131" s="179">
        <f t="shared" si="188"/>
        <v>64.5</v>
      </c>
      <c r="W131" s="103">
        <v>23416</v>
      </c>
      <c r="X131" s="95">
        <f t="shared" si="134"/>
        <v>28171.083333333332</v>
      </c>
      <c r="Y131" s="103">
        <v>230</v>
      </c>
      <c r="Z131" s="179">
        <f t="shared" si="50"/>
        <v>239.5</v>
      </c>
      <c r="AA131" s="103">
        <v>128</v>
      </c>
      <c r="AB131" s="179">
        <f t="shared" si="210"/>
        <v>127.58333333333333</v>
      </c>
      <c r="AC131" s="103">
        <v>73221</v>
      </c>
      <c r="AD131" s="160">
        <v>19549</v>
      </c>
      <c r="AE131" s="9">
        <v>180</v>
      </c>
      <c r="AF131">
        <v>110</v>
      </c>
      <c r="AG131">
        <v>58</v>
      </c>
      <c r="AH131">
        <v>12</v>
      </c>
      <c r="AI131" s="102">
        <v>5.8499999999999996E-2</v>
      </c>
      <c r="AJ131" s="205">
        <v>5.8700000000000002E-2</v>
      </c>
      <c r="AK131" s="111">
        <v>1693475</v>
      </c>
      <c r="AL131" s="101">
        <v>1394287</v>
      </c>
      <c r="AM131" s="101">
        <v>42861</v>
      </c>
      <c r="AN131" s="206">
        <v>10471</v>
      </c>
      <c r="AO131" s="905">
        <f t="shared" si="208"/>
        <v>4.5911832057879695E-3</v>
      </c>
      <c r="AP131" s="909">
        <f t="shared" si="209"/>
        <v>0.45911832057879698</v>
      </c>
      <c r="AQ131" s="148">
        <f t="shared" si="199"/>
        <v>389.64545454545453</v>
      </c>
      <c r="AR131" s="101">
        <f t="shared" si="200"/>
        <v>238.11666666666667</v>
      </c>
      <c r="AS131" s="146">
        <f t="shared" si="158"/>
        <v>2.5309496744858943E-2</v>
      </c>
      <c r="AT131" s="147">
        <f t="shared" si="189"/>
        <v>28.765372333197444</v>
      </c>
      <c r="AU131" s="149">
        <f t="shared" si="159"/>
        <v>8.0856192262486903</v>
      </c>
      <c r="AV131" s="101">
        <f t="shared" si="137"/>
        <v>15395.227272727272</v>
      </c>
      <c r="AW131" s="158">
        <f t="shared" si="138"/>
        <v>9408.1944444444453</v>
      </c>
      <c r="AX131" s="150">
        <f t="shared" si="164"/>
        <v>0.82332895377847326</v>
      </c>
      <c r="AY131" s="148">
        <f t="shared" si="165"/>
        <v>23.683363908139693</v>
      </c>
      <c r="AZ131" s="148">
        <f t="shared" si="201"/>
        <v>6.6571244181984426</v>
      </c>
      <c r="BA131" s="148">
        <f t="shared" si="202"/>
        <v>12675.336363636363</v>
      </c>
      <c r="BB131" s="101">
        <f t="shared" si="203"/>
        <v>7746.0388888888892</v>
      </c>
      <c r="BC131" s="95">
        <f t="shared" si="204"/>
        <v>535.20000000000005</v>
      </c>
      <c r="BD131" s="95">
        <f t="shared" si="205"/>
        <v>327.06666666666666</v>
      </c>
      <c r="BE131" s="148">
        <f t="shared" si="167"/>
        <v>158.57286995515696</v>
      </c>
      <c r="BF131" s="118">
        <f t="shared" si="124"/>
        <v>84868.2</v>
      </c>
      <c r="BG131" s="148">
        <f t="shared" si="125"/>
        <v>891.55782637761433</v>
      </c>
      <c r="BH131" s="148">
        <f t="shared" si="197"/>
        <v>29264.896551724138</v>
      </c>
      <c r="BI131" s="158">
        <f t="shared" si="198"/>
        <v>51013.672131147541</v>
      </c>
      <c r="BJ131" s="80">
        <f t="shared" ref="BJ131" si="298">A131</f>
        <v>44713</v>
      </c>
      <c r="BK131" s="95">
        <f t="shared" ref="BK131" si="299">AVERAGE(AC120:AC131)</f>
        <v>69194.5</v>
      </c>
      <c r="BL131" s="95">
        <f t="shared" ref="BL131" si="300">AVERAGE(AD120:AD131)</f>
        <v>23455.25</v>
      </c>
      <c r="BM131" s="95">
        <f t="shared" ref="BM131" si="301">AVERAGE(B120:B131)</f>
        <v>119572.91666666667</v>
      </c>
      <c r="BN131" s="95">
        <f t="shared" si="206"/>
        <v>95.190909090909088</v>
      </c>
      <c r="BO131" s="134">
        <f t="shared" si="229"/>
        <v>133.15700506159871</v>
      </c>
      <c r="BP131" s="118">
        <f t="shared" ref="BP131" si="302">AVERAGE(BG120:BG131)</f>
        <v>999.9136989296012</v>
      </c>
      <c r="BQ131" s="115">
        <f t="shared" ref="BQ131" si="303">AVERAGE(AN120:AN131)</f>
        <v>11375.887666666667</v>
      </c>
      <c r="BR131" s="118">
        <f t="shared" ref="BR131" si="304">AVERAGE(BE120:BE131)</f>
        <v>198.92031949889031</v>
      </c>
      <c r="BS131" s="118">
        <f t="shared" ref="BS131" si="305">AVERAGE(BA120:BA131)</f>
        <v>13685.189921116989</v>
      </c>
      <c r="BT131" s="80">
        <f t="shared" ref="BT131" si="306">BJ131</f>
        <v>44713</v>
      </c>
      <c r="BU131" s="118">
        <f t="shared" ref="BU131" si="307">AVERAGE(BO120:BO131)</f>
        <v>140.72670334283279</v>
      </c>
      <c r="BV131" s="1539">
        <f t="shared" ref="BV131" si="308">AVERAGE(AO120:AO131)</f>
        <v>3.6516186933057446E-3</v>
      </c>
      <c r="BW131" s="11">
        <f t="shared" ref="BW131" si="309">AVERAGE(AF120:AF131)</f>
        <v>117.83333333333333</v>
      </c>
      <c r="BX131" s="118">
        <f t="shared" ref="BX131" si="310">AVERAGE(BI120:BI131)</f>
        <v>59338.729167619749</v>
      </c>
      <c r="BY131" s="118">
        <f t="shared" ref="BY131" si="311">AVERAGE(BH120:BH131)</f>
        <v>33830.85248364455</v>
      </c>
      <c r="BZ131" s="96">
        <f t="shared" ref="BZ131" si="312">AVERAGE(F120:F131)</f>
        <v>0.96929224500609756</v>
      </c>
      <c r="CA131" s="102">
        <f t="shared" ref="CA131" si="313">AVERAGE(D120:D131)</f>
        <v>1.9816310213573329E-2</v>
      </c>
      <c r="CB131" s="102">
        <f t="shared" ref="CB131" si="314">AVERAGE(H120:H131)</f>
        <v>1.0891444780329095E-2</v>
      </c>
      <c r="CC131" s="155">
        <f t="shared" si="242"/>
        <v>5.5126305377994953</v>
      </c>
      <c r="CD131">
        <v>149</v>
      </c>
      <c r="CE131">
        <v>93</v>
      </c>
      <c r="CF131">
        <v>53</v>
      </c>
      <c r="CG131">
        <v>28</v>
      </c>
      <c r="CH131" s="118">
        <f t="shared" si="154"/>
        <v>51863.9</v>
      </c>
      <c r="CI131">
        <v>11</v>
      </c>
      <c r="CJ131" s="11">
        <f t="shared" si="296"/>
        <v>3.9166666666666665</v>
      </c>
      <c r="CK131" s="233">
        <f t="shared" si="297"/>
        <v>6.6528513837930874E-5</v>
      </c>
      <c r="CM131" s="1779"/>
      <c r="CN131" s="1779"/>
      <c r="CO131" s="1779"/>
      <c r="CP131" s="1779"/>
      <c r="CQ131" s="1344">
        <f t="shared" si="113"/>
        <v>3.6516186933057446E-3</v>
      </c>
      <c r="CR131" s="155">
        <f t="shared" si="114"/>
        <v>0.36516186933057454</v>
      </c>
      <c r="CS131" s="137">
        <f t="shared" si="82"/>
        <v>161.73001623531658</v>
      </c>
      <c r="CT131" s="84">
        <f t="shared" si="83"/>
        <v>0.82332895377847337</v>
      </c>
      <c r="CU131" s="84">
        <f t="shared" si="84"/>
        <v>0.8860362086467809</v>
      </c>
      <c r="CV131" s="84">
        <f t="shared" si="85"/>
        <v>0.8860362086467809</v>
      </c>
      <c r="CW131" s="84">
        <f>AK131/I131</f>
        <v>0.18140160004250441</v>
      </c>
      <c r="CX131" s="84">
        <f t="shared" si="102"/>
        <v>0.16749750830421067</v>
      </c>
      <c r="CY131" s="1442">
        <f t="shared" si="182"/>
        <v>-0.17667104622152674</v>
      </c>
      <c r="CZ131" s="106">
        <f t="shared" si="186"/>
        <v>-0.12756794211050293</v>
      </c>
      <c r="DA131" s="106">
        <v>0.05</v>
      </c>
      <c r="DB131" s="106">
        <v>-0.05</v>
      </c>
      <c r="DC131" s="453">
        <f t="shared" si="87"/>
        <v>5.6223856365199119</v>
      </c>
      <c r="DD131" s="11">
        <f t="shared" si="88"/>
        <v>321.70491803278691</v>
      </c>
      <c r="DE131" s="11">
        <f t="shared" si="89"/>
        <v>184.55172413793105</v>
      </c>
      <c r="DF131" s="11">
        <f t="shared" si="90"/>
        <v>182.9375</v>
      </c>
      <c r="DG131" s="11">
        <f t="shared" si="91"/>
        <v>644.65454545454543</v>
      </c>
      <c r="DH131" s="11">
        <f t="shared" si="155"/>
        <v>787.32258064516134</v>
      </c>
      <c r="DI131" s="11">
        <f t="shared" si="151"/>
        <v>698.17857142857144</v>
      </c>
      <c r="DJ131" s="11">
        <f t="shared" si="92"/>
        <v>101.80869565217391</v>
      </c>
      <c r="DK131" s="11">
        <f t="shared" si="93"/>
        <v>398.38202247191009</v>
      </c>
      <c r="DL131" s="11">
        <f t="shared" si="156"/>
        <v>491.41610738255031</v>
      </c>
      <c r="DM131" s="11">
        <f t="shared" si="152"/>
        <v>368.84905660377359</v>
      </c>
    </row>
    <row r="132" spans="1:117" x14ac:dyDescent="0.25">
      <c r="A132" s="80">
        <v>44743</v>
      </c>
      <c r="B132" s="180">
        <v>107457</v>
      </c>
      <c r="C132" s="95">
        <v>2606</v>
      </c>
      <c r="D132" s="145">
        <f t="shared" si="160"/>
        <v>2.42515610895521E-2</v>
      </c>
      <c r="E132" s="167">
        <v>103461</v>
      </c>
      <c r="F132" s="145">
        <f t="shared" si="161"/>
        <v>0.96281303218962</v>
      </c>
      <c r="H132" s="107">
        <f t="shared" si="157"/>
        <v>1.2935406720827901E-2</v>
      </c>
      <c r="I132" s="147">
        <v>8608730</v>
      </c>
      <c r="J132" s="111">
        <f t="shared" si="196"/>
        <v>11454664.5</v>
      </c>
      <c r="K132" s="95">
        <f t="shared" si="173"/>
        <v>48043</v>
      </c>
      <c r="L132" s="95">
        <f t="shared" si="174"/>
        <v>57012.5</v>
      </c>
      <c r="M132" s="95">
        <f t="shared" si="162"/>
        <v>290</v>
      </c>
      <c r="N132" s="95">
        <f t="shared" si="175"/>
        <v>330.25</v>
      </c>
      <c r="O132" s="95">
        <f t="shared" si="176"/>
        <v>180</v>
      </c>
      <c r="P132" s="95">
        <f t="shared" si="177"/>
        <v>191.83333333333334</v>
      </c>
      <c r="Q132" s="103">
        <v>28740</v>
      </c>
      <c r="R132" s="95">
        <f t="shared" si="187"/>
        <v>29339</v>
      </c>
      <c r="S132" s="161">
        <v>78</v>
      </c>
      <c r="T132" s="179">
        <f t="shared" si="48"/>
        <v>96.166666666666671</v>
      </c>
      <c r="U132" s="103">
        <v>52</v>
      </c>
      <c r="V132" s="179">
        <f t="shared" si="188"/>
        <v>63.916666666666664</v>
      </c>
      <c r="W132" s="103">
        <v>19303</v>
      </c>
      <c r="X132" s="95">
        <f t="shared" si="134"/>
        <v>27673.5</v>
      </c>
      <c r="Y132" s="103">
        <v>212</v>
      </c>
      <c r="Z132" s="179">
        <f t="shared" si="50"/>
        <v>234.08333333333334</v>
      </c>
      <c r="AA132" s="103">
        <v>128</v>
      </c>
      <c r="AB132" s="179">
        <f t="shared" si="210"/>
        <v>127.91666666666667</v>
      </c>
      <c r="AC132" s="103">
        <v>62066</v>
      </c>
      <c r="AD132" s="160">
        <v>13790</v>
      </c>
      <c r="AE132" s="9">
        <v>187</v>
      </c>
      <c r="AF132">
        <v>116</v>
      </c>
      <c r="AG132">
        <v>59</v>
      </c>
      <c r="AH132">
        <v>13</v>
      </c>
      <c r="AI132" s="102">
        <v>6.9000000000000006E-2</v>
      </c>
      <c r="AJ132" s="205">
        <v>5.7200000000000001E-2</v>
      </c>
      <c r="AK132" s="111">
        <v>1769250</v>
      </c>
      <c r="AL132" s="101">
        <v>1345801</v>
      </c>
      <c r="AM132" s="101">
        <v>28017</v>
      </c>
      <c r="AN132" s="206">
        <v>10590</v>
      </c>
      <c r="AO132" s="905">
        <f t="shared" si="208"/>
        <v>3.2544870149255464E-3</v>
      </c>
      <c r="AP132" s="909">
        <f t="shared" si="209"/>
        <v>0.32544870149255462</v>
      </c>
      <c r="AQ132" s="148">
        <f t="shared" si="199"/>
        <v>241.52586206896552</v>
      </c>
      <c r="AR132" s="101">
        <f t="shared" si="200"/>
        <v>149.8235294117647</v>
      </c>
      <c r="AS132" s="145">
        <f t="shared" si="158"/>
        <v>1.5835523526918187E-2</v>
      </c>
      <c r="AT132" s="1438">
        <f t="shared" si="189"/>
        <v>36.826384697042236</v>
      </c>
      <c r="AU132" s="149">
        <f t="shared" si="159"/>
        <v>9.7263064727971749</v>
      </c>
      <c r="AV132" s="101">
        <f t="shared" si="137"/>
        <v>15252.155172413793</v>
      </c>
      <c r="AW132" s="158">
        <f t="shared" si="138"/>
        <v>9461.2299465240649</v>
      </c>
      <c r="AX132" s="150">
        <f t="shared" si="164"/>
        <v>0.76066186237106115</v>
      </c>
      <c r="AY132" s="148">
        <f t="shared" si="165"/>
        <v>28.012426368045293</v>
      </c>
      <c r="AZ132" s="148">
        <f t="shared" si="201"/>
        <v>7.3984303955896058</v>
      </c>
      <c r="BA132" s="148">
        <f t="shared" si="202"/>
        <v>11601.73275862069</v>
      </c>
      <c r="BB132" s="101">
        <f t="shared" si="203"/>
        <v>7196.7967914438505</v>
      </c>
      <c r="BC132" s="95">
        <f t="shared" si="204"/>
        <v>414.16379310344826</v>
      </c>
      <c r="BD132" s="95">
        <f t="shared" si="205"/>
        <v>256.91443850267382</v>
      </c>
      <c r="BE132" s="148">
        <f t="shared" si="167"/>
        <v>179.18801906625316</v>
      </c>
      <c r="BF132" s="118">
        <f t="shared" si="124"/>
        <v>74213.18965517242</v>
      </c>
      <c r="BG132" s="148">
        <f t="shared" si="125"/>
        <v>812.91123701605284</v>
      </c>
      <c r="BH132" s="148">
        <f t="shared" si="197"/>
        <v>29685.275862068964</v>
      </c>
      <c r="BI132" s="158">
        <f t="shared" si="198"/>
        <v>47826.277777777781</v>
      </c>
      <c r="BJ132" s="80">
        <f t="shared" ref="BJ132" si="315">A132</f>
        <v>44743</v>
      </c>
      <c r="BK132" s="95">
        <f t="shared" ref="BK132" si="316">AVERAGE(AC121:AC132)</f>
        <v>70436</v>
      </c>
      <c r="BL132" s="95">
        <f t="shared" ref="BL132" si="317">AVERAGE(AD121:AD132)</f>
        <v>22799.5</v>
      </c>
      <c r="BM132" s="95">
        <f t="shared" ref="BM132" si="318">AVERAGE(B121:B132)</f>
        <v>120324.66666666667</v>
      </c>
      <c r="BN132" s="95">
        <f t="shared" si="206"/>
        <v>91.293103448275858</v>
      </c>
      <c r="BO132" s="134">
        <f t="shared" si="229"/>
        <v>127.08224740321057</v>
      </c>
      <c r="BP132" s="118">
        <f t="shared" ref="BP132" si="319">AVERAGE(BG121:BG132)</f>
        <v>1008.6125015207455</v>
      </c>
      <c r="BQ132" s="115">
        <f t="shared" ref="BQ132" si="320">AVERAGE(AN121:AN132)</f>
        <v>11436.637666666667</v>
      </c>
      <c r="BR132" s="118">
        <f t="shared" ref="BR132" si="321">AVERAGE(BE121:BE132)</f>
        <v>200.95431776474962</v>
      </c>
      <c r="BS132" s="118">
        <f t="shared" ref="BS132" si="322">AVERAGE(BA121:BA132)</f>
        <v>13477.696598370472</v>
      </c>
      <c r="BT132" s="80">
        <f t="shared" ref="BT132" si="323">BJ132</f>
        <v>44743</v>
      </c>
      <c r="BU132" s="118">
        <f t="shared" ref="BU132" si="324">AVERAGE(BO121:BO132)</f>
        <v>140.00374625297596</v>
      </c>
      <c r="BV132" s="1539">
        <f t="shared" ref="BV132" si="325">AVERAGE(AO121:AO132)</f>
        <v>3.7731025124614795E-3</v>
      </c>
      <c r="BW132" s="11">
        <f t="shared" ref="BW132" si="326">AVERAGE(AF121:AF132)</f>
        <v>119.58333333333333</v>
      </c>
      <c r="BX132" s="118">
        <f t="shared" ref="BX132" si="327">AVERAGE(BI121:BI132)</f>
        <v>60142.662607206876</v>
      </c>
      <c r="BY132" s="118">
        <f t="shared" ref="BY132" si="328">AVERAGE(BH121:BH132)</f>
        <v>34691.797448142912</v>
      </c>
      <c r="BZ132" s="96">
        <f t="shared" ref="BZ132" si="329">AVERAGE(F121:F132)</f>
        <v>0.96836055981353386</v>
      </c>
      <c r="CA132" s="102">
        <f t="shared" ref="CA132" si="330">AVERAGE(D121:D132)</f>
        <v>2.0277884796221911E-2</v>
      </c>
      <c r="CB132" s="102">
        <f t="shared" ref="CB132" si="331">AVERAGE(H121:H132)</f>
        <v>1.1361555390244346E-2</v>
      </c>
      <c r="CC132" s="155">
        <f t="shared" si="242"/>
        <v>4.8657510244453865</v>
      </c>
      <c r="CD132">
        <v>159</v>
      </c>
      <c r="CE132">
        <v>103</v>
      </c>
      <c r="CF132">
        <v>39</v>
      </c>
      <c r="CG132">
        <v>26</v>
      </c>
      <c r="CH132" s="118">
        <f t="shared" si="154"/>
        <v>46035.989304812836</v>
      </c>
      <c r="CI132">
        <v>5</v>
      </c>
      <c r="CJ132" s="11">
        <f t="shared" si="296"/>
        <v>3.75</v>
      </c>
      <c r="CK132" s="233">
        <f t="shared" si="297"/>
        <v>7.8055075661386672E-5</v>
      </c>
      <c r="CM132" s="1779"/>
      <c r="CN132" s="1779"/>
      <c r="CO132" s="1779"/>
      <c r="CP132" s="1779"/>
      <c r="CQ132" s="1344">
        <f t="shared" si="113"/>
        <v>3.7731025124614795E-3</v>
      </c>
      <c r="CR132" s="155">
        <f t="shared" si="114"/>
        <v>0.37731025124614792</v>
      </c>
      <c r="CS132" s="137">
        <f t="shared" si="82"/>
        <v>167.06798866855524</v>
      </c>
      <c r="CT132" s="84">
        <f t="shared" si="83"/>
        <v>0.76066186237106115</v>
      </c>
      <c r="CU132" s="84">
        <f t="shared" si="84"/>
        <v>0.82332895377847326</v>
      </c>
      <c r="CV132" s="84">
        <f t="shared" si="85"/>
        <v>0.82332895377847326</v>
      </c>
      <c r="CW132" s="84">
        <f t="shared" ref="CW132:CW141" si="332">AK132/I132</f>
        <v>0.20551811939740242</v>
      </c>
      <c r="CX132" s="84">
        <f t="shared" si="102"/>
        <v>0.17932877755840113</v>
      </c>
      <c r="CY132" s="1443">
        <f t="shared" si="182"/>
        <v>-0.23933813762893885</v>
      </c>
      <c r="CZ132" s="106">
        <f t="shared" si="186"/>
        <v>-0.17829288459381165</v>
      </c>
      <c r="DA132" s="106">
        <v>0.05</v>
      </c>
      <c r="DB132" s="106">
        <v>-0.05</v>
      </c>
      <c r="DC132" s="453">
        <f t="shared" si="87"/>
        <v>4.536638338054769</v>
      </c>
      <c r="DD132" s="11">
        <f t="shared" si="88"/>
        <v>266.90555555555557</v>
      </c>
      <c r="DE132" s="11">
        <f t="shared" si="89"/>
        <v>165.66551724137932</v>
      </c>
      <c r="DF132" s="11">
        <f t="shared" si="90"/>
        <v>150.8046875</v>
      </c>
      <c r="DG132" s="11">
        <f t="shared" si="91"/>
        <v>552.69230769230774</v>
      </c>
      <c r="DH132" s="11">
        <f t="shared" si="155"/>
        <v>602.5825242718447</v>
      </c>
      <c r="DI132" s="11">
        <f t="shared" si="151"/>
        <v>530.38461538461536</v>
      </c>
      <c r="DJ132" s="11">
        <f t="shared" si="92"/>
        <v>91.051886792452834</v>
      </c>
      <c r="DK132" s="11">
        <f t="shared" si="93"/>
        <v>368.46153846153845</v>
      </c>
      <c r="DL132" s="11">
        <f t="shared" si="156"/>
        <v>390.35220125786162</v>
      </c>
      <c r="DM132" s="11">
        <f t="shared" si="152"/>
        <v>353.58974358974359</v>
      </c>
    </row>
    <row r="133" spans="1:117" ht="15.75" thickBot="1" x14ac:dyDescent="0.3">
      <c r="A133" s="80">
        <v>44774</v>
      </c>
      <c r="B133" s="180">
        <v>120562</v>
      </c>
      <c r="C133" s="95">
        <v>3211</v>
      </c>
      <c r="D133" s="145">
        <f t="shared" si="160"/>
        <v>2.6633599309898642E-2</v>
      </c>
      <c r="E133" s="167">
        <v>115995</v>
      </c>
      <c r="F133" s="145">
        <f t="shared" si="161"/>
        <v>0.9621190756623148</v>
      </c>
      <c r="H133" s="107">
        <f t="shared" si="157"/>
        <v>1.1247325027786553E-2</v>
      </c>
      <c r="I133" s="147">
        <v>10343667</v>
      </c>
      <c r="J133" s="111">
        <f t="shared" si="196"/>
        <v>11471355.083333334</v>
      </c>
      <c r="K133" s="95">
        <f t="shared" si="173"/>
        <v>50773</v>
      </c>
      <c r="L133" s="95">
        <f t="shared" si="174"/>
        <v>57409.416666666664</v>
      </c>
      <c r="M133" s="95">
        <f t="shared" si="162"/>
        <v>381</v>
      </c>
      <c r="N133" s="95">
        <f t="shared" si="175"/>
        <v>335.33333333333331</v>
      </c>
      <c r="O133" s="95">
        <f t="shared" si="176"/>
        <v>214</v>
      </c>
      <c r="P133" s="95">
        <f t="shared" si="177"/>
        <v>194.83333333333334</v>
      </c>
      <c r="Q133" s="103">
        <v>28978</v>
      </c>
      <c r="R133" s="95">
        <f t="shared" si="187"/>
        <v>29758.666666666668</v>
      </c>
      <c r="S133" s="161">
        <v>112</v>
      </c>
      <c r="T133" s="179">
        <f t="shared" si="48"/>
        <v>97.583333333333329</v>
      </c>
      <c r="U133" s="103">
        <v>73</v>
      </c>
      <c r="V133" s="179">
        <f t="shared" si="188"/>
        <v>65.083333333333329</v>
      </c>
      <c r="W133" s="103">
        <v>21795</v>
      </c>
      <c r="X133" s="95">
        <f t="shared" si="134"/>
        <v>27650.75</v>
      </c>
      <c r="Y133" s="103">
        <v>269</v>
      </c>
      <c r="Z133" s="179">
        <f t="shared" si="50"/>
        <v>237.75</v>
      </c>
      <c r="AA133" s="103">
        <v>141</v>
      </c>
      <c r="AB133" s="179">
        <f t="shared" si="210"/>
        <v>129.75</v>
      </c>
      <c r="AC133" s="103">
        <v>66539</v>
      </c>
      <c r="AD133" s="160">
        <v>12866</v>
      </c>
      <c r="AE133" s="9">
        <v>191</v>
      </c>
      <c r="AF133">
        <v>117</v>
      </c>
      <c r="AG133">
        <v>59</v>
      </c>
      <c r="AH133">
        <v>15</v>
      </c>
      <c r="AI133" s="102">
        <v>6.6000000000000003E-2</v>
      </c>
      <c r="AJ133" s="205">
        <v>6.6400000000000001E-2</v>
      </c>
      <c r="AK133" s="111">
        <v>2087019</v>
      </c>
      <c r="AL133" s="101">
        <v>1574791</v>
      </c>
      <c r="AM133" s="101">
        <v>82253</v>
      </c>
      <c r="AN133" s="206">
        <v>15405</v>
      </c>
      <c r="AO133" s="905">
        <f t="shared" si="208"/>
        <v>7.9520154699489077E-3</v>
      </c>
      <c r="AP133" s="909">
        <f t="shared" si="209"/>
        <v>0.79520154699489076</v>
      </c>
      <c r="AQ133" s="148">
        <f t="shared" si="199"/>
        <v>703.017094017094</v>
      </c>
      <c r="AR133" s="101">
        <f t="shared" si="200"/>
        <v>430.64397905759165</v>
      </c>
      <c r="AS133" s="145">
        <f t="shared" si="158"/>
        <v>3.9411715945087231E-2</v>
      </c>
      <c r="AT133" s="1439">
        <f t="shared" si="189"/>
        <v>41.104898272703998</v>
      </c>
      <c r="AU133" s="149">
        <f t="shared" si="159"/>
        <v>11.059246623282053</v>
      </c>
      <c r="AV133" s="101">
        <f t="shared" si="137"/>
        <v>17837.76923076923</v>
      </c>
      <c r="AW133" s="158">
        <f t="shared" si="138"/>
        <v>10926.80104712042</v>
      </c>
      <c r="AX133" s="150">
        <f t="shared" si="164"/>
        <v>0.75456476438403297</v>
      </c>
      <c r="AY133" s="148">
        <f t="shared" si="165"/>
        <v>31.016307880172533</v>
      </c>
      <c r="AZ133" s="148">
        <f t="shared" si="201"/>
        <v>8.3449178225617349</v>
      </c>
      <c r="BA133" s="148">
        <f t="shared" si="202"/>
        <v>13459.752136752137</v>
      </c>
      <c r="BB133" s="101">
        <f t="shared" si="203"/>
        <v>8244.9790575916231</v>
      </c>
      <c r="BC133" s="95">
        <f t="shared" si="204"/>
        <v>433.95726495726495</v>
      </c>
      <c r="BD133" s="95">
        <f t="shared" si="205"/>
        <v>265.82722513089004</v>
      </c>
      <c r="BE133" s="148">
        <f t="shared" si="167"/>
        <v>203.72377050794714</v>
      </c>
      <c r="BF133" s="118">
        <f t="shared" si="124"/>
        <v>88407.41025641025</v>
      </c>
      <c r="BG133" s="148">
        <f t="shared" si="125"/>
        <v>671.4486854917235</v>
      </c>
      <c r="BH133" s="148">
        <f t="shared" si="197"/>
        <v>27148.732283464567</v>
      </c>
      <c r="BI133" s="158">
        <f t="shared" si="198"/>
        <v>48334.892523364484</v>
      </c>
      <c r="BJ133" s="80">
        <f t="shared" ref="BJ133" si="333">A133</f>
        <v>44774</v>
      </c>
      <c r="BK133" s="95">
        <f t="shared" ref="BK133" si="334">AVERAGE(AC122:AC133)</f>
        <v>69567.666666666672</v>
      </c>
      <c r="BL133" s="95">
        <f t="shared" ref="BL133" si="335">AVERAGE(AD122:AD133)</f>
        <v>21741.5</v>
      </c>
      <c r="BM133" s="95">
        <f t="shared" ref="BM133" si="336">AVERAGE(B122:B133)</f>
        <v>121710.33333333333</v>
      </c>
      <c r="BN133" s="95">
        <f t="shared" ref="BN133:BN141" si="337">AN133/AF133</f>
        <v>131.66666666666666</v>
      </c>
      <c r="BO133" s="134">
        <f t="shared" ref="BO133:BO141" si="338">AL133/AN133</f>
        <v>102.22596559558585</v>
      </c>
      <c r="BP133" s="118">
        <f t="shared" ref="BP133" si="339">AVERAGE(BG122:BG133)</f>
        <v>974.34543935092972</v>
      </c>
      <c r="BQ133" s="115">
        <f t="shared" ref="BQ133" si="340">AVERAGE(AN122:AN133)</f>
        <v>11939.637666666667</v>
      </c>
      <c r="BR133" s="118">
        <f t="shared" ref="BR133" si="341">AVERAGE(BE122:BE133)</f>
        <v>199.55960408125804</v>
      </c>
      <c r="BS133" s="118">
        <f t="shared" ref="BS133" si="342">AVERAGE(BA122:BA133)</f>
        <v>13159.704004324303</v>
      </c>
      <c r="BT133" s="80">
        <f t="shared" ref="BT133" si="343">BJ133</f>
        <v>44774</v>
      </c>
      <c r="BU133" s="118">
        <f t="shared" ref="BU133" si="344">AVERAGE(BO122:BO133)</f>
        <v>133.4639169548033</v>
      </c>
      <c r="BV133" s="1539">
        <f t="shared" ref="BV133" si="345">AVERAGE(AO122:AO133)</f>
        <v>4.0581678677109982E-3</v>
      </c>
      <c r="BW133" s="11">
        <f t="shared" ref="BW133" si="346">AVERAGE(AF122:AF133)</f>
        <v>121.16666666666667</v>
      </c>
      <c r="BX133" s="118">
        <f t="shared" ref="BX133" si="347">AVERAGE(BI122:BI133)</f>
        <v>59421.796909247547</v>
      </c>
      <c r="BY133" s="118">
        <f t="shared" ref="BY133" si="348">AVERAGE(BH122:BH133)</f>
        <v>34312.686596764957</v>
      </c>
      <c r="BZ133" s="96">
        <f t="shared" ref="BZ133" si="349">AVERAGE(F122:F133)</f>
        <v>0.96756589205153032</v>
      </c>
      <c r="CA133" s="102">
        <f t="shared" ref="CA133" si="350">AVERAGE(D122:D133)</f>
        <v>2.0868112336996991E-2</v>
      </c>
      <c r="CB133" s="102">
        <f t="shared" ref="CB133" si="351">AVERAGE(H122:H133)</f>
        <v>1.1565995611472854E-2</v>
      </c>
      <c r="CC133" s="155">
        <f t="shared" si="242"/>
        <v>4.9561920615001585</v>
      </c>
      <c r="CD133">
        <v>171</v>
      </c>
      <c r="CE133">
        <v>110</v>
      </c>
      <c r="CF133">
        <v>39</v>
      </c>
      <c r="CG133">
        <v>27</v>
      </c>
      <c r="CH133" s="118">
        <f t="shared" si="154"/>
        <v>54155.324607329843</v>
      </c>
      <c r="CI133">
        <v>17</v>
      </c>
      <c r="CJ133" s="11">
        <f t="shared" ref="CJ133" si="352">AVERAGE(CI122:CI133)</f>
        <v>4.916666666666667</v>
      </c>
      <c r="CK133" s="233">
        <f t="shared" ref="CK133" si="353">CJ133/K133</f>
        <v>9.6836244985852072E-5</v>
      </c>
      <c r="CM133" s="1779"/>
      <c r="CN133" s="1779"/>
      <c r="CO133" s="1779"/>
      <c r="CP133" s="1779"/>
      <c r="CQ133" s="1344">
        <f t="shared" si="113"/>
        <v>4.0581678677109982E-3</v>
      </c>
      <c r="CR133" s="155">
        <f t="shared" si="114"/>
        <v>0.40581678677109984</v>
      </c>
      <c r="CS133" s="137">
        <f t="shared" si="82"/>
        <v>135.47672833495619</v>
      </c>
      <c r="CT133" s="84">
        <f t="shared" si="83"/>
        <v>0.75456476438403286</v>
      </c>
      <c r="CU133" s="84">
        <f t="shared" si="84"/>
        <v>0.76066186237106115</v>
      </c>
      <c r="CV133" s="84">
        <f t="shared" si="85"/>
        <v>0.76066186237106115</v>
      </c>
      <c r="CW133" s="84">
        <f t="shared" si="332"/>
        <v>0.20176780633019217</v>
      </c>
      <c r="CX133" s="84">
        <f t="shared" si="102"/>
        <v>0.18025248181209924</v>
      </c>
      <c r="CY133" s="1443">
        <f t="shared" si="182"/>
        <v>-0.24543523561596703</v>
      </c>
      <c r="CZ133" s="106">
        <f t="shared" si="186"/>
        <v>-0.22250846165156446</v>
      </c>
      <c r="DA133" s="106">
        <v>0.05</v>
      </c>
      <c r="DB133" s="106">
        <v>-0.05</v>
      </c>
      <c r="DC133" s="453">
        <f t="shared" si="87"/>
        <v>3.2958779617007465</v>
      </c>
      <c r="DD133" s="11">
        <f t="shared" si="88"/>
        <v>237.25700934579439</v>
      </c>
      <c r="DE133" s="11">
        <f t="shared" si="89"/>
        <v>133.26246719160105</v>
      </c>
      <c r="DF133" s="11">
        <f t="shared" si="90"/>
        <v>154.57446808510639</v>
      </c>
      <c r="DG133" s="11">
        <f t="shared" si="91"/>
        <v>396.95890410958901</v>
      </c>
      <c r="DH133" s="11">
        <f t="shared" si="155"/>
        <v>604.9</v>
      </c>
      <c r="DI133" s="11">
        <f t="shared" si="151"/>
        <v>476.51851851851853</v>
      </c>
      <c r="DJ133" s="11">
        <f t="shared" si="92"/>
        <v>81.022304832713758</v>
      </c>
      <c r="DK133" s="11">
        <f t="shared" si="93"/>
        <v>258.73214285714283</v>
      </c>
      <c r="DL133" s="11">
        <f t="shared" si="156"/>
        <v>389.11695906432749</v>
      </c>
      <c r="DM133" s="11">
        <f t="shared" si="152"/>
        <v>329.89743589743591</v>
      </c>
    </row>
    <row r="134" spans="1:117" x14ac:dyDescent="0.25">
      <c r="A134" s="80">
        <v>44805</v>
      </c>
      <c r="B134" s="180">
        <v>126006</v>
      </c>
      <c r="C134" s="95">
        <v>3250</v>
      </c>
      <c r="D134" s="145">
        <f t="shared" si="160"/>
        <v>2.5792422583051602E-2</v>
      </c>
      <c r="E134" s="167">
        <v>122479</v>
      </c>
      <c r="F134" s="145">
        <f t="shared" si="161"/>
        <v>0.97200926939986987</v>
      </c>
      <c r="H134" s="107">
        <f t="shared" si="157"/>
        <v>2.1983080170785291E-3</v>
      </c>
      <c r="I134" s="147">
        <v>10066416</v>
      </c>
      <c r="J134" s="111">
        <f t="shared" si="196"/>
        <v>10939519.166666666</v>
      </c>
      <c r="K134" s="95">
        <f t="shared" si="173"/>
        <v>63989</v>
      </c>
      <c r="L134" s="95">
        <f t="shared" si="174"/>
        <v>57531.583333333336</v>
      </c>
      <c r="M134" s="95">
        <f t="shared" si="162"/>
        <v>352</v>
      </c>
      <c r="N134" s="95">
        <f t="shared" si="175"/>
        <v>335.33333333333331</v>
      </c>
      <c r="O134" s="95">
        <f t="shared" si="176"/>
        <v>200</v>
      </c>
      <c r="P134" s="95">
        <f t="shared" si="177"/>
        <v>194.91666666666666</v>
      </c>
      <c r="Q134" s="103">
        <v>39831</v>
      </c>
      <c r="R134" s="95">
        <f t="shared" si="187"/>
        <v>30218.083333333332</v>
      </c>
      <c r="S134" s="161">
        <v>122</v>
      </c>
      <c r="T134" s="179">
        <f t="shared" si="48"/>
        <v>98.833333333333329</v>
      </c>
      <c r="U134" s="103">
        <v>62</v>
      </c>
      <c r="V134" s="179">
        <f t="shared" si="188"/>
        <v>64.583333333333329</v>
      </c>
      <c r="W134" s="103">
        <v>24158</v>
      </c>
      <c r="X134" s="95">
        <f t="shared" si="134"/>
        <v>27313.5</v>
      </c>
      <c r="Y134" s="103">
        <v>230</v>
      </c>
      <c r="Z134" s="179">
        <f t="shared" si="50"/>
        <v>236.5</v>
      </c>
      <c r="AA134" s="103">
        <v>138</v>
      </c>
      <c r="AB134" s="179">
        <f t="shared" si="210"/>
        <v>130.33333333333334</v>
      </c>
      <c r="AC134" s="103">
        <v>55611</v>
      </c>
      <c r="AD134" s="160">
        <v>13565</v>
      </c>
      <c r="AE134" s="9">
        <v>199</v>
      </c>
      <c r="AF134">
        <v>126</v>
      </c>
      <c r="AG134">
        <v>61</v>
      </c>
      <c r="AH134">
        <v>12</v>
      </c>
      <c r="AI134" s="102">
        <v>4.9500000000000002E-2</v>
      </c>
      <c r="AJ134" s="205">
        <v>6.9800000000000001E-2</v>
      </c>
      <c r="AK134" s="745">
        <v>1836545</v>
      </c>
      <c r="AL134" s="101">
        <v>1463214</v>
      </c>
      <c r="AM134" s="101">
        <v>31211</v>
      </c>
      <c r="AN134" s="206">
        <v>12253</v>
      </c>
      <c r="AO134" s="905">
        <f t="shared" si="208"/>
        <v>3.1005076682704153E-3</v>
      </c>
      <c r="AP134" s="909">
        <f t="shared" si="209"/>
        <v>0.31005076682704152</v>
      </c>
      <c r="AQ134" s="148">
        <f t="shared" si="199"/>
        <v>247.70634920634922</v>
      </c>
      <c r="AR134" s="101">
        <f t="shared" si="200"/>
        <v>156.8391959798995</v>
      </c>
      <c r="AS134" s="146">
        <f t="shared" si="158"/>
        <v>1.6994410700527349E-2</v>
      </c>
      <c r="AT134" s="147">
        <f t="shared" si="189"/>
        <v>28.700948600540716</v>
      </c>
      <c r="AU134" s="149">
        <f t="shared" si="159"/>
        <v>9.5763696549758279</v>
      </c>
      <c r="AV134" s="101">
        <f t="shared" si="137"/>
        <v>14575.753968253968</v>
      </c>
      <c r="AW134" s="158">
        <f t="shared" si="138"/>
        <v>9228.8693467336689</v>
      </c>
      <c r="AX134" s="150">
        <f t="shared" si="164"/>
        <v>0.79672101690946862</v>
      </c>
      <c r="AY134" s="148">
        <f t="shared" si="165"/>
        <v>22.86664895528919</v>
      </c>
      <c r="AZ134" s="148">
        <f t="shared" si="201"/>
        <v>7.6296949698133183</v>
      </c>
      <c r="BA134" s="148">
        <f t="shared" si="202"/>
        <v>11612.809523809523</v>
      </c>
      <c r="BB134" s="101">
        <f t="shared" si="203"/>
        <v>7352.8341708542712</v>
      </c>
      <c r="BC134" s="95">
        <f t="shared" si="204"/>
        <v>507.84920634920633</v>
      </c>
      <c r="BD134" s="95">
        <f t="shared" si="205"/>
        <v>321.5527638190955</v>
      </c>
      <c r="BE134" s="148">
        <f t="shared" si="167"/>
        <v>157.31478847926988</v>
      </c>
      <c r="BF134" s="118">
        <f t="shared" si="124"/>
        <v>79892.190476190473</v>
      </c>
      <c r="BG134" s="148">
        <f t="shared" si="125"/>
        <v>821.54704970211378</v>
      </c>
      <c r="BH134" s="148">
        <f t="shared" si="197"/>
        <v>28597.772727272728</v>
      </c>
      <c r="BI134" s="158">
        <f t="shared" si="198"/>
        <v>50332.08</v>
      </c>
      <c r="BJ134" s="80">
        <f t="shared" ref="BJ134" si="354">A134</f>
        <v>44805</v>
      </c>
      <c r="BK134" s="95">
        <f t="shared" ref="BK134" si="355">AVERAGE(AC123:AC134)</f>
        <v>67579.75</v>
      </c>
      <c r="BL134" s="95">
        <f t="shared" ref="BL134" si="356">AVERAGE(AD123:AD134)</f>
        <v>21017</v>
      </c>
      <c r="BM134" s="95">
        <f t="shared" ref="BM134" si="357">AVERAGE(B123:B134)</f>
        <v>121857.16666666667</v>
      </c>
      <c r="BN134" s="95">
        <f t="shared" si="337"/>
        <v>97.246031746031747</v>
      </c>
      <c r="BO134" s="134">
        <f t="shared" si="338"/>
        <v>119.41679588672162</v>
      </c>
      <c r="BP134" s="118">
        <f t="shared" ref="BP134" si="358">AVERAGE(BG123:BG134)</f>
        <v>921.81696909815116</v>
      </c>
      <c r="BQ134" s="115">
        <f t="shared" ref="BQ134" si="359">AVERAGE(AN123:AN134)</f>
        <v>12016.637666666667</v>
      </c>
      <c r="BR134" s="118">
        <f t="shared" ref="BR134" si="360">AVERAGE(BE123:BE134)</f>
        <v>190.74597485693178</v>
      </c>
      <c r="BS134" s="118">
        <f t="shared" ref="BS134" si="361">AVERAGE(BA123:BA134)</f>
        <v>12297.832520747375</v>
      </c>
      <c r="BT134" s="80">
        <f t="shared" ref="BT134" si="362">BJ134</f>
        <v>44805</v>
      </c>
      <c r="BU134" s="118">
        <f t="shared" ref="BU134" si="363">AVERAGE(BO123:BO134)</f>
        <v>127.10406525121566</v>
      </c>
      <c r="BV134" s="1539">
        <f t="shared" ref="BV134" si="364">AVERAGE(AO123:AO134)</f>
        <v>3.993387365204386E-3</v>
      </c>
      <c r="BW134" s="11">
        <f t="shared" ref="BW134" si="365">AVERAGE(AF123:AF134)</f>
        <v>123.25</v>
      </c>
      <c r="BX134" s="118">
        <f t="shared" ref="BX134" si="366">AVERAGE(BI123:BI134)</f>
        <v>56728.177529013024</v>
      </c>
      <c r="BY134" s="118">
        <f t="shared" ref="BY134" si="367">AVERAGE(BH123:BH134)</f>
        <v>32801.789106234653</v>
      </c>
      <c r="BZ134" s="96">
        <f t="shared" ref="BZ134" si="368">AVERAGE(F123:F134)</f>
        <v>0.97067490849452243</v>
      </c>
      <c r="CA134" s="102">
        <f t="shared" ref="CA134" si="369">AVERAGE(D123:D134)</f>
        <v>2.128902719768018E-2</v>
      </c>
      <c r="CB134" s="102">
        <f t="shared" ref="CB134" si="370">AVERAGE(H123:H134)</f>
        <v>8.0360643077974948E-3</v>
      </c>
      <c r="CC134" s="155">
        <f t="shared" si="242"/>
        <v>5.4811703497600117</v>
      </c>
      <c r="CD134">
        <v>179</v>
      </c>
      <c r="CE134">
        <v>110</v>
      </c>
      <c r="CF134">
        <v>37</v>
      </c>
      <c r="CG134">
        <v>23</v>
      </c>
      <c r="CH134" s="118">
        <f t="shared" si="154"/>
        <v>50585.005025125625</v>
      </c>
      <c r="CI134">
        <v>7</v>
      </c>
      <c r="CJ134" s="11">
        <f t="shared" ref="CJ134" si="371">AVERAGE(CI123:CI134)</f>
        <v>5.166666666666667</v>
      </c>
      <c r="CK134" s="233">
        <f t="shared" ref="CK134" si="372">CJ134/K134</f>
        <v>8.074304437741904E-5</v>
      </c>
      <c r="CM134" s="1779"/>
      <c r="CN134" s="1779"/>
      <c r="CO134" s="1779"/>
      <c r="CP134" s="1779"/>
      <c r="CQ134" s="1344">
        <f t="shared" ref="CQ134" si="373">AVERAGE(AO123:AO134)</f>
        <v>3.993387365204386E-3</v>
      </c>
      <c r="CR134" s="155">
        <f t="shared" ref="CR134" si="374">AVERAGE(AP123:AP134)</f>
        <v>0.39933873652043861</v>
      </c>
      <c r="CS134" s="137">
        <f t="shared" si="82"/>
        <v>149.88533420386844</v>
      </c>
      <c r="CT134" s="84">
        <f t="shared" si="83"/>
        <v>0.79672101690946862</v>
      </c>
      <c r="CU134" s="84">
        <f t="shared" si="84"/>
        <v>0.75456476438403297</v>
      </c>
      <c r="CV134" s="84">
        <f t="shared" si="85"/>
        <v>0.75456476438403286</v>
      </c>
      <c r="CW134" s="84">
        <f t="shared" si="332"/>
        <v>0.18244278797935631</v>
      </c>
      <c r="CX134" s="84">
        <f t="shared" si="102"/>
        <v>0.19124641659188471</v>
      </c>
      <c r="CY134" s="1443">
        <f t="shared" si="182"/>
        <v>-0.20327898309053138</v>
      </c>
      <c r="CZ134" s="106">
        <f t="shared" si="186"/>
        <v>-0.2299404125973552</v>
      </c>
      <c r="DA134" s="106">
        <v>0.05</v>
      </c>
      <c r="DB134" s="106">
        <v>-0.05</v>
      </c>
      <c r="DC134" s="453">
        <f>K134/AN134</f>
        <v>5.2223129029625399</v>
      </c>
      <c r="DD134" s="11">
        <f t="shared" si="88"/>
        <v>319.94499999999999</v>
      </c>
      <c r="DE134" s="11">
        <f t="shared" si="89"/>
        <v>181.78693181818181</v>
      </c>
      <c r="DF134" s="11">
        <f t="shared" si="90"/>
        <v>175.05797101449275</v>
      </c>
      <c r="DG134" s="11">
        <f t="shared" si="91"/>
        <v>642.43548387096769</v>
      </c>
      <c r="DH134" s="11">
        <f t="shared" si="155"/>
        <v>505.55454545454546</v>
      </c>
      <c r="DI134" s="11">
        <f t="shared" si="151"/>
        <v>589.78260869565213</v>
      </c>
      <c r="DJ134" s="11">
        <f t="shared" si="92"/>
        <v>105.03478260869565</v>
      </c>
      <c r="DK134" s="11">
        <f t="shared" si="93"/>
        <v>326.48360655737707</v>
      </c>
      <c r="DL134" s="11">
        <f t="shared" si="156"/>
        <v>310.67597765363126</v>
      </c>
      <c r="DM134" s="11">
        <f t="shared" si="152"/>
        <v>366.62162162162161</v>
      </c>
    </row>
    <row r="135" spans="1:117" ht="15.75" thickBot="1" x14ac:dyDescent="0.3">
      <c r="A135" s="80">
        <v>44835</v>
      </c>
      <c r="B135" s="180">
        <v>123760</v>
      </c>
      <c r="C135" s="95">
        <v>3148</v>
      </c>
      <c r="D135" s="145">
        <f t="shared" si="160"/>
        <v>2.5436328377504848E-2</v>
      </c>
      <c r="E135" s="167">
        <v>120212</v>
      </c>
      <c r="F135" s="145">
        <f t="shared" si="161"/>
        <v>0.97133160956690368</v>
      </c>
      <c r="H135" s="107">
        <f t="shared" si="157"/>
        <v>3.2320620555914767E-3</v>
      </c>
      <c r="I135" s="147">
        <v>9729746</v>
      </c>
      <c r="J135" s="111">
        <f t="shared" si="196"/>
        <v>10323066.833333334</v>
      </c>
      <c r="K135" s="95">
        <f t="shared" si="173"/>
        <v>53147</v>
      </c>
      <c r="L135" s="95">
        <f t="shared" si="174"/>
        <v>56813.5</v>
      </c>
      <c r="M135" s="95">
        <f t="shared" si="162"/>
        <v>351</v>
      </c>
      <c r="N135" s="95">
        <f t="shared" si="175"/>
        <v>338.41666666666669</v>
      </c>
      <c r="O135" s="95">
        <f t="shared" si="176"/>
        <v>220</v>
      </c>
      <c r="P135" s="95">
        <f t="shared" si="177"/>
        <v>199.16666666666666</v>
      </c>
      <c r="Q135" s="103">
        <v>33172</v>
      </c>
      <c r="R135" s="95">
        <f t="shared" si="187"/>
        <v>29970.916666666668</v>
      </c>
      <c r="S135" s="161">
        <v>122</v>
      </c>
      <c r="T135" s="179">
        <f t="shared" si="48"/>
        <v>101.41666666666667</v>
      </c>
      <c r="U135" s="103">
        <v>88</v>
      </c>
      <c r="V135" s="179">
        <f t="shared" si="188"/>
        <v>67.166666666666671</v>
      </c>
      <c r="W135" s="103">
        <v>19975</v>
      </c>
      <c r="X135" s="95">
        <f t="shared" si="134"/>
        <v>26842.583333333332</v>
      </c>
      <c r="Y135" s="103">
        <v>229</v>
      </c>
      <c r="Z135" s="179">
        <f t="shared" si="50"/>
        <v>237</v>
      </c>
      <c r="AA135" s="103">
        <v>132</v>
      </c>
      <c r="AB135" s="179">
        <f t="shared" si="210"/>
        <v>132</v>
      </c>
      <c r="AC135" s="103">
        <v>62739</v>
      </c>
      <c r="AD135" s="160">
        <v>12484</v>
      </c>
      <c r="AE135" s="9">
        <v>199</v>
      </c>
      <c r="AF135">
        <v>123</v>
      </c>
      <c r="AG135">
        <v>65</v>
      </c>
      <c r="AH135">
        <v>11</v>
      </c>
      <c r="AI135" s="102">
        <v>5.0199999999999995E-2</v>
      </c>
      <c r="AJ135" s="205">
        <v>7.2700000000000001E-2</v>
      </c>
      <c r="AK135" s="111">
        <v>1830031</v>
      </c>
      <c r="AL135" s="101">
        <v>1387391</v>
      </c>
      <c r="AM135" s="101">
        <v>52706</v>
      </c>
      <c r="AN135" s="206">
        <v>13528</v>
      </c>
      <c r="AO135" s="905">
        <f t="shared" si="208"/>
        <v>5.4169964971336349E-3</v>
      </c>
      <c r="AP135" s="909">
        <f t="shared" si="209"/>
        <v>0.54169964971336348</v>
      </c>
      <c r="AQ135" s="148">
        <f t="shared" si="199"/>
        <v>428.5040650406504</v>
      </c>
      <c r="AR135" s="101">
        <f t="shared" si="200"/>
        <v>264.8542713567839</v>
      </c>
      <c r="AS135" s="146">
        <f t="shared" si="158"/>
        <v>2.8800605017073481E-2</v>
      </c>
      <c r="AT135" s="147">
        <f t="shared" si="189"/>
        <v>34.433382881442036</v>
      </c>
      <c r="AU135" s="149">
        <f t="shared" si="159"/>
        <v>9.8234501823972664</v>
      </c>
      <c r="AV135" s="101">
        <f t="shared" si="137"/>
        <v>14878.300813008131</v>
      </c>
      <c r="AW135" s="158">
        <f t="shared" si="138"/>
        <v>9196.13567839196</v>
      </c>
      <c r="AX135" s="150">
        <f t="shared" si="164"/>
        <v>0.75812431592688867</v>
      </c>
      <c r="AY135" s="148">
        <f t="shared" si="165"/>
        <v>26.104784842041884</v>
      </c>
      <c r="AZ135" s="148">
        <f t="shared" si="201"/>
        <v>7.4473964495717979</v>
      </c>
      <c r="BA135" s="148">
        <f t="shared" si="202"/>
        <v>11279.60162601626</v>
      </c>
      <c r="BB135" s="101">
        <f t="shared" si="203"/>
        <v>6971.8140703517583</v>
      </c>
      <c r="BC135" s="95">
        <f t="shared" si="204"/>
        <v>432.08943089430892</v>
      </c>
      <c r="BD135" s="95">
        <f t="shared" si="205"/>
        <v>267.07035175879395</v>
      </c>
      <c r="BE135" s="148">
        <f t="shared" si="167"/>
        <v>183.07234651062149</v>
      </c>
      <c r="BF135" s="118">
        <f t="shared" si="124"/>
        <v>79103.626016260168</v>
      </c>
      <c r="BG135" s="148">
        <f t="shared" si="125"/>
        <v>719.23018923713778</v>
      </c>
      <c r="BH135" s="148">
        <f t="shared" si="197"/>
        <v>27720.074074074073</v>
      </c>
      <c r="BI135" s="158">
        <f t="shared" si="198"/>
        <v>44226.118181818179</v>
      </c>
      <c r="BJ135" s="80">
        <f t="shared" ref="BJ135" si="375">A135</f>
        <v>44835</v>
      </c>
      <c r="BK135" s="95">
        <f t="shared" ref="BK135" si="376">AVERAGE(AC124:AC135)</f>
        <v>66544.75</v>
      </c>
      <c r="BL135" s="95">
        <f t="shared" ref="BL135" si="377">AVERAGE(AD124:AD135)</f>
        <v>20024.916666666668</v>
      </c>
      <c r="BM135" s="95">
        <f t="shared" ref="BM135" si="378">AVERAGE(B124:B135)</f>
        <v>121264.25</v>
      </c>
      <c r="BN135" s="95">
        <f t="shared" si="337"/>
        <v>109.98373983739837</v>
      </c>
      <c r="BO135" s="134">
        <f t="shared" si="338"/>
        <v>102.55699290360734</v>
      </c>
      <c r="BP135" s="118">
        <f t="shared" ref="BP135" si="379">AVERAGE(BG124:BG135)</f>
        <v>859.34305872829771</v>
      </c>
      <c r="BQ135" s="115">
        <f t="shared" ref="BQ135" si="380">AVERAGE(AN124:AN135)</f>
        <v>12172.326999999999</v>
      </c>
      <c r="BR135" s="118">
        <f t="shared" ref="BR135" si="381">AVERAGE(BE124:BE135)</f>
        <v>182.89364773255792</v>
      </c>
      <c r="BS135" s="118">
        <f t="shared" ref="BS135" si="382">AVERAGE(BA124:BA135)</f>
        <v>11925.688962555038</v>
      </c>
      <c r="BT135" s="80">
        <f t="shared" ref="BT135" si="383">BJ135</f>
        <v>44835</v>
      </c>
      <c r="BU135" s="118">
        <f t="shared" ref="BU135" si="384">AVERAGE(BO124:BO135)</f>
        <v>123.15925940435822</v>
      </c>
      <c r="BV135" s="1539">
        <f t="shared" ref="BV135" si="385">AVERAGE(AO124:AO135)</f>
        <v>3.9367173893899206E-3</v>
      </c>
      <c r="BW135" s="11">
        <f t="shared" ref="BW135" si="386">AVERAGE(AF124:AF135)</f>
        <v>124.25</v>
      </c>
      <c r="BX135" s="118">
        <f t="shared" ref="BX135" si="387">AVERAGE(BI124:BI135)</f>
        <v>51968.335306491965</v>
      </c>
      <c r="BY135" s="118">
        <f t="shared" ref="BY135" si="388">AVERAGE(BH124:BH135)</f>
        <v>30566.366935125116</v>
      </c>
      <c r="BZ135" s="96">
        <f t="shared" ref="BZ135" si="389">AVERAGE(F124:F135)</f>
        <v>0.97031707621312691</v>
      </c>
      <c r="CA135" s="102">
        <f t="shared" ref="CA135" si="390">AVERAGE(D124:D135)</f>
        <v>2.2016171085872446E-2</v>
      </c>
      <c r="CB135" s="102">
        <f t="shared" ref="CB135" si="391">AVERAGE(H124:H135)</f>
        <v>7.666752701000634E-3</v>
      </c>
      <c r="CC135" s="155">
        <f t="shared" si="242"/>
        <v>5.3167110283924153</v>
      </c>
      <c r="CD135">
        <v>133</v>
      </c>
      <c r="CE135">
        <v>91</v>
      </c>
      <c r="CF135">
        <v>27</v>
      </c>
      <c r="CG135">
        <v>18</v>
      </c>
      <c r="CH135" s="118">
        <f t="shared" si="154"/>
        <v>48893.195979899494</v>
      </c>
      <c r="CI135">
        <v>4</v>
      </c>
      <c r="CJ135" s="11">
        <f t="shared" ref="CJ135" si="392">AVERAGE(CI124:CI135)</f>
        <v>5.25</v>
      </c>
      <c r="CK135" s="233">
        <f t="shared" ref="CK135" si="393">CJ135/K135</f>
        <v>9.8782621784860854E-5</v>
      </c>
      <c r="CM135" s="1779"/>
      <c r="CN135" s="1779"/>
      <c r="CO135" s="1779"/>
      <c r="CP135" s="1779"/>
      <c r="CQ135" s="1344">
        <f t="shared" ref="CQ135" si="394">AVERAGE(AO124:AO135)</f>
        <v>3.9367173893899206E-3</v>
      </c>
      <c r="CR135" s="155">
        <f t="shared" ref="CR135" si="395">AVERAGE(AP124:AP135)</f>
        <v>0.39367173893899204</v>
      </c>
      <c r="CS135" s="137">
        <f t="shared" si="82"/>
        <v>135.27727675931402</v>
      </c>
      <c r="CT135" s="84">
        <f t="shared" si="83"/>
        <v>0.75812431592688867</v>
      </c>
      <c r="CU135" s="84">
        <f t="shared" ref="CU135" si="396">BA134/AV134</f>
        <v>0.7967210169094685</v>
      </c>
      <c r="CV135" s="84">
        <f t="shared" ref="CV135" si="397">BB134/AW134</f>
        <v>0.7967210169094685</v>
      </c>
      <c r="CW135" s="84">
        <f t="shared" si="332"/>
        <v>0.18808620492251288</v>
      </c>
      <c r="CX135" s="84">
        <f t="shared" si="102"/>
        <v>0.18888010280350295</v>
      </c>
      <c r="CY135" s="1443">
        <f t="shared" si="182"/>
        <v>-0.24187568407311133</v>
      </c>
      <c r="CZ135" s="106">
        <f t="shared" si="186"/>
        <v>-0.23084680100007038</v>
      </c>
      <c r="DA135" s="106">
        <v>0.05</v>
      </c>
      <c r="DB135" s="106">
        <v>-0.05</v>
      </c>
      <c r="DC135" s="453">
        <f>K135/AN135</f>
        <v>3.9286664695446483</v>
      </c>
      <c r="DD135" s="11">
        <f t="shared" si="88"/>
        <v>241.57727272727271</v>
      </c>
      <c r="DE135" s="11">
        <f t="shared" si="89"/>
        <v>151.41595441595442</v>
      </c>
      <c r="DF135" s="11">
        <f t="shared" si="90"/>
        <v>151.32575757575756</v>
      </c>
      <c r="DG135" s="11">
        <f t="shared" si="91"/>
        <v>376.95454545454544</v>
      </c>
      <c r="DH135" s="11">
        <f t="shared" si="155"/>
        <v>689.43956043956041</v>
      </c>
      <c r="DI135" s="11">
        <f t="shared" si="151"/>
        <v>693.55555555555554</v>
      </c>
      <c r="DJ135" s="11">
        <f t="shared" si="92"/>
        <v>87.227074235807862</v>
      </c>
      <c r="DK135" s="11">
        <f t="shared" si="93"/>
        <v>271.90163934426232</v>
      </c>
      <c r="DL135" s="11">
        <f t="shared" si="156"/>
        <v>471.72180451127821</v>
      </c>
      <c r="DM135" s="11">
        <f t="shared" si="152"/>
        <v>462.37037037037038</v>
      </c>
    </row>
    <row r="136" spans="1:117" x14ac:dyDescent="0.25">
      <c r="A136" s="80">
        <v>44866</v>
      </c>
      <c r="B136" s="180">
        <v>93874</v>
      </c>
      <c r="C136" s="95">
        <v>3341</v>
      </c>
      <c r="D136" s="145">
        <f t="shared" si="160"/>
        <v>3.5590259283720733E-2</v>
      </c>
      <c r="E136" s="167">
        <v>91032</v>
      </c>
      <c r="F136" s="145">
        <f t="shared" si="161"/>
        <v>0.96972537656859192</v>
      </c>
      <c r="H136" s="107">
        <f t="shared" si="157"/>
        <v>-5.3156358523126571E-3</v>
      </c>
      <c r="I136" s="147">
        <v>7428029</v>
      </c>
      <c r="J136" s="111">
        <f t="shared" si="196"/>
        <v>9661815.916666666</v>
      </c>
      <c r="K136" s="95">
        <f t="shared" si="173"/>
        <v>35966</v>
      </c>
      <c r="L136" s="95">
        <f t="shared" si="174"/>
        <v>54116.833333333336</v>
      </c>
      <c r="M136" s="95">
        <f t="shared" si="162"/>
        <v>280</v>
      </c>
      <c r="N136" s="95">
        <f t="shared" si="175"/>
        <v>327.5</v>
      </c>
      <c r="O136" s="95">
        <f t="shared" si="176"/>
        <v>182</v>
      </c>
      <c r="P136" s="95">
        <f t="shared" si="177"/>
        <v>194.91666666666666</v>
      </c>
      <c r="Q136" s="103">
        <v>21077</v>
      </c>
      <c r="R136" s="95">
        <f t="shared" si="187"/>
        <v>28479</v>
      </c>
      <c r="S136" s="161">
        <v>80</v>
      </c>
      <c r="T136" s="179">
        <f t="shared" si="48"/>
        <v>96.25</v>
      </c>
      <c r="U136" s="103">
        <v>55</v>
      </c>
      <c r="V136" s="179">
        <f t="shared" si="188"/>
        <v>64.916666666666671</v>
      </c>
      <c r="W136" s="103">
        <v>14889</v>
      </c>
      <c r="X136" s="95">
        <f t="shared" si="134"/>
        <v>25637.833333333332</v>
      </c>
      <c r="Y136" s="103">
        <v>200</v>
      </c>
      <c r="Z136" s="179">
        <f t="shared" si="50"/>
        <v>231.25</v>
      </c>
      <c r="AA136" s="103">
        <v>127</v>
      </c>
      <c r="AB136" s="179">
        <f t="shared" si="210"/>
        <v>130</v>
      </c>
      <c r="AC136" s="103">
        <v>60004</v>
      </c>
      <c r="AD136" s="160">
        <v>8667</v>
      </c>
      <c r="AE136" s="9">
        <v>169</v>
      </c>
      <c r="AF136">
        <v>101</v>
      </c>
      <c r="AG136">
        <v>57</v>
      </c>
      <c r="AH136">
        <v>11</v>
      </c>
      <c r="AI136" s="102">
        <v>5.8499999999999996E-2</v>
      </c>
      <c r="AJ136" s="205">
        <v>0.1081</v>
      </c>
      <c r="AK136" s="111">
        <v>1946725</v>
      </c>
      <c r="AL136" s="101">
        <v>1407928</v>
      </c>
      <c r="AM136" s="101">
        <v>23584</v>
      </c>
      <c r="AN136" s="206">
        <v>11559</v>
      </c>
      <c r="AO136" s="905">
        <f t="shared" si="208"/>
        <v>3.1750010669048278E-3</v>
      </c>
      <c r="AP136" s="909">
        <f t="shared" si="209"/>
        <v>0.31750010669048279</v>
      </c>
      <c r="AQ136" s="148">
        <f t="shared" si="199"/>
        <v>233.50495049504951</v>
      </c>
      <c r="AR136" s="101">
        <f t="shared" si="200"/>
        <v>139.55029585798817</v>
      </c>
      <c r="AS136" s="145">
        <f t="shared" si="158"/>
        <v>1.2114705466873852E-2</v>
      </c>
      <c r="AT136" s="1438">
        <f t="shared" si="189"/>
        <v>54.126814213423792</v>
      </c>
      <c r="AU136" s="149">
        <f t="shared" si="159"/>
        <v>12.18696836856545</v>
      </c>
      <c r="AV136" s="101">
        <f t="shared" si="137"/>
        <v>19274.504950495051</v>
      </c>
      <c r="AW136" s="158">
        <f t="shared" si="138"/>
        <v>11519.082840236686</v>
      </c>
      <c r="AX136" s="150">
        <f t="shared" si="164"/>
        <v>0.7232290128292389</v>
      </c>
      <c r="AY136" s="148">
        <f t="shared" si="165"/>
        <v>39.146082411166098</v>
      </c>
      <c r="AZ136" s="148">
        <f t="shared" si="201"/>
        <v>8.8139691025787492</v>
      </c>
      <c r="BA136" s="148">
        <f t="shared" si="202"/>
        <v>13939.881188118812</v>
      </c>
      <c r="BB136" s="101">
        <f t="shared" si="203"/>
        <v>8330.9349112426044</v>
      </c>
      <c r="BC136" s="95">
        <f t="shared" si="204"/>
        <v>356.0990099009901</v>
      </c>
      <c r="BD136" s="95">
        <f t="shared" si="205"/>
        <v>212.81656804733728</v>
      </c>
      <c r="BE136" s="148">
        <f t="shared" si="167"/>
        <v>206.52919423900352</v>
      </c>
      <c r="BF136" s="118">
        <f t="shared" si="124"/>
        <v>73544.841584158421</v>
      </c>
      <c r="BG136" s="148">
        <f t="shared" si="125"/>
        <v>642.61865213253736</v>
      </c>
      <c r="BH136" s="148">
        <f t="shared" si="197"/>
        <v>26528.674999999999</v>
      </c>
      <c r="BI136" s="158">
        <f t="shared" si="198"/>
        <v>40813.346153846156</v>
      </c>
      <c r="BJ136" s="80">
        <f t="shared" ref="BJ136" si="398">A136</f>
        <v>44866</v>
      </c>
      <c r="BK136" s="95">
        <f t="shared" ref="BK136" si="399">AVERAGE(AC125:AC136)</f>
        <v>64477.416666666664</v>
      </c>
      <c r="BL136" s="95">
        <f t="shared" ref="BL136" si="400">AVERAGE(AD125:AD136)</f>
        <v>18360.833333333332</v>
      </c>
      <c r="BM136" s="95">
        <f t="shared" ref="BM136" si="401">AVERAGE(B125:B136)</f>
        <v>116160.5</v>
      </c>
      <c r="BN136" s="95">
        <f t="shared" si="337"/>
        <v>114.44554455445545</v>
      </c>
      <c r="BO136" s="134">
        <f t="shared" si="338"/>
        <v>121.80361622977766</v>
      </c>
      <c r="BP136" s="118">
        <f t="shared" ref="BP136" si="402">AVERAGE(BG125:BG136)</f>
        <v>800.42368317806984</v>
      </c>
      <c r="BQ136" s="115">
        <f t="shared" ref="BQ136" si="403">AVERAGE(AN125:AN136)</f>
        <v>12186.996083333333</v>
      </c>
      <c r="BR136" s="118">
        <f t="shared" ref="BR136" si="404">AVERAGE(BE125:BE136)</f>
        <v>181.36698843933394</v>
      </c>
      <c r="BS136" s="118">
        <f t="shared" ref="BS136" si="405">AVERAGE(BA125:BA136)</f>
        <v>11896.513696981603</v>
      </c>
      <c r="BT136" s="80">
        <f t="shared" ref="BT136" si="406">BJ136</f>
        <v>44866</v>
      </c>
      <c r="BU136" s="118">
        <f t="shared" ref="BU136" si="407">AVERAGE(BO125:BO136)</f>
        <v>119.91881241881792</v>
      </c>
      <c r="BV136" s="1539">
        <f t="shared" ref="BV136" si="408">AVERAGE(AO125:AO136)</f>
        <v>3.9723313715558928E-3</v>
      </c>
      <c r="BW136" s="11">
        <f t="shared" ref="BW136" si="409">AVERAGE(AF125:AF136)</f>
        <v>122</v>
      </c>
      <c r="BX136" s="118">
        <f t="shared" ref="BX136" si="410">AVERAGE(BI125:BI136)</f>
        <v>49874.797986694459</v>
      </c>
      <c r="BY136" s="118">
        <f t="shared" ref="BY136" si="411">AVERAGE(BH125:BH136)</f>
        <v>29662.118237842064</v>
      </c>
      <c r="BZ136" s="96">
        <f t="shared" ref="BZ136" si="412">AVERAGE(F125:F136)</f>
        <v>0.97013809034203413</v>
      </c>
      <c r="CA136" s="102">
        <f t="shared" ref="CA136" si="413">AVERAGE(D125:D136)</f>
        <v>2.3488548975230224E-2</v>
      </c>
      <c r="CB136" s="102">
        <f t="shared" ref="CB136" si="414">AVERAGE(H125:H136)</f>
        <v>6.373360682735682E-3</v>
      </c>
      <c r="CC136" s="155">
        <f t="shared" si="242"/>
        <v>3.8156539829714009</v>
      </c>
      <c r="CD136">
        <v>145</v>
      </c>
      <c r="CE136">
        <v>90</v>
      </c>
      <c r="CF136">
        <v>34</v>
      </c>
      <c r="CG136">
        <v>22</v>
      </c>
      <c r="CH136" s="118">
        <f t="shared" si="154"/>
        <v>43952.834319526628</v>
      </c>
      <c r="CI136">
        <v>4</v>
      </c>
      <c r="CJ136" s="11">
        <f t="shared" ref="CJ136:CJ140" si="415">AVERAGE(CI125:CI136)</f>
        <v>5.25</v>
      </c>
      <c r="CK136" s="233">
        <f t="shared" ref="CK136:CK140" si="416">CJ136/K136</f>
        <v>1.4597119501751654E-4</v>
      </c>
      <c r="CM136" s="1779"/>
      <c r="CN136" s="1779"/>
      <c r="CO136" s="1779"/>
      <c r="CP136" s="1779"/>
      <c r="CQ136" s="1344">
        <f t="shared" ref="CQ136:CQ137" si="417">AVERAGE(AO125:AO136)</f>
        <v>3.9723313715558928E-3</v>
      </c>
      <c r="CR136" s="155">
        <f t="shared" ref="CR136:CR137" si="418">AVERAGE(AP125:AP136)</f>
        <v>0.39723313715558933</v>
      </c>
      <c r="CS136" s="137">
        <f t="shared" si="82"/>
        <v>168.41638550047583</v>
      </c>
      <c r="CT136" s="84">
        <f t="shared" si="83"/>
        <v>0.72322901282923879</v>
      </c>
      <c r="CU136" s="84">
        <f t="shared" ref="CU136:CU137" si="419">BA135/AV135</f>
        <v>0.75812431592688856</v>
      </c>
      <c r="CV136" s="84">
        <f t="shared" ref="CV136:CV137" si="420">BB135/AW135</f>
        <v>0.75812431592688856</v>
      </c>
      <c r="CW136" s="84">
        <f t="shared" si="332"/>
        <v>0.26207827136916134</v>
      </c>
      <c r="CX136" s="84">
        <f t="shared" si="102"/>
        <v>0.21134126630245872</v>
      </c>
      <c r="CY136" s="1443">
        <f t="shared" si="182"/>
        <v>-0.2767709871707611</v>
      </c>
      <c r="CZ136" s="106">
        <f t="shared" si="186"/>
        <v>-0.24134960872399325</v>
      </c>
      <c r="DA136" s="106">
        <v>0.05</v>
      </c>
      <c r="DB136" s="106">
        <v>-0.05</v>
      </c>
      <c r="DC136" s="453">
        <f t="shared" si="87"/>
        <v>3.1115148369236092</v>
      </c>
      <c r="DD136" s="11">
        <f t="shared" si="88"/>
        <v>197.61538461538461</v>
      </c>
      <c r="DE136" s="11">
        <f t="shared" si="89"/>
        <v>128.44999999999999</v>
      </c>
      <c r="DF136" s="11">
        <f t="shared" si="90"/>
        <v>117.23622047244095</v>
      </c>
      <c r="DG136" s="11">
        <f t="shared" si="91"/>
        <v>383.21818181818179</v>
      </c>
      <c r="DH136" s="11">
        <f t="shared" si="155"/>
        <v>666.71111111111111</v>
      </c>
      <c r="DI136" s="11">
        <f t="shared" si="151"/>
        <v>393.95454545454544</v>
      </c>
      <c r="DJ136" s="11">
        <f t="shared" si="92"/>
        <v>74.444999999999993</v>
      </c>
      <c r="DK136" s="11">
        <f t="shared" si="93"/>
        <v>263.46249999999998</v>
      </c>
      <c r="DL136" s="11">
        <f t="shared" si="156"/>
        <v>413.82068965517243</v>
      </c>
      <c r="DM136" s="11">
        <f t="shared" si="152"/>
        <v>254.91176470588235</v>
      </c>
    </row>
    <row r="137" spans="1:117" x14ac:dyDescent="0.25">
      <c r="A137" s="80">
        <v>44896</v>
      </c>
      <c r="B137" s="180">
        <v>48146</v>
      </c>
      <c r="C137" s="95">
        <v>1027</v>
      </c>
      <c r="D137" s="145">
        <f t="shared" si="160"/>
        <v>2.1330951688613799E-2</v>
      </c>
      <c r="E137" s="167">
        <v>46960</v>
      </c>
      <c r="F137" s="145">
        <f t="shared" si="161"/>
        <v>0.97536659327877706</v>
      </c>
      <c r="H137" s="107">
        <f t="shared" si="157"/>
        <v>3.3024550326091404E-3</v>
      </c>
      <c r="I137" s="147">
        <v>4104662</v>
      </c>
      <c r="J137" s="111">
        <f t="shared" si="196"/>
        <v>9068343.583333334</v>
      </c>
      <c r="K137" s="95">
        <f t="shared" si="173"/>
        <v>20029</v>
      </c>
      <c r="L137" s="95">
        <f t="shared" si="174"/>
        <v>50609.583333333336</v>
      </c>
      <c r="M137" s="95">
        <f t="shared" si="162"/>
        <v>155</v>
      </c>
      <c r="N137" s="95">
        <f t="shared" si="175"/>
        <v>314.08333333333331</v>
      </c>
      <c r="O137" s="95">
        <f t="shared" si="176"/>
        <v>112</v>
      </c>
      <c r="P137" s="95">
        <f t="shared" si="177"/>
        <v>187.08333333333334</v>
      </c>
      <c r="Q137" s="103">
        <v>10987</v>
      </c>
      <c r="R137" s="95">
        <f t="shared" si="187"/>
        <v>26842.083333333332</v>
      </c>
      <c r="S137" s="161">
        <v>52</v>
      </c>
      <c r="T137" s="179">
        <f t="shared" si="48"/>
        <v>92.833333333333329</v>
      </c>
      <c r="U137" s="103">
        <v>39</v>
      </c>
      <c r="V137" s="179">
        <f t="shared" si="188"/>
        <v>62.25</v>
      </c>
      <c r="W137" s="103">
        <v>9042</v>
      </c>
      <c r="X137" s="95">
        <f t="shared" si="134"/>
        <v>23767.5</v>
      </c>
      <c r="Y137" s="103">
        <v>103</v>
      </c>
      <c r="Z137" s="179">
        <f t="shared" si="50"/>
        <v>221.25</v>
      </c>
      <c r="AA137" s="103">
        <v>73</v>
      </c>
      <c r="AB137" s="179">
        <f t="shared" si="210"/>
        <v>124.83333333333333</v>
      </c>
      <c r="AC137" s="103">
        <v>41200</v>
      </c>
      <c r="AD137" s="160">
        <v>11704</v>
      </c>
      <c r="AE137" s="9">
        <v>153</v>
      </c>
      <c r="AF137">
        <v>91</v>
      </c>
      <c r="AG137">
        <v>54</v>
      </c>
      <c r="AH137">
        <v>8</v>
      </c>
      <c r="AI137" s="102">
        <v>6.0100000000000001E-2</v>
      </c>
      <c r="AJ137" s="205">
        <v>0.3004</v>
      </c>
      <c r="AK137" s="111">
        <v>1327616</v>
      </c>
      <c r="AL137" s="101">
        <v>832199</v>
      </c>
      <c r="AM137" s="101">
        <v>40838</v>
      </c>
      <c r="AN137" s="206">
        <v>5898</v>
      </c>
      <c r="AO137" s="905">
        <f t="shared" si="208"/>
        <v>9.9491748650680622E-3</v>
      </c>
      <c r="AP137" s="909">
        <f t="shared" si="209"/>
        <v>0.99491748650680623</v>
      </c>
      <c r="AQ137" s="148">
        <f t="shared" si="199"/>
        <v>448.76923076923077</v>
      </c>
      <c r="AR137" s="101">
        <f t="shared" si="200"/>
        <v>266.91503267973854</v>
      </c>
      <c r="AS137" s="145">
        <f t="shared" si="158"/>
        <v>3.0760400597763207E-2</v>
      </c>
      <c r="AT137" s="1440">
        <f t="shared" si="189"/>
        <v>66.284687203554839</v>
      </c>
      <c r="AU137" s="149">
        <f t="shared" si="159"/>
        <v>10.679816508226361</v>
      </c>
      <c r="AV137" s="101">
        <f t="shared" si="137"/>
        <v>14589.186813186812</v>
      </c>
      <c r="AW137" s="158">
        <f t="shared" si="138"/>
        <v>8677.2287581699347</v>
      </c>
      <c r="AX137" s="150">
        <f>AL137/AK137</f>
        <v>0.62683712760316235</v>
      </c>
      <c r="AY137" s="148">
        <f t="shared" si="165"/>
        <v>41.549702930750414</v>
      </c>
      <c r="AZ137" s="148">
        <f t="shared" si="201"/>
        <v>6.6945055033454475</v>
      </c>
      <c r="BA137" s="148">
        <f t="shared" si="202"/>
        <v>9145.0439560439554</v>
      </c>
      <c r="BB137" s="101">
        <f t="shared" si="203"/>
        <v>5439.2091503267975</v>
      </c>
      <c r="BC137" s="95">
        <f t="shared" si="204"/>
        <v>220.09890109890111</v>
      </c>
      <c r="BD137" s="95">
        <f t="shared" si="205"/>
        <v>130.90849673202615</v>
      </c>
      <c r="BE137" s="148">
        <f t="shared" si="167"/>
        <v>204.93594288281992</v>
      </c>
      <c r="BF137" s="118">
        <f t="shared" si="124"/>
        <v>45106.175824175822</v>
      </c>
      <c r="BG137" s="148">
        <f t="shared" si="125"/>
        <v>695.94133604611727</v>
      </c>
      <c r="BH137" s="148">
        <f t="shared" si="197"/>
        <v>26481.690322580645</v>
      </c>
      <c r="BI137" s="158">
        <f t="shared" si="198"/>
        <v>36648.767857142855</v>
      </c>
      <c r="BJ137" s="80">
        <f t="shared" ref="BJ137" si="421">A137</f>
        <v>44896</v>
      </c>
      <c r="BK137" s="95">
        <f t="shared" ref="BK137" si="422">AVERAGE(AC126:AC137)</f>
        <v>62514.916666666664</v>
      </c>
      <c r="BL137" s="95">
        <f t="shared" ref="BL137" si="423">AVERAGE(AD126:AD137)</f>
        <v>17836.916666666668</v>
      </c>
      <c r="BM137" s="95">
        <f t="shared" ref="BM137" si="424">AVERAGE(B126:B137)</f>
        <v>110187.66666666667</v>
      </c>
      <c r="BN137" s="95">
        <f t="shared" si="337"/>
        <v>64.813186813186817</v>
      </c>
      <c r="BO137" s="134">
        <f t="shared" si="338"/>
        <v>141.09850796880298</v>
      </c>
      <c r="BP137" s="118">
        <f t="shared" ref="BP137" si="425">AVERAGE(BG126:BG137)</f>
        <v>790.79512381802363</v>
      </c>
      <c r="BQ137" s="115">
        <f t="shared" ref="BQ137" si="426">AVERAGE(AN126:AN137)</f>
        <v>11525.636083333333</v>
      </c>
      <c r="BR137" s="118">
        <f t="shared" ref="BR137" si="427">AVERAGE(BE126:BE137)</f>
        <v>183.38400905145377</v>
      </c>
      <c r="BS137" s="118">
        <f t="shared" ref="BS137" si="428">AVERAGE(BA126:BA137)</f>
        <v>11760.988734031069</v>
      </c>
      <c r="BT137" s="80">
        <f t="shared" ref="BT137" si="429">BJ137</f>
        <v>44896</v>
      </c>
      <c r="BU137" s="118">
        <f t="shared" ref="BU137" si="430">AVERAGE(BO126:BO137)</f>
        <v>123.17735054936914</v>
      </c>
      <c r="BV137" s="1539">
        <f t="shared" ref="BV137" si="431">AVERAGE(AO126:AO137)</f>
        <v>4.5511174356789525E-3</v>
      </c>
      <c r="BW137" s="11">
        <f t="shared" ref="BW137" si="432">AVERAGE(AF126:AF137)</f>
        <v>118.66666666666667</v>
      </c>
      <c r="BX137" s="118">
        <f t="shared" ref="BX137" si="433">AVERAGE(BI126:BI137)</f>
        <v>48387.466343721731</v>
      </c>
      <c r="BY137" s="118">
        <f t="shared" ref="BY137" si="434">AVERAGE(BH126:BH137)</f>
        <v>28908.395701432644</v>
      </c>
      <c r="BZ137" s="96">
        <f t="shared" ref="BZ137" si="435">AVERAGE(F126:F137)</f>
        <v>0.97012795375288852</v>
      </c>
      <c r="CA137" s="102">
        <f t="shared" ref="CA137" si="436">AVERAGE(D126:D137)</f>
        <v>2.3565660914896466E-2</v>
      </c>
      <c r="CB137" s="102">
        <f t="shared" ref="CB137" si="437">AVERAGE(H126:H137)</f>
        <v>6.3063853322149199E-3</v>
      </c>
      <c r="CC137" s="155">
        <f t="shared" si="242"/>
        <v>3.091753940898573</v>
      </c>
      <c r="CD137">
        <v>93</v>
      </c>
      <c r="CE137">
        <v>75</v>
      </c>
      <c r="CF137">
        <v>22</v>
      </c>
      <c r="CG137">
        <v>16</v>
      </c>
      <c r="CH137" s="118">
        <f t="shared" si="154"/>
        <v>26827.856209150326</v>
      </c>
      <c r="CI137">
        <v>5</v>
      </c>
      <c r="CJ137" s="11">
        <f t="shared" si="415"/>
        <v>5.583333333333333</v>
      </c>
      <c r="CK137" s="233">
        <f t="shared" si="416"/>
        <v>2.7876246109807443E-4</v>
      </c>
      <c r="CM137" s="1779"/>
      <c r="CN137" s="1779"/>
      <c r="CO137" s="1779"/>
      <c r="CP137" s="1779"/>
      <c r="CQ137" s="1344">
        <f t="shared" si="417"/>
        <v>4.5511174356789525E-3</v>
      </c>
      <c r="CR137" s="155">
        <f t="shared" si="418"/>
        <v>0.4551117435678953</v>
      </c>
      <c r="CS137" s="137">
        <f t="shared" si="82"/>
        <v>225.09596473380807</v>
      </c>
      <c r="CT137" s="84">
        <f t="shared" si="83"/>
        <v>0.62683712760316235</v>
      </c>
      <c r="CU137" s="84">
        <f t="shared" si="419"/>
        <v>0.72322901282923879</v>
      </c>
      <c r="CV137" s="84">
        <f t="shared" si="420"/>
        <v>0.7232290128292389</v>
      </c>
      <c r="CW137" s="84">
        <f t="shared" si="332"/>
        <v>0.32344100439938783</v>
      </c>
      <c r="CX137" s="84">
        <f t="shared" si="102"/>
        <v>0.2640008292558374</v>
      </c>
      <c r="CY137" s="1443">
        <f t="shared" si="182"/>
        <v>-0.37316287239683765</v>
      </c>
      <c r="CZ137" s="106">
        <f t="shared" si="186"/>
        <v>-0.28933118510954925</v>
      </c>
      <c r="DA137" s="106">
        <v>0.05</v>
      </c>
      <c r="DB137" s="106">
        <v>-0.05</v>
      </c>
      <c r="DC137" s="453">
        <f t="shared" si="87"/>
        <v>3.3958969142082061</v>
      </c>
      <c r="DD137" s="11">
        <f t="shared" si="88"/>
        <v>178.83035714285714</v>
      </c>
      <c r="DE137" s="11">
        <f t="shared" si="89"/>
        <v>129.21935483870968</v>
      </c>
      <c r="DF137" s="11">
        <f t="shared" si="90"/>
        <v>123.86301369863014</v>
      </c>
      <c r="DG137" s="11">
        <f t="shared" si="91"/>
        <v>281.71794871794873</v>
      </c>
      <c r="DH137" s="11">
        <f t="shared" si="155"/>
        <v>549.33333333333337</v>
      </c>
      <c r="DI137" s="11">
        <f t="shared" si="151"/>
        <v>731.5</v>
      </c>
      <c r="DJ137" s="11">
        <f t="shared" si="92"/>
        <v>87.786407766990294</v>
      </c>
      <c r="DK137" s="11">
        <f t="shared" si="93"/>
        <v>211.28846153846155</v>
      </c>
      <c r="DL137" s="11">
        <f t="shared" si="156"/>
        <v>443.01075268817203</v>
      </c>
      <c r="DM137" s="11">
        <f t="shared" si="152"/>
        <v>532</v>
      </c>
    </row>
    <row r="138" spans="1:117" s="31" customFormat="1" x14ac:dyDescent="0.25">
      <c r="A138" s="738">
        <v>44927</v>
      </c>
      <c r="B138" s="761">
        <v>39371</v>
      </c>
      <c r="C138" s="740">
        <v>880</v>
      </c>
      <c r="D138" s="762">
        <f t="shared" si="160"/>
        <v>2.2351476975438773E-2</v>
      </c>
      <c r="E138" s="763">
        <v>38029</v>
      </c>
      <c r="F138" s="762">
        <f t="shared" si="161"/>
        <v>0.96591399761245589</v>
      </c>
      <c r="H138" s="764">
        <f t="shared" si="157"/>
        <v>1.1734525412105339E-2</v>
      </c>
      <c r="I138" s="765">
        <v>2924488</v>
      </c>
      <c r="J138" s="745">
        <f t="shared" si="196"/>
        <v>8500957.833333334</v>
      </c>
      <c r="K138" s="740">
        <f t="shared" si="173"/>
        <v>17373</v>
      </c>
      <c r="L138" s="740">
        <f t="shared" si="174"/>
        <v>48493.833333333336</v>
      </c>
      <c r="M138" s="740">
        <f t="shared" si="162"/>
        <v>122</v>
      </c>
      <c r="N138" s="740">
        <f t="shared" si="175"/>
        <v>298.41666666666669</v>
      </c>
      <c r="O138" s="740">
        <f t="shared" si="176"/>
        <v>101</v>
      </c>
      <c r="P138" s="740">
        <f t="shared" si="177"/>
        <v>179.58333333333334</v>
      </c>
      <c r="Q138" s="746">
        <v>8384</v>
      </c>
      <c r="R138" s="740">
        <f t="shared" si="187"/>
        <v>25935.083333333332</v>
      </c>
      <c r="S138" s="747">
        <v>34</v>
      </c>
      <c r="T138" s="748">
        <f t="shared" si="48"/>
        <v>88.166666666666671</v>
      </c>
      <c r="U138" s="746">
        <v>32</v>
      </c>
      <c r="V138" s="748">
        <f t="shared" si="188"/>
        <v>59.916666666666664</v>
      </c>
      <c r="W138" s="746">
        <v>8989</v>
      </c>
      <c r="X138" s="740">
        <f t="shared" si="134"/>
        <v>22558.75</v>
      </c>
      <c r="Y138" s="746">
        <v>88</v>
      </c>
      <c r="Z138" s="748">
        <f t="shared" si="50"/>
        <v>210.25</v>
      </c>
      <c r="AA138" s="746">
        <v>69</v>
      </c>
      <c r="AB138" s="748">
        <f t="shared" si="210"/>
        <v>119.66666666666667</v>
      </c>
      <c r="AC138" s="746">
        <v>18898</v>
      </c>
      <c r="AD138" s="766">
        <v>6174</v>
      </c>
      <c r="AE138" s="649">
        <v>147</v>
      </c>
      <c r="AF138" s="31">
        <v>87</v>
      </c>
      <c r="AG138" s="31">
        <v>54</v>
      </c>
      <c r="AH138" s="31">
        <v>6</v>
      </c>
      <c r="AI138" s="749">
        <v>1.72E-2</v>
      </c>
      <c r="AJ138" s="767">
        <v>0.51690000000000003</v>
      </c>
      <c r="AK138" s="745">
        <v>1141783</v>
      </c>
      <c r="AL138" s="751">
        <v>580344</v>
      </c>
      <c r="AM138" s="751">
        <v>-8387</v>
      </c>
      <c r="AN138" s="768">
        <v>4400</v>
      </c>
      <c r="AO138" s="1310">
        <f t="shared" si="208"/>
        <v>-2.8678524240824377E-3</v>
      </c>
      <c r="AP138" s="1311">
        <f t="shared" si="209"/>
        <v>-0.28678524240824377</v>
      </c>
      <c r="AQ138" s="769">
        <f t="shared" si="199"/>
        <v>-96.402298850574709</v>
      </c>
      <c r="AR138" s="751">
        <f t="shared" si="200"/>
        <v>-57.054421768707485</v>
      </c>
      <c r="AS138" s="762">
        <f t="shared" si="158"/>
        <v>-7.345528878955108E-3</v>
      </c>
      <c r="AT138" s="1441">
        <f t="shared" si="189"/>
        <v>65.72169458354918</v>
      </c>
      <c r="AU138" s="771">
        <f t="shared" si="159"/>
        <v>12.459461769718045</v>
      </c>
      <c r="AV138" s="751">
        <f t="shared" si="137"/>
        <v>13123.942528735632</v>
      </c>
      <c r="AW138" s="772">
        <f t="shared" si="138"/>
        <v>7767.2312925170072</v>
      </c>
      <c r="AX138" s="773">
        <f>AL138/AK138</f>
        <v>0.50827871846051309</v>
      </c>
      <c r="AY138" s="769">
        <f t="shared" si="165"/>
        <v>33.404938697979624</v>
      </c>
      <c r="AZ138" s="769">
        <f t="shared" si="201"/>
        <v>6.3328792610200439</v>
      </c>
      <c r="BA138" s="769">
        <f t="shared" si="202"/>
        <v>6670.6206896551721</v>
      </c>
      <c r="BB138" s="751">
        <f t="shared" si="203"/>
        <v>3947.9183673469388</v>
      </c>
      <c r="BC138" s="740">
        <f t="shared" si="204"/>
        <v>199.68965517241378</v>
      </c>
      <c r="BD138" s="740">
        <f t="shared" si="205"/>
        <v>118.18367346938776</v>
      </c>
      <c r="BE138" s="769">
        <f t="shared" si="167"/>
        <v>168.33523283255627</v>
      </c>
      <c r="BF138" s="756">
        <f t="shared" si="124"/>
        <v>33614.80459770115</v>
      </c>
      <c r="BG138" s="769">
        <f t="shared" si="125"/>
        <v>664.65636363636361</v>
      </c>
      <c r="BH138" s="769">
        <f t="shared" si="197"/>
        <v>23971.213114754097</v>
      </c>
      <c r="BI138" s="772">
        <f t="shared" si="198"/>
        <v>28955.326732673268</v>
      </c>
      <c r="BJ138" s="738">
        <f t="shared" ref="BJ138" si="438">A138</f>
        <v>44927</v>
      </c>
      <c r="BK138" s="740">
        <f t="shared" ref="BK138" si="439">AVERAGE(AC127:AC138)</f>
        <v>59368.083333333336</v>
      </c>
      <c r="BL138" s="740">
        <f t="shared" ref="BL138" si="440">AVERAGE(AD127:AD138)</f>
        <v>16570.916666666668</v>
      </c>
      <c r="BM138" s="740">
        <f t="shared" ref="BM138" si="441">AVERAGE(B127:B138)</f>
        <v>105874.16666666667</v>
      </c>
      <c r="BN138" s="740">
        <f t="shared" si="337"/>
        <v>50.574712643678161</v>
      </c>
      <c r="BO138" s="745">
        <f t="shared" si="338"/>
        <v>131.89636363636365</v>
      </c>
      <c r="BP138" s="756">
        <f t="shared" ref="BP138" si="442">AVERAGE(BG127:BG138)</f>
        <v>771.28052482949579</v>
      </c>
      <c r="BQ138" s="757">
        <f t="shared" ref="BQ138" si="443">AVERAGE(AN127:AN138)</f>
        <v>10989.916666666666</v>
      </c>
      <c r="BR138" s="756">
        <f t="shared" ref="BR138" si="444">AVERAGE(BE127:BE138)</f>
        <v>178.44433174135327</v>
      </c>
      <c r="BS138" s="756">
        <f t="shared" ref="BS138" si="445">AVERAGE(BA127:BA138)</f>
        <v>11505.207124835666</v>
      </c>
      <c r="BT138" s="738">
        <f t="shared" ref="BT138" si="446">BJ138</f>
        <v>44927</v>
      </c>
      <c r="BU138" s="756">
        <f t="shared" ref="BU138" si="447">AVERAGE(BO127:BO138)</f>
        <v>123.74988600431168</v>
      </c>
      <c r="BV138" s="1540">
        <f t="shared" ref="BV138" si="448">AVERAGE(AO127:AO138)</f>
        <v>3.9021548681348315E-3</v>
      </c>
      <c r="BW138" s="759">
        <f t="shared" ref="BW138" si="449">AVERAGE(AF127:AF138)</f>
        <v>114.33333333333333</v>
      </c>
      <c r="BX138" s="756">
        <f t="shared" ref="BX138" si="450">AVERAGE(BI127:BI138)</f>
        <v>46553.849592386912</v>
      </c>
      <c r="BY138" s="756">
        <f t="shared" ref="BY138" si="451">AVERAGE(BH127:BH138)</f>
        <v>28289.567493253558</v>
      </c>
      <c r="BZ138" s="741">
        <f t="shared" ref="BZ138" si="452">AVERAGE(F127:F138)</f>
        <v>0.96928727798634939</v>
      </c>
      <c r="CA138" s="749">
        <f t="shared" ref="CA138" si="453">AVERAGE(D127:D138)</f>
        <v>2.3711013633087332E-2</v>
      </c>
      <c r="CB138" s="749">
        <f t="shared" ref="CB138" si="454">AVERAGE(H127:H138)</f>
        <v>7.0017083805631181E-3</v>
      </c>
      <c r="CC138" s="752">
        <f t="shared" si="242"/>
        <v>2.561334334107269</v>
      </c>
      <c r="CD138" s="31">
        <v>53</v>
      </c>
      <c r="CE138" s="31">
        <v>50</v>
      </c>
      <c r="CF138" s="31">
        <v>13</v>
      </c>
      <c r="CG138" s="31">
        <v>12</v>
      </c>
      <c r="CH138" s="756">
        <f t="shared" si="154"/>
        <v>19894.476190476191</v>
      </c>
      <c r="CI138" s="31">
        <v>3</v>
      </c>
      <c r="CJ138" s="11">
        <f t="shared" si="415"/>
        <v>5.75</v>
      </c>
      <c r="CK138" s="233">
        <f t="shared" si="416"/>
        <v>3.3097334945029642E-4</v>
      </c>
      <c r="CM138" s="1779"/>
      <c r="CN138" s="1779"/>
      <c r="CO138" s="1779"/>
      <c r="CP138" s="1779"/>
      <c r="CQ138" s="1344">
        <f t="shared" ref="CQ138:CQ139" si="455">AVERAGE(AO127:AO138)</f>
        <v>3.9021548681348315E-3</v>
      </c>
      <c r="CR138" s="155">
        <f t="shared" ref="CR138:CR139" si="456">AVERAGE(AP127:AP138)</f>
        <v>0.39021548681348323</v>
      </c>
      <c r="CS138" s="758">
        <f t="shared" si="82"/>
        <v>259.49613636363637</v>
      </c>
      <c r="CT138" s="1431">
        <f t="shared" si="83"/>
        <v>0.50827871846051309</v>
      </c>
      <c r="CU138" s="84">
        <f t="shared" ref="CU138:CU139" si="457">BA137/AV137</f>
        <v>0.62683712760316235</v>
      </c>
      <c r="CV138" s="84">
        <f t="shared" ref="CV138:CV139" si="458">BB137/AW137</f>
        <v>0.62683712760316235</v>
      </c>
      <c r="CW138" s="84">
        <f t="shared" si="332"/>
        <v>0.39042150284083915</v>
      </c>
      <c r="CX138" s="84">
        <f t="shared" si="102"/>
        <v>0.35306832681534894</v>
      </c>
      <c r="CY138" s="1443">
        <f t="shared" si="182"/>
        <v>-0.49172128153948691</v>
      </c>
      <c r="CZ138" s="106">
        <f t="shared" si="186"/>
        <v>-0.36132431969754475</v>
      </c>
      <c r="DA138" s="106">
        <v>0.05</v>
      </c>
      <c r="DB138" s="106">
        <v>-0.05</v>
      </c>
      <c r="DC138" s="453">
        <f t="shared" si="87"/>
        <v>3.9484090909090908</v>
      </c>
      <c r="DD138" s="11">
        <f t="shared" si="88"/>
        <v>172.009900990099</v>
      </c>
      <c r="DE138" s="11">
        <f t="shared" si="89"/>
        <v>142.40163934426229</v>
      </c>
      <c r="DF138" s="11">
        <f t="shared" si="90"/>
        <v>130.27536231884059</v>
      </c>
      <c r="DG138" s="11">
        <f t="shared" si="91"/>
        <v>262</v>
      </c>
      <c r="DH138" s="11">
        <f t="shared" si="155"/>
        <v>377.96</v>
      </c>
      <c r="DI138" s="11">
        <f t="shared" si="151"/>
        <v>514.5</v>
      </c>
      <c r="DJ138" s="11">
        <f t="shared" si="92"/>
        <v>102.14772727272727</v>
      </c>
      <c r="DK138" s="11">
        <f t="shared" si="93"/>
        <v>246.58823529411765</v>
      </c>
      <c r="DL138" s="11">
        <f t="shared" si="156"/>
        <v>356.56603773584908</v>
      </c>
      <c r="DM138" s="11">
        <f t="shared" si="152"/>
        <v>474.92307692307691</v>
      </c>
    </row>
    <row r="139" spans="1:117" ht="15.75" thickBot="1" x14ac:dyDescent="0.3">
      <c r="A139" s="80">
        <v>44958</v>
      </c>
      <c r="B139" s="180">
        <v>56431</v>
      </c>
      <c r="C139" s="95">
        <v>1042</v>
      </c>
      <c r="D139" s="145">
        <f t="shared" si="160"/>
        <v>1.846502808739877E-2</v>
      </c>
      <c r="E139" s="167">
        <v>54438</v>
      </c>
      <c r="F139" s="145">
        <f t="shared" si="161"/>
        <v>0.96468253265049353</v>
      </c>
      <c r="H139" s="107">
        <f t="shared" si="157"/>
        <v>1.68524392621077E-2</v>
      </c>
      <c r="I139" s="148">
        <v>4442152</v>
      </c>
      <c r="J139" s="111">
        <f t="shared" si="196"/>
        <v>8003905.5</v>
      </c>
      <c r="K139" s="95">
        <f t="shared" si="173"/>
        <v>27696</v>
      </c>
      <c r="L139" s="95">
        <f t="shared" si="174"/>
        <v>46453.166666666664</v>
      </c>
      <c r="M139" s="95">
        <f t="shared" si="162"/>
        <v>237</v>
      </c>
      <c r="N139" s="95">
        <f t="shared" si="175"/>
        <v>287.41666666666669</v>
      </c>
      <c r="O139" s="95">
        <f t="shared" si="176"/>
        <v>162</v>
      </c>
      <c r="P139" s="95">
        <f t="shared" si="177"/>
        <v>174.75</v>
      </c>
      <c r="Q139" s="160">
        <v>11346</v>
      </c>
      <c r="R139" s="95">
        <f t="shared" si="187"/>
        <v>25064.333333333332</v>
      </c>
      <c r="S139" s="161">
        <v>50</v>
      </c>
      <c r="T139" s="179">
        <f t="shared" si="48"/>
        <v>83.333333333333329</v>
      </c>
      <c r="U139" s="160">
        <v>37</v>
      </c>
      <c r="V139" s="179">
        <f t="shared" si="188"/>
        <v>56.583333333333336</v>
      </c>
      <c r="W139" s="160">
        <v>16350</v>
      </c>
      <c r="X139" s="95">
        <f t="shared" si="134"/>
        <v>21388.833333333332</v>
      </c>
      <c r="Y139" s="160">
        <v>187</v>
      </c>
      <c r="Z139" s="179">
        <f t="shared" si="50"/>
        <v>204.08333333333334</v>
      </c>
      <c r="AA139" s="160">
        <v>125</v>
      </c>
      <c r="AB139" s="179">
        <f t="shared" si="210"/>
        <v>118.16666666666667</v>
      </c>
      <c r="AC139" s="160">
        <v>26205</v>
      </c>
      <c r="AD139" s="160">
        <v>9476</v>
      </c>
      <c r="AE139">
        <v>142</v>
      </c>
      <c r="AF139">
        <v>88</v>
      </c>
      <c r="AG139">
        <v>48</v>
      </c>
      <c r="AH139">
        <v>6</v>
      </c>
      <c r="AI139" s="102">
        <v>3.9E-2</v>
      </c>
      <c r="AJ139" s="1432">
        <v>0.08</v>
      </c>
      <c r="AK139" s="148">
        <v>1209964</v>
      </c>
      <c r="AL139" s="101">
        <v>926725</v>
      </c>
      <c r="AM139" s="101">
        <v>23009</v>
      </c>
      <c r="AN139" s="1433">
        <v>7486</v>
      </c>
      <c r="AO139" s="1434">
        <f t="shared" si="208"/>
        <v>5.1796966875514387E-3</v>
      </c>
      <c r="AP139" s="909">
        <f t="shared" si="209"/>
        <v>0.51796966875514383</v>
      </c>
      <c r="AQ139" s="148">
        <f t="shared" si="199"/>
        <v>261.46590909090907</v>
      </c>
      <c r="AR139" s="101">
        <f t="shared" si="200"/>
        <v>162.03521126760563</v>
      </c>
      <c r="AS139" s="145">
        <f t="shared" si="158"/>
        <v>1.9016268252609169E-2</v>
      </c>
      <c r="AT139" s="1439">
        <f t="shared" si="189"/>
        <v>43.687319468515312</v>
      </c>
      <c r="AU139" s="149">
        <f t="shared" si="159"/>
        <v>10.93097321681312</v>
      </c>
      <c r="AV139" s="101">
        <f t="shared" si="137"/>
        <v>13749.59090909091</v>
      </c>
      <c r="AW139" s="148">
        <f t="shared" si="138"/>
        <v>8520.8732394366198</v>
      </c>
      <c r="AX139" s="150">
        <f>AL139/AK139</f>
        <v>0.76591121719323885</v>
      </c>
      <c r="AY139" s="148">
        <f t="shared" si="165"/>
        <v>33.46060803004044</v>
      </c>
      <c r="AZ139" s="148">
        <f t="shared" si="201"/>
        <v>8.3721550015960293</v>
      </c>
      <c r="BA139" s="148">
        <f t="shared" si="202"/>
        <v>10530.96590909091</v>
      </c>
      <c r="BB139" s="101">
        <f t="shared" si="203"/>
        <v>6526.2323943661968</v>
      </c>
      <c r="BC139" s="95">
        <f t="shared" si="204"/>
        <v>314.72727272727275</v>
      </c>
      <c r="BD139" s="95">
        <f t="shared" si="205"/>
        <v>195.04225352112675</v>
      </c>
      <c r="BE139" s="148">
        <f t="shared" si="167"/>
        <v>160.38965915655692</v>
      </c>
      <c r="BF139" s="118">
        <f t="shared" si="124"/>
        <v>50479</v>
      </c>
      <c r="BG139" s="148">
        <f t="shared" si="125"/>
        <v>593.39460325941764</v>
      </c>
      <c r="BH139" s="148">
        <f t="shared" si="197"/>
        <v>18743.257383966244</v>
      </c>
      <c r="BI139" s="148">
        <f t="shared" si="198"/>
        <v>27420.691358024691</v>
      </c>
      <c r="BJ139" s="80">
        <f t="shared" ref="BJ139" si="459">A139</f>
        <v>44958</v>
      </c>
      <c r="BK139" s="95">
        <f t="shared" ref="BK139" si="460">AVERAGE(AC128:AC139)</f>
        <v>56696.583333333336</v>
      </c>
      <c r="BL139" s="95">
        <f t="shared" ref="BL139" si="461">AVERAGE(AD128:AD139)</f>
        <v>15004.166666666666</v>
      </c>
      <c r="BM139" s="95">
        <f t="shared" ref="BM139" si="462">AVERAGE(B128:B139)</f>
        <v>100733</v>
      </c>
      <c r="BN139" s="95">
        <f t="shared" si="337"/>
        <v>85.068181818181813</v>
      </c>
      <c r="BO139" s="148">
        <f t="shared" si="338"/>
        <v>123.79441624365482</v>
      </c>
      <c r="BP139" s="118">
        <f t="shared" ref="BP139" si="463">AVERAGE(BG128:BG139)</f>
        <v>751.06731771765601</v>
      </c>
      <c r="BQ139" s="115">
        <f t="shared" ref="BQ139" si="464">AVERAGE(AN128:AN139)</f>
        <v>10576.333333333334</v>
      </c>
      <c r="BR139" s="118">
        <f t="shared" ref="BR139" si="465">AVERAGE(BE128:BE139)</f>
        <v>175.19140934723785</v>
      </c>
      <c r="BS139" s="118">
        <f t="shared" ref="BS139" si="466">AVERAGE(BA128:BA139)</f>
        <v>11477.977123432749</v>
      </c>
      <c r="BT139" s="80">
        <f t="shared" ref="BT139" si="467">BJ139</f>
        <v>44958</v>
      </c>
      <c r="BU139" s="118">
        <f t="shared" ref="BU139" si="468">AVERAGE(BO128:BO139)</f>
        <v>124.25410112076855</v>
      </c>
      <c r="BV139" s="1539">
        <f t="shared" ref="BV139" si="469">AVERAGE(AO128:AO139)</f>
        <v>3.6998425606301452E-3</v>
      </c>
      <c r="BW139" s="11">
        <f t="shared" ref="BW139" si="470">AVERAGE(AF128:AF139)</f>
        <v>110.41666666666667</v>
      </c>
      <c r="BX139" s="118">
        <f t="shared" ref="BX139" si="471">AVERAGE(BI128:BI139)</f>
        <v>44896.945084343512</v>
      </c>
      <c r="BY139" s="118">
        <f t="shared" ref="BY139" si="472">AVERAGE(BH128:BH139)</f>
        <v>27501.284289704225</v>
      </c>
      <c r="BZ139" s="104">
        <f t="shared" ref="BZ139" si="473">AVERAGE(F128:F139)</f>
        <v>0.9688132915096932</v>
      </c>
      <c r="CA139" s="102">
        <f t="shared" ref="CA139" si="474">AVERAGE(D128:D139)</f>
        <v>2.321660900721359E-2</v>
      </c>
      <c r="CB139" s="102">
        <f t="shared" ref="CB139" si="475">AVERAGE(H128:H139)</f>
        <v>7.9700994830932542E-3</v>
      </c>
      <c r="CC139" s="909">
        <f t="shared" si="242"/>
        <v>3.6713092290349136</v>
      </c>
      <c r="CD139">
        <v>88</v>
      </c>
      <c r="CE139">
        <v>70</v>
      </c>
      <c r="CF139">
        <v>35</v>
      </c>
      <c r="CG139">
        <v>26</v>
      </c>
      <c r="CH139" s="118">
        <f t="shared" si="154"/>
        <v>31282.760563380281</v>
      </c>
      <c r="CI139">
        <v>6</v>
      </c>
      <c r="CJ139" s="11">
        <f t="shared" si="415"/>
        <v>6.083333333333333</v>
      </c>
      <c r="CK139" s="233">
        <f t="shared" si="416"/>
        <v>2.1964663970729827E-4</v>
      </c>
      <c r="CM139" s="1779"/>
      <c r="CN139" s="1779"/>
      <c r="CO139" s="1779"/>
      <c r="CP139" s="1779"/>
      <c r="CQ139" s="1344">
        <f t="shared" si="455"/>
        <v>3.6998425606301452E-3</v>
      </c>
      <c r="CR139" s="155">
        <f t="shared" si="456"/>
        <v>0.3699842560630146</v>
      </c>
      <c r="CS139" s="137">
        <f t="shared" si="82"/>
        <v>161.63024312049157</v>
      </c>
      <c r="CT139" s="1432">
        <f t="shared" si="83"/>
        <v>0.76591121719323885</v>
      </c>
      <c r="CU139" s="84">
        <f t="shared" si="457"/>
        <v>0.50827871846051309</v>
      </c>
      <c r="CV139" s="84">
        <f t="shared" si="458"/>
        <v>0.50827871846051309</v>
      </c>
      <c r="CW139" s="84">
        <f t="shared" si="332"/>
        <v>0.27238239483925808</v>
      </c>
      <c r="CX139" s="84">
        <f t="shared" si="102"/>
        <v>0.38497147054449443</v>
      </c>
      <c r="CY139" s="1444">
        <f t="shared" si="182"/>
        <v>-0.23408878280676115</v>
      </c>
      <c r="CZ139" s="106">
        <f t="shared" si="186"/>
        <v>-0.36421929556828181</v>
      </c>
      <c r="DA139" s="106">
        <v>0.05</v>
      </c>
      <c r="DB139" s="106">
        <v>-0.05</v>
      </c>
      <c r="DC139" s="453">
        <f t="shared" si="87"/>
        <v>3.699706118087096</v>
      </c>
      <c r="DD139" s="11">
        <f t="shared" si="88"/>
        <v>170.96296296296296</v>
      </c>
      <c r="DE139" s="11">
        <f t="shared" si="89"/>
        <v>116.86075949367088</v>
      </c>
      <c r="DF139" s="11">
        <f t="shared" si="90"/>
        <v>130.80000000000001</v>
      </c>
      <c r="DG139" s="11">
        <f t="shared" si="91"/>
        <v>306.64864864864865</v>
      </c>
      <c r="DH139" s="11">
        <f t="shared" si="155"/>
        <v>374.35714285714283</v>
      </c>
      <c r="DI139" s="11">
        <f t="shared" si="151"/>
        <v>364.46153846153845</v>
      </c>
      <c r="DJ139" s="11">
        <f t="shared" si="92"/>
        <v>87.433155080213908</v>
      </c>
      <c r="DK139" s="11">
        <f t="shared" si="93"/>
        <v>226.92</v>
      </c>
      <c r="DL139" s="11">
        <f t="shared" si="156"/>
        <v>297.78409090909093</v>
      </c>
      <c r="DM139" s="11">
        <f t="shared" si="152"/>
        <v>270.74285714285713</v>
      </c>
    </row>
    <row r="140" spans="1:117" ht="15.75" thickBot="1" x14ac:dyDescent="0.3">
      <c r="A140" s="80">
        <v>44986</v>
      </c>
      <c r="B140" s="180">
        <v>66494</v>
      </c>
      <c r="C140" s="95">
        <v>1007</v>
      </c>
      <c r="D140" s="145">
        <f t="shared" si="160"/>
        <v>1.5144223538965922E-2</v>
      </c>
      <c r="E140" s="167">
        <v>64457</v>
      </c>
      <c r="F140" s="145">
        <f t="shared" si="161"/>
        <v>0.96936565705176403</v>
      </c>
      <c r="H140" s="107">
        <f t="shared" si="157"/>
        <v>1.5490119409270049E-2</v>
      </c>
      <c r="I140" s="148">
        <v>5123044</v>
      </c>
      <c r="J140" s="111">
        <f t="shared" si="196"/>
        <v>7542589.833333333</v>
      </c>
      <c r="K140" s="95">
        <f t="shared" si="173"/>
        <v>30654</v>
      </c>
      <c r="L140" s="95">
        <f t="shared" si="174"/>
        <v>43512</v>
      </c>
      <c r="M140" s="95">
        <f t="shared" si="162"/>
        <v>244</v>
      </c>
      <c r="N140" s="95">
        <f t="shared" si="175"/>
        <v>279.25</v>
      </c>
      <c r="O140" s="95">
        <f t="shared" si="176"/>
        <v>169</v>
      </c>
      <c r="P140" s="95">
        <f t="shared" si="177"/>
        <v>173.75</v>
      </c>
      <c r="Q140" s="160">
        <v>9991</v>
      </c>
      <c r="R140" s="95">
        <f t="shared" si="187"/>
        <v>23436.416666666668</v>
      </c>
      <c r="S140" s="161">
        <v>47</v>
      </c>
      <c r="T140" s="179">
        <f t="shared" si="48"/>
        <v>79.083333333333329</v>
      </c>
      <c r="U140" s="160">
        <v>39</v>
      </c>
      <c r="V140" s="179">
        <f t="shared" si="188"/>
        <v>54.333333333333336</v>
      </c>
      <c r="W140" s="160">
        <v>20663</v>
      </c>
      <c r="X140" s="95">
        <f t="shared" si="134"/>
        <v>20075.583333333332</v>
      </c>
      <c r="Y140" s="160">
        <v>197</v>
      </c>
      <c r="Z140" s="179">
        <f t="shared" si="50"/>
        <v>200.16666666666666</v>
      </c>
      <c r="AA140" s="160">
        <v>130</v>
      </c>
      <c r="AB140" s="179">
        <f t="shared" si="210"/>
        <v>119.41666666666667</v>
      </c>
      <c r="AC140" s="160">
        <v>35024</v>
      </c>
      <c r="AD140" s="160">
        <v>14175</v>
      </c>
      <c r="AE140">
        <v>137</v>
      </c>
      <c r="AF140">
        <v>74</v>
      </c>
      <c r="AG140">
        <v>57</v>
      </c>
      <c r="AH140">
        <v>6</v>
      </c>
      <c r="AI140" s="102">
        <v>3.95E-2</v>
      </c>
      <c r="AJ140" s="1432">
        <v>7.4900000000000008E-2</v>
      </c>
      <c r="AK140" s="148">
        <v>988498</v>
      </c>
      <c r="AL140" s="101">
        <v>1013596</v>
      </c>
      <c r="AM140" s="101">
        <v>8529</v>
      </c>
      <c r="AN140" s="1433">
        <v>8269</v>
      </c>
      <c r="AO140" s="1434">
        <f t="shared" si="208"/>
        <v>1.6648305187306608E-3</v>
      </c>
      <c r="AP140" s="909">
        <f t="shared" si="209"/>
        <v>0.16648305187306608</v>
      </c>
      <c r="AQ140" s="148">
        <f t="shared" si="199"/>
        <v>115.25675675675676</v>
      </c>
      <c r="AR140" s="101">
        <f t="shared" si="200"/>
        <v>62.255474452554743</v>
      </c>
      <c r="AS140" s="145">
        <f t="shared" si="158"/>
        <v>8.62824203994343E-3</v>
      </c>
      <c r="AT140" s="148">
        <f t="shared" si="189"/>
        <v>32.246949827102497</v>
      </c>
      <c r="AU140" s="149">
        <f t="shared" si="159"/>
        <v>7.956935064516907</v>
      </c>
      <c r="AV140" s="101">
        <f t="shared" si="137"/>
        <v>13358.081081081082</v>
      </c>
      <c r="AW140" s="148">
        <f t="shared" si="138"/>
        <v>7215.3138686131388</v>
      </c>
      <c r="AX140" s="150">
        <f>AL140/AK140</f>
        <v>1.0253900361963302</v>
      </c>
      <c r="AY140" s="148">
        <f t="shared" si="165"/>
        <v>33.065701050433873</v>
      </c>
      <c r="AZ140" s="148">
        <f t="shared" si="201"/>
        <v>8.1589619338168404</v>
      </c>
      <c r="BA140" s="148">
        <f t="shared" si="202"/>
        <v>13697.243243243243</v>
      </c>
      <c r="BB140" s="101">
        <f t="shared" si="203"/>
        <v>7398.5109489051092</v>
      </c>
      <c r="BC140" s="95">
        <f t="shared" si="204"/>
        <v>414.24324324324323</v>
      </c>
      <c r="BD140" s="95">
        <f t="shared" si="205"/>
        <v>223.75182481751824</v>
      </c>
      <c r="BE140" s="148">
        <f t="shared" si="167"/>
        <v>167.12481242252235</v>
      </c>
      <c r="BF140" s="118">
        <f t="shared" si="124"/>
        <v>69230.32432432432</v>
      </c>
      <c r="BG140" s="148">
        <f t="shared" si="125"/>
        <v>619.54819204256864</v>
      </c>
      <c r="BH140" s="148">
        <f t="shared" si="197"/>
        <v>20996.081967213115</v>
      </c>
      <c r="BI140" s="148">
        <f t="shared" si="198"/>
        <v>30313.869822485209</v>
      </c>
      <c r="BJ140" s="80">
        <f t="shared" ref="BJ140" si="476">A140</f>
        <v>44986</v>
      </c>
      <c r="BK140" s="95">
        <f t="shared" ref="BK140" si="477">AVERAGE(AC129:AC140)</f>
        <v>53334.583333333336</v>
      </c>
      <c r="BL140" s="95">
        <f t="shared" ref="BL140" si="478">AVERAGE(AD129:AD140)</f>
        <v>13512.75</v>
      </c>
      <c r="BM140" s="95">
        <f t="shared" ref="BM140" si="479">AVERAGE(B129:B140)</f>
        <v>94419</v>
      </c>
      <c r="BN140" s="95">
        <f t="shared" si="337"/>
        <v>111.74324324324324</v>
      </c>
      <c r="BO140" s="148">
        <f t="shared" si="338"/>
        <v>122.57782077639376</v>
      </c>
      <c r="BP140" s="118">
        <f t="shared" ref="BP140" si="480">AVERAGE(BG129:BG140)</f>
        <v>740.07835698521455</v>
      </c>
      <c r="BQ140" s="115">
        <f t="shared" ref="BQ140" si="481">AVERAGE(AN129:AN140)</f>
        <v>10083.333333333334</v>
      </c>
      <c r="BR140" s="118">
        <f t="shared" ref="BR140" si="482">AVERAGE(BE129:BE140)</f>
        <v>175.6497441080096</v>
      </c>
      <c r="BS140" s="118">
        <f t="shared" ref="BS140" si="483">AVERAGE(BA129:BA140)</f>
        <v>11574.501950994687</v>
      </c>
      <c r="BT140" s="80">
        <f t="shared" ref="BT140" si="484">BJ140</f>
        <v>44986</v>
      </c>
      <c r="BU140" s="118">
        <f t="shared" ref="BU140" si="485">AVERAGE(BO129:BO140)</f>
        <v>125.0400333714626</v>
      </c>
      <c r="BV140" s="1539">
        <f t="shared" ref="BV140" si="486">AVERAGE(AO129:AO140)</f>
        <v>3.9136882928800373E-3</v>
      </c>
      <c r="BW140" s="11">
        <f t="shared" ref="BW140" si="487">AVERAGE(AF129:AF140)</f>
        <v>105.91666666666667</v>
      </c>
      <c r="BX140" s="118">
        <f t="shared" ref="BX140" si="488">AVERAGE(BI129:BI140)</f>
        <v>42515.719687414334</v>
      </c>
      <c r="BY140" s="118">
        <f t="shared" ref="BY140" si="489">AVERAGE(BH129:BH140)</f>
        <v>26653.776500422275</v>
      </c>
      <c r="BZ140" s="104">
        <f t="shared" ref="BZ140" si="490">AVERAGE(F129:F140)</f>
        <v>0.96865097193003147</v>
      </c>
      <c r="CA140" s="102">
        <f t="shared" ref="CA140" si="491">AVERAGE(D129:D140)</f>
        <v>2.2778126681821224E-2</v>
      </c>
      <c r="CB140" s="102">
        <f t="shared" ref="CB140" si="492">AVERAGE(H129:H140)</f>
        <v>8.5709013881472944E-3</v>
      </c>
      <c r="CC140" s="909">
        <f t="shared" si="242"/>
        <v>5.1826548966209343</v>
      </c>
      <c r="CD140">
        <v>91</v>
      </c>
      <c r="CE140">
        <v>67</v>
      </c>
      <c r="CF140">
        <v>31</v>
      </c>
      <c r="CG140">
        <v>19</v>
      </c>
      <c r="CH140" s="118">
        <f t="shared" si="154"/>
        <v>37394.481751824816</v>
      </c>
      <c r="CI140">
        <v>2</v>
      </c>
      <c r="CJ140" s="11">
        <f t="shared" si="415"/>
        <v>5.916666666666667</v>
      </c>
      <c r="CK140" s="233">
        <f t="shared" si="416"/>
        <v>1.9301450599160523E-4</v>
      </c>
      <c r="CM140" s="1779"/>
      <c r="CN140" s="1779"/>
      <c r="CO140" s="1779"/>
      <c r="CP140" s="1779"/>
      <c r="CQ140" s="1344">
        <f t="shared" ref="CQ140" si="493">AVERAGE(AO129:AO140)</f>
        <v>3.9136882928800373E-3</v>
      </c>
      <c r="CR140" s="155">
        <f t="shared" ref="CR140" si="494">AVERAGE(AP129:AP140)</f>
        <v>0.39136882928800376</v>
      </c>
      <c r="CS140" s="137">
        <f t="shared" si="82"/>
        <v>119.54262909662596</v>
      </c>
      <c r="CT140" s="1432">
        <f t="shared" si="83"/>
        <v>1.0253900361963302</v>
      </c>
      <c r="CU140" s="84">
        <f t="shared" ref="CU140" si="495">BA139/AV139</f>
        <v>0.76591121719323885</v>
      </c>
      <c r="CV140" s="84">
        <f t="shared" ref="CV140" si="496">BB139/AW139</f>
        <v>0.76591121719323874</v>
      </c>
      <c r="CW140" s="84">
        <f t="shared" si="332"/>
        <v>0.19295130004739369</v>
      </c>
      <c r="CX140" s="84">
        <f t="shared" ref="CX140" si="497">SUM(AK137:AK139)/SUM(I138:I140)</f>
        <v>0.29459216101864549</v>
      </c>
      <c r="CY140" s="1444">
        <f t="shared" ref="CY140" si="498">AX140-1</f>
        <v>2.5390036196330179E-2</v>
      </c>
      <c r="CZ140" s="106">
        <f t="shared" ref="CZ140" si="499">SUM(AL138:AL140)/SUM(AK138:AK140)-1</f>
        <v>-0.24536523518484421</v>
      </c>
      <c r="DA140" s="106">
        <v>0.05</v>
      </c>
      <c r="DB140" s="106">
        <v>-0.05</v>
      </c>
      <c r="DC140" s="453">
        <f t="shared" si="87"/>
        <v>3.7070988027572862</v>
      </c>
      <c r="DD140" s="11">
        <f t="shared" si="88"/>
        <v>181.38461538461539</v>
      </c>
      <c r="DE140" s="11">
        <f t="shared" si="89"/>
        <v>125.6311475409836</v>
      </c>
      <c r="DF140" s="11">
        <f t="shared" si="90"/>
        <v>158.94615384615383</v>
      </c>
      <c r="DG140" s="11">
        <f t="shared" si="91"/>
        <v>256.17948717948718</v>
      </c>
      <c r="DH140" s="11">
        <f t="shared" si="155"/>
        <v>522.74626865671644</v>
      </c>
      <c r="DI140" s="11">
        <f t="shared" si="151"/>
        <v>746.0526315789474</v>
      </c>
      <c r="DJ140" s="11">
        <f t="shared" si="92"/>
        <v>104.88832487309645</v>
      </c>
      <c r="DK140" s="11">
        <f t="shared" si="93"/>
        <v>212.57446808510639</v>
      </c>
      <c r="DL140" s="11">
        <f t="shared" si="156"/>
        <v>384.87912087912088</v>
      </c>
      <c r="DM140" s="11">
        <f t="shared" si="152"/>
        <v>457.25806451612902</v>
      </c>
    </row>
    <row r="141" spans="1:117" ht="15.75" thickBot="1" x14ac:dyDescent="0.3">
      <c r="A141" s="80">
        <v>45017</v>
      </c>
      <c r="E141" s="167">
        <v>45616</v>
      </c>
      <c r="I141" s="148">
        <v>4202804</v>
      </c>
      <c r="J141" s="111">
        <f t="shared" si="196"/>
        <v>7145299.333333333</v>
      </c>
      <c r="K141" s="95">
        <f t="shared" si="173"/>
        <v>24036</v>
      </c>
      <c r="L141" s="95">
        <f t="shared" si="174"/>
        <v>40624.833333333336</v>
      </c>
      <c r="M141" s="95">
        <f t="shared" si="162"/>
        <v>186</v>
      </c>
      <c r="N141" s="95">
        <f t="shared" si="175"/>
        <v>273.08333333333331</v>
      </c>
      <c r="O141" s="95">
        <f t="shared" si="176"/>
        <v>127</v>
      </c>
      <c r="P141" s="95">
        <f t="shared" si="177"/>
        <v>171.83333333333334</v>
      </c>
      <c r="Q141" s="160">
        <v>9543</v>
      </c>
      <c r="R141" s="95">
        <f t="shared" si="187"/>
        <v>21932.25</v>
      </c>
      <c r="S141" s="161">
        <v>39</v>
      </c>
      <c r="T141" s="179">
        <f t="shared" si="48"/>
        <v>76.416666666666671</v>
      </c>
      <c r="U141" s="160">
        <v>29</v>
      </c>
      <c r="V141" s="179">
        <f t="shared" si="188"/>
        <v>52.333333333333336</v>
      </c>
      <c r="W141" s="160">
        <v>14493</v>
      </c>
      <c r="X141" s="95">
        <f t="shared" si="134"/>
        <v>18692.583333333332</v>
      </c>
      <c r="Y141" s="160">
        <v>147</v>
      </c>
      <c r="Z141" s="179">
        <f t="shared" si="50"/>
        <v>196.66666666666666</v>
      </c>
      <c r="AA141" s="160">
        <v>98</v>
      </c>
      <c r="AB141" s="179">
        <f t="shared" si="210"/>
        <v>119.5</v>
      </c>
      <c r="AC141" s="160">
        <v>25705</v>
      </c>
      <c r="AD141" s="160">
        <v>12422</v>
      </c>
      <c r="AE141">
        <v>136</v>
      </c>
      <c r="AF141">
        <v>78</v>
      </c>
      <c r="AG141">
        <v>52</v>
      </c>
      <c r="AH141">
        <v>6</v>
      </c>
      <c r="AI141" s="102">
        <v>5.4699999999999999E-2</v>
      </c>
      <c r="AJ141" s="1432">
        <v>0.16550000000000001</v>
      </c>
      <c r="AK141" s="148">
        <v>1283037</v>
      </c>
      <c r="AL141" s="101">
        <v>798492</v>
      </c>
      <c r="AM141" s="101">
        <v>23207</v>
      </c>
      <c r="AN141" s="1433">
        <v>6183</v>
      </c>
      <c r="AO141" s="1434">
        <f t="shared" si="208"/>
        <v>5.5217897384698409E-3</v>
      </c>
      <c r="AP141" s="909">
        <f t="shared" si="209"/>
        <v>0.55217897384698411</v>
      </c>
      <c r="AQ141" s="148">
        <f t="shared" si="199"/>
        <v>297.52564102564105</v>
      </c>
      <c r="AR141" s="101">
        <f t="shared" si="200"/>
        <v>170.63970588235293</v>
      </c>
      <c r="AS141" s="145">
        <f t="shared" si="158"/>
        <v>1.8087553203843691E-2</v>
      </c>
      <c r="AT141" s="148">
        <f t="shared" si="189"/>
        <v>53.37980529206191</v>
      </c>
      <c r="AU141" s="149">
        <f t="shared" si="159"/>
        <v>12.391015565583329</v>
      </c>
      <c r="AV141" s="101">
        <f t="shared" si="137"/>
        <v>16449.192307692309</v>
      </c>
      <c r="AW141" s="148">
        <f t="shared" si="138"/>
        <v>9434.0955882352937</v>
      </c>
      <c r="AX141" s="150">
        <f>AL141/AK141</f>
        <v>0.62234526362061271</v>
      </c>
      <c r="AY141" s="148">
        <f t="shared" si="165"/>
        <v>33.220668996505239</v>
      </c>
      <c r="AZ141" s="148">
        <f t="shared" si="201"/>
        <v>7.7114898486900714</v>
      </c>
      <c r="BA141" s="148">
        <f t="shared" si="202"/>
        <v>10237.076923076924</v>
      </c>
      <c r="BB141" s="101">
        <f t="shared" si="203"/>
        <v>5871.2647058823532</v>
      </c>
      <c r="BC141" s="95">
        <f t="shared" si="204"/>
        <v>308.15384615384613</v>
      </c>
      <c r="BD141" s="95">
        <f t="shared" si="205"/>
        <v>176.73529411764707</v>
      </c>
      <c r="BE141" s="148">
        <f t="shared" si="167"/>
        <v>174.85455150607422</v>
      </c>
      <c r="BF141" s="118">
        <f t="shared" si="124"/>
        <v>53882.102564102563</v>
      </c>
      <c r="BG141" s="148">
        <f t="shared" si="125"/>
        <v>679.73540352579653</v>
      </c>
      <c r="BH141" s="148">
        <f t="shared" si="197"/>
        <v>22595.720430107525</v>
      </c>
      <c r="BI141" s="148">
        <f t="shared" si="198"/>
        <v>33092.944881889765</v>
      </c>
      <c r="BJ141" s="80">
        <f t="shared" ref="BJ141" si="500">A141</f>
        <v>45017</v>
      </c>
      <c r="BK141" s="95">
        <f t="shared" ref="BK141" si="501">AVERAGE(AC130:AC141)</f>
        <v>50141.25</v>
      </c>
      <c r="BL141" s="95">
        <f t="shared" ref="BL141" si="502">AVERAGE(AD130:AD141)</f>
        <v>12865.083333333334</v>
      </c>
      <c r="BM141" s="95">
        <f t="shared" ref="BM141" si="503">AVERAGE(B130:B141)</f>
        <v>92614.363636363632</v>
      </c>
      <c r="BN141" s="95">
        <f t="shared" si="337"/>
        <v>79.269230769230774</v>
      </c>
      <c r="BO141" s="148">
        <f t="shared" si="338"/>
        <v>129.14313440077632</v>
      </c>
      <c r="BP141" s="118">
        <f t="shared" ref="BP141" si="504">AVERAGE(BG130:BG141)</f>
        <v>720.1166850886915</v>
      </c>
      <c r="BQ141" s="115">
        <f t="shared" ref="BQ141" si="505">AVERAGE(AN130:AN141)</f>
        <v>9785.4166666666661</v>
      </c>
      <c r="BR141" s="118">
        <f t="shared" ref="BR141" si="506">AVERAGE(BE130:BE141)</f>
        <v>177.48239692528384</v>
      </c>
      <c r="BS141" s="118">
        <f t="shared" ref="BS141" si="507">AVERAGE(BA130:BA141)</f>
        <v>11428.018777917763</v>
      </c>
      <c r="BT141" s="80">
        <f t="shared" ref="BT141" si="508">BJ141</f>
        <v>45017</v>
      </c>
      <c r="BU141" s="118">
        <f t="shared" ref="BU141" si="509">AVERAGE(BO130:BO141)</f>
        <v>123.50961137141799</v>
      </c>
      <c r="BV141" s="1539">
        <f t="shared" ref="BV141" si="510">AVERAGE(AO130:AO141)</f>
        <v>4.3151436831470429E-3</v>
      </c>
      <c r="BW141" s="11">
        <f t="shared" ref="BW141" si="511">AVERAGE(AF130:AF141)</f>
        <v>102.41666666666667</v>
      </c>
      <c r="BX141" s="118">
        <f t="shared" ref="BX141" si="512">AVERAGE(BI130:BI141)</f>
        <v>40289.970649794035</v>
      </c>
      <c r="BY141" s="118">
        <f t="shared" ref="BY141" si="513">AVERAGE(BH130:BH141)</f>
        <v>25661.66025421329</v>
      </c>
      <c r="BZ141" s="104">
        <f t="shared" ref="BZ141" si="514">AVERAGE(F130:F141)</f>
        <v>0.96852268451063783</v>
      </c>
      <c r="CA141" s="102">
        <f t="shared" ref="CA141" si="515">AVERAGE(D130:D141)</f>
        <v>2.3187727973762728E-2</v>
      </c>
      <c r="CB141" s="102">
        <f t="shared" ref="CB141" si="516">AVERAGE(H130:H141)</f>
        <v>8.2895875155994964E-3</v>
      </c>
      <c r="CC141" s="909">
        <f t="shared" si="242"/>
        <v>3.2756685894483168</v>
      </c>
      <c r="CD141">
        <v>79</v>
      </c>
      <c r="CE141">
        <v>57</v>
      </c>
      <c r="CF141">
        <v>33</v>
      </c>
      <c r="CG141">
        <v>21</v>
      </c>
      <c r="CH141" s="118">
        <f t="shared" si="154"/>
        <v>30902.970588235294</v>
      </c>
      <c r="CQ141" s="1344">
        <f t="shared" ref="CQ141" si="517">AVERAGE(AO130:AO141)</f>
        <v>4.3151436831470429E-3</v>
      </c>
      <c r="CR141" s="155">
        <f t="shared" ref="CR141" si="518">AVERAGE(AP130:AP141)</f>
        <v>0.4315143683147043</v>
      </c>
      <c r="CS141" s="137">
        <f t="shared" si="82"/>
        <v>207.51043182920912</v>
      </c>
      <c r="CT141" s="1432">
        <f t="shared" si="83"/>
        <v>0.6223452636206126</v>
      </c>
      <c r="CU141" s="84">
        <f t="shared" ref="CU141" si="519">BA140/AV140</f>
        <v>1.0253900361963302</v>
      </c>
      <c r="CV141" s="84">
        <f t="shared" ref="CV141" si="520">BB140/AW140</f>
        <v>1.0253900361963302</v>
      </c>
      <c r="CW141" s="84">
        <f t="shared" si="332"/>
        <v>0.30528118846370184</v>
      </c>
      <c r="CX141" s="84">
        <f t="shared" ref="CX141" si="521">SUM(AK138:AK140)/SUM(I139:I141)</f>
        <v>0.24260931144683323</v>
      </c>
      <c r="CY141" s="1444">
        <f t="shared" ref="CY141" si="522">AX141-1</f>
        <v>-0.37765473637938729</v>
      </c>
      <c r="CZ141" s="106">
        <f t="shared" ref="CZ141" si="523">SUM(AL139:AL141)/SUM(AK139:AK141)-1</f>
        <v>-0.21332362870131516</v>
      </c>
      <c r="DA141" s="106">
        <v>0.05</v>
      </c>
      <c r="DB141" s="106">
        <v>-0.05</v>
      </c>
      <c r="DC141" s="453">
        <f t="shared" si="87"/>
        <v>3.8874332848131976</v>
      </c>
      <c r="DD141" s="11">
        <f t="shared" si="88"/>
        <v>189.25984251968504</v>
      </c>
      <c r="DE141" s="11">
        <f t="shared" si="89"/>
        <v>129.2258064516129</v>
      </c>
      <c r="DF141" s="11">
        <f t="shared" si="90"/>
        <v>147.88775510204081</v>
      </c>
      <c r="DG141" s="11">
        <f t="shared" si="91"/>
        <v>329.06896551724139</v>
      </c>
      <c r="DH141" s="11">
        <f t="shared" si="155"/>
        <v>450.96491228070175</v>
      </c>
      <c r="DI141" s="11">
        <f t="shared" si="151"/>
        <v>591.52380952380952</v>
      </c>
      <c r="DJ141" s="11">
        <f t="shared" si="92"/>
        <v>98.591836734693871</v>
      </c>
      <c r="DK141" s="11">
        <f t="shared" si="93"/>
        <v>244.69230769230768</v>
      </c>
      <c r="DL141" s="11">
        <f t="shared" si="156"/>
        <v>325.37974683544303</v>
      </c>
      <c r="DM141" s="11">
        <f t="shared" si="152"/>
        <v>376.42424242424244</v>
      </c>
    </row>
    <row r="142" spans="1:117" x14ac:dyDescent="0.25">
      <c r="A142" s="80">
        <v>45047</v>
      </c>
      <c r="AK142" s="148"/>
      <c r="AV142" s="101"/>
      <c r="CY142">
        <v>0</v>
      </c>
    </row>
    <row r="143" spans="1:117" x14ac:dyDescent="0.25">
      <c r="A143" s="80">
        <v>45078</v>
      </c>
      <c r="AK143" s="148"/>
      <c r="CY143">
        <v>0</v>
      </c>
    </row>
    <row r="144" spans="1:117" x14ac:dyDescent="0.25">
      <c r="A144" s="80">
        <v>45108</v>
      </c>
      <c r="AK144" s="112"/>
      <c r="CY144">
        <v>0</v>
      </c>
    </row>
    <row r="145" spans="1:103" x14ac:dyDescent="0.25">
      <c r="A145" s="80">
        <v>45139</v>
      </c>
      <c r="AK145" s="112"/>
      <c r="CY145">
        <v>0</v>
      </c>
    </row>
    <row r="146" spans="1:103" x14ac:dyDescent="0.25">
      <c r="A146" s="80">
        <v>45170</v>
      </c>
      <c r="AK146" s="744"/>
      <c r="CY146">
        <v>0</v>
      </c>
    </row>
    <row r="147" spans="1:103" x14ac:dyDescent="0.25">
      <c r="A147" s="80">
        <v>45200</v>
      </c>
      <c r="AK147" s="147"/>
      <c r="CY147">
        <v>0</v>
      </c>
    </row>
    <row r="148" spans="1:103" x14ac:dyDescent="0.25">
      <c r="A148" s="80">
        <v>45231</v>
      </c>
      <c r="AK148" s="147"/>
      <c r="CY148">
        <v>0</v>
      </c>
    </row>
    <row r="149" spans="1:103" x14ac:dyDescent="0.25">
      <c r="A149" s="80">
        <v>45261</v>
      </c>
      <c r="AK149" s="147"/>
      <c r="AN149" s="95"/>
      <c r="AO149" s="95"/>
      <c r="AP149" s="95"/>
      <c r="AQ149" s="95"/>
      <c r="AR149" s="95"/>
      <c r="CY149">
        <v>0</v>
      </c>
    </row>
    <row r="150" spans="1:103" x14ac:dyDescent="0.25">
      <c r="A150" s="80">
        <v>45292</v>
      </c>
      <c r="AK150" s="147"/>
      <c r="CY150">
        <v>0</v>
      </c>
    </row>
    <row r="151" spans="1:103" x14ac:dyDescent="0.25">
      <c r="A151" s="80">
        <v>45323</v>
      </c>
      <c r="AK151" s="147"/>
      <c r="CY151">
        <v>0</v>
      </c>
    </row>
    <row r="152" spans="1:103" x14ac:dyDescent="0.25">
      <c r="A152" s="80">
        <v>45352</v>
      </c>
      <c r="AK152" s="147"/>
      <c r="CY152">
        <v>0</v>
      </c>
    </row>
    <row r="153" spans="1:103" x14ac:dyDescent="0.25">
      <c r="A153" s="80">
        <v>45383</v>
      </c>
      <c r="AK153" s="147"/>
      <c r="CY153">
        <v>0</v>
      </c>
    </row>
    <row r="154" spans="1:103" x14ac:dyDescent="0.25">
      <c r="AK154" s="147"/>
    </row>
    <row r="160" spans="1:103" x14ac:dyDescent="0.25">
      <c r="E160" s="1543"/>
    </row>
    <row r="161" spans="5:34" x14ac:dyDescent="0.25">
      <c r="E161" s="1543"/>
    </row>
    <row r="162" spans="5:34" x14ac:dyDescent="0.25">
      <c r="E162" s="1543"/>
    </row>
    <row r="163" spans="5:34" x14ac:dyDescent="0.25">
      <c r="E163" s="1543"/>
    </row>
    <row r="164" spans="5:34" x14ac:dyDescent="0.25">
      <c r="E164" s="1543"/>
    </row>
    <row r="165" spans="5:34" x14ac:dyDescent="0.25">
      <c r="E165" s="1543"/>
    </row>
    <row r="166" spans="5:34" x14ac:dyDescent="0.25">
      <c r="E166" s="1543"/>
    </row>
    <row r="167" spans="5:34" x14ac:dyDescent="0.25">
      <c r="E167" s="1543"/>
    </row>
    <row r="168" spans="5:34" ht="45" x14ac:dyDescent="0.25">
      <c r="E168" s="1543"/>
      <c r="X168" s="80">
        <v>43952</v>
      </c>
      <c r="Y168" s="102">
        <v>6.0400000000000009E-2</v>
      </c>
      <c r="AE168" s="100" t="s">
        <v>22</v>
      </c>
      <c r="AF168" s="117" t="s">
        <v>1064</v>
      </c>
      <c r="AG168" s="117" t="s">
        <v>1055</v>
      </c>
      <c r="AH168" s="117" t="s">
        <v>1088</v>
      </c>
    </row>
    <row r="169" spans="5:34" x14ac:dyDescent="0.25">
      <c r="E169" s="1543"/>
      <c r="X169" s="80">
        <v>43983</v>
      </c>
      <c r="Y169" s="102">
        <v>9.7699999999999995E-2</v>
      </c>
      <c r="AE169" s="80">
        <v>43952</v>
      </c>
      <c r="AF169" s="112">
        <v>6138751.7400000002</v>
      </c>
      <c r="AG169" s="101">
        <v>12344</v>
      </c>
      <c r="AH169" s="95">
        <v>8154.9969999999994</v>
      </c>
    </row>
    <row r="170" spans="5:34" x14ac:dyDescent="0.25">
      <c r="E170" s="1543"/>
      <c r="X170" s="80">
        <v>44013</v>
      </c>
      <c r="Y170" s="102">
        <v>5.6799999999999996E-2</v>
      </c>
      <c r="AE170" s="80">
        <v>43983</v>
      </c>
      <c r="AF170" s="112">
        <v>6430948</v>
      </c>
      <c r="AG170" s="101">
        <v>16152</v>
      </c>
      <c r="AH170" s="95">
        <v>8968</v>
      </c>
    </row>
    <row r="171" spans="5:34" x14ac:dyDescent="0.25">
      <c r="E171" s="1543"/>
      <c r="X171" s="80">
        <v>44044</v>
      </c>
      <c r="Y171" s="102">
        <v>6.0100000000000001E-2</v>
      </c>
      <c r="AE171" s="80">
        <v>44013</v>
      </c>
      <c r="AF171" s="112">
        <v>7451275</v>
      </c>
      <c r="AG171" s="101">
        <v>30306</v>
      </c>
      <c r="AH171" s="95">
        <v>10438</v>
      </c>
    </row>
    <row r="172" spans="5:34" x14ac:dyDescent="0.25">
      <c r="E172" s="1543"/>
      <c r="X172" s="80">
        <v>44075</v>
      </c>
      <c r="Y172" s="102">
        <v>3.0200000000000001E-2</v>
      </c>
      <c r="AE172" s="80">
        <v>44044</v>
      </c>
      <c r="AF172" s="112">
        <v>5621755</v>
      </c>
      <c r="AG172" s="101">
        <v>21677</v>
      </c>
      <c r="AH172" s="95">
        <v>9155</v>
      </c>
    </row>
    <row r="173" spans="5:34" x14ac:dyDescent="0.25">
      <c r="E173" s="1543"/>
      <c r="X173" s="80">
        <v>44105</v>
      </c>
      <c r="Y173" s="102">
        <v>3.4500000000000003E-2</v>
      </c>
      <c r="AE173" s="80">
        <v>44075</v>
      </c>
      <c r="AF173" s="112">
        <v>5924969</v>
      </c>
      <c r="AG173" s="101">
        <v>22125</v>
      </c>
      <c r="AH173" s="95">
        <v>9603</v>
      </c>
    </row>
    <row r="174" spans="5:34" x14ac:dyDescent="0.25">
      <c r="E174" s="1543"/>
      <c r="X174" s="80">
        <v>44136</v>
      </c>
      <c r="Y174" s="102">
        <v>6.5700000000000008E-2</v>
      </c>
      <c r="AE174" s="80">
        <v>44105</v>
      </c>
      <c r="AF174" s="112">
        <v>5648569</v>
      </c>
      <c r="AG174" s="101">
        <v>19232</v>
      </c>
      <c r="AH174" s="178">
        <v>9571</v>
      </c>
    </row>
    <row r="175" spans="5:34" x14ac:dyDescent="0.25">
      <c r="E175" s="1543"/>
      <c r="X175" s="80">
        <v>44166</v>
      </c>
      <c r="Y175" s="102">
        <v>6.3799999999999996E-2</v>
      </c>
      <c r="AE175" s="80">
        <v>44136</v>
      </c>
      <c r="AF175" s="112">
        <v>6154335</v>
      </c>
      <c r="AG175" s="101">
        <v>11240</v>
      </c>
      <c r="AH175" s="178">
        <v>9935</v>
      </c>
    </row>
    <row r="176" spans="5:34" x14ac:dyDescent="0.25">
      <c r="E176" s="1543"/>
      <c r="X176" s="738">
        <v>44197</v>
      </c>
      <c r="Y176" s="749">
        <v>6.6799999999999998E-2</v>
      </c>
      <c r="AE176" s="80">
        <v>44166</v>
      </c>
      <c r="AF176" s="112">
        <v>4568308</v>
      </c>
      <c r="AG176" s="101">
        <v>15701</v>
      </c>
      <c r="AH176" s="178">
        <v>7227</v>
      </c>
    </row>
    <row r="177" spans="5:34" x14ac:dyDescent="0.25">
      <c r="E177" s="1543"/>
      <c r="X177" s="80">
        <v>44228</v>
      </c>
      <c r="Y177" s="102">
        <v>4.4500000000000005E-2</v>
      </c>
      <c r="AE177" s="738">
        <v>44197</v>
      </c>
      <c r="AF177" s="744">
        <v>4840134</v>
      </c>
      <c r="AG177" s="751">
        <v>11284</v>
      </c>
      <c r="AH177" s="1472">
        <v>7664</v>
      </c>
    </row>
    <row r="178" spans="5:34" x14ac:dyDescent="0.25">
      <c r="E178" s="1543"/>
      <c r="X178" s="80">
        <v>44256</v>
      </c>
      <c r="Y178" s="102">
        <v>3.1300000000000001E-2</v>
      </c>
      <c r="AE178" s="80">
        <v>44228</v>
      </c>
      <c r="AF178" s="112">
        <v>4600143</v>
      </c>
      <c r="AG178" s="101">
        <v>32539</v>
      </c>
      <c r="AH178" s="178">
        <v>7342</v>
      </c>
    </row>
    <row r="179" spans="5:34" x14ac:dyDescent="0.25">
      <c r="E179" s="1543"/>
      <c r="X179" s="80">
        <v>44287</v>
      </c>
      <c r="Y179" s="102">
        <v>3.9900000000000005E-2</v>
      </c>
      <c r="AE179" s="80">
        <v>44256</v>
      </c>
      <c r="AF179" s="112">
        <v>5568012</v>
      </c>
      <c r="AG179" s="101">
        <v>-15429</v>
      </c>
      <c r="AH179" s="178">
        <v>9653</v>
      </c>
    </row>
    <row r="180" spans="5:34" x14ac:dyDescent="0.25">
      <c r="E180" s="1543"/>
      <c r="X180" s="80">
        <v>44317</v>
      </c>
      <c r="Y180" s="102">
        <v>6.9199999999999998E-2</v>
      </c>
      <c r="AE180" s="80">
        <v>44287</v>
      </c>
      <c r="AF180" s="112">
        <v>4844169</v>
      </c>
      <c r="AG180" s="101">
        <v>21210</v>
      </c>
      <c r="AH180" s="178">
        <v>7946</v>
      </c>
    </row>
    <row r="181" spans="5:34" x14ac:dyDescent="0.25">
      <c r="E181" s="1543"/>
      <c r="X181" s="80">
        <v>44348</v>
      </c>
      <c r="Y181" s="102">
        <v>6.2199999999999998E-2</v>
      </c>
      <c r="AE181" s="80">
        <v>44317</v>
      </c>
      <c r="AF181" s="112">
        <v>5464720</v>
      </c>
      <c r="AG181" s="101">
        <v>15217</v>
      </c>
      <c r="AH181" s="178">
        <v>9093</v>
      </c>
    </row>
    <row r="182" spans="5:34" x14ac:dyDescent="0.25">
      <c r="E182" s="1543"/>
      <c r="X182" s="80">
        <v>44378</v>
      </c>
      <c r="Y182" s="102">
        <v>4.4999999999999998E-2</v>
      </c>
      <c r="AE182" s="80">
        <v>44348</v>
      </c>
      <c r="AF182" s="112">
        <v>5464721</v>
      </c>
      <c r="AG182" s="101">
        <v>22441</v>
      </c>
      <c r="AH182" s="178">
        <v>8666</v>
      </c>
    </row>
    <row r="183" spans="5:34" x14ac:dyDescent="0.25">
      <c r="E183" s="1543"/>
      <c r="X183" s="80">
        <v>44409</v>
      </c>
      <c r="Y183" s="102">
        <v>4.8600000000000004E-2</v>
      </c>
      <c r="AE183" s="80">
        <v>44378</v>
      </c>
      <c r="AF183" s="112">
        <v>6986771</v>
      </c>
      <c r="AG183" s="101">
        <v>12553</v>
      </c>
      <c r="AH183" s="178">
        <v>9861</v>
      </c>
    </row>
    <row r="184" spans="5:34" x14ac:dyDescent="0.25">
      <c r="E184" s="1543"/>
      <c r="X184" s="80">
        <v>44440</v>
      </c>
      <c r="Y184" s="102">
        <v>3.8599999999999995E-2</v>
      </c>
      <c r="AE184" s="80">
        <v>44409</v>
      </c>
      <c r="AF184" s="112">
        <v>10143380</v>
      </c>
      <c r="AG184" s="101">
        <v>45962</v>
      </c>
      <c r="AH184" s="178">
        <v>9369</v>
      </c>
    </row>
    <row r="185" spans="5:34" x14ac:dyDescent="0.25">
      <c r="E185" s="1543"/>
      <c r="X185" s="80">
        <v>44470</v>
      </c>
      <c r="Y185" s="102">
        <v>5.1799999999999999E-2</v>
      </c>
      <c r="AE185" s="80">
        <v>44440</v>
      </c>
      <c r="AF185" s="112">
        <v>16448447</v>
      </c>
      <c r="AG185" s="101">
        <v>63785</v>
      </c>
      <c r="AH185" s="178">
        <v>11329</v>
      </c>
    </row>
    <row r="186" spans="5:34" x14ac:dyDescent="0.25">
      <c r="E186" s="1543"/>
      <c r="X186" s="80">
        <v>44501</v>
      </c>
      <c r="Y186" s="102">
        <v>2.8999999999999998E-2</v>
      </c>
      <c r="AE186" s="80">
        <v>44470</v>
      </c>
      <c r="AF186" s="112">
        <v>17127174</v>
      </c>
      <c r="AG186" s="101">
        <v>104425</v>
      </c>
      <c r="AH186" s="178">
        <v>11659.727999999999</v>
      </c>
    </row>
    <row r="187" spans="5:34" x14ac:dyDescent="0.25">
      <c r="X187" s="80">
        <v>44531</v>
      </c>
      <c r="Y187" s="102">
        <v>2.3599999999999999E-2</v>
      </c>
      <c r="AE187" s="80">
        <v>44501</v>
      </c>
      <c r="AF187" s="112">
        <v>15363040</v>
      </c>
      <c r="AG187" s="101">
        <v>42212</v>
      </c>
      <c r="AH187" s="178">
        <v>11382.971</v>
      </c>
    </row>
    <row r="188" spans="5:34" x14ac:dyDescent="0.25">
      <c r="X188" s="738">
        <v>44562</v>
      </c>
      <c r="Y188" s="749">
        <v>4.2300000000000004E-2</v>
      </c>
      <c r="AE188" s="80">
        <v>44531</v>
      </c>
      <c r="AF188" s="112">
        <v>11226330</v>
      </c>
      <c r="AG188" s="101">
        <v>33721</v>
      </c>
      <c r="AH188" s="178">
        <v>13834.32</v>
      </c>
    </row>
    <row r="189" spans="5:34" x14ac:dyDescent="0.25">
      <c r="X189" s="80">
        <v>44593</v>
      </c>
      <c r="Y189" s="102">
        <v>3.0600000000000002E-2</v>
      </c>
      <c r="AE189" s="738">
        <v>44562</v>
      </c>
      <c r="AF189" s="744">
        <v>9733117</v>
      </c>
      <c r="AG189" s="751">
        <v>47884</v>
      </c>
      <c r="AH189" s="1472">
        <v>10828.633</v>
      </c>
    </row>
    <row r="190" spans="5:34" x14ac:dyDescent="0.25">
      <c r="X190" s="80">
        <v>44621</v>
      </c>
      <c r="Y190" s="102">
        <v>3.1400000000000004E-2</v>
      </c>
      <c r="AE190" s="80">
        <v>44593</v>
      </c>
      <c r="AF190" s="112">
        <v>10406780</v>
      </c>
      <c r="AG190" s="101">
        <v>79169</v>
      </c>
      <c r="AH190" s="178">
        <v>12449</v>
      </c>
    </row>
    <row r="191" spans="5:34" x14ac:dyDescent="0.25">
      <c r="X191" s="80">
        <v>44652</v>
      </c>
      <c r="Y191" s="102">
        <v>3.6799999999999999E-2</v>
      </c>
      <c r="AE191" s="80">
        <v>44621</v>
      </c>
      <c r="AF191" s="112">
        <v>10658832</v>
      </c>
      <c r="AG191" s="101">
        <v>-9607</v>
      </c>
      <c r="AH191" s="178">
        <v>14185</v>
      </c>
    </row>
    <row r="192" spans="5:34" x14ac:dyDescent="0.25">
      <c r="X192" s="80">
        <v>44682</v>
      </c>
      <c r="Y192" s="102">
        <v>4.2099999999999999E-2</v>
      </c>
      <c r="AE192" s="80">
        <v>44652</v>
      </c>
      <c r="AF192" s="112">
        <v>8970290</v>
      </c>
      <c r="AG192" s="101">
        <v>6318</v>
      </c>
      <c r="AH192" s="178">
        <v>9758</v>
      </c>
    </row>
    <row r="193" spans="24:34" x14ac:dyDescent="0.25">
      <c r="X193" s="80">
        <v>44713</v>
      </c>
      <c r="Y193" s="102">
        <v>5.8499999999999996E-2</v>
      </c>
      <c r="AE193" s="80">
        <v>44682</v>
      </c>
      <c r="AF193" s="112">
        <v>9434352</v>
      </c>
      <c r="AG193" s="101">
        <v>45699</v>
      </c>
      <c r="AH193" s="178">
        <v>11383</v>
      </c>
    </row>
    <row r="194" spans="24:34" x14ac:dyDescent="0.25">
      <c r="X194" s="80">
        <v>44743</v>
      </c>
      <c r="Y194" s="102">
        <v>6.9000000000000006E-2</v>
      </c>
      <c r="AE194" s="80">
        <v>44713</v>
      </c>
      <c r="AF194" s="112">
        <v>9335502</v>
      </c>
      <c r="AG194" s="101">
        <v>42861</v>
      </c>
      <c r="AH194" s="178">
        <v>10471</v>
      </c>
    </row>
    <row r="195" spans="24:34" x14ac:dyDescent="0.25">
      <c r="X195" s="80">
        <v>44774</v>
      </c>
      <c r="Y195" s="102">
        <v>6.6000000000000003E-2</v>
      </c>
      <c r="AE195" s="80">
        <v>44743</v>
      </c>
      <c r="AF195" s="112">
        <v>8608730</v>
      </c>
      <c r="AG195" s="101">
        <v>28017</v>
      </c>
      <c r="AH195" s="178">
        <v>10590</v>
      </c>
    </row>
    <row r="196" spans="24:34" x14ac:dyDescent="0.25">
      <c r="X196" s="80">
        <v>44805</v>
      </c>
      <c r="Y196" s="102">
        <v>4.9500000000000002E-2</v>
      </c>
      <c r="AE196" s="80">
        <v>44774</v>
      </c>
      <c r="AF196" s="112">
        <v>10343667</v>
      </c>
      <c r="AG196" s="101">
        <v>82253</v>
      </c>
      <c r="AH196" s="178">
        <v>15405</v>
      </c>
    </row>
    <row r="197" spans="24:34" x14ac:dyDescent="0.25">
      <c r="X197" s="80">
        <v>44835</v>
      </c>
      <c r="Y197" s="102">
        <v>5.0199999999999995E-2</v>
      </c>
      <c r="AE197" s="80">
        <v>44805</v>
      </c>
      <c r="AF197" s="112">
        <v>10066416</v>
      </c>
      <c r="AG197" s="101">
        <v>31211</v>
      </c>
      <c r="AH197" s="178">
        <v>12253</v>
      </c>
    </row>
    <row r="198" spans="24:34" x14ac:dyDescent="0.25">
      <c r="X198" s="80">
        <v>44866</v>
      </c>
      <c r="Y198" s="102">
        <v>5.8499999999999996E-2</v>
      </c>
      <c r="AE198" s="80">
        <v>44835</v>
      </c>
      <c r="AF198" s="112">
        <v>9729746</v>
      </c>
      <c r="AG198" s="101">
        <v>52706</v>
      </c>
      <c r="AH198" s="178">
        <v>13528</v>
      </c>
    </row>
    <row r="199" spans="24:34" x14ac:dyDescent="0.25">
      <c r="X199" s="80">
        <v>44896</v>
      </c>
      <c r="Y199" s="102">
        <v>6.0100000000000001E-2</v>
      </c>
      <c r="AE199" s="80">
        <v>44866</v>
      </c>
      <c r="AF199" s="112">
        <v>7428029</v>
      </c>
      <c r="AG199" s="101">
        <v>23584</v>
      </c>
      <c r="AH199" s="178">
        <v>11559</v>
      </c>
    </row>
    <row r="200" spans="24:34" x14ac:dyDescent="0.25">
      <c r="X200" s="738">
        <v>44927</v>
      </c>
      <c r="Y200" s="749">
        <v>1.72E-2</v>
      </c>
      <c r="AE200" s="80">
        <v>44896</v>
      </c>
      <c r="AF200" s="112">
        <v>4104662</v>
      </c>
      <c r="AG200" s="101">
        <v>40838</v>
      </c>
      <c r="AH200" s="178">
        <v>5898</v>
      </c>
    </row>
    <row r="201" spans="24:34" x14ac:dyDescent="0.25">
      <c r="X201" s="80">
        <v>44958</v>
      </c>
      <c r="Y201" s="102">
        <v>3.9E-2</v>
      </c>
      <c r="AE201" s="738">
        <v>44927</v>
      </c>
      <c r="AF201" s="744">
        <v>2924488</v>
      </c>
      <c r="AG201" s="751">
        <v>-8387</v>
      </c>
      <c r="AH201" s="1472">
        <v>4400</v>
      </c>
    </row>
    <row r="202" spans="24:34" x14ac:dyDescent="0.25">
      <c r="X202" s="80">
        <v>44986</v>
      </c>
      <c r="Y202" s="102">
        <v>3.95E-2</v>
      </c>
      <c r="AE202" s="80">
        <v>44958</v>
      </c>
      <c r="AF202" s="134">
        <v>4442152</v>
      </c>
      <c r="AG202" s="101">
        <v>23009</v>
      </c>
      <c r="AH202" s="93">
        <v>7486</v>
      </c>
    </row>
    <row r="203" spans="24:34" x14ac:dyDescent="0.25">
      <c r="AE203" s="80">
        <v>44986</v>
      </c>
      <c r="AF203" s="134">
        <v>5123044</v>
      </c>
      <c r="AG203" s="101">
        <v>8529</v>
      </c>
      <c r="AH203" s="93">
        <v>8269</v>
      </c>
    </row>
  </sheetData>
  <mergeCells count="56">
    <mergeCell ref="CO105:CO116"/>
    <mergeCell ref="CP105:CP116"/>
    <mergeCell ref="CO117:CO128"/>
    <mergeCell ref="CP117:CP128"/>
    <mergeCell ref="CO129:CO140"/>
    <mergeCell ref="CP129:CP140"/>
    <mergeCell ref="CO69:CO80"/>
    <mergeCell ref="CP69:CP80"/>
    <mergeCell ref="CO81:CO92"/>
    <mergeCell ref="CP81:CP92"/>
    <mergeCell ref="CO93:CO104"/>
    <mergeCell ref="CP93:CP104"/>
    <mergeCell ref="CO33:CO44"/>
    <mergeCell ref="CP33:CP44"/>
    <mergeCell ref="CO45:CO56"/>
    <mergeCell ref="CP45:CP56"/>
    <mergeCell ref="CO57:CO68"/>
    <mergeCell ref="CP57:CP68"/>
    <mergeCell ref="CO4:CO8"/>
    <mergeCell ref="CP4:CP8"/>
    <mergeCell ref="CO9:CO20"/>
    <mergeCell ref="CP9:CP20"/>
    <mergeCell ref="CO21:CO32"/>
    <mergeCell ref="CP21:CP32"/>
    <mergeCell ref="CM117:CM128"/>
    <mergeCell ref="CM129:CM140"/>
    <mergeCell ref="CN4:CN8"/>
    <mergeCell ref="CN9:CN20"/>
    <mergeCell ref="CN21:CN32"/>
    <mergeCell ref="CN33:CN44"/>
    <mergeCell ref="CN45:CN56"/>
    <mergeCell ref="CN57:CN68"/>
    <mergeCell ref="CN69:CN80"/>
    <mergeCell ref="CN81:CN92"/>
    <mergeCell ref="CN93:CN104"/>
    <mergeCell ref="CN105:CN116"/>
    <mergeCell ref="CN117:CN128"/>
    <mergeCell ref="CN129:CN140"/>
    <mergeCell ref="CM57:CM68"/>
    <mergeCell ref="CM69:CM80"/>
    <mergeCell ref="CM81:CM92"/>
    <mergeCell ref="CM93:CM104"/>
    <mergeCell ref="CM105:CM116"/>
    <mergeCell ref="CM4:CM8"/>
    <mergeCell ref="CM9:CM20"/>
    <mergeCell ref="CM21:CM32"/>
    <mergeCell ref="CM33:CM44"/>
    <mergeCell ref="CM45:CM56"/>
    <mergeCell ref="AF57:AH79"/>
    <mergeCell ref="B2:H2"/>
    <mergeCell ref="AE2:AJ2"/>
    <mergeCell ref="AK2:AN2"/>
    <mergeCell ref="BC2:BI2"/>
    <mergeCell ref="AY2:BB2"/>
    <mergeCell ref="AO2:AS2"/>
    <mergeCell ref="AT2:AW2"/>
  </mergeCells>
  <conditionalFormatting sqref="C4:C140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D140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:J7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14 M15:M141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P14 O15:O141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4:R14 Q15:Q141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:T14 S15:S141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:V14 U15:U141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X14 W15:W141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Z14 Y15:Y141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B14 AA15:AA141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4:AC141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141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I141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:AK107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:AL7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:AM14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:AN73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:AO141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:AP1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:AQ14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:AR141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:AS79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:AT141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4:AU141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4:AV141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4:AW141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:AY141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:AZ141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:BA141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4:BB141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4:BC141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:BD141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4:BE141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4:BF141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:BG141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:BH141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:BI141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80:AX141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0:AH8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1:I141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2:J141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41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:E141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:F108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5:L141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:N141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5:P141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:R141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5:T141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:V141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:X141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:Z141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:AB141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:BK141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4:BL141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BM141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81:BN141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81:BO141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92:BP141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92:BQ14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93:BR141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93:BS14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U92:BU141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:BV141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93:BW14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92:BX141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92:BY141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87:BZ141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:CA14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5:CB141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CC141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:H108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08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81:CH141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1:F14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:H140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80:AK109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0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0:AK11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0:AK11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80:AS141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4:AN23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14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0:AK111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08:CD14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08:CE14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07:CF141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07:CG14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80:AK112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:AO14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4:AK115 AK118 AK120:AK121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80:AK115 AK118 AK120:AK12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6:AK1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6:AK117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80:AK118 AK120:AK12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9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9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53:CJ140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53:CK14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2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2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3:AK13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0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3:AK14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2:AK14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2:AK14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3:AK14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3:AK144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6:AK147 AK150 AK152:AK15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3:AK147 AK150 AK152:AK153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8:AK14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8:AK149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23:AK150 AK152:AK153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5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5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5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5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5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5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80:AL14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81:CS14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1:CX1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81:CZ14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8:Y20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69:AF20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69:AG20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69:AH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300" scale="19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8DD4-2479-4BB1-A67F-991AA4FCFC7A}">
  <sheetPr>
    <tabColor rgb="FFFF0000"/>
    <pageSetUpPr fitToPage="1"/>
  </sheetPr>
  <dimension ref="A1:CO254"/>
  <sheetViews>
    <sheetView zoomScale="85" zoomScaleNormal="85" workbookViewId="0">
      <selection activeCell="CH169" sqref="CH169"/>
    </sheetView>
  </sheetViews>
  <sheetFormatPr defaultColWidth="9.140625" defaultRowHeight="15" x14ac:dyDescent="0.25"/>
  <cols>
    <col min="1" max="1" width="9.140625" style="43"/>
    <col min="2" max="2" width="9.42578125" style="43" customWidth="1"/>
    <col min="3" max="3" width="11.5703125" style="43" bestFit="1" customWidth="1"/>
    <col min="4" max="49" width="9.42578125" style="43" customWidth="1"/>
    <col min="50" max="50" width="12.5703125" style="43" bestFit="1" customWidth="1"/>
    <col min="51" max="55" width="9.42578125" style="43" customWidth="1"/>
    <col min="56" max="92" width="9.140625" style="43"/>
    <col min="93" max="93" width="11.5703125" style="43" bestFit="1" customWidth="1"/>
    <col min="94" max="16384" width="9.140625" style="43"/>
  </cols>
  <sheetData>
    <row r="1" spans="2:55" x14ac:dyDescent="0.25">
      <c r="B1" s="1614">
        <f>VLOOKUP($B$108,$B$109:$CL$469,18,FALSE)</f>
        <v>4.5999999999999996</v>
      </c>
      <c r="C1" s="1615"/>
      <c r="D1" s="1615"/>
      <c r="E1" s="1615"/>
      <c r="F1" s="1615"/>
      <c r="G1" s="1615"/>
      <c r="H1" s="1615"/>
      <c r="I1" s="1615"/>
      <c r="J1" s="1616"/>
      <c r="K1" s="2009">
        <f>VLOOKUP($B$108,$B$109:$CL$469,21,FALSE)</f>
        <v>0</v>
      </c>
      <c r="L1" s="2010"/>
      <c r="M1" s="2010"/>
      <c r="N1" s="2010"/>
      <c r="O1" s="2010"/>
      <c r="P1" s="2010"/>
      <c r="Q1" s="2010"/>
      <c r="R1" s="2010"/>
      <c r="S1" s="2011"/>
      <c r="T1" s="2009">
        <f>VLOOKUP($B$108,$B$109:$CL$469,12,FALSE)</f>
        <v>0</v>
      </c>
      <c r="U1" s="2010"/>
      <c r="V1" s="2010"/>
      <c r="W1" s="2010"/>
      <c r="X1" s="2010"/>
      <c r="Y1" s="2010"/>
      <c r="Z1" s="2010"/>
      <c r="AA1" s="2010"/>
      <c r="AB1" s="2011"/>
      <c r="AC1" s="2000"/>
      <c r="AD1" s="2001"/>
      <c r="AE1" s="2001"/>
      <c r="AF1" s="2001"/>
      <c r="AG1" s="2001"/>
      <c r="AH1" s="2001"/>
      <c r="AI1" s="2001"/>
      <c r="AJ1" s="2001"/>
      <c r="AK1" s="2002"/>
      <c r="AL1" s="1614">
        <f>VLOOKUP($B$108,$B$109:$CL$469,36,FALSE)</f>
        <v>161.63024312049157</v>
      </c>
      <c r="AM1" s="1615"/>
      <c r="AN1" s="1615"/>
      <c r="AO1" s="1615"/>
      <c r="AP1" s="1615"/>
      <c r="AQ1" s="1615"/>
      <c r="AR1" s="1615"/>
      <c r="AS1" s="1615"/>
      <c r="AT1" s="1616"/>
      <c r="AU1" s="2000"/>
      <c r="AV1" s="2001"/>
      <c r="AW1" s="2001"/>
      <c r="AX1" s="2001"/>
      <c r="AY1" s="2001"/>
      <c r="AZ1" s="2001"/>
      <c r="BA1" s="2001"/>
      <c r="BB1" s="2001"/>
      <c r="BC1" s="2002"/>
    </row>
    <row r="2" spans="2:55" x14ac:dyDescent="0.25">
      <c r="B2" s="1556"/>
      <c r="C2" s="1557"/>
      <c r="D2" s="1557"/>
      <c r="E2" s="1557"/>
      <c r="F2" s="1557"/>
      <c r="G2" s="1557"/>
      <c r="H2" s="1557"/>
      <c r="I2" s="1557"/>
      <c r="J2" s="1569"/>
      <c r="K2" s="2012"/>
      <c r="L2" s="1670"/>
      <c r="M2" s="1670"/>
      <c r="N2" s="1670"/>
      <c r="O2" s="1670"/>
      <c r="P2" s="1670"/>
      <c r="Q2" s="1670"/>
      <c r="R2" s="1670"/>
      <c r="S2" s="2013"/>
      <c r="T2" s="2012"/>
      <c r="U2" s="1670"/>
      <c r="V2" s="1670"/>
      <c r="W2" s="1670"/>
      <c r="X2" s="1670"/>
      <c r="Y2" s="1670"/>
      <c r="Z2" s="1670"/>
      <c r="AA2" s="1670"/>
      <c r="AB2" s="2013"/>
      <c r="AC2" s="2003"/>
      <c r="AD2" s="2004"/>
      <c r="AE2" s="2004"/>
      <c r="AF2" s="2004"/>
      <c r="AG2" s="2004"/>
      <c r="AH2" s="2004"/>
      <c r="AI2" s="2004"/>
      <c r="AJ2" s="2004"/>
      <c r="AK2" s="2005"/>
      <c r="AL2" s="1556"/>
      <c r="AM2" s="1557"/>
      <c r="AN2" s="1557"/>
      <c r="AO2" s="1557"/>
      <c r="AP2" s="1557"/>
      <c r="AQ2" s="1557"/>
      <c r="AR2" s="1557"/>
      <c r="AS2" s="1557"/>
      <c r="AT2" s="1569"/>
      <c r="AU2" s="2003"/>
      <c r="AV2" s="2004"/>
      <c r="AW2" s="2004"/>
      <c r="AX2" s="2004"/>
      <c r="AY2" s="2004"/>
      <c r="AZ2" s="2004"/>
      <c r="BA2" s="2004"/>
      <c r="BB2" s="2004"/>
      <c r="BC2" s="2005"/>
    </row>
    <row r="3" spans="2:55" x14ac:dyDescent="0.25">
      <c r="B3" s="1556"/>
      <c r="C3" s="1557"/>
      <c r="D3" s="1557"/>
      <c r="E3" s="1557"/>
      <c r="F3" s="1557"/>
      <c r="G3" s="1557"/>
      <c r="H3" s="1557"/>
      <c r="I3" s="1557"/>
      <c r="J3" s="1569"/>
      <c r="K3" s="2012"/>
      <c r="L3" s="1670"/>
      <c r="M3" s="1670"/>
      <c r="N3" s="1670"/>
      <c r="O3" s="1670"/>
      <c r="P3" s="1670"/>
      <c r="Q3" s="1670"/>
      <c r="R3" s="1670"/>
      <c r="S3" s="2013"/>
      <c r="T3" s="2012"/>
      <c r="U3" s="1670"/>
      <c r="V3" s="1670"/>
      <c r="W3" s="1670"/>
      <c r="X3" s="1670"/>
      <c r="Y3" s="1670"/>
      <c r="Z3" s="1670"/>
      <c r="AA3" s="1670"/>
      <c r="AB3" s="2013"/>
      <c r="AC3" s="2003"/>
      <c r="AD3" s="2004"/>
      <c r="AE3" s="2004"/>
      <c r="AF3" s="2004"/>
      <c r="AG3" s="2004"/>
      <c r="AH3" s="2004"/>
      <c r="AI3" s="2004"/>
      <c r="AJ3" s="2004"/>
      <c r="AK3" s="2005"/>
      <c r="AL3" s="1556"/>
      <c r="AM3" s="1557"/>
      <c r="AN3" s="1557"/>
      <c r="AO3" s="1557"/>
      <c r="AP3" s="1557"/>
      <c r="AQ3" s="1557"/>
      <c r="AR3" s="1557"/>
      <c r="AS3" s="1557"/>
      <c r="AT3" s="1569"/>
      <c r="AU3" s="2003"/>
      <c r="AV3" s="2004"/>
      <c r="AW3" s="2004"/>
      <c r="AX3" s="2004"/>
      <c r="AY3" s="2004"/>
      <c r="AZ3" s="2004"/>
      <c r="BA3" s="2004"/>
      <c r="BB3" s="2004"/>
      <c r="BC3" s="2005"/>
    </row>
    <row r="4" spans="2:55" x14ac:dyDescent="0.25">
      <c r="B4" s="1556"/>
      <c r="C4" s="1557"/>
      <c r="D4" s="1557"/>
      <c r="E4" s="1557"/>
      <c r="F4" s="1557"/>
      <c r="G4" s="1557"/>
      <c r="H4" s="1557"/>
      <c r="I4" s="1557"/>
      <c r="J4" s="1569"/>
      <c r="K4" s="2012"/>
      <c r="L4" s="1670"/>
      <c r="M4" s="1670"/>
      <c r="N4" s="1670"/>
      <c r="O4" s="1670"/>
      <c r="P4" s="1670"/>
      <c r="Q4" s="1670"/>
      <c r="R4" s="1670"/>
      <c r="S4" s="2013"/>
      <c r="T4" s="2012"/>
      <c r="U4" s="1670"/>
      <c r="V4" s="1670"/>
      <c r="W4" s="1670"/>
      <c r="X4" s="1670"/>
      <c r="Y4" s="1670"/>
      <c r="Z4" s="1670"/>
      <c r="AA4" s="1670"/>
      <c r="AB4" s="2013"/>
      <c r="AC4" s="2003"/>
      <c r="AD4" s="2004"/>
      <c r="AE4" s="2004"/>
      <c r="AF4" s="2004"/>
      <c r="AG4" s="2004"/>
      <c r="AH4" s="2004"/>
      <c r="AI4" s="2004"/>
      <c r="AJ4" s="2004"/>
      <c r="AK4" s="2005"/>
      <c r="AL4" s="1556"/>
      <c r="AM4" s="1557"/>
      <c r="AN4" s="1557"/>
      <c r="AO4" s="1557"/>
      <c r="AP4" s="1557"/>
      <c r="AQ4" s="1557"/>
      <c r="AR4" s="1557"/>
      <c r="AS4" s="1557"/>
      <c r="AT4" s="1569"/>
      <c r="AU4" s="2003"/>
      <c r="AV4" s="2004"/>
      <c r="AW4" s="2004"/>
      <c r="AX4" s="2004"/>
      <c r="AY4" s="2004"/>
      <c r="AZ4" s="2004"/>
      <c r="BA4" s="2004"/>
      <c r="BB4" s="2004"/>
      <c r="BC4" s="2005"/>
    </row>
    <row r="5" spans="2:55" x14ac:dyDescent="0.25">
      <c r="B5" s="1556"/>
      <c r="C5" s="1557"/>
      <c r="D5" s="1557"/>
      <c r="E5" s="1557"/>
      <c r="F5" s="1557"/>
      <c r="G5" s="1557"/>
      <c r="H5" s="1557"/>
      <c r="I5" s="1557"/>
      <c r="J5" s="1569"/>
      <c r="K5" s="2012"/>
      <c r="L5" s="1670"/>
      <c r="M5" s="1670"/>
      <c r="N5" s="1670"/>
      <c r="O5" s="1670"/>
      <c r="P5" s="1670"/>
      <c r="Q5" s="1670"/>
      <c r="R5" s="1670"/>
      <c r="S5" s="2013"/>
      <c r="T5" s="2012"/>
      <c r="U5" s="1670"/>
      <c r="V5" s="1670"/>
      <c r="W5" s="1670"/>
      <c r="X5" s="1670"/>
      <c r="Y5" s="1670"/>
      <c r="Z5" s="1670"/>
      <c r="AA5" s="1670"/>
      <c r="AB5" s="2013"/>
      <c r="AC5" s="2003"/>
      <c r="AD5" s="2004"/>
      <c r="AE5" s="2004"/>
      <c r="AF5" s="2004"/>
      <c r="AG5" s="2004"/>
      <c r="AH5" s="2004"/>
      <c r="AI5" s="2004"/>
      <c r="AJ5" s="2004"/>
      <c r="AK5" s="2005"/>
      <c r="AL5" s="1556"/>
      <c r="AM5" s="1557"/>
      <c r="AN5" s="1557"/>
      <c r="AO5" s="1557"/>
      <c r="AP5" s="1557"/>
      <c r="AQ5" s="1557"/>
      <c r="AR5" s="1557"/>
      <c r="AS5" s="1557"/>
      <c r="AT5" s="1569"/>
      <c r="AU5" s="2003"/>
      <c r="AV5" s="2004"/>
      <c r="AW5" s="2004"/>
      <c r="AX5" s="2004"/>
      <c r="AY5" s="2004"/>
      <c r="AZ5" s="2004"/>
      <c r="BA5" s="2004"/>
      <c r="BB5" s="2004"/>
      <c r="BC5" s="2005"/>
    </row>
    <row r="6" spans="2:55" x14ac:dyDescent="0.25">
      <c r="B6" s="1556"/>
      <c r="C6" s="1557"/>
      <c r="D6" s="1557"/>
      <c r="E6" s="1557"/>
      <c r="F6" s="1557"/>
      <c r="G6" s="1557"/>
      <c r="H6" s="1557"/>
      <c r="I6" s="1557"/>
      <c r="J6" s="1569"/>
      <c r="K6" s="2012"/>
      <c r="L6" s="1670"/>
      <c r="M6" s="1670"/>
      <c r="N6" s="1670"/>
      <c r="O6" s="1670"/>
      <c r="P6" s="1670"/>
      <c r="Q6" s="1670"/>
      <c r="R6" s="1670"/>
      <c r="S6" s="2013"/>
      <c r="T6" s="2012"/>
      <c r="U6" s="1670"/>
      <c r="V6" s="1670"/>
      <c r="W6" s="1670"/>
      <c r="X6" s="1670"/>
      <c r="Y6" s="1670"/>
      <c r="Z6" s="1670"/>
      <c r="AA6" s="1670"/>
      <c r="AB6" s="2013"/>
      <c r="AC6" s="2003"/>
      <c r="AD6" s="2004"/>
      <c r="AE6" s="2004"/>
      <c r="AF6" s="2004"/>
      <c r="AG6" s="2004"/>
      <c r="AH6" s="2004"/>
      <c r="AI6" s="2004"/>
      <c r="AJ6" s="2004"/>
      <c r="AK6" s="2005"/>
      <c r="AL6" s="1556"/>
      <c r="AM6" s="1557"/>
      <c r="AN6" s="1557"/>
      <c r="AO6" s="1557"/>
      <c r="AP6" s="1557"/>
      <c r="AQ6" s="1557"/>
      <c r="AR6" s="1557"/>
      <c r="AS6" s="1557"/>
      <c r="AT6" s="1569"/>
      <c r="AU6" s="2003"/>
      <c r="AV6" s="2004"/>
      <c r="AW6" s="2004"/>
      <c r="AX6" s="2004"/>
      <c r="AY6" s="2004"/>
      <c r="AZ6" s="2004"/>
      <c r="BA6" s="2004"/>
      <c r="BB6" s="2004"/>
      <c r="BC6" s="2005"/>
    </row>
    <row r="7" spans="2:55" x14ac:dyDescent="0.25">
      <c r="B7" s="1556"/>
      <c r="C7" s="1557"/>
      <c r="D7" s="1557"/>
      <c r="E7" s="1557"/>
      <c r="F7" s="1557"/>
      <c r="G7" s="1557"/>
      <c r="H7" s="1557"/>
      <c r="I7" s="1557"/>
      <c r="J7" s="1569"/>
      <c r="K7" s="2012"/>
      <c r="L7" s="1670"/>
      <c r="M7" s="1670"/>
      <c r="N7" s="1670"/>
      <c r="O7" s="1670"/>
      <c r="P7" s="1670"/>
      <c r="Q7" s="1670"/>
      <c r="R7" s="1670"/>
      <c r="S7" s="2013"/>
      <c r="T7" s="2012"/>
      <c r="U7" s="1670"/>
      <c r="V7" s="1670"/>
      <c r="W7" s="1670"/>
      <c r="X7" s="1670"/>
      <c r="Y7" s="1670"/>
      <c r="Z7" s="1670"/>
      <c r="AA7" s="1670"/>
      <c r="AB7" s="2013"/>
      <c r="AC7" s="2003"/>
      <c r="AD7" s="2004"/>
      <c r="AE7" s="2004"/>
      <c r="AF7" s="2004"/>
      <c r="AG7" s="2004"/>
      <c r="AH7" s="2004"/>
      <c r="AI7" s="2004"/>
      <c r="AJ7" s="2004"/>
      <c r="AK7" s="2005"/>
      <c r="AL7" s="1556"/>
      <c r="AM7" s="1557"/>
      <c r="AN7" s="1557"/>
      <c r="AO7" s="1557"/>
      <c r="AP7" s="1557"/>
      <c r="AQ7" s="1557"/>
      <c r="AR7" s="1557"/>
      <c r="AS7" s="1557"/>
      <c r="AT7" s="1569"/>
      <c r="AU7" s="2003"/>
      <c r="AV7" s="2004"/>
      <c r="AW7" s="2004"/>
      <c r="AX7" s="2004"/>
      <c r="AY7" s="2004"/>
      <c r="AZ7" s="2004"/>
      <c r="BA7" s="2004"/>
      <c r="BB7" s="2004"/>
      <c r="BC7" s="2005"/>
    </row>
    <row r="8" spans="2:55" x14ac:dyDescent="0.25">
      <c r="B8" s="1556"/>
      <c r="C8" s="1557"/>
      <c r="D8" s="1557"/>
      <c r="E8" s="1557"/>
      <c r="F8" s="1557"/>
      <c r="G8" s="1557"/>
      <c r="H8" s="1557"/>
      <c r="I8" s="1557"/>
      <c r="J8" s="1569"/>
      <c r="K8" s="2012"/>
      <c r="L8" s="1670"/>
      <c r="M8" s="1670"/>
      <c r="N8" s="1670"/>
      <c r="O8" s="1670"/>
      <c r="P8" s="1670"/>
      <c r="Q8" s="1670"/>
      <c r="R8" s="1670"/>
      <c r="S8" s="2013"/>
      <c r="T8" s="2012"/>
      <c r="U8" s="1670"/>
      <c r="V8" s="1670"/>
      <c r="W8" s="1670"/>
      <c r="X8" s="1670"/>
      <c r="Y8" s="1670"/>
      <c r="Z8" s="1670"/>
      <c r="AA8" s="1670"/>
      <c r="AB8" s="2013"/>
      <c r="AC8" s="2003"/>
      <c r="AD8" s="2004"/>
      <c r="AE8" s="2004"/>
      <c r="AF8" s="2004"/>
      <c r="AG8" s="2004"/>
      <c r="AH8" s="2004"/>
      <c r="AI8" s="2004"/>
      <c r="AJ8" s="2004"/>
      <c r="AK8" s="2005"/>
      <c r="AL8" s="1556"/>
      <c r="AM8" s="1557"/>
      <c r="AN8" s="1557"/>
      <c r="AO8" s="1557"/>
      <c r="AP8" s="1557"/>
      <c r="AQ8" s="1557"/>
      <c r="AR8" s="1557"/>
      <c r="AS8" s="1557"/>
      <c r="AT8" s="1569"/>
      <c r="AU8" s="2003"/>
      <c r="AV8" s="2004"/>
      <c r="AW8" s="2004"/>
      <c r="AX8" s="2004"/>
      <c r="AY8" s="2004"/>
      <c r="AZ8" s="2004"/>
      <c r="BA8" s="2004"/>
      <c r="BB8" s="2004"/>
      <c r="BC8" s="2005"/>
    </row>
    <row r="9" spans="2:55" x14ac:dyDescent="0.25">
      <c r="B9" s="1556"/>
      <c r="C9" s="1557"/>
      <c r="D9" s="1557"/>
      <c r="E9" s="1557"/>
      <c r="F9" s="1557"/>
      <c r="G9" s="1557"/>
      <c r="H9" s="1557"/>
      <c r="I9" s="1557"/>
      <c r="J9" s="1569"/>
      <c r="K9" s="2012"/>
      <c r="L9" s="1670"/>
      <c r="M9" s="1670"/>
      <c r="N9" s="1670"/>
      <c r="O9" s="1670"/>
      <c r="P9" s="1670"/>
      <c r="Q9" s="1670"/>
      <c r="R9" s="1670"/>
      <c r="S9" s="2013"/>
      <c r="T9" s="2012"/>
      <c r="U9" s="1670"/>
      <c r="V9" s="1670"/>
      <c r="W9" s="1670"/>
      <c r="X9" s="1670"/>
      <c r="Y9" s="1670"/>
      <c r="Z9" s="1670"/>
      <c r="AA9" s="1670"/>
      <c r="AB9" s="2013"/>
      <c r="AC9" s="2003"/>
      <c r="AD9" s="2004"/>
      <c r="AE9" s="2004"/>
      <c r="AF9" s="2004"/>
      <c r="AG9" s="2004"/>
      <c r="AH9" s="2004"/>
      <c r="AI9" s="2004"/>
      <c r="AJ9" s="2004"/>
      <c r="AK9" s="2005"/>
      <c r="AL9" s="1556"/>
      <c r="AM9" s="1557"/>
      <c r="AN9" s="1557"/>
      <c r="AO9" s="1557"/>
      <c r="AP9" s="1557"/>
      <c r="AQ9" s="1557"/>
      <c r="AR9" s="1557"/>
      <c r="AS9" s="1557"/>
      <c r="AT9" s="1569"/>
      <c r="AU9" s="2003"/>
      <c r="AV9" s="2004"/>
      <c r="AW9" s="2004"/>
      <c r="AX9" s="2004"/>
      <c r="AY9" s="2004"/>
      <c r="AZ9" s="2004"/>
      <c r="BA9" s="2004"/>
      <c r="BB9" s="2004"/>
      <c r="BC9" s="2005"/>
    </row>
    <row r="10" spans="2:55" x14ac:dyDescent="0.25">
      <c r="B10" s="1556"/>
      <c r="C10" s="1557"/>
      <c r="D10" s="1557"/>
      <c r="E10" s="1557"/>
      <c r="F10" s="1557"/>
      <c r="G10" s="1557"/>
      <c r="H10" s="1557"/>
      <c r="I10" s="1557"/>
      <c r="J10" s="1569"/>
      <c r="K10" s="2012"/>
      <c r="L10" s="1670"/>
      <c r="M10" s="1670"/>
      <c r="N10" s="1670"/>
      <c r="O10" s="1670"/>
      <c r="P10" s="1670"/>
      <c r="Q10" s="1670"/>
      <c r="R10" s="1670"/>
      <c r="S10" s="2013"/>
      <c r="T10" s="2012"/>
      <c r="U10" s="1670"/>
      <c r="V10" s="1670"/>
      <c r="W10" s="1670"/>
      <c r="X10" s="1670"/>
      <c r="Y10" s="1670"/>
      <c r="Z10" s="1670"/>
      <c r="AA10" s="1670"/>
      <c r="AB10" s="2013"/>
      <c r="AC10" s="2003"/>
      <c r="AD10" s="2004"/>
      <c r="AE10" s="2004"/>
      <c r="AF10" s="2004"/>
      <c r="AG10" s="2004"/>
      <c r="AH10" s="2004"/>
      <c r="AI10" s="2004"/>
      <c r="AJ10" s="2004"/>
      <c r="AK10" s="2005"/>
      <c r="AL10" s="1556"/>
      <c r="AM10" s="1557"/>
      <c r="AN10" s="1557"/>
      <c r="AO10" s="1557"/>
      <c r="AP10" s="1557"/>
      <c r="AQ10" s="1557"/>
      <c r="AR10" s="1557"/>
      <c r="AS10" s="1557"/>
      <c r="AT10" s="1569"/>
      <c r="AU10" s="2003"/>
      <c r="AV10" s="2004"/>
      <c r="AW10" s="2004"/>
      <c r="AX10" s="2004"/>
      <c r="AY10" s="2004"/>
      <c r="AZ10" s="2004"/>
      <c r="BA10" s="2004"/>
      <c r="BB10" s="2004"/>
      <c r="BC10" s="2005"/>
    </row>
    <row r="11" spans="2:55" x14ac:dyDescent="0.25">
      <c r="B11" s="1556"/>
      <c r="C11" s="1557"/>
      <c r="D11" s="1557"/>
      <c r="E11" s="1557"/>
      <c r="F11" s="1557"/>
      <c r="G11" s="1557"/>
      <c r="H11" s="1557"/>
      <c r="I11" s="1557"/>
      <c r="J11" s="1569"/>
      <c r="K11" s="2012"/>
      <c r="L11" s="1670"/>
      <c r="M11" s="1670"/>
      <c r="N11" s="1670"/>
      <c r="O11" s="1670"/>
      <c r="P11" s="1670"/>
      <c r="Q11" s="1670"/>
      <c r="R11" s="1670"/>
      <c r="S11" s="2013"/>
      <c r="T11" s="2012"/>
      <c r="U11" s="1670"/>
      <c r="V11" s="1670"/>
      <c r="W11" s="1670"/>
      <c r="X11" s="1670"/>
      <c r="Y11" s="1670"/>
      <c r="Z11" s="1670"/>
      <c r="AA11" s="1670"/>
      <c r="AB11" s="2013"/>
      <c r="AC11" s="2003"/>
      <c r="AD11" s="2004"/>
      <c r="AE11" s="2004"/>
      <c r="AF11" s="2004"/>
      <c r="AG11" s="2004"/>
      <c r="AH11" s="2004"/>
      <c r="AI11" s="2004"/>
      <c r="AJ11" s="2004"/>
      <c r="AK11" s="2005"/>
      <c r="AL11" s="1556"/>
      <c r="AM11" s="1557"/>
      <c r="AN11" s="1557"/>
      <c r="AO11" s="1557"/>
      <c r="AP11" s="1557"/>
      <c r="AQ11" s="1557"/>
      <c r="AR11" s="1557"/>
      <c r="AS11" s="1557"/>
      <c r="AT11" s="1569"/>
      <c r="AU11" s="2003"/>
      <c r="AV11" s="2004"/>
      <c r="AW11" s="2004"/>
      <c r="AX11" s="2004"/>
      <c r="AY11" s="2004"/>
      <c r="AZ11" s="2004"/>
      <c r="BA11" s="2004"/>
      <c r="BB11" s="2004"/>
      <c r="BC11" s="2005"/>
    </row>
    <row r="12" spans="2:55" x14ac:dyDescent="0.25">
      <c r="B12" s="1556"/>
      <c r="C12" s="1557"/>
      <c r="D12" s="1557"/>
      <c r="E12" s="1557"/>
      <c r="F12" s="1557"/>
      <c r="G12" s="1557"/>
      <c r="H12" s="1557"/>
      <c r="I12" s="1557"/>
      <c r="J12" s="1569"/>
      <c r="K12" s="2012"/>
      <c r="L12" s="1670"/>
      <c r="M12" s="1670"/>
      <c r="N12" s="1670"/>
      <c r="O12" s="1670"/>
      <c r="P12" s="1670"/>
      <c r="Q12" s="1670"/>
      <c r="R12" s="1670"/>
      <c r="S12" s="2013"/>
      <c r="T12" s="2012"/>
      <c r="U12" s="1670"/>
      <c r="V12" s="1670"/>
      <c r="W12" s="1670"/>
      <c r="X12" s="1670"/>
      <c r="Y12" s="1670"/>
      <c r="Z12" s="1670"/>
      <c r="AA12" s="1670"/>
      <c r="AB12" s="2013"/>
      <c r="AC12" s="2003"/>
      <c r="AD12" s="2004"/>
      <c r="AE12" s="2004"/>
      <c r="AF12" s="2004"/>
      <c r="AG12" s="2004"/>
      <c r="AH12" s="2004"/>
      <c r="AI12" s="2004"/>
      <c r="AJ12" s="2004"/>
      <c r="AK12" s="2005"/>
      <c r="AL12" s="1556"/>
      <c r="AM12" s="1557"/>
      <c r="AN12" s="1557"/>
      <c r="AO12" s="1557"/>
      <c r="AP12" s="1557"/>
      <c r="AQ12" s="1557"/>
      <c r="AR12" s="1557"/>
      <c r="AS12" s="1557"/>
      <c r="AT12" s="1569"/>
      <c r="AU12" s="2003"/>
      <c r="AV12" s="2004"/>
      <c r="AW12" s="2004"/>
      <c r="AX12" s="2004"/>
      <c r="AY12" s="2004"/>
      <c r="AZ12" s="2004"/>
      <c r="BA12" s="2004"/>
      <c r="BB12" s="2004"/>
      <c r="BC12" s="2005"/>
    </row>
    <row r="13" spans="2:55" x14ac:dyDescent="0.25">
      <c r="B13" s="1556"/>
      <c r="C13" s="1557"/>
      <c r="D13" s="1557"/>
      <c r="E13" s="1557"/>
      <c r="F13" s="1557"/>
      <c r="G13" s="1557"/>
      <c r="H13" s="1557"/>
      <c r="I13" s="1557"/>
      <c r="J13" s="1569"/>
      <c r="K13" s="2012"/>
      <c r="L13" s="1670"/>
      <c r="M13" s="1670"/>
      <c r="N13" s="1670"/>
      <c r="O13" s="1670"/>
      <c r="P13" s="1670"/>
      <c r="Q13" s="1670"/>
      <c r="R13" s="1670"/>
      <c r="S13" s="2013"/>
      <c r="T13" s="2012"/>
      <c r="U13" s="1670"/>
      <c r="V13" s="1670"/>
      <c r="W13" s="1670"/>
      <c r="X13" s="1670"/>
      <c r="Y13" s="1670"/>
      <c r="Z13" s="1670"/>
      <c r="AA13" s="1670"/>
      <c r="AB13" s="2013"/>
      <c r="AC13" s="2003"/>
      <c r="AD13" s="2004"/>
      <c r="AE13" s="2004"/>
      <c r="AF13" s="2004"/>
      <c r="AG13" s="2004"/>
      <c r="AH13" s="2004"/>
      <c r="AI13" s="2004"/>
      <c r="AJ13" s="2004"/>
      <c r="AK13" s="2005"/>
      <c r="AL13" s="1556"/>
      <c r="AM13" s="1557"/>
      <c r="AN13" s="1557"/>
      <c r="AO13" s="1557"/>
      <c r="AP13" s="1557"/>
      <c r="AQ13" s="1557"/>
      <c r="AR13" s="1557"/>
      <c r="AS13" s="1557"/>
      <c r="AT13" s="1569"/>
      <c r="AU13" s="2003"/>
      <c r="AV13" s="2004"/>
      <c r="AW13" s="2004"/>
      <c r="AX13" s="2004"/>
      <c r="AY13" s="2004"/>
      <c r="AZ13" s="2004"/>
      <c r="BA13" s="2004"/>
      <c r="BB13" s="2004"/>
      <c r="BC13" s="2005"/>
    </row>
    <row r="14" spans="2:55" x14ac:dyDescent="0.25">
      <c r="B14" s="1556"/>
      <c r="C14" s="1557"/>
      <c r="D14" s="1557"/>
      <c r="E14" s="1557"/>
      <c r="F14" s="1557"/>
      <c r="G14" s="1557"/>
      <c r="H14" s="1557"/>
      <c r="I14" s="1557"/>
      <c r="J14" s="1569"/>
      <c r="K14" s="2012"/>
      <c r="L14" s="1670"/>
      <c r="M14" s="1670"/>
      <c r="N14" s="1670"/>
      <c r="O14" s="1670"/>
      <c r="P14" s="1670"/>
      <c r="Q14" s="1670"/>
      <c r="R14" s="1670"/>
      <c r="S14" s="2013"/>
      <c r="T14" s="2012"/>
      <c r="U14" s="1670"/>
      <c r="V14" s="1670"/>
      <c r="W14" s="1670"/>
      <c r="X14" s="1670"/>
      <c r="Y14" s="1670"/>
      <c r="Z14" s="1670"/>
      <c r="AA14" s="1670"/>
      <c r="AB14" s="2013"/>
      <c r="AC14" s="2003"/>
      <c r="AD14" s="2004"/>
      <c r="AE14" s="2004"/>
      <c r="AF14" s="2004"/>
      <c r="AG14" s="2004"/>
      <c r="AH14" s="2004"/>
      <c r="AI14" s="2004"/>
      <c r="AJ14" s="2004"/>
      <c r="AK14" s="2005"/>
      <c r="AL14" s="1556"/>
      <c r="AM14" s="1557"/>
      <c r="AN14" s="1557"/>
      <c r="AO14" s="1557"/>
      <c r="AP14" s="1557"/>
      <c r="AQ14" s="1557"/>
      <c r="AR14" s="1557"/>
      <c r="AS14" s="1557"/>
      <c r="AT14" s="1569"/>
      <c r="AU14" s="2003"/>
      <c r="AV14" s="2004"/>
      <c r="AW14" s="2004"/>
      <c r="AX14" s="2004"/>
      <c r="AY14" s="2004"/>
      <c r="AZ14" s="2004"/>
      <c r="BA14" s="2004"/>
      <c r="BB14" s="2004"/>
      <c r="BC14" s="2005"/>
    </row>
    <row r="15" spans="2:55" x14ac:dyDescent="0.25">
      <c r="B15" s="1556"/>
      <c r="C15" s="1557"/>
      <c r="D15" s="1557"/>
      <c r="E15" s="1557"/>
      <c r="F15" s="1557"/>
      <c r="G15" s="1557"/>
      <c r="H15" s="1557"/>
      <c r="I15" s="1557"/>
      <c r="J15" s="1569"/>
      <c r="K15" s="2012"/>
      <c r="L15" s="1670"/>
      <c r="M15" s="1670"/>
      <c r="N15" s="1670"/>
      <c r="O15" s="1670"/>
      <c r="P15" s="1670"/>
      <c r="Q15" s="1670"/>
      <c r="R15" s="1670"/>
      <c r="S15" s="2013"/>
      <c r="T15" s="2012"/>
      <c r="U15" s="1670"/>
      <c r="V15" s="1670"/>
      <c r="W15" s="1670"/>
      <c r="X15" s="1670"/>
      <c r="Y15" s="1670"/>
      <c r="Z15" s="1670"/>
      <c r="AA15" s="1670"/>
      <c r="AB15" s="2013"/>
      <c r="AC15" s="2003"/>
      <c r="AD15" s="2004"/>
      <c r="AE15" s="2004"/>
      <c r="AF15" s="2004"/>
      <c r="AG15" s="2004"/>
      <c r="AH15" s="2004"/>
      <c r="AI15" s="2004"/>
      <c r="AJ15" s="2004"/>
      <c r="AK15" s="2005"/>
      <c r="AL15" s="1556"/>
      <c r="AM15" s="1557"/>
      <c r="AN15" s="1557"/>
      <c r="AO15" s="1557"/>
      <c r="AP15" s="1557"/>
      <c r="AQ15" s="1557"/>
      <c r="AR15" s="1557"/>
      <c r="AS15" s="1557"/>
      <c r="AT15" s="1569"/>
      <c r="AU15" s="2003"/>
      <c r="AV15" s="2004"/>
      <c r="AW15" s="2004"/>
      <c r="AX15" s="2004"/>
      <c r="AY15" s="2004"/>
      <c r="AZ15" s="2004"/>
      <c r="BA15" s="2004"/>
      <c r="BB15" s="2004"/>
      <c r="BC15" s="2005"/>
    </row>
    <row r="16" spans="2:55" x14ac:dyDescent="0.25">
      <c r="B16" s="1617"/>
      <c r="C16" s="1618"/>
      <c r="D16" s="1618"/>
      <c r="E16" s="1618"/>
      <c r="F16" s="1618"/>
      <c r="G16" s="1618"/>
      <c r="H16" s="1618"/>
      <c r="I16" s="1618"/>
      <c r="J16" s="1619"/>
      <c r="K16" s="2014"/>
      <c r="L16" s="2015"/>
      <c r="M16" s="2015"/>
      <c r="N16" s="2015"/>
      <c r="O16" s="2015"/>
      <c r="P16" s="2015"/>
      <c r="Q16" s="2015"/>
      <c r="R16" s="2015"/>
      <c r="S16" s="2016"/>
      <c r="T16" s="2014"/>
      <c r="U16" s="2015"/>
      <c r="V16" s="2015"/>
      <c r="W16" s="2015"/>
      <c r="X16" s="2015"/>
      <c r="Y16" s="2015"/>
      <c r="Z16" s="2015"/>
      <c r="AA16" s="2015"/>
      <c r="AB16" s="2016"/>
      <c r="AC16" s="2006"/>
      <c r="AD16" s="2007"/>
      <c r="AE16" s="2007"/>
      <c r="AF16" s="2007"/>
      <c r="AG16" s="2007"/>
      <c r="AH16" s="2007"/>
      <c r="AI16" s="2007"/>
      <c r="AJ16" s="2007"/>
      <c r="AK16" s="2008"/>
      <c r="AL16" s="1617"/>
      <c r="AM16" s="1618"/>
      <c r="AN16" s="1618"/>
      <c r="AO16" s="1618"/>
      <c r="AP16" s="1618"/>
      <c r="AQ16" s="1618"/>
      <c r="AR16" s="1618"/>
      <c r="AS16" s="1618"/>
      <c r="AT16" s="1619"/>
      <c r="AU16" s="2006"/>
      <c r="AV16" s="2007"/>
      <c r="AW16" s="2007"/>
      <c r="AX16" s="2007"/>
      <c r="AY16" s="2007"/>
      <c r="AZ16" s="2007"/>
      <c r="BA16" s="2007"/>
      <c r="BB16" s="2007"/>
      <c r="BC16" s="2008"/>
    </row>
    <row r="17" spans="2:55" x14ac:dyDescent="0.25">
      <c r="B17" s="1453"/>
      <c r="C17" s="1454"/>
      <c r="D17" s="1454"/>
      <c r="E17" s="1454"/>
      <c r="F17" s="1454"/>
      <c r="G17" s="1454"/>
      <c r="H17" s="1454"/>
      <c r="I17" s="1454"/>
      <c r="J17" s="1455"/>
      <c r="K17" s="3"/>
      <c r="L17" s="6"/>
      <c r="M17" s="6"/>
      <c r="N17" s="6"/>
      <c r="O17" s="6"/>
      <c r="P17" s="6"/>
      <c r="Q17" s="6"/>
      <c r="R17" s="6"/>
      <c r="S17" s="40"/>
      <c r="T17" s="67"/>
      <c r="AB17" s="81"/>
      <c r="AC17" s="3"/>
      <c r="AD17" s="6"/>
      <c r="AE17" s="6"/>
      <c r="AF17" s="6"/>
      <c r="AG17" s="6"/>
      <c r="AH17" s="6"/>
      <c r="AI17" s="6"/>
      <c r="AJ17" s="6"/>
      <c r="AK17" s="40"/>
      <c r="AL17" s="67"/>
      <c r="AP17" s="43">
        <v>15</v>
      </c>
      <c r="AT17" s="81"/>
      <c r="AU17" s="67"/>
      <c r="AY17" s="43">
        <v>45</v>
      </c>
      <c r="BC17" s="81"/>
    </row>
    <row r="18" spans="2:55" x14ac:dyDescent="0.25">
      <c r="B18" s="1614">
        <f>VLOOKUP($B$108,$B$109:$CL$469,3,FALSE)</f>
        <v>-0.36421929556828181</v>
      </c>
      <c r="C18" s="1615"/>
      <c r="D18" s="1615"/>
      <c r="E18" s="1615"/>
      <c r="F18" s="1615"/>
      <c r="G18" s="1615"/>
      <c r="H18" s="1615"/>
      <c r="I18" s="1615"/>
      <c r="J18" s="1616"/>
      <c r="K18" s="2009">
        <f>VLOOKUP($B$108,$B$109:$CL$469,10,FALSE)</f>
        <v>43.687319468515312</v>
      </c>
      <c r="L18" s="2010"/>
      <c r="M18" s="2010"/>
      <c r="N18" s="2010"/>
      <c r="O18" s="2010"/>
      <c r="P18" s="2010"/>
      <c r="Q18" s="2010"/>
      <c r="R18" s="2010"/>
      <c r="S18" s="2011"/>
      <c r="T18" s="1614">
        <f>VLOOKUP($B$108,$B$109:$CL$469,33,FALSE)</f>
        <v>130</v>
      </c>
      <c r="U18" s="1615"/>
      <c r="V18" s="1615"/>
      <c r="W18" s="1615"/>
      <c r="X18" s="1615"/>
      <c r="Y18" s="1615"/>
      <c r="Z18" s="1615"/>
      <c r="AA18" s="1615"/>
      <c r="AB18" s="1616"/>
      <c r="AC18" s="2009">
        <f>VLOOKUP($B$108,$B$109:$CL$469,6,FALSE)</f>
        <v>-0.05</v>
      </c>
      <c r="AD18" s="2010"/>
      <c r="AE18" s="2010"/>
      <c r="AF18" s="2010"/>
      <c r="AG18" s="2010"/>
      <c r="AH18" s="2010"/>
      <c r="AI18" s="2010"/>
      <c r="AJ18" s="2010"/>
      <c r="AK18" s="2011"/>
      <c r="AL18" s="1614">
        <f>VLOOKUP($B$108,$B$109:$CL$469,39,FALSE)</f>
        <v>13749.59090909091</v>
      </c>
      <c r="AM18" s="1615"/>
      <c r="AN18" s="1615"/>
      <c r="AO18" s="1615"/>
      <c r="AP18" s="1615"/>
      <c r="AQ18" s="1615"/>
      <c r="AR18" s="1615"/>
      <c r="AS18" s="1615"/>
      <c r="AT18" s="1616"/>
      <c r="AU18" s="2000"/>
      <c r="AV18" s="2001"/>
      <c r="AW18" s="2001"/>
      <c r="AX18" s="2001"/>
      <c r="AY18" s="2001"/>
      <c r="AZ18" s="2001"/>
      <c r="BA18" s="2001"/>
      <c r="BB18" s="2001"/>
      <c r="BC18" s="2002"/>
    </row>
    <row r="19" spans="2:55" x14ac:dyDescent="0.25">
      <c r="B19" s="1556"/>
      <c r="C19" s="1557"/>
      <c r="D19" s="1557"/>
      <c r="E19" s="1557"/>
      <c r="F19" s="1557"/>
      <c r="G19" s="1557"/>
      <c r="H19" s="1557"/>
      <c r="I19" s="1557"/>
      <c r="J19" s="1569"/>
      <c r="K19" s="2012"/>
      <c r="L19" s="1670"/>
      <c r="M19" s="1670"/>
      <c r="N19" s="1670"/>
      <c r="O19" s="1670"/>
      <c r="P19" s="1670"/>
      <c r="Q19" s="1670"/>
      <c r="R19" s="1670"/>
      <c r="S19" s="2013"/>
      <c r="T19" s="1556"/>
      <c r="U19" s="1557"/>
      <c r="V19" s="1557"/>
      <c r="W19" s="1557"/>
      <c r="X19" s="1557"/>
      <c r="Y19" s="1557"/>
      <c r="Z19" s="1557"/>
      <c r="AA19" s="1557"/>
      <c r="AB19" s="1569"/>
      <c r="AC19" s="2012"/>
      <c r="AD19" s="1670"/>
      <c r="AE19" s="1670"/>
      <c r="AF19" s="1670"/>
      <c r="AG19" s="1670"/>
      <c r="AH19" s="1670"/>
      <c r="AI19" s="1670"/>
      <c r="AJ19" s="1670"/>
      <c r="AK19" s="2013"/>
      <c r="AL19" s="1556"/>
      <c r="AM19" s="1557"/>
      <c r="AN19" s="1557"/>
      <c r="AO19" s="1557"/>
      <c r="AP19" s="1557"/>
      <c r="AQ19" s="1557"/>
      <c r="AR19" s="1557"/>
      <c r="AS19" s="1557"/>
      <c r="AT19" s="1569"/>
      <c r="AU19" s="2003"/>
      <c r="AV19" s="2004"/>
      <c r="AW19" s="2004"/>
      <c r="AX19" s="2004"/>
      <c r="AY19" s="2004"/>
      <c r="AZ19" s="2004"/>
      <c r="BA19" s="2004"/>
      <c r="BB19" s="2004"/>
      <c r="BC19" s="2005"/>
    </row>
    <row r="20" spans="2:55" x14ac:dyDescent="0.25">
      <c r="B20" s="1556"/>
      <c r="C20" s="1557"/>
      <c r="D20" s="1557"/>
      <c r="E20" s="1557"/>
      <c r="F20" s="1557"/>
      <c r="G20" s="1557"/>
      <c r="H20" s="1557"/>
      <c r="I20" s="1557"/>
      <c r="J20" s="1569"/>
      <c r="K20" s="2012"/>
      <c r="L20" s="1670"/>
      <c r="M20" s="1670"/>
      <c r="N20" s="1670"/>
      <c r="O20" s="1670"/>
      <c r="P20" s="1670"/>
      <c r="Q20" s="1670"/>
      <c r="R20" s="1670"/>
      <c r="S20" s="2013"/>
      <c r="T20" s="1556"/>
      <c r="U20" s="1557"/>
      <c r="V20" s="1557"/>
      <c r="W20" s="1557"/>
      <c r="X20" s="1557"/>
      <c r="Y20" s="1557"/>
      <c r="Z20" s="1557"/>
      <c r="AA20" s="1557"/>
      <c r="AB20" s="1569"/>
      <c r="AC20" s="2012"/>
      <c r="AD20" s="1670"/>
      <c r="AE20" s="1670"/>
      <c r="AF20" s="1670"/>
      <c r="AG20" s="1670"/>
      <c r="AH20" s="1670"/>
      <c r="AI20" s="1670"/>
      <c r="AJ20" s="1670"/>
      <c r="AK20" s="2013"/>
      <c r="AL20" s="1556"/>
      <c r="AM20" s="1557"/>
      <c r="AN20" s="1557"/>
      <c r="AO20" s="1557"/>
      <c r="AP20" s="1557"/>
      <c r="AQ20" s="1557"/>
      <c r="AR20" s="1557"/>
      <c r="AS20" s="1557"/>
      <c r="AT20" s="1569"/>
      <c r="AU20" s="2003"/>
      <c r="AV20" s="2004"/>
      <c r="AW20" s="2004"/>
      <c r="AX20" s="2004"/>
      <c r="AY20" s="2004"/>
      <c r="AZ20" s="2004"/>
      <c r="BA20" s="2004"/>
      <c r="BB20" s="2004"/>
      <c r="BC20" s="2005"/>
    </row>
    <row r="21" spans="2:55" x14ac:dyDescent="0.25">
      <c r="B21" s="1556"/>
      <c r="C21" s="1557"/>
      <c r="D21" s="1557"/>
      <c r="E21" s="1557"/>
      <c r="F21" s="1557"/>
      <c r="G21" s="1557"/>
      <c r="H21" s="1557"/>
      <c r="I21" s="1557"/>
      <c r="J21" s="1569"/>
      <c r="K21" s="2012"/>
      <c r="L21" s="1670"/>
      <c r="M21" s="1670"/>
      <c r="N21" s="1670"/>
      <c r="O21" s="1670"/>
      <c r="P21" s="1670"/>
      <c r="Q21" s="1670"/>
      <c r="R21" s="1670"/>
      <c r="S21" s="2013"/>
      <c r="T21" s="1556"/>
      <c r="U21" s="1557"/>
      <c r="V21" s="1557"/>
      <c r="W21" s="1557"/>
      <c r="X21" s="1557"/>
      <c r="Y21" s="1557"/>
      <c r="Z21" s="1557"/>
      <c r="AA21" s="1557"/>
      <c r="AB21" s="1569"/>
      <c r="AC21" s="2012"/>
      <c r="AD21" s="1670"/>
      <c r="AE21" s="1670"/>
      <c r="AF21" s="1670"/>
      <c r="AG21" s="1670"/>
      <c r="AH21" s="1670"/>
      <c r="AI21" s="1670"/>
      <c r="AJ21" s="1670"/>
      <c r="AK21" s="2013"/>
      <c r="AL21" s="1556"/>
      <c r="AM21" s="1557"/>
      <c r="AN21" s="1557"/>
      <c r="AO21" s="1557"/>
      <c r="AP21" s="1557"/>
      <c r="AQ21" s="1557"/>
      <c r="AR21" s="1557"/>
      <c r="AS21" s="1557"/>
      <c r="AT21" s="1569"/>
      <c r="AU21" s="2003"/>
      <c r="AV21" s="2004"/>
      <c r="AW21" s="2004"/>
      <c r="AX21" s="2004"/>
      <c r="AY21" s="2004"/>
      <c r="AZ21" s="2004"/>
      <c r="BA21" s="2004"/>
      <c r="BB21" s="2004"/>
      <c r="BC21" s="2005"/>
    </row>
    <row r="22" spans="2:55" x14ac:dyDescent="0.25">
      <c r="B22" s="1556"/>
      <c r="C22" s="1557"/>
      <c r="D22" s="1557"/>
      <c r="E22" s="1557"/>
      <c r="F22" s="1557"/>
      <c r="G22" s="1557"/>
      <c r="H22" s="1557"/>
      <c r="I22" s="1557"/>
      <c r="J22" s="1569"/>
      <c r="K22" s="2012"/>
      <c r="L22" s="1670"/>
      <c r="M22" s="1670"/>
      <c r="N22" s="1670"/>
      <c r="O22" s="1670"/>
      <c r="P22" s="1670"/>
      <c r="Q22" s="1670"/>
      <c r="R22" s="1670"/>
      <c r="S22" s="2013"/>
      <c r="T22" s="1556"/>
      <c r="U22" s="1557"/>
      <c r="V22" s="1557"/>
      <c r="W22" s="1557"/>
      <c r="X22" s="1557"/>
      <c r="Y22" s="1557"/>
      <c r="Z22" s="1557"/>
      <c r="AA22" s="1557"/>
      <c r="AB22" s="1569"/>
      <c r="AC22" s="2012"/>
      <c r="AD22" s="1670"/>
      <c r="AE22" s="1670"/>
      <c r="AF22" s="1670"/>
      <c r="AG22" s="1670"/>
      <c r="AH22" s="1670"/>
      <c r="AI22" s="1670"/>
      <c r="AJ22" s="1670"/>
      <c r="AK22" s="2013"/>
      <c r="AL22" s="1556"/>
      <c r="AM22" s="1557"/>
      <c r="AN22" s="1557"/>
      <c r="AO22" s="1557"/>
      <c r="AP22" s="1557"/>
      <c r="AQ22" s="1557"/>
      <c r="AR22" s="1557"/>
      <c r="AS22" s="1557"/>
      <c r="AT22" s="1569"/>
      <c r="AU22" s="2003"/>
      <c r="AV22" s="2004"/>
      <c r="AW22" s="2004"/>
      <c r="AX22" s="2004"/>
      <c r="AY22" s="2004"/>
      <c r="AZ22" s="2004"/>
      <c r="BA22" s="2004"/>
      <c r="BB22" s="2004"/>
      <c r="BC22" s="2005"/>
    </row>
    <row r="23" spans="2:55" x14ac:dyDescent="0.25">
      <c r="B23" s="1556"/>
      <c r="C23" s="1557"/>
      <c r="D23" s="1557"/>
      <c r="E23" s="1557"/>
      <c r="F23" s="1557"/>
      <c r="G23" s="1557"/>
      <c r="H23" s="1557"/>
      <c r="I23" s="1557"/>
      <c r="J23" s="1569"/>
      <c r="K23" s="2012"/>
      <c r="L23" s="1670"/>
      <c r="M23" s="1670"/>
      <c r="N23" s="1670"/>
      <c r="O23" s="1670"/>
      <c r="P23" s="1670"/>
      <c r="Q23" s="1670"/>
      <c r="R23" s="1670"/>
      <c r="S23" s="2013"/>
      <c r="T23" s="1556"/>
      <c r="U23" s="1557"/>
      <c r="V23" s="1557"/>
      <c r="W23" s="1557"/>
      <c r="X23" s="1557"/>
      <c r="Y23" s="1557"/>
      <c r="Z23" s="1557"/>
      <c r="AA23" s="1557"/>
      <c r="AB23" s="1569"/>
      <c r="AC23" s="2012"/>
      <c r="AD23" s="1670"/>
      <c r="AE23" s="1670"/>
      <c r="AF23" s="1670"/>
      <c r="AG23" s="1670"/>
      <c r="AH23" s="1670"/>
      <c r="AI23" s="1670"/>
      <c r="AJ23" s="1670"/>
      <c r="AK23" s="2013"/>
      <c r="AL23" s="1556"/>
      <c r="AM23" s="1557"/>
      <c r="AN23" s="1557"/>
      <c r="AO23" s="1557"/>
      <c r="AP23" s="1557"/>
      <c r="AQ23" s="1557"/>
      <c r="AR23" s="1557"/>
      <c r="AS23" s="1557"/>
      <c r="AT23" s="1569"/>
      <c r="AU23" s="2003"/>
      <c r="AV23" s="2004"/>
      <c r="AW23" s="2004"/>
      <c r="AX23" s="2004"/>
      <c r="AY23" s="2004"/>
      <c r="AZ23" s="2004"/>
      <c r="BA23" s="2004"/>
      <c r="BB23" s="2004"/>
      <c r="BC23" s="2005"/>
    </row>
    <row r="24" spans="2:55" x14ac:dyDescent="0.25">
      <c r="B24" s="1556"/>
      <c r="C24" s="1557"/>
      <c r="D24" s="1557"/>
      <c r="E24" s="1557"/>
      <c r="F24" s="1557"/>
      <c r="G24" s="1557"/>
      <c r="H24" s="1557"/>
      <c r="I24" s="1557"/>
      <c r="J24" s="1569"/>
      <c r="K24" s="2012"/>
      <c r="L24" s="1670"/>
      <c r="M24" s="1670"/>
      <c r="N24" s="1670"/>
      <c r="O24" s="1670"/>
      <c r="P24" s="1670"/>
      <c r="Q24" s="1670"/>
      <c r="R24" s="1670"/>
      <c r="S24" s="2013"/>
      <c r="T24" s="1556"/>
      <c r="U24" s="1557"/>
      <c r="V24" s="1557"/>
      <c r="W24" s="1557"/>
      <c r="X24" s="1557"/>
      <c r="Y24" s="1557"/>
      <c r="Z24" s="1557"/>
      <c r="AA24" s="1557"/>
      <c r="AB24" s="1569"/>
      <c r="AC24" s="2012"/>
      <c r="AD24" s="1670"/>
      <c r="AE24" s="1670"/>
      <c r="AF24" s="1670"/>
      <c r="AG24" s="1670"/>
      <c r="AH24" s="1670"/>
      <c r="AI24" s="1670"/>
      <c r="AJ24" s="1670"/>
      <c r="AK24" s="2013"/>
      <c r="AL24" s="1556"/>
      <c r="AM24" s="1557"/>
      <c r="AN24" s="1557"/>
      <c r="AO24" s="1557"/>
      <c r="AP24" s="1557"/>
      <c r="AQ24" s="1557"/>
      <c r="AR24" s="1557"/>
      <c r="AS24" s="1557"/>
      <c r="AT24" s="1569"/>
      <c r="AU24" s="2003"/>
      <c r="AV24" s="2004"/>
      <c r="AW24" s="2004"/>
      <c r="AX24" s="2004"/>
      <c r="AY24" s="2004"/>
      <c r="AZ24" s="2004"/>
      <c r="BA24" s="2004"/>
      <c r="BB24" s="2004"/>
      <c r="BC24" s="2005"/>
    </row>
    <row r="25" spans="2:55" x14ac:dyDescent="0.25">
      <c r="B25" s="1556"/>
      <c r="C25" s="1557"/>
      <c r="D25" s="1557"/>
      <c r="E25" s="1557"/>
      <c r="F25" s="1557"/>
      <c r="G25" s="1557"/>
      <c r="H25" s="1557"/>
      <c r="I25" s="1557"/>
      <c r="J25" s="1569"/>
      <c r="K25" s="2012"/>
      <c r="L25" s="1670"/>
      <c r="M25" s="1670"/>
      <c r="N25" s="1670"/>
      <c r="O25" s="1670"/>
      <c r="P25" s="1670"/>
      <c r="Q25" s="1670"/>
      <c r="R25" s="1670"/>
      <c r="S25" s="2013"/>
      <c r="T25" s="1556"/>
      <c r="U25" s="1557"/>
      <c r="V25" s="1557"/>
      <c r="W25" s="1557"/>
      <c r="X25" s="1557"/>
      <c r="Y25" s="1557"/>
      <c r="Z25" s="1557"/>
      <c r="AA25" s="1557"/>
      <c r="AB25" s="1569"/>
      <c r="AC25" s="2012"/>
      <c r="AD25" s="1670"/>
      <c r="AE25" s="1670"/>
      <c r="AF25" s="1670"/>
      <c r="AG25" s="1670"/>
      <c r="AH25" s="1670"/>
      <c r="AI25" s="1670"/>
      <c r="AJ25" s="1670"/>
      <c r="AK25" s="2013"/>
      <c r="AL25" s="1556"/>
      <c r="AM25" s="1557"/>
      <c r="AN25" s="1557"/>
      <c r="AO25" s="1557"/>
      <c r="AP25" s="1557"/>
      <c r="AQ25" s="1557"/>
      <c r="AR25" s="1557"/>
      <c r="AS25" s="1557"/>
      <c r="AT25" s="1569"/>
      <c r="AU25" s="2003"/>
      <c r="AV25" s="2004"/>
      <c r="AW25" s="2004"/>
      <c r="AX25" s="2004"/>
      <c r="AY25" s="2004"/>
      <c r="AZ25" s="2004"/>
      <c r="BA25" s="2004"/>
      <c r="BB25" s="2004"/>
      <c r="BC25" s="2005"/>
    </row>
    <row r="26" spans="2:55" x14ac:dyDescent="0.25">
      <c r="B26" s="1556"/>
      <c r="C26" s="1557"/>
      <c r="D26" s="1557"/>
      <c r="E26" s="1557"/>
      <c r="F26" s="1557"/>
      <c r="G26" s="1557"/>
      <c r="H26" s="1557"/>
      <c r="I26" s="1557"/>
      <c r="J26" s="1569"/>
      <c r="K26" s="2012"/>
      <c r="L26" s="1670"/>
      <c r="M26" s="1670"/>
      <c r="N26" s="1670"/>
      <c r="O26" s="1670"/>
      <c r="P26" s="1670"/>
      <c r="Q26" s="1670"/>
      <c r="R26" s="1670"/>
      <c r="S26" s="2013"/>
      <c r="T26" s="1556"/>
      <c r="U26" s="1557"/>
      <c r="V26" s="1557"/>
      <c r="W26" s="1557"/>
      <c r="X26" s="1557"/>
      <c r="Y26" s="1557"/>
      <c r="Z26" s="1557"/>
      <c r="AA26" s="1557"/>
      <c r="AB26" s="1569"/>
      <c r="AC26" s="2012"/>
      <c r="AD26" s="1670"/>
      <c r="AE26" s="1670"/>
      <c r="AF26" s="1670"/>
      <c r="AG26" s="1670"/>
      <c r="AH26" s="1670"/>
      <c r="AI26" s="1670"/>
      <c r="AJ26" s="1670"/>
      <c r="AK26" s="2013"/>
      <c r="AL26" s="1556"/>
      <c r="AM26" s="1557"/>
      <c r="AN26" s="1557"/>
      <c r="AO26" s="1557"/>
      <c r="AP26" s="1557"/>
      <c r="AQ26" s="1557"/>
      <c r="AR26" s="1557"/>
      <c r="AS26" s="1557"/>
      <c r="AT26" s="1569"/>
      <c r="AU26" s="2003"/>
      <c r="AV26" s="2004"/>
      <c r="AW26" s="2004"/>
      <c r="AX26" s="2004"/>
      <c r="AY26" s="2004"/>
      <c r="AZ26" s="2004"/>
      <c r="BA26" s="2004"/>
      <c r="BB26" s="2004"/>
      <c r="BC26" s="2005"/>
    </row>
    <row r="27" spans="2:55" x14ac:dyDescent="0.25">
      <c r="B27" s="1556"/>
      <c r="C27" s="1557"/>
      <c r="D27" s="1557"/>
      <c r="E27" s="1557"/>
      <c r="F27" s="1557"/>
      <c r="G27" s="1557"/>
      <c r="H27" s="1557"/>
      <c r="I27" s="1557"/>
      <c r="J27" s="1569"/>
      <c r="K27" s="2012"/>
      <c r="L27" s="1670"/>
      <c r="M27" s="1670"/>
      <c r="N27" s="1670"/>
      <c r="O27" s="1670"/>
      <c r="P27" s="1670"/>
      <c r="Q27" s="1670"/>
      <c r="R27" s="1670"/>
      <c r="S27" s="2013"/>
      <c r="T27" s="1556"/>
      <c r="U27" s="1557"/>
      <c r="V27" s="1557"/>
      <c r="W27" s="1557"/>
      <c r="X27" s="1557"/>
      <c r="Y27" s="1557"/>
      <c r="Z27" s="1557"/>
      <c r="AA27" s="1557"/>
      <c r="AB27" s="1569"/>
      <c r="AC27" s="2012"/>
      <c r="AD27" s="1670"/>
      <c r="AE27" s="1670"/>
      <c r="AF27" s="1670"/>
      <c r="AG27" s="1670"/>
      <c r="AH27" s="1670"/>
      <c r="AI27" s="1670"/>
      <c r="AJ27" s="1670"/>
      <c r="AK27" s="2013"/>
      <c r="AL27" s="1556"/>
      <c r="AM27" s="1557"/>
      <c r="AN27" s="1557"/>
      <c r="AO27" s="1557"/>
      <c r="AP27" s="1557"/>
      <c r="AQ27" s="1557"/>
      <c r="AR27" s="1557"/>
      <c r="AS27" s="1557"/>
      <c r="AT27" s="1569"/>
      <c r="AU27" s="2003"/>
      <c r="AV27" s="2004"/>
      <c r="AW27" s="2004"/>
      <c r="AX27" s="2004"/>
      <c r="AY27" s="2004"/>
      <c r="AZ27" s="2004"/>
      <c r="BA27" s="2004"/>
      <c r="BB27" s="2004"/>
      <c r="BC27" s="2005"/>
    </row>
    <row r="28" spans="2:55" x14ac:dyDescent="0.25">
      <c r="B28" s="1556"/>
      <c r="C28" s="1557"/>
      <c r="D28" s="1557"/>
      <c r="E28" s="1557"/>
      <c r="F28" s="1557"/>
      <c r="G28" s="1557"/>
      <c r="H28" s="1557"/>
      <c r="I28" s="1557"/>
      <c r="J28" s="1569"/>
      <c r="K28" s="2012"/>
      <c r="L28" s="1670"/>
      <c r="M28" s="1670"/>
      <c r="N28" s="1670"/>
      <c r="O28" s="1670"/>
      <c r="P28" s="1670"/>
      <c r="Q28" s="1670"/>
      <c r="R28" s="1670"/>
      <c r="S28" s="2013"/>
      <c r="T28" s="1556"/>
      <c r="U28" s="1557"/>
      <c r="V28" s="1557"/>
      <c r="W28" s="1557"/>
      <c r="X28" s="1557"/>
      <c r="Y28" s="1557"/>
      <c r="Z28" s="1557"/>
      <c r="AA28" s="1557"/>
      <c r="AB28" s="1569"/>
      <c r="AC28" s="2012"/>
      <c r="AD28" s="1670"/>
      <c r="AE28" s="1670"/>
      <c r="AF28" s="1670"/>
      <c r="AG28" s="1670"/>
      <c r="AH28" s="1670"/>
      <c r="AI28" s="1670"/>
      <c r="AJ28" s="1670"/>
      <c r="AK28" s="2013"/>
      <c r="AL28" s="1556"/>
      <c r="AM28" s="1557"/>
      <c r="AN28" s="1557"/>
      <c r="AO28" s="1557"/>
      <c r="AP28" s="1557"/>
      <c r="AQ28" s="1557"/>
      <c r="AR28" s="1557"/>
      <c r="AS28" s="1557"/>
      <c r="AT28" s="1569"/>
      <c r="AU28" s="2003"/>
      <c r="AV28" s="2004"/>
      <c r="AW28" s="2004"/>
      <c r="AX28" s="2004"/>
      <c r="AY28" s="2004"/>
      <c r="AZ28" s="2004"/>
      <c r="BA28" s="2004"/>
      <c r="BB28" s="2004"/>
      <c r="BC28" s="2005"/>
    </row>
    <row r="29" spans="2:55" x14ac:dyDescent="0.25">
      <c r="B29" s="1556"/>
      <c r="C29" s="1557"/>
      <c r="D29" s="1557"/>
      <c r="E29" s="1557"/>
      <c r="F29" s="1557"/>
      <c r="G29" s="1557"/>
      <c r="H29" s="1557"/>
      <c r="I29" s="1557"/>
      <c r="J29" s="1569"/>
      <c r="K29" s="2012"/>
      <c r="L29" s="1670"/>
      <c r="M29" s="1670"/>
      <c r="N29" s="1670"/>
      <c r="O29" s="1670"/>
      <c r="P29" s="1670"/>
      <c r="Q29" s="1670"/>
      <c r="R29" s="1670"/>
      <c r="S29" s="2013"/>
      <c r="T29" s="1556"/>
      <c r="U29" s="1557"/>
      <c r="V29" s="1557"/>
      <c r="W29" s="1557"/>
      <c r="X29" s="1557"/>
      <c r="Y29" s="1557"/>
      <c r="Z29" s="1557"/>
      <c r="AA29" s="1557"/>
      <c r="AB29" s="1569"/>
      <c r="AC29" s="2012"/>
      <c r="AD29" s="1670"/>
      <c r="AE29" s="1670"/>
      <c r="AF29" s="1670"/>
      <c r="AG29" s="1670"/>
      <c r="AH29" s="1670"/>
      <c r="AI29" s="1670"/>
      <c r="AJ29" s="1670"/>
      <c r="AK29" s="2013"/>
      <c r="AL29" s="1556"/>
      <c r="AM29" s="1557"/>
      <c r="AN29" s="1557"/>
      <c r="AO29" s="1557"/>
      <c r="AP29" s="1557"/>
      <c r="AQ29" s="1557"/>
      <c r="AR29" s="1557"/>
      <c r="AS29" s="1557"/>
      <c r="AT29" s="1569"/>
      <c r="AU29" s="2003"/>
      <c r="AV29" s="2004"/>
      <c r="AW29" s="2004"/>
      <c r="AX29" s="2004"/>
      <c r="AY29" s="2004"/>
      <c r="AZ29" s="2004"/>
      <c r="BA29" s="2004"/>
      <c r="BB29" s="2004"/>
      <c r="BC29" s="2005"/>
    </row>
    <row r="30" spans="2:55" x14ac:dyDescent="0.25">
      <c r="B30" s="1556"/>
      <c r="C30" s="1557"/>
      <c r="D30" s="1557"/>
      <c r="E30" s="1557"/>
      <c r="F30" s="1557"/>
      <c r="G30" s="1557"/>
      <c r="H30" s="1557"/>
      <c r="I30" s="1557"/>
      <c r="J30" s="1569"/>
      <c r="K30" s="2012"/>
      <c r="L30" s="1670"/>
      <c r="M30" s="1670"/>
      <c r="N30" s="1670"/>
      <c r="O30" s="1670"/>
      <c r="P30" s="1670"/>
      <c r="Q30" s="1670"/>
      <c r="R30" s="1670"/>
      <c r="S30" s="2013"/>
      <c r="T30" s="1556"/>
      <c r="U30" s="1557"/>
      <c r="V30" s="1557"/>
      <c r="W30" s="1557"/>
      <c r="X30" s="1557"/>
      <c r="Y30" s="1557"/>
      <c r="Z30" s="1557"/>
      <c r="AA30" s="1557"/>
      <c r="AB30" s="1569"/>
      <c r="AC30" s="2012"/>
      <c r="AD30" s="1670"/>
      <c r="AE30" s="1670"/>
      <c r="AF30" s="1670"/>
      <c r="AG30" s="1670"/>
      <c r="AH30" s="1670"/>
      <c r="AI30" s="1670"/>
      <c r="AJ30" s="1670"/>
      <c r="AK30" s="2013"/>
      <c r="AL30" s="1556"/>
      <c r="AM30" s="1557"/>
      <c r="AN30" s="1557"/>
      <c r="AO30" s="1557"/>
      <c r="AP30" s="1557"/>
      <c r="AQ30" s="1557"/>
      <c r="AR30" s="1557"/>
      <c r="AS30" s="1557"/>
      <c r="AT30" s="1569"/>
      <c r="AU30" s="2003"/>
      <c r="AV30" s="2004"/>
      <c r="AW30" s="2004"/>
      <c r="AX30" s="2004"/>
      <c r="AY30" s="2004"/>
      <c r="AZ30" s="2004"/>
      <c r="BA30" s="2004"/>
      <c r="BB30" s="2004"/>
      <c r="BC30" s="2005"/>
    </row>
    <row r="31" spans="2:55" x14ac:dyDescent="0.25">
      <c r="B31" s="1556"/>
      <c r="C31" s="1557"/>
      <c r="D31" s="1557"/>
      <c r="E31" s="1557"/>
      <c r="F31" s="1557"/>
      <c r="G31" s="1557"/>
      <c r="H31" s="1557"/>
      <c r="I31" s="1557"/>
      <c r="J31" s="1569"/>
      <c r="K31" s="2012"/>
      <c r="L31" s="1670"/>
      <c r="M31" s="1670"/>
      <c r="N31" s="1670"/>
      <c r="O31" s="1670"/>
      <c r="P31" s="1670"/>
      <c r="Q31" s="1670"/>
      <c r="R31" s="1670"/>
      <c r="S31" s="2013"/>
      <c r="T31" s="1556"/>
      <c r="U31" s="1557"/>
      <c r="V31" s="1557"/>
      <c r="W31" s="1557"/>
      <c r="X31" s="1557"/>
      <c r="Y31" s="1557"/>
      <c r="Z31" s="1557"/>
      <c r="AA31" s="1557"/>
      <c r="AB31" s="1569"/>
      <c r="AC31" s="2012"/>
      <c r="AD31" s="1670"/>
      <c r="AE31" s="1670"/>
      <c r="AF31" s="1670"/>
      <c r="AG31" s="1670"/>
      <c r="AH31" s="1670"/>
      <c r="AI31" s="1670"/>
      <c r="AJ31" s="1670"/>
      <c r="AK31" s="2013"/>
      <c r="AL31" s="1556"/>
      <c r="AM31" s="1557"/>
      <c r="AN31" s="1557"/>
      <c r="AO31" s="1557"/>
      <c r="AP31" s="1557"/>
      <c r="AQ31" s="1557"/>
      <c r="AR31" s="1557"/>
      <c r="AS31" s="1557"/>
      <c r="AT31" s="1569"/>
      <c r="AU31" s="2003"/>
      <c r="AV31" s="2004"/>
      <c r="AW31" s="2004"/>
      <c r="AX31" s="2004"/>
      <c r="AY31" s="2004"/>
      <c r="AZ31" s="2004"/>
      <c r="BA31" s="2004"/>
      <c r="BB31" s="2004"/>
      <c r="BC31" s="2005"/>
    </row>
    <row r="32" spans="2:55" x14ac:dyDescent="0.25">
      <c r="B32" s="1556"/>
      <c r="C32" s="1557"/>
      <c r="D32" s="1557"/>
      <c r="E32" s="1557"/>
      <c r="F32" s="1557"/>
      <c r="G32" s="1557"/>
      <c r="H32" s="1557"/>
      <c r="I32" s="1557"/>
      <c r="J32" s="1569"/>
      <c r="K32" s="2012"/>
      <c r="L32" s="1670"/>
      <c r="M32" s="1670"/>
      <c r="N32" s="1670"/>
      <c r="O32" s="1670"/>
      <c r="P32" s="1670"/>
      <c r="Q32" s="1670"/>
      <c r="R32" s="1670"/>
      <c r="S32" s="2013"/>
      <c r="T32" s="1556"/>
      <c r="U32" s="1557"/>
      <c r="V32" s="1557"/>
      <c r="W32" s="1557"/>
      <c r="X32" s="1557"/>
      <c r="Y32" s="1557"/>
      <c r="Z32" s="1557"/>
      <c r="AA32" s="1557"/>
      <c r="AB32" s="1569"/>
      <c r="AC32" s="2012"/>
      <c r="AD32" s="1670"/>
      <c r="AE32" s="1670"/>
      <c r="AF32" s="1670"/>
      <c r="AG32" s="1670"/>
      <c r="AH32" s="1670"/>
      <c r="AI32" s="1670"/>
      <c r="AJ32" s="1670"/>
      <c r="AK32" s="2013"/>
      <c r="AL32" s="1556"/>
      <c r="AM32" s="1557"/>
      <c r="AN32" s="1557"/>
      <c r="AO32" s="1557"/>
      <c r="AP32" s="1557"/>
      <c r="AQ32" s="1557"/>
      <c r="AR32" s="1557"/>
      <c r="AS32" s="1557"/>
      <c r="AT32" s="1569"/>
      <c r="AU32" s="2003"/>
      <c r="AV32" s="2004"/>
      <c r="AW32" s="2004"/>
      <c r="AX32" s="2004"/>
      <c r="AY32" s="2004"/>
      <c r="AZ32" s="2004"/>
      <c r="BA32" s="2004"/>
      <c r="BB32" s="2004"/>
      <c r="BC32" s="2005"/>
    </row>
    <row r="33" spans="2:55" x14ac:dyDescent="0.25">
      <c r="B33" s="1617"/>
      <c r="C33" s="1618"/>
      <c r="D33" s="1618"/>
      <c r="E33" s="1618"/>
      <c r="F33" s="1618"/>
      <c r="G33" s="1618"/>
      <c r="H33" s="1618"/>
      <c r="I33" s="1618"/>
      <c r="J33" s="1619"/>
      <c r="K33" s="2014"/>
      <c r="L33" s="2015"/>
      <c r="M33" s="2015"/>
      <c r="N33" s="2015"/>
      <c r="O33" s="2015"/>
      <c r="P33" s="2015"/>
      <c r="Q33" s="2015"/>
      <c r="R33" s="2015"/>
      <c r="S33" s="2016"/>
      <c r="T33" s="1617"/>
      <c r="U33" s="1618"/>
      <c r="V33" s="1618"/>
      <c r="W33" s="1618"/>
      <c r="X33" s="1618"/>
      <c r="Y33" s="1618"/>
      <c r="Z33" s="1618"/>
      <c r="AA33" s="1618"/>
      <c r="AB33" s="1619"/>
      <c r="AC33" s="2014"/>
      <c r="AD33" s="2015"/>
      <c r="AE33" s="2015"/>
      <c r="AF33" s="2015"/>
      <c r="AG33" s="2015"/>
      <c r="AH33" s="2015"/>
      <c r="AI33" s="2015"/>
      <c r="AJ33" s="2015"/>
      <c r="AK33" s="2016"/>
      <c r="AL33" s="1617"/>
      <c r="AM33" s="1618"/>
      <c r="AN33" s="1618"/>
      <c r="AO33" s="1618"/>
      <c r="AP33" s="1618"/>
      <c r="AQ33" s="1618"/>
      <c r="AR33" s="1618"/>
      <c r="AS33" s="1618"/>
      <c r="AT33" s="1619"/>
      <c r="AU33" s="2006"/>
      <c r="AV33" s="2007"/>
      <c r="AW33" s="2007"/>
      <c r="AX33" s="2007"/>
      <c r="AY33" s="2007"/>
      <c r="AZ33" s="2007"/>
      <c r="BA33" s="2007"/>
      <c r="BB33" s="2007"/>
      <c r="BC33" s="2008"/>
    </row>
    <row r="34" spans="2:55" x14ac:dyDescent="0.25">
      <c r="B34" s="67"/>
      <c r="F34" s="43">
        <v>3</v>
      </c>
      <c r="J34" s="81"/>
      <c r="K34" s="3"/>
      <c r="L34" s="6"/>
      <c r="M34" s="6"/>
      <c r="N34" s="6"/>
      <c r="O34" s="6"/>
      <c r="P34" s="6"/>
      <c r="Q34" s="6"/>
      <c r="R34" s="6"/>
      <c r="S34" s="40"/>
      <c r="AC34" s="1453"/>
      <c r="AD34" s="1454"/>
      <c r="AE34" s="1454"/>
      <c r="AF34" s="1454"/>
      <c r="AG34" s="1454"/>
      <c r="AH34" s="1454"/>
      <c r="AI34" s="1454"/>
      <c r="AJ34" s="1454"/>
      <c r="AK34" s="1455"/>
      <c r="AL34" s="67"/>
      <c r="AP34" s="43">
        <v>39</v>
      </c>
      <c r="AT34" s="81"/>
      <c r="AY34" s="43">
        <v>36</v>
      </c>
    </row>
    <row r="35" spans="2:55" x14ac:dyDescent="0.25">
      <c r="B35" s="1614">
        <f>VLOOKUP($B$108,$B$109:$CL$469,26,FALSE)</f>
        <v>142</v>
      </c>
      <c r="C35" s="1615"/>
      <c r="D35" s="1615"/>
      <c r="E35" s="1615"/>
      <c r="F35" s="1615"/>
      <c r="G35" s="1615"/>
      <c r="H35" s="1615"/>
      <c r="I35" s="1615"/>
      <c r="J35" s="1616"/>
      <c r="K35" s="1614">
        <f>VLOOKUP($B$108,$B$109:$CL$469,45,FALSE)</f>
        <v>0</v>
      </c>
      <c r="L35" s="1615"/>
      <c r="M35" s="1615"/>
      <c r="N35" s="1615"/>
      <c r="O35" s="1615"/>
      <c r="P35" s="1615"/>
      <c r="Q35" s="1615"/>
      <c r="R35" s="1615"/>
      <c r="S35" s="1616"/>
      <c r="T35" s="1614">
        <f>VLOOKUP($B$108,$B$109:$CL$469,15,FALSE)</f>
        <v>0</v>
      </c>
      <c r="U35" s="1615"/>
      <c r="V35" s="1615"/>
      <c r="W35" s="1615"/>
      <c r="X35" s="1615"/>
      <c r="Y35" s="1615"/>
      <c r="Z35" s="1615"/>
      <c r="AA35" s="1615"/>
      <c r="AB35" s="1616"/>
      <c r="AC35" s="2000"/>
      <c r="AD35" s="2001"/>
      <c r="AE35" s="2001"/>
      <c r="AF35" s="2001"/>
      <c r="AG35" s="2001"/>
      <c r="AH35" s="2001"/>
      <c r="AI35" s="2001"/>
      <c r="AJ35" s="2001"/>
      <c r="AK35" s="2002"/>
      <c r="AL35" s="1614">
        <f>VLOOKUP($B$108,$B$109:$CL$469,42,FALSE)</f>
        <v>0</v>
      </c>
      <c r="AM35" s="1615"/>
      <c r="AN35" s="1615"/>
      <c r="AO35" s="1615"/>
      <c r="AP35" s="1615"/>
      <c r="AQ35" s="1615"/>
      <c r="AR35" s="1615"/>
      <c r="AS35" s="1615"/>
      <c r="AT35" s="1616"/>
    </row>
    <row r="36" spans="2:55" x14ac:dyDescent="0.25">
      <c r="B36" s="1556"/>
      <c r="C36" s="1557"/>
      <c r="D36" s="1557"/>
      <c r="E36" s="1557"/>
      <c r="F36" s="1557"/>
      <c r="G36" s="1557"/>
      <c r="H36" s="1557"/>
      <c r="I36" s="1557"/>
      <c r="J36" s="1569"/>
      <c r="K36" s="1556"/>
      <c r="L36" s="1557"/>
      <c r="M36" s="1557"/>
      <c r="N36" s="1557"/>
      <c r="O36" s="1557"/>
      <c r="P36" s="1557"/>
      <c r="Q36" s="1557"/>
      <c r="R36" s="1557"/>
      <c r="S36" s="1569"/>
      <c r="T36" s="1556"/>
      <c r="U36" s="1557"/>
      <c r="V36" s="1557"/>
      <c r="W36" s="1557"/>
      <c r="X36" s="1557"/>
      <c r="Y36" s="1557"/>
      <c r="Z36" s="1557"/>
      <c r="AA36" s="1557"/>
      <c r="AB36" s="1569"/>
      <c r="AC36" s="2003"/>
      <c r="AD36" s="2004"/>
      <c r="AE36" s="2004"/>
      <c r="AF36" s="2004"/>
      <c r="AG36" s="2004"/>
      <c r="AH36" s="2004"/>
      <c r="AI36" s="2004"/>
      <c r="AJ36" s="2004"/>
      <c r="AK36" s="2005"/>
      <c r="AL36" s="1556"/>
      <c r="AM36" s="1557"/>
      <c r="AN36" s="1557"/>
      <c r="AO36" s="1557"/>
      <c r="AP36" s="1557"/>
      <c r="AQ36" s="1557"/>
      <c r="AR36" s="1557"/>
      <c r="AS36" s="1557"/>
      <c r="AT36" s="1569"/>
    </row>
    <row r="37" spans="2:55" x14ac:dyDescent="0.25">
      <c r="B37" s="1556"/>
      <c r="C37" s="1557"/>
      <c r="D37" s="1557"/>
      <c r="E37" s="1557"/>
      <c r="F37" s="1557"/>
      <c r="G37" s="1557"/>
      <c r="H37" s="1557"/>
      <c r="I37" s="1557"/>
      <c r="J37" s="1569"/>
      <c r="K37" s="1556"/>
      <c r="L37" s="1557"/>
      <c r="M37" s="1557"/>
      <c r="N37" s="1557"/>
      <c r="O37" s="1557"/>
      <c r="P37" s="1557"/>
      <c r="Q37" s="1557"/>
      <c r="R37" s="1557"/>
      <c r="S37" s="1569"/>
      <c r="T37" s="1556"/>
      <c r="U37" s="1557"/>
      <c r="V37" s="1557"/>
      <c r="W37" s="1557"/>
      <c r="X37" s="1557"/>
      <c r="Y37" s="1557"/>
      <c r="Z37" s="1557"/>
      <c r="AA37" s="1557"/>
      <c r="AB37" s="1569"/>
      <c r="AC37" s="2003"/>
      <c r="AD37" s="2004"/>
      <c r="AE37" s="2004"/>
      <c r="AF37" s="2004"/>
      <c r="AG37" s="2004"/>
      <c r="AH37" s="2004"/>
      <c r="AI37" s="2004"/>
      <c r="AJ37" s="2004"/>
      <c r="AK37" s="2005"/>
      <c r="AL37" s="1556"/>
      <c r="AM37" s="1557"/>
      <c r="AN37" s="1557"/>
      <c r="AO37" s="1557"/>
      <c r="AP37" s="1557"/>
      <c r="AQ37" s="1557"/>
      <c r="AR37" s="1557"/>
      <c r="AS37" s="1557"/>
      <c r="AT37" s="1569"/>
    </row>
    <row r="38" spans="2:55" x14ac:dyDescent="0.25">
      <c r="B38" s="1556"/>
      <c r="C38" s="1557"/>
      <c r="D38" s="1557"/>
      <c r="E38" s="1557"/>
      <c r="F38" s="1557"/>
      <c r="G38" s="1557"/>
      <c r="H38" s="1557"/>
      <c r="I38" s="1557"/>
      <c r="J38" s="1569"/>
      <c r="K38" s="1556"/>
      <c r="L38" s="1557"/>
      <c r="M38" s="1557"/>
      <c r="N38" s="1557"/>
      <c r="O38" s="1557"/>
      <c r="P38" s="1557"/>
      <c r="Q38" s="1557"/>
      <c r="R38" s="1557"/>
      <c r="S38" s="1569"/>
      <c r="T38" s="1556"/>
      <c r="U38" s="1557"/>
      <c r="V38" s="1557"/>
      <c r="W38" s="1557"/>
      <c r="X38" s="1557"/>
      <c r="Y38" s="1557"/>
      <c r="Z38" s="1557"/>
      <c r="AA38" s="1557"/>
      <c r="AB38" s="1569"/>
      <c r="AC38" s="2003"/>
      <c r="AD38" s="2004"/>
      <c r="AE38" s="2004"/>
      <c r="AF38" s="2004"/>
      <c r="AG38" s="2004"/>
      <c r="AH38" s="2004"/>
      <c r="AI38" s="2004"/>
      <c r="AJ38" s="2004"/>
      <c r="AK38" s="2005"/>
      <c r="AL38" s="1556"/>
      <c r="AM38" s="1557"/>
      <c r="AN38" s="1557"/>
      <c r="AO38" s="1557"/>
      <c r="AP38" s="1557"/>
      <c r="AQ38" s="1557"/>
      <c r="AR38" s="1557"/>
      <c r="AS38" s="1557"/>
      <c r="AT38" s="1569"/>
    </row>
    <row r="39" spans="2:55" x14ac:dyDescent="0.25">
      <c r="B39" s="1556"/>
      <c r="C39" s="1557"/>
      <c r="D39" s="1557"/>
      <c r="E39" s="1557"/>
      <c r="F39" s="1557"/>
      <c r="G39" s="1557"/>
      <c r="H39" s="1557"/>
      <c r="I39" s="1557"/>
      <c r="J39" s="1569"/>
      <c r="K39" s="1556"/>
      <c r="L39" s="1557"/>
      <c r="M39" s="1557"/>
      <c r="N39" s="1557"/>
      <c r="O39" s="1557"/>
      <c r="P39" s="1557"/>
      <c r="Q39" s="1557"/>
      <c r="R39" s="1557"/>
      <c r="S39" s="1569"/>
      <c r="T39" s="1556"/>
      <c r="U39" s="1557"/>
      <c r="V39" s="1557"/>
      <c r="W39" s="1557"/>
      <c r="X39" s="1557"/>
      <c r="Y39" s="1557"/>
      <c r="Z39" s="1557"/>
      <c r="AA39" s="1557"/>
      <c r="AB39" s="1569"/>
      <c r="AC39" s="2003"/>
      <c r="AD39" s="2004"/>
      <c r="AE39" s="2004"/>
      <c r="AF39" s="2004"/>
      <c r="AG39" s="2004"/>
      <c r="AH39" s="2004"/>
      <c r="AI39" s="2004"/>
      <c r="AJ39" s="2004"/>
      <c r="AK39" s="2005"/>
      <c r="AL39" s="1556"/>
      <c r="AM39" s="1557"/>
      <c r="AN39" s="1557"/>
      <c r="AO39" s="1557"/>
      <c r="AP39" s="1557"/>
      <c r="AQ39" s="1557"/>
      <c r="AR39" s="1557"/>
      <c r="AS39" s="1557"/>
      <c r="AT39" s="1569"/>
    </row>
    <row r="40" spans="2:55" x14ac:dyDescent="0.25">
      <c r="B40" s="1556"/>
      <c r="C40" s="1557"/>
      <c r="D40" s="1557"/>
      <c r="E40" s="1557"/>
      <c r="F40" s="1557"/>
      <c r="G40" s="1557"/>
      <c r="H40" s="1557"/>
      <c r="I40" s="1557"/>
      <c r="J40" s="1569"/>
      <c r="K40" s="1556"/>
      <c r="L40" s="1557"/>
      <c r="M40" s="1557"/>
      <c r="N40" s="1557"/>
      <c r="O40" s="1557"/>
      <c r="P40" s="1557"/>
      <c r="Q40" s="1557"/>
      <c r="R40" s="1557"/>
      <c r="S40" s="1569"/>
      <c r="T40" s="1556"/>
      <c r="U40" s="1557"/>
      <c r="V40" s="1557"/>
      <c r="W40" s="1557"/>
      <c r="X40" s="1557"/>
      <c r="Y40" s="1557"/>
      <c r="Z40" s="1557"/>
      <c r="AA40" s="1557"/>
      <c r="AB40" s="1569"/>
      <c r="AC40" s="2003"/>
      <c r="AD40" s="2004"/>
      <c r="AE40" s="2004"/>
      <c r="AF40" s="2004"/>
      <c r="AG40" s="2004"/>
      <c r="AH40" s="2004"/>
      <c r="AI40" s="2004"/>
      <c r="AJ40" s="2004"/>
      <c r="AK40" s="2005"/>
      <c r="AL40" s="1556"/>
      <c r="AM40" s="1557"/>
      <c r="AN40" s="1557"/>
      <c r="AO40" s="1557"/>
      <c r="AP40" s="1557"/>
      <c r="AQ40" s="1557"/>
      <c r="AR40" s="1557"/>
      <c r="AS40" s="1557"/>
      <c r="AT40" s="1569"/>
    </row>
    <row r="41" spans="2:55" x14ac:dyDescent="0.25">
      <c r="B41" s="1556"/>
      <c r="C41" s="1557"/>
      <c r="D41" s="1557"/>
      <c r="E41" s="1557"/>
      <c r="F41" s="1557"/>
      <c r="G41" s="1557"/>
      <c r="H41" s="1557"/>
      <c r="I41" s="1557"/>
      <c r="J41" s="1569"/>
      <c r="K41" s="1556"/>
      <c r="L41" s="1557"/>
      <c r="M41" s="1557"/>
      <c r="N41" s="1557"/>
      <c r="O41" s="1557"/>
      <c r="P41" s="1557"/>
      <c r="Q41" s="1557"/>
      <c r="R41" s="1557"/>
      <c r="S41" s="1569"/>
      <c r="T41" s="1556"/>
      <c r="U41" s="1557"/>
      <c r="V41" s="1557"/>
      <c r="W41" s="1557"/>
      <c r="X41" s="1557"/>
      <c r="Y41" s="1557"/>
      <c r="Z41" s="1557"/>
      <c r="AA41" s="1557"/>
      <c r="AB41" s="1569"/>
      <c r="AC41" s="2003"/>
      <c r="AD41" s="2004"/>
      <c r="AE41" s="2004"/>
      <c r="AF41" s="2004"/>
      <c r="AG41" s="2004"/>
      <c r="AH41" s="2004"/>
      <c r="AI41" s="2004"/>
      <c r="AJ41" s="2004"/>
      <c r="AK41" s="2005"/>
      <c r="AL41" s="1556"/>
      <c r="AM41" s="1557"/>
      <c r="AN41" s="1557"/>
      <c r="AO41" s="1557"/>
      <c r="AP41" s="1557"/>
      <c r="AQ41" s="1557"/>
      <c r="AR41" s="1557"/>
      <c r="AS41" s="1557"/>
      <c r="AT41" s="1569"/>
    </row>
    <row r="42" spans="2:55" x14ac:dyDescent="0.25">
      <c r="B42" s="1556"/>
      <c r="C42" s="1557"/>
      <c r="D42" s="1557"/>
      <c r="E42" s="1557"/>
      <c r="F42" s="1557"/>
      <c r="G42" s="1557"/>
      <c r="H42" s="1557"/>
      <c r="I42" s="1557"/>
      <c r="J42" s="1569"/>
      <c r="K42" s="1556"/>
      <c r="L42" s="1557"/>
      <c r="M42" s="1557"/>
      <c r="N42" s="1557"/>
      <c r="O42" s="1557"/>
      <c r="P42" s="1557"/>
      <c r="Q42" s="1557"/>
      <c r="R42" s="1557"/>
      <c r="S42" s="1569"/>
      <c r="T42" s="1556"/>
      <c r="U42" s="1557"/>
      <c r="V42" s="1557"/>
      <c r="W42" s="1557"/>
      <c r="X42" s="1557"/>
      <c r="Y42" s="1557"/>
      <c r="Z42" s="1557"/>
      <c r="AA42" s="1557"/>
      <c r="AB42" s="1569"/>
      <c r="AC42" s="2003"/>
      <c r="AD42" s="2004"/>
      <c r="AE42" s="2004"/>
      <c r="AF42" s="2004"/>
      <c r="AG42" s="2004"/>
      <c r="AH42" s="2004"/>
      <c r="AI42" s="2004"/>
      <c r="AJ42" s="2004"/>
      <c r="AK42" s="2005"/>
      <c r="AL42" s="1556"/>
      <c r="AM42" s="1557"/>
      <c r="AN42" s="1557"/>
      <c r="AO42" s="1557"/>
      <c r="AP42" s="1557"/>
      <c r="AQ42" s="1557"/>
      <c r="AR42" s="1557"/>
      <c r="AS42" s="1557"/>
      <c r="AT42" s="1569"/>
    </row>
    <row r="43" spans="2:55" x14ac:dyDescent="0.25">
      <c r="B43" s="1556"/>
      <c r="C43" s="1557"/>
      <c r="D43" s="1557"/>
      <c r="E43" s="1557"/>
      <c r="F43" s="1557"/>
      <c r="G43" s="1557"/>
      <c r="H43" s="1557"/>
      <c r="I43" s="1557"/>
      <c r="J43" s="1569"/>
      <c r="K43" s="1556"/>
      <c r="L43" s="1557"/>
      <c r="M43" s="1557"/>
      <c r="N43" s="1557"/>
      <c r="O43" s="1557"/>
      <c r="P43" s="1557"/>
      <c r="Q43" s="1557"/>
      <c r="R43" s="1557"/>
      <c r="S43" s="1569"/>
      <c r="T43" s="1556"/>
      <c r="U43" s="1557"/>
      <c r="V43" s="1557"/>
      <c r="W43" s="1557"/>
      <c r="X43" s="1557"/>
      <c r="Y43" s="1557"/>
      <c r="Z43" s="1557"/>
      <c r="AA43" s="1557"/>
      <c r="AB43" s="1569"/>
      <c r="AC43" s="2003"/>
      <c r="AD43" s="2004"/>
      <c r="AE43" s="2004"/>
      <c r="AF43" s="2004"/>
      <c r="AG43" s="2004"/>
      <c r="AH43" s="2004"/>
      <c r="AI43" s="2004"/>
      <c r="AJ43" s="2004"/>
      <c r="AK43" s="2005"/>
      <c r="AL43" s="1556"/>
      <c r="AM43" s="1557"/>
      <c r="AN43" s="1557"/>
      <c r="AO43" s="1557"/>
      <c r="AP43" s="1557"/>
      <c r="AQ43" s="1557"/>
      <c r="AR43" s="1557"/>
      <c r="AS43" s="1557"/>
      <c r="AT43" s="1569"/>
    </row>
    <row r="44" spans="2:55" x14ac:dyDescent="0.25">
      <c r="B44" s="1556"/>
      <c r="C44" s="1557"/>
      <c r="D44" s="1557"/>
      <c r="E44" s="1557"/>
      <c r="F44" s="1557"/>
      <c r="G44" s="1557"/>
      <c r="H44" s="1557"/>
      <c r="I44" s="1557"/>
      <c r="J44" s="1569"/>
      <c r="K44" s="1556"/>
      <c r="L44" s="1557"/>
      <c r="M44" s="1557"/>
      <c r="N44" s="1557"/>
      <c r="O44" s="1557"/>
      <c r="P44" s="1557"/>
      <c r="Q44" s="1557"/>
      <c r="R44" s="1557"/>
      <c r="S44" s="1569"/>
      <c r="T44" s="1556"/>
      <c r="U44" s="1557"/>
      <c r="V44" s="1557"/>
      <c r="W44" s="1557"/>
      <c r="X44" s="1557"/>
      <c r="Y44" s="1557"/>
      <c r="Z44" s="1557"/>
      <c r="AA44" s="1557"/>
      <c r="AB44" s="1569"/>
      <c r="AC44" s="2003"/>
      <c r="AD44" s="2004"/>
      <c r="AE44" s="2004"/>
      <c r="AF44" s="2004"/>
      <c r="AG44" s="2004"/>
      <c r="AH44" s="2004"/>
      <c r="AI44" s="2004"/>
      <c r="AJ44" s="2004"/>
      <c r="AK44" s="2005"/>
      <c r="AL44" s="1556"/>
      <c r="AM44" s="1557"/>
      <c r="AN44" s="1557"/>
      <c r="AO44" s="1557"/>
      <c r="AP44" s="1557"/>
      <c r="AQ44" s="1557"/>
      <c r="AR44" s="1557"/>
      <c r="AS44" s="1557"/>
      <c r="AT44" s="1569"/>
    </row>
    <row r="45" spans="2:55" x14ac:dyDescent="0.25">
      <c r="B45" s="1556"/>
      <c r="C45" s="1557"/>
      <c r="D45" s="1557"/>
      <c r="E45" s="1557"/>
      <c r="F45" s="1557"/>
      <c r="G45" s="1557"/>
      <c r="H45" s="1557"/>
      <c r="I45" s="1557"/>
      <c r="J45" s="1569"/>
      <c r="K45" s="1556"/>
      <c r="L45" s="1557"/>
      <c r="M45" s="1557"/>
      <c r="N45" s="1557"/>
      <c r="O45" s="1557"/>
      <c r="P45" s="1557"/>
      <c r="Q45" s="1557"/>
      <c r="R45" s="1557"/>
      <c r="S45" s="1569"/>
      <c r="T45" s="1556"/>
      <c r="U45" s="1557"/>
      <c r="V45" s="1557"/>
      <c r="W45" s="1557"/>
      <c r="X45" s="1557"/>
      <c r="Y45" s="1557"/>
      <c r="Z45" s="1557"/>
      <c r="AA45" s="1557"/>
      <c r="AB45" s="1569"/>
      <c r="AC45" s="2003"/>
      <c r="AD45" s="2004"/>
      <c r="AE45" s="2004"/>
      <c r="AF45" s="2004"/>
      <c r="AG45" s="2004"/>
      <c r="AH45" s="2004"/>
      <c r="AI45" s="2004"/>
      <c r="AJ45" s="2004"/>
      <c r="AK45" s="2005"/>
      <c r="AL45" s="1556"/>
      <c r="AM45" s="1557"/>
      <c r="AN45" s="1557"/>
      <c r="AO45" s="1557"/>
      <c r="AP45" s="1557"/>
      <c r="AQ45" s="1557"/>
      <c r="AR45" s="1557"/>
      <c r="AS45" s="1557"/>
      <c r="AT45" s="1569"/>
    </row>
    <row r="46" spans="2:55" x14ac:dyDescent="0.25">
      <c r="B46" s="1556"/>
      <c r="C46" s="1557"/>
      <c r="D46" s="1557"/>
      <c r="E46" s="1557"/>
      <c r="F46" s="1557"/>
      <c r="G46" s="1557"/>
      <c r="H46" s="1557"/>
      <c r="I46" s="1557"/>
      <c r="J46" s="1569"/>
      <c r="K46" s="1556"/>
      <c r="L46" s="1557"/>
      <c r="M46" s="1557"/>
      <c r="N46" s="1557"/>
      <c r="O46" s="1557"/>
      <c r="P46" s="1557"/>
      <c r="Q46" s="1557"/>
      <c r="R46" s="1557"/>
      <c r="S46" s="1569"/>
      <c r="T46" s="1556"/>
      <c r="U46" s="1557"/>
      <c r="V46" s="1557"/>
      <c r="W46" s="1557"/>
      <c r="X46" s="1557"/>
      <c r="Y46" s="1557"/>
      <c r="Z46" s="1557"/>
      <c r="AA46" s="1557"/>
      <c r="AB46" s="1569"/>
      <c r="AC46" s="2003"/>
      <c r="AD46" s="2004"/>
      <c r="AE46" s="2004"/>
      <c r="AF46" s="2004"/>
      <c r="AG46" s="2004"/>
      <c r="AH46" s="2004"/>
      <c r="AI46" s="2004"/>
      <c r="AJ46" s="2004"/>
      <c r="AK46" s="2005"/>
      <c r="AL46" s="1556"/>
      <c r="AM46" s="1557"/>
      <c r="AN46" s="1557"/>
      <c r="AO46" s="1557"/>
      <c r="AP46" s="1557"/>
      <c r="AQ46" s="1557"/>
      <c r="AR46" s="1557"/>
      <c r="AS46" s="1557"/>
      <c r="AT46" s="1569"/>
    </row>
    <row r="47" spans="2:55" x14ac:dyDescent="0.25">
      <c r="B47" s="1556"/>
      <c r="C47" s="1557"/>
      <c r="D47" s="1557"/>
      <c r="E47" s="1557"/>
      <c r="F47" s="1557"/>
      <c r="G47" s="1557"/>
      <c r="H47" s="1557"/>
      <c r="I47" s="1557"/>
      <c r="J47" s="1569"/>
      <c r="K47" s="1556"/>
      <c r="L47" s="1557"/>
      <c r="M47" s="1557"/>
      <c r="N47" s="1557"/>
      <c r="O47" s="1557"/>
      <c r="P47" s="1557"/>
      <c r="Q47" s="1557"/>
      <c r="R47" s="1557"/>
      <c r="S47" s="1569"/>
      <c r="T47" s="1556"/>
      <c r="U47" s="1557"/>
      <c r="V47" s="1557"/>
      <c r="W47" s="1557"/>
      <c r="X47" s="1557"/>
      <c r="Y47" s="1557"/>
      <c r="Z47" s="1557"/>
      <c r="AA47" s="1557"/>
      <c r="AB47" s="1569"/>
      <c r="AC47" s="2003"/>
      <c r="AD47" s="2004"/>
      <c r="AE47" s="2004"/>
      <c r="AF47" s="2004"/>
      <c r="AG47" s="2004"/>
      <c r="AH47" s="2004"/>
      <c r="AI47" s="2004"/>
      <c r="AJ47" s="2004"/>
      <c r="AK47" s="2005"/>
      <c r="AL47" s="1556"/>
      <c r="AM47" s="1557"/>
      <c r="AN47" s="1557"/>
      <c r="AO47" s="1557"/>
      <c r="AP47" s="1557"/>
      <c r="AQ47" s="1557"/>
      <c r="AR47" s="1557"/>
      <c r="AS47" s="1557"/>
      <c r="AT47" s="1569"/>
    </row>
    <row r="48" spans="2:55" x14ac:dyDescent="0.25">
      <c r="B48" s="1556"/>
      <c r="C48" s="1557"/>
      <c r="D48" s="1557"/>
      <c r="E48" s="1557"/>
      <c r="F48" s="1557"/>
      <c r="G48" s="1557"/>
      <c r="H48" s="1557"/>
      <c r="I48" s="1557"/>
      <c r="J48" s="1569"/>
      <c r="K48" s="1556"/>
      <c r="L48" s="1557"/>
      <c r="M48" s="1557"/>
      <c r="N48" s="1557"/>
      <c r="O48" s="1557"/>
      <c r="P48" s="1557"/>
      <c r="Q48" s="1557"/>
      <c r="R48" s="1557"/>
      <c r="S48" s="1569"/>
      <c r="T48" s="1556"/>
      <c r="U48" s="1557"/>
      <c r="V48" s="1557"/>
      <c r="W48" s="1557"/>
      <c r="X48" s="1557"/>
      <c r="Y48" s="1557"/>
      <c r="Z48" s="1557"/>
      <c r="AA48" s="1557"/>
      <c r="AB48" s="1569"/>
      <c r="AC48" s="2003"/>
      <c r="AD48" s="2004"/>
      <c r="AE48" s="2004"/>
      <c r="AF48" s="2004"/>
      <c r="AG48" s="2004"/>
      <c r="AH48" s="2004"/>
      <c r="AI48" s="2004"/>
      <c r="AJ48" s="2004"/>
      <c r="AK48" s="2005"/>
      <c r="AL48" s="1556"/>
      <c r="AM48" s="1557"/>
      <c r="AN48" s="1557"/>
      <c r="AO48" s="1557"/>
      <c r="AP48" s="1557"/>
      <c r="AQ48" s="1557"/>
      <c r="AR48" s="1557"/>
      <c r="AS48" s="1557"/>
      <c r="AT48" s="1569"/>
    </row>
    <row r="49" spans="2:55" x14ac:dyDescent="0.25">
      <c r="B49" s="1556"/>
      <c r="C49" s="1557"/>
      <c r="D49" s="1557"/>
      <c r="E49" s="1557"/>
      <c r="F49" s="1557"/>
      <c r="G49" s="1557"/>
      <c r="H49" s="1557"/>
      <c r="I49" s="1557"/>
      <c r="J49" s="1569"/>
      <c r="K49" s="1556"/>
      <c r="L49" s="1557"/>
      <c r="M49" s="1557"/>
      <c r="N49" s="1557"/>
      <c r="O49" s="1557"/>
      <c r="P49" s="1557"/>
      <c r="Q49" s="1557"/>
      <c r="R49" s="1557"/>
      <c r="S49" s="1569"/>
      <c r="T49" s="1556"/>
      <c r="U49" s="1557"/>
      <c r="V49" s="1557"/>
      <c r="W49" s="1557"/>
      <c r="X49" s="1557"/>
      <c r="Y49" s="1557"/>
      <c r="Z49" s="1557"/>
      <c r="AA49" s="1557"/>
      <c r="AB49" s="1569"/>
      <c r="AC49" s="2003"/>
      <c r="AD49" s="2004"/>
      <c r="AE49" s="2004"/>
      <c r="AF49" s="2004"/>
      <c r="AG49" s="2004"/>
      <c r="AH49" s="2004"/>
      <c r="AI49" s="2004"/>
      <c r="AJ49" s="2004"/>
      <c r="AK49" s="2005"/>
      <c r="AL49" s="1556"/>
      <c r="AM49" s="1557"/>
      <c r="AN49" s="1557"/>
      <c r="AO49" s="1557"/>
      <c r="AP49" s="1557"/>
      <c r="AQ49" s="1557"/>
      <c r="AR49" s="1557"/>
      <c r="AS49" s="1557"/>
      <c r="AT49" s="1569"/>
    </row>
    <row r="50" spans="2:55" x14ac:dyDescent="0.25">
      <c r="B50" s="1617"/>
      <c r="C50" s="1618"/>
      <c r="D50" s="1618"/>
      <c r="E50" s="1618"/>
      <c r="F50" s="1618"/>
      <c r="G50" s="1618"/>
      <c r="H50" s="1618"/>
      <c r="I50" s="1618"/>
      <c r="J50" s="1619"/>
      <c r="K50" s="1617"/>
      <c r="L50" s="1618"/>
      <c r="M50" s="1618"/>
      <c r="N50" s="1618"/>
      <c r="O50" s="1618"/>
      <c r="P50" s="1618"/>
      <c r="Q50" s="1618"/>
      <c r="R50" s="1618"/>
      <c r="S50" s="1619"/>
      <c r="T50" s="1617"/>
      <c r="U50" s="1618"/>
      <c r="V50" s="1618"/>
      <c r="W50" s="1618"/>
      <c r="X50" s="1618"/>
      <c r="Y50" s="1618"/>
      <c r="Z50" s="1618"/>
      <c r="AA50" s="1618"/>
      <c r="AB50" s="1619"/>
      <c r="AC50" s="2006"/>
      <c r="AD50" s="2007"/>
      <c r="AE50" s="2007"/>
      <c r="AF50" s="2007"/>
      <c r="AG50" s="2007"/>
      <c r="AH50" s="2007"/>
      <c r="AI50" s="2007"/>
      <c r="AJ50" s="2007"/>
      <c r="AK50" s="2008"/>
      <c r="AL50" s="1617"/>
      <c r="AM50" s="1618"/>
      <c r="AN50" s="1618"/>
      <c r="AO50" s="1618"/>
      <c r="AP50" s="1618"/>
      <c r="AQ50" s="1618"/>
      <c r="AR50" s="1618"/>
      <c r="AS50" s="1618"/>
      <c r="AT50" s="1619"/>
    </row>
    <row r="51" spans="2:55" x14ac:dyDescent="0.25">
      <c r="B51" s="1453"/>
      <c r="C51" s="1454"/>
      <c r="D51" s="1454"/>
      <c r="E51" s="1454"/>
      <c r="F51" s="1454"/>
      <c r="G51" s="1454"/>
      <c r="H51" s="1454"/>
      <c r="I51" s="1454"/>
      <c r="J51" s="1455"/>
      <c r="K51" s="67"/>
      <c r="O51" s="43">
        <v>26</v>
      </c>
      <c r="S51" s="81"/>
      <c r="AC51" s="67"/>
      <c r="AG51" s="43">
        <v>33</v>
      </c>
      <c r="AK51" s="81"/>
      <c r="AL51" s="67"/>
      <c r="AP51" s="43">
        <v>42</v>
      </c>
      <c r="AT51" s="81"/>
      <c r="AU51" s="67"/>
      <c r="AY51" s="43">
        <v>30</v>
      </c>
      <c r="BC51" s="81"/>
    </row>
    <row r="52" spans="2:55" x14ac:dyDescent="0.25">
      <c r="B52" s="1614">
        <f>VLOOKUP($B$108,$B$109:$CL$469,87,FALSE)</f>
        <v>0.97</v>
      </c>
      <c r="C52" s="1615"/>
      <c r="D52" s="1615"/>
      <c r="E52" s="1615"/>
      <c r="F52" s="1615"/>
      <c r="G52" s="1615"/>
      <c r="H52" s="1615"/>
      <c r="I52" s="1615"/>
      <c r="J52" s="1616"/>
      <c r="K52" s="1614">
        <f>VLOOKUP($B$108,$B$109:$CL$469,84,FALSE)</f>
        <v>334</v>
      </c>
      <c r="L52" s="1615"/>
      <c r="M52" s="1615"/>
      <c r="N52" s="1615"/>
      <c r="O52" s="1615"/>
      <c r="P52" s="1615"/>
      <c r="Q52" s="1615"/>
      <c r="R52" s="1615"/>
      <c r="S52" s="1616"/>
      <c r="T52" s="1614">
        <f>VLOOKUP($B$108,$B$109:$CL$469,30,FALSE)</f>
        <v>7486</v>
      </c>
      <c r="U52" s="1615"/>
      <c r="V52" s="1615"/>
      <c r="W52" s="1615"/>
      <c r="X52" s="1615"/>
      <c r="Y52" s="1615"/>
      <c r="Z52" s="1615"/>
      <c r="AA52" s="1615"/>
      <c r="AB52" s="1616"/>
      <c r="AC52" s="1991"/>
      <c r="AD52" s="1992"/>
      <c r="AE52" s="1992"/>
      <c r="AF52" s="1992"/>
      <c r="AG52" s="1992"/>
      <c r="AH52" s="1992"/>
      <c r="AI52" s="1992"/>
      <c r="AJ52" s="1992"/>
      <c r="AK52" s="1993"/>
      <c r="AL52" s="1991"/>
      <c r="AM52" s="1992"/>
      <c r="AN52" s="1992"/>
      <c r="AO52" s="1992"/>
      <c r="AP52" s="1992"/>
      <c r="AQ52" s="1992"/>
      <c r="AR52" s="1992"/>
      <c r="AS52" s="1992"/>
      <c r="AT52" s="1993"/>
      <c r="AU52" s="2000"/>
      <c r="AV52" s="2001"/>
      <c r="AW52" s="2001"/>
      <c r="AX52" s="2001"/>
      <c r="AY52" s="2001"/>
      <c r="AZ52" s="2001"/>
      <c r="BA52" s="2001"/>
      <c r="BB52" s="2001"/>
      <c r="BC52" s="2002"/>
    </row>
    <row r="53" spans="2:55" x14ac:dyDescent="0.25">
      <c r="B53" s="1556"/>
      <c r="C53" s="1557"/>
      <c r="D53" s="1557"/>
      <c r="E53" s="1557"/>
      <c r="F53" s="1557"/>
      <c r="G53" s="1557"/>
      <c r="H53" s="1557"/>
      <c r="I53" s="1557"/>
      <c r="J53" s="1569"/>
      <c r="K53" s="1556"/>
      <c r="L53" s="1557"/>
      <c r="M53" s="1557"/>
      <c r="N53" s="1557"/>
      <c r="O53" s="1557"/>
      <c r="P53" s="1557"/>
      <c r="Q53" s="1557"/>
      <c r="R53" s="1557"/>
      <c r="S53" s="1569"/>
      <c r="T53" s="1556"/>
      <c r="U53" s="1557"/>
      <c r="V53" s="1557"/>
      <c r="W53" s="1557"/>
      <c r="X53" s="1557"/>
      <c r="Y53" s="1557"/>
      <c r="Z53" s="1557"/>
      <c r="AA53" s="1557"/>
      <c r="AB53" s="1569"/>
      <c r="AC53" s="1994"/>
      <c r="AD53" s="1995"/>
      <c r="AE53" s="1995"/>
      <c r="AF53" s="1995"/>
      <c r="AG53" s="1995"/>
      <c r="AH53" s="1995"/>
      <c r="AI53" s="1995"/>
      <c r="AJ53" s="1995"/>
      <c r="AK53" s="1996"/>
      <c r="AL53" s="1994"/>
      <c r="AM53" s="1995"/>
      <c r="AN53" s="1995"/>
      <c r="AO53" s="1995"/>
      <c r="AP53" s="1995"/>
      <c r="AQ53" s="1995"/>
      <c r="AR53" s="1995"/>
      <c r="AS53" s="1995"/>
      <c r="AT53" s="1996"/>
      <c r="AU53" s="2003"/>
      <c r="AV53" s="2004"/>
      <c r="AW53" s="2004"/>
      <c r="AX53" s="2004"/>
      <c r="AY53" s="2004"/>
      <c r="AZ53" s="2004"/>
      <c r="BA53" s="2004"/>
      <c r="BB53" s="2004"/>
      <c r="BC53" s="2005"/>
    </row>
    <row r="54" spans="2:55" x14ac:dyDescent="0.25">
      <c r="B54" s="1556"/>
      <c r="C54" s="1557"/>
      <c r="D54" s="1557"/>
      <c r="E54" s="1557"/>
      <c r="F54" s="1557"/>
      <c r="G54" s="1557"/>
      <c r="H54" s="1557"/>
      <c r="I54" s="1557"/>
      <c r="J54" s="1569"/>
      <c r="K54" s="1556"/>
      <c r="L54" s="1557"/>
      <c r="M54" s="1557"/>
      <c r="N54" s="1557"/>
      <c r="O54" s="1557"/>
      <c r="P54" s="1557"/>
      <c r="Q54" s="1557"/>
      <c r="R54" s="1557"/>
      <c r="S54" s="1569"/>
      <c r="T54" s="1556"/>
      <c r="U54" s="1557"/>
      <c r="V54" s="1557"/>
      <c r="W54" s="1557"/>
      <c r="X54" s="1557"/>
      <c r="Y54" s="1557"/>
      <c r="Z54" s="1557"/>
      <c r="AA54" s="1557"/>
      <c r="AB54" s="1569"/>
      <c r="AC54" s="1994"/>
      <c r="AD54" s="1995"/>
      <c r="AE54" s="1995"/>
      <c r="AF54" s="1995"/>
      <c r="AG54" s="1995"/>
      <c r="AH54" s="1995"/>
      <c r="AI54" s="1995"/>
      <c r="AJ54" s="1995"/>
      <c r="AK54" s="1996"/>
      <c r="AL54" s="1994"/>
      <c r="AM54" s="1995"/>
      <c r="AN54" s="1995"/>
      <c r="AO54" s="1995"/>
      <c r="AP54" s="1995"/>
      <c r="AQ54" s="1995"/>
      <c r="AR54" s="1995"/>
      <c r="AS54" s="1995"/>
      <c r="AT54" s="1996"/>
      <c r="AU54" s="2003"/>
      <c r="AV54" s="2004"/>
      <c r="AW54" s="2004"/>
      <c r="AX54" s="2004"/>
      <c r="AY54" s="2004"/>
      <c r="AZ54" s="2004"/>
      <c r="BA54" s="2004"/>
      <c r="BB54" s="2004"/>
      <c r="BC54" s="2005"/>
    </row>
    <row r="55" spans="2:55" x14ac:dyDescent="0.25">
      <c r="B55" s="1556"/>
      <c r="C55" s="1557"/>
      <c r="D55" s="1557"/>
      <c r="E55" s="1557"/>
      <c r="F55" s="1557"/>
      <c r="G55" s="1557"/>
      <c r="H55" s="1557"/>
      <c r="I55" s="1557"/>
      <c r="J55" s="1569"/>
      <c r="K55" s="1556"/>
      <c r="L55" s="1557"/>
      <c r="M55" s="1557"/>
      <c r="N55" s="1557"/>
      <c r="O55" s="1557"/>
      <c r="P55" s="1557"/>
      <c r="Q55" s="1557"/>
      <c r="R55" s="1557"/>
      <c r="S55" s="1569"/>
      <c r="T55" s="1556"/>
      <c r="U55" s="1557"/>
      <c r="V55" s="1557"/>
      <c r="W55" s="1557"/>
      <c r="X55" s="1557"/>
      <c r="Y55" s="1557"/>
      <c r="Z55" s="1557"/>
      <c r="AA55" s="1557"/>
      <c r="AB55" s="1569"/>
      <c r="AC55" s="1994"/>
      <c r="AD55" s="1995"/>
      <c r="AE55" s="1995"/>
      <c r="AF55" s="1995"/>
      <c r="AG55" s="1995"/>
      <c r="AH55" s="1995"/>
      <c r="AI55" s="1995"/>
      <c r="AJ55" s="1995"/>
      <c r="AK55" s="1996"/>
      <c r="AL55" s="1994"/>
      <c r="AM55" s="1995"/>
      <c r="AN55" s="1995"/>
      <c r="AO55" s="1995"/>
      <c r="AP55" s="1995"/>
      <c r="AQ55" s="1995"/>
      <c r="AR55" s="1995"/>
      <c r="AS55" s="1995"/>
      <c r="AT55" s="1996"/>
      <c r="AU55" s="2003"/>
      <c r="AV55" s="2004"/>
      <c r="AW55" s="2004"/>
      <c r="AX55" s="2004"/>
      <c r="AY55" s="2004"/>
      <c r="AZ55" s="2004"/>
      <c r="BA55" s="2004"/>
      <c r="BB55" s="2004"/>
      <c r="BC55" s="2005"/>
    </row>
    <row r="56" spans="2:55" x14ac:dyDescent="0.25">
      <c r="B56" s="1556"/>
      <c r="C56" s="1557"/>
      <c r="D56" s="1557"/>
      <c r="E56" s="1557"/>
      <c r="F56" s="1557"/>
      <c r="G56" s="1557"/>
      <c r="H56" s="1557"/>
      <c r="I56" s="1557"/>
      <c r="J56" s="1569"/>
      <c r="K56" s="1556"/>
      <c r="L56" s="1557"/>
      <c r="M56" s="1557"/>
      <c r="N56" s="1557"/>
      <c r="O56" s="1557"/>
      <c r="P56" s="1557"/>
      <c r="Q56" s="1557"/>
      <c r="R56" s="1557"/>
      <c r="S56" s="1569"/>
      <c r="T56" s="1556"/>
      <c r="U56" s="1557"/>
      <c r="V56" s="1557"/>
      <c r="W56" s="1557"/>
      <c r="X56" s="1557"/>
      <c r="Y56" s="1557"/>
      <c r="Z56" s="1557"/>
      <c r="AA56" s="1557"/>
      <c r="AB56" s="1569"/>
      <c r="AC56" s="1994"/>
      <c r="AD56" s="1995"/>
      <c r="AE56" s="1995"/>
      <c r="AF56" s="1995"/>
      <c r="AG56" s="1995"/>
      <c r="AH56" s="1995"/>
      <c r="AI56" s="1995"/>
      <c r="AJ56" s="1995"/>
      <c r="AK56" s="1996"/>
      <c r="AL56" s="1994"/>
      <c r="AM56" s="1995"/>
      <c r="AN56" s="1995"/>
      <c r="AO56" s="1995"/>
      <c r="AP56" s="1995"/>
      <c r="AQ56" s="1995"/>
      <c r="AR56" s="1995"/>
      <c r="AS56" s="1995"/>
      <c r="AT56" s="1996"/>
      <c r="AU56" s="2003"/>
      <c r="AV56" s="2004"/>
      <c r="AW56" s="2004"/>
      <c r="AX56" s="2004"/>
      <c r="AY56" s="2004"/>
      <c r="AZ56" s="2004"/>
      <c r="BA56" s="2004"/>
      <c r="BB56" s="2004"/>
      <c r="BC56" s="2005"/>
    </row>
    <row r="57" spans="2:55" x14ac:dyDescent="0.25">
      <c r="B57" s="1556"/>
      <c r="C57" s="1557"/>
      <c r="D57" s="1557"/>
      <c r="E57" s="1557"/>
      <c r="F57" s="1557"/>
      <c r="G57" s="1557"/>
      <c r="H57" s="1557"/>
      <c r="I57" s="1557"/>
      <c r="J57" s="1569"/>
      <c r="K57" s="1556"/>
      <c r="L57" s="1557"/>
      <c r="M57" s="1557"/>
      <c r="N57" s="1557"/>
      <c r="O57" s="1557"/>
      <c r="P57" s="1557"/>
      <c r="Q57" s="1557"/>
      <c r="R57" s="1557"/>
      <c r="S57" s="1569"/>
      <c r="T57" s="1556"/>
      <c r="U57" s="1557"/>
      <c r="V57" s="1557"/>
      <c r="W57" s="1557"/>
      <c r="X57" s="1557"/>
      <c r="Y57" s="1557"/>
      <c r="Z57" s="1557"/>
      <c r="AA57" s="1557"/>
      <c r="AB57" s="1569"/>
      <c r="AC57" s="1994"/>
      <c r="AD57" s="1995"/>
      <c r="AE57" s="1995"/>
      <c r="AF57" s="1995"/>
      <c r="AG57" s="1995"/>
      <c r="AH57" s="1995"/>
      <c r="AI57" s="1995"/>
      <c r="AJ57" s="1995"/>
      <c r="AK57" s="1996"/>
      <c r="AL57" s="1994"/>
      <c r="AM57" s="1995"/>
      <c r="AN57" s="1995"/>
      <c r="AO57" s="1995"/>
      <c r="AP57" s="1995"/>
      <c r="AQ57" s="1995"/>
      <c r="AR57" s="1995"/>
      <c r="AS57" s="1995"/>
      <c r="AT57" s="1996"/>
      <c r="AU57" s="2003"/>
      <c r="AV57" s="2004"/>
      <c r="AW57" s="2004"/>
      <c r="AX57" s="2004"/>
      <c r="AY57" s="2004"/>
      <c r="AZ57" s="2004"/>
      <c r="BA57" s="2004"/>
      <c r="BB57" s="2004"/>
      <c r="BC57" s="2005"/>
    </row>
    <row r="58" spans="2:55" x14ac:dyDescent="0.25">
      <c r="B58" s="1556"/>
      <c r="C58" s="1557"/>
      <c r="D58" s="1557"/>
      <c r="E58" s="1557"/>
      <c r="F58" s="1557"/>
      <c r="G58" s="1557"/>
      <c r="H58" s="1557"/>
      <c r="I58" s="1557"/>
      <c r="J58" s="1569"/>
      <c r="K58" s="1556"/>
      <c r="L58" s="1557"/>
      <c r="M58" s="1557"/>
      <c r="N58" s="1557"/>
      <c r="O58" s="1557"/>
      <c r="P58" s="1557"/>
      <c r="Q58" s="1557"/>
      <c r="R58" s="1557"/>
      <c r="S58" s="1569"/>
      <c r="T58" s="1556"/>
      <c r="U58" s="1557"/>
      <c r="V58" s="1557"/>
      <c r="W58" s="1557"/>
      <c r="X58" s="1557"/>
      <c r="Y58" s="1557"/>
      <c r="Z58" s="1557"/>
      <c r="AA58" s="1557"/>
      <c r="AB58" s="1569"/>
      <c r="AC58" s="1994"/>
      <c r="AD58" s="1995"/>
      <c r="AE58" s="1995"/>
      <c r="AF58" s="1995"/>
      <c r="AG58" s="1995"/>
      <c r="AH58" s="1995"/>
      <c r="AI58" s="1995"/>
      <c r="AJ58" s="1995"/>
      <c r="AK58" s="1996"/>
      <c r="AL58" s="1994"/>
      <c r="AM58" s="1995"/>
      <c r="AN58" s="1995"/>
      <c r="AO58" s="1995"/>
      <c r="AP58" s="1995"/>
      <c r="AQ58" s="1995"/>
      <c r="AR58" s="1995"/>
      <c r="AS58" s="1995"/>
      <c r="AT58" s="1996"/>
      <c r="AU58" s="2003"/>
      <c r="AV58" s="2004"/>
      <c r="AW58" s="2004"/>
      <c r="AX58" s="2004"/>
      <c r="AY58" s="2004"/>
      <c r="AZ58" s="2004"/>
      <c r="BA58" s="2004"/>
      <c r="BB58" s="2004"/>
      <c r="BC58" s="2005"/>
    </row>
    <row r="59" spans="2:55" x14ac:dyDescent="0.25">
      <c r="B59" s="1556"/>
      <c r="C59" s="1557"/>
      <c r="D59" s="1557"/>
      <c r="E59" s="1557"/>
      <c r="F59" s="1557"/>
      <c r="G59" s="1557"/>
      <c r="H59" s="1557"/>
      <c r="I59" s="1557"/>
      <c r="J59" s="1569"/>
      <c r="K59" s="1556"/>
      <c r="L59" s="1557"/>
      <c r="M59" s="1557"/>
      <c r="N59" s="1557"/>
      <c r="O59" s="1557"/>
      <c r="P59" s="1557"/>
      <c r="Q59" s="1557"/>
      <c r="R59" s="1557"/>
      <c r="S59" s="1569"/>
      <c r="T59" s="1556"/>
      <c r="U59" s="1557"/>
      <c r="V59" s="1557"/>
      <c r="W59" s="1557"/>
      <c r="X59" s="1557"/>
      <c r="Y59" s="1557"/>
      <c r="Z59" s="1557"/>
      <c r="AA59" s="1557"/>
      <c r="AB59" s="1569"/>
      <c r="AC59" s="1994"/>
      <c r="AD59" s="1995"/>
      <c r="AE59" s="1995"/>
      <c r="AF59" s="1995"/>
      <c r="AG59" s="1995"/>
      <c r="AH59" s="1995"/>
      <c r="AI59" s="1995"/>
      <c r="AJ59" s="1995"/>
      <c r="AK59" s="1996"/>
      <c r="AL59" s="1994"/>
      <c r="AM59" s="1995"/>
      <c r="AN59" s="1995"/>
      <c r="AO59" s="1995"/>
      <c r="AP59" s="1995"/>
      <c r="AQ59" s="1995"/>
      <c r="AR59" s="1995"/>
      <c r="AS59" s="1995"/>
      <c r="AT59" s="1996"/>
      <c r="AU59" s="2003"/>
      <c r="AV59" s="2004"/>
      <c r="AW59" s="2004"/>
      <c r="AX59" s="2004"/>
      <c r="AY59" s="2004"/>
      <c r="AZ59" s="2004"/>
      <c r="BA59" s="2004"/>
      <c r="BB59" s="2004"/>
      <c r="BC59" s="2005"/>
    </row>
    <row r="60" spans="2:55" x14ac:dyDescent="0.25">
      <c r="B60" s="1556"/>
      <c r="C60" s="1557"/>
      <c r="D60" s="1557"/>
      <c r="E60" s="1557"/>
      <c r="F60" s="1557"/>
      <c r="G60" s="1557"/>
      <c r="H60" s="1557"/>
      <c r="I60" s="1557"/>
      <c r="J60" s="1569"/>
      <c r="K60" s="1556"/>
      <c r="L60" s="1557"/>
      <c r="M60" s="1557"/>
      <c r="N60" s="1557"/>
      <c r="O60" s="1557"/>
      <c r="P60" s="1557"/>
      <c r="Q60" s="1557"/>
      <c r="R60" s="1557"/>
      <c r="S60" s="1569"/>
      <c r="T60" s="1556"/>
      <c r="U60" s="1557"/>
      <c r="V60" s="1557"/>
      <c r="W60" s="1557"/>
      <c r="X60" s="1557"/>
      <c r="Y60" s="1557"/>
      <c r="Z60" s="1557"/>
      <c r="AA60" s="1557"/>
      <c r="AB60" s="1569"/>
      <c r="AC60" s="1994"/>
      <c r="AD60" s="1995"/>
      <c r="AE60" s="1995"/>
      <c r="AF60" s="1995"/>
      <c r="AG60" s="1995"/>
      <c r="AH60" s="1995"/>
      <c r="AI60" s="1995"/>
      <c r="AJ60" s="1995"/>
      <c r="AK60" s="1996"/>
      <c r="AL60" s="1994"/>
      <c r="AM60" s="1995"/>
      <c r="AN60" s="1995"/>
      <c r="AO60" s="1995"/>
      <c r="AP60" s="1995"/>
      <c r="AQ60" s="1995"/>
      <c r="AR60" s="1995"/>
      <c r="AS60" s="1995"/>
      <c r="AT60" s="1996"/>
      <c r="AU60" s="2003"/>
      <c r="AV60" s="2004"/>
      <c r="AW60" s="2004"/>
      <c r="AX60" s="2004"/>
      <c r="AY60" s="2004"/>
      <c r="AZ60" s="2004"/>
      <c r="BA60" s="2004"/>
      <c r="BB60" s="2004"/>
      <c r="BC60" s="2005"/>
    </row>
    <row r="61" spans="2:55" x14ac:dyDescent="0.25">
      <c r="B61" s="1556"/>
      <c r="C61" s="1557"/>
      <c r="D61" s="1557"/>
      <c r="E61" s="1557"/>
      <c r="F61" s="1557"/>
      <c r="G61" s="1557"/>
      <c r="H61" s="1557"/>
      <c r="I61" s="1557"/>
      <c r="J61" s="1569"/>
      <c r="K61" s="1556"/>
      <c r="L61" s="1557"/>
      <c r="M61" s="1557"/>
      <c r="N61" s="1557"/>
      <c r="O61" s="1557"/>
      <c r="P61" s="1557"/>
      <c r="Q61" s="1557"/>
      <c r="R61" s="1557"/>
      <c r="S61" s="1569"/>
      <c r="T61" s="1556"/>
      <c r="U61" s="1557"/>
      <c r="V61" s="1557"/>
      <c r="W61" s="1557"/>
      <c r="X61" s="1557"/>
      <c r="Y61" s="1557"/>
      <c r="Z61" s="1557"/>
      <c r="AA61" s="1557"/>
      <c r="AB61" s="1569"/>
      <c r="AC61" s="1994"/>
      <c r="AD61" s="1995"/>
      <c r="AE61" s="1995"/>
      <c r="AF61" s="1995"/>
      <c r="AG61" s="1995"/>
      <c r="AH61" s="1995"/>
      <c r="AI61" s="1995"/>
      <c r="AJ61" s="1995"/>
      <c r="AK61" s="1996"/>
      <c r="AL61" s="1994"/>
      <c r="AM61" s="1995"/>
      <c r="AN61" s="1995"/>
      <c r="AO61" s="1995"/>
      <c r="AP61" s="1995"/>
      <c r="AQ61" s="1995"/>
      <c r="AR61" s="1995"/>
      <c r="AS61" s="1995"/>
      <c r="AT61" s="1996"/>
      <c r="AU61" s="2003"/>
      <c r="AV61" s="2004"/>
      <c r="AW61" s="2004"/>
      <c r="AX61" s="2004"/>
      <c r="AY61" s="2004"/>
      <c r="AZ61" s="2004"/>
      <c r="BA61" s="2004"/>
      <c r="BB61" s="2004"/>
      <c r="BC61" s="2005"/>
    </row>
    <row r="62" spans="2:55" x14ac:dyDescent="0.25">
      <c r="B62" s="1556"/>
      <c r="C62" s="1557"/>
      <c r="D62" s="1557"/>
      <c r="E62" s="1557"/>
      <c r="F62" s="1557"/>
      <c r="G62" s="1557"/>
      <c r="H62" s="1557"/>
      <c r="I62" s="1557"/>
      <c r="J62" s="1569"/>
      <c r="K62" s="1556"/>
      <c r="L62" s="1557"/>
      <c r="M62" s="1557"/>
      <c r="N62" s="1557"/>
      <c r="O62" s="1557"/>
      <c r="P62" s="1557"/>
      <c r="Q62" s="1557"/>
      <c r="R62" s="1557"/>
      <c r="S62" s="1569"/>
      <c r="T62" s="1556"/>
      <c r="U62" s="1557"/>
      <c r="V62" s="1557"/>
      <c r="W62" s="1557"/>
      <c r="X62" s="1557"/>
      <c r="Y62" s="1557"/>
      <c r="Z62" s="1557"/>
      <c r="AA62" s="1557"/>
      <c r="AB62" s="1569"/>
      <c r="AC62" s="1994"/>
      <c r="AD62" s="1995"/>
      <c r="AE62" s="1995"/>
      <c r="AF62" s="1995"/>
      <c r="AG62" s="1995"/>
      <c r="AH62" s="1995"/>
      <c r="AI62" s="1995"/>
      <c r="AJ62" s="1995"/>
      <c r="AK62" s="1996"/>
      <c r="AL62" s="1994"/>
      <c r="AM62" s="1995"/>
      <c r="AN62" s="1995"/>
      <c r="AO62" s="1995"/>
      <c r="AP62" s="1995"/>
      <c r="AQ62" s="1995"/>
      <c r="AR62" s="1995"/>
      <c r="AS62" s="1995"/>
      <c r="AT62" s="1996"/>
      <c r="AU62" s="2003"/>
      <c r="AV62" s="2004"/>
      <c r="AW62" s="2004"/>
      <c r="AX62" s="2004"/>
      <c r="AY62" s="2004"/>
      <c r="AZ62" s="2004"/>
      <c r="BA62" s="2004"/>
      <c r="BB62" s="2004"/>
      <c r="BC62" s="2005"/>
    </row>
    <row r="63" spans="2:55" x14ac:dyDescent="0.25">
      <c r="B63" s="1556"/>
      <c r="C63" s="1557"/>
      <c r="D63" s="1557"/>
      <c r="E63" s="1557"/>
      <c r="F63" s="1557"/>
      <c r="G63" s="1557"/>
      <c r="H63" s="1557"/>
      <c r="I63" s="1557"/>
      <c r="J63" s="1569"/>
      <c r="K63" s="1556"/>
      <c r="L63" s="1557"/>
      <c r="M63" s="1557"/>
      <c r="N63" s="1557"/>
      <c r="O63" s="1557"/>
      <c r="P63" s="1557"/>
      <c r="Q63" s="1557"/>
      <c r="R63" s="1557"/>
      <c r="S63" s="1569"/>
      <c r="T63" s="1556"/>
      <c r="U63" s="1557"/>
      <c r="V63" s="1557"/>
      <c r="W63" s="1557"/>
      <c r="X63" s="1557"/>
      <c r="Y63" s="1557"/>
      <c r="Z63" s="1557"/>
      <c r="AA63" s="1557"/>
      <c r="AB63" s="1569"/>
      <c r="AC63" s="1994"/>
      <c r="AD63" s="1995"/>
      <c r="AE63" s="1995"/>
      <c r="AF63" s="1995"/>
      <c r="AG63" s="1995"/>
      <c r="AH63" s="1995"/>
      <c r="AI63" s="1995"/>
      <c r="AJ63" s="1995"/>
      <c r="AK63" s="1996"/>
      <c r="AL63" s="1994"/>
      <c r="AM63" s="1995"/>
      <c r="AN63" s="1995"/>
      <c r="AO63" s="1995"/>
      <c r="AP63" s="1995"/>
      <c r="AQ63" s="1995"/>
      <c r="AR63" s="1995"/>
      <c r="AS63" s="1995"/>
      <c r="AT63" s="1996"/>
      <c r="AU63" s="2003"/>
      <c r="AV63" s="2004"/>
      <c r="AW63" s="2004"/>
      <c r="AX63" s="2004"/>
      <c r="AY63" s="2004"/>
      <c r="AZ63" s="2004"/>
      <c r="BA63" s="2004"/>
      <c r="BB63" s="2004"/>
      <c r="BC63" s="2005"/>
    </row>
    <row r="64" spans="2:55" x14ac:dyDescent="0.25">
      <c r="B64" s="1556"/>
      <c r="C64" s="1557"/>
      <c r="D64" s="1557"/>
      <c r="E64" s="1557"/>
      <c r="F64" s="1557"/>
      <c r="G64" s="1557"/>
      <c r="H64" s="1557"/>
      <c r="I64" s="1557"/>
      <c r="J64" s="1569"/>
      <c r="K64" s="1556"/>
      <c r="L64" s="1557"/>
      <c r="M64" s="1557"/>
      <c r="N64" s="1557"/>
      <c r="O64" s="1557"/>
      <c r="P64" s="1557"/>
      <c r="Q64" s="1557"/>
      <c r="R64" s="1557"/>
      <c r="S64" s="1569"/>
      <c r="T64" s="1556"/>
      <c r="U64" s="1557"/>
      <c r="V64" s="1557"/>
      <c r="W64" s="1557"/>
      <c r="X64" s="1557"/>
      <c r="Y64" s="1557"/>
      <c r="Z64" s="1557"/>
      <c r="AA64" s="1557"/>
      <c r="AB64" s="1569"/>
      <c r="AC64" s="1994"/>
      <c r="AD64" s="1995"/>
      <c r="AE64" s="1995"/>
      <c r="AF64" s="1995"/>
      <c r="AG64" s="1995"/>
      <c r="AH64" s="1995"/>
      <c r="AI64" s="1995"/>
      <c r="AJ64" s="1995"/>
      <c r="AK64" s="1996"/>
      <c r="AL64" s="1994"/>
      <c r="AM64" s="1995"/>
      <c r="AN64" s="1995"/>
      <c r="AO64" s="1995"/>
      <c r="AP64" s="1995"/>
      <c r="AQ64" s="1995"/>
      <c r="AR64" s="1995"/>
      <c r="AS64" s="1995"/>
      <c r="AT64" s="1996"/>
      <c r="AU64" s="2003"/>
      <c r="AV64" s="2004"/>
      <c r="AW64" s="2004"/>
      <c r="AX64" s="2004"/>
      <c r="AY64" s="2004"/>
      <c r="AZ64" s="2004"/>
      <c r="BA64" s="2004"/>
      <c r="BB64" s="2004"/>
      <c r="BC64" s="2005"/>
    </row>
    <row r="65" spans="2:55" x14ac:dyDescent="0.25">
      <c r="B65" s="1556"/>
      <c r="C65" s="1557"/>
      <c r="D65" s="1557"/>
      <c r="E65" s="1557"/>
      <c r="F65" s="1557"/>
      <c r="G65" s="1557"/>
      <c r="H65" s="1557"/>
      <c r="I65" s="1557"/>
      <c r="J65" s="1569"/>
      <c r="K65" s="1556"/>
      <c r="L65" s="1557"/>
      <c r="M65" s="1557"/>
      <c r="N65" s="1557"/>
      <c r="O65" s="1557"/>
      <c r="P65" s="1557"/>
      <c r="Q65" s="1557"/>
      <c r="R65" s="1557"/>
      <c r="S65" s="1569"/>
      <c r="T65" s="1556"/>
      <c r="U65" s="1557"/>
      <c r="V65" s="1557"/>
      <c r="W65" s="1557"/>
      <c r="X65" s="1557"/>
      <c r="Y65" s="1557"/>
      <c r="Z65" s="1557"/>
      <c r="AA65" s="1557"/>
      <c r="AB65" s="1569"/>
      <c r="AC65" s="1994"/>
      <c r="AD65" s="1995"/>
      <c r="AE65" s="1995"/>
      <c r="AF65" s="1995"/>
      <c r="AG65" s="1995"/>
      <c r="AH65" s="1995"/>
      <c r="AI65" s="1995"/>
      <c r="AJ65" s="1995"/>
      <c r="AK65" s="1996"/>
      <c r="AL65" s="1994"/>
      <c r="AM65" s="1995"/>
      <c r="AN65" s="1995"/>
      <c r="AO65" s="1995"/>
      <c r="AP65" s="1995"/>
      <c r="AQ65" s="1995"/>
      <c r="AR65" s="1995"/>
      <c r="AS65" s="1995"/>
      <c r="AT65" s="1996"/>
      <c r="AU65" s="2003"/>
      <c r="AV65" s="2004"/>
      <c r="AW65" s="2004"/>
      <c r="AX65" s="2004"/>
      <c r="AY65" s="2004"/>
      <c r="AZ65" s="2004"/>
      <c r="BA65" s="2004"/>
      <c r="BB65" s="2004"/>
      <c r="BC65" s="2005"/>
    </row>
    <row r="66" spans="2:55" x14ac:dyDescent="0.25">
      <c r="B66" s="1556"/>
      <c r="C66" s="1557"/>
      <c r="D66" s="1557"/>
      <c r="E66" s="1557"/>
      <c r="F66" s="1557"/>
      <c r="G66" s="1557"/>
      <c r="H66" s="1557"/>
      <c r="I66" s="1557"/>
      <c r="J66" s="1569"/>
      <c r="K66" s="1556"/>
      <c r="L66" s="1557"/>
      <c r="M66" s="1557"/>
      <c r="N66" s="1557"/>
      <c r="O66" s="1557"/>
      <c r="P66" s="1557"/>
      <c r="Q66" s="1557"/>
      <c r="R66" s="1557"/>
      <c r="S66" s="1569"/>
      <c r="T66" s="1556"/>
      <c r="U66" s="1557"/>
      <c r="V66" s="1557"/>
      <c r="W66" s="1557"/>
      <c r="X66" s="1557"/>
      <c r="Y66" s="1557"/>
      <c r="Z66" s="1557"/>
      <c r="AA66" s="1557"/>
      <c r="AB66" s="1569"/>
      <c r="AC66" s="1994"/>
      <c r="AD66" s="1995"/>
      <c r="AE66" s="1995"/>
      <c r="AF66" s="1995"/>
      <c r="AG66" s="1995"/>
      <c r="AH66" s="1995"/>
      <c r="AI66" s="1995"/>
      <c r="AJ66" s="1995"/>
      <c r="AK66" s="1996"/>
      <c r="AL66" s="1994"/>
      <c r="AM66" s="1995"/>
      <c r="AN66" s="1995"/>
      <c r="AO66" s="1995"/>
      <c r="AP66" s="1995"/>
      <c r="AQ66" s="1995"/>
      <c r="AR66" s="1995"/>
      <c r="AS66" s="1995"/>
      <c r="AT66" s="1996"/>
      <c r="AU66" s="2003"/>
      <c r="AV66" s="2004"/>
      <c r="AW66" s="2004"/>
      <c r="AX66" s="2004"/>
      <c r="AY66" s="2004"/>
      <c r="AZ66" s="2004"/>
      <c r="BA66" s="2004"/>
      <c r="BB66" s="2004"/>
      <c r="BC66" s="2005"/>
    </row>
    <row r="67" spans="2:55" x14ac:dyDescent="0.25">
      <c r="B67" s="1617"/>
      <c r="C67" s="1618"/>
      <c r="D67" s="1618"/>
      <c r="E67" s="1618"/>
      <c r="F67" s="1618"/>
      <c r="G67" s="1618"/>
      <c r="H67" s="1618"/>
      <c r="I67" s="1618"/>
      <c r="J67" s="1619"/>
      <c r="K67" s="1617"/>
      <c r="L67" s="1618"/>
      <c r="M67" s="1618"/>
      <c r="N67" s="1618"/>
      <c r="O67" s="1618"/>
      <c r="P67" s="1618"/>
      <c r="Q67" s="1618"/>
      <c r="R67" s="1618"/>
      <c r="S67" s="1619"/>
      <c r="T67" s="1617"/>
      <c r="U67" s="1618"/>
      <c r="V67" s="1618"/>
      <c r="W67" s="1618"/>
      <c r="X67" s="1618"/>
      <c r="Y67" s="1618"/>
      <c r="Z67" s="1618"/>
      <c r="AA67" s="1618"/>
      <c r="AB67" s="1619"/>
      <c r="AC67" s="1997"/>
      <c r="AD67" s="1998"/>
      <c r="AE67" s="1998"/>
      <c r="AF67" s="1998"/>
      <c r="AG67" s="1998"/>
      <c r="AH67" s="1998"/>
      <c r="AI67" s="1998"/>
      <c r="AJ67" s="1998"/>
      <c r="AK67" s="1999"/>
      <c r="AL67" s="1997"/>
      <c r="AM67" s="1998"/>
      <c r="AN67" s="1998"/>
      <c r="AO67" s="1998"/>
      <c r="AP67" s="1998"/>
      <c r="AQ67" s="1998"/>
      <c r="AR67" s="1998"/>
      <c r="AS67" s="1998"/>
      <c r="AT67" s="1999"/>
      <c r="AU67" s="2006"/>
      <c r="AV67" s="2007"/>
      <c r="AW67" s="2007"/>
      <c r="AX67" s="2007"/>
      <c r="AY67" s="2007"/>
      <c r="AZ67" s="2007"/>
      <c r="BA67" s="2007"/>
      <c r="BB67" s="2007"/>
      <c r="BC67" s="2008"/>
    </row>
    <row r="68" spans="2:55" x14ac:dyDescent="0.25">
      <c r="K68" s="1453"/>
      <c r="L68" s="1454"/>
      <c r="M68" s="1454"/>
      <c r="N68" s="1454"/>
      <c r="O68" s="1454"/>
      <c r="P68" s="1454"/>
      <c r="Q68" s="1454"/>
      <c r="R68" s="1454"/>
      <c r="S68" s="1455"/>
      <c r="T68" s="1453"/>
      <c r="U68" s="1454"/>
      <c r="V68" s="1454"/>
      <c r="W68" s="1454"/>
      <c r="X68" s="1454"/>
      <c r="Y68" s="1454"/>
      <c r="Z68" s="1454"/>
      <c r="AA68" s="1454"/>
      <c r="AB68" s="1455"/>
      <c r="AC68" s="1450"/>
      <c r="AD68" s="1451"/>
      <c r="AE68" s="1451"/>
      <c r="AF68" s="1451"/>
      <c r="AG68" s="1451"/>
      <c r="AH68" s="1451"/>
      <c r="AI68" s="1451"/>
      <c r="AJ68" s="1451"/>
      <c r="AK68" s="1452"/>
      <c r="AL68" s="1450"/>
      <c r="AM68" s="1451"/>
      <c r="AN68" s="1451"/>
      <c r="AO68" s="1451"/>
      <c r="AP68" s="1451"/>
      <c r="AQ68" s="1451"/>
      <c r="AR68" s="1451"/>
      <c r="AS68" s="1451"/>
      <c r="AT68" s="1452"/>
    </row>
    <row r="69" spans="2:55" x14ac:dyDescent="0.25">
      <c r="B69" s="1614">
        <f>VLOOKUP($B$108,$B$109:$CL$469,54,FALSE)</f>
        <v>9476</v>
      </c>
      <c r="C69" s="1615"/>
      <c r="D69" s="1615"/>
      <c r="E69" s="1615"/>
      <c r="F69" s="1615"/>
      <c r="G69" s="1615"/>
      <c r="H69" s="1615"/>
      <c r="I69" s="1615"/>
      <c r="J69" s="1616"/>
      <c r="K69" s="1614">
        <f>VLOOKUP($B$108,$B$109:$CL$469,60,FALSE)</f>
        <v>142</v>
      </c>
      <c r="L69" s="1615"/>
      <c r="M69" s="1615"/>
      <c r="N69" s="1615"/>
      <c r="O69" s="1615"/>
      <c r="P69" s="1615"/>
      <c r="Q69" s="1615"/>
      <c r="R69" s="1615"/>
      <c r="S69" s="1616"/>
      <c r="T69" s="1614">
        <f>VLOOKUP($B$108,$B$109:$CL$469,63,FALSE)</f>
        <v>248</v>
      </c>
      <c r="U69" s="1615"/>
      <c r="V69" s="1615"/>
      <c r="W69" s="1615"/>
      <c r="X69" s="1615"/>
      <c r="Y69" s="1615"/>
      <c r="Z69" s="1615"/>
      <c r="AA69" s="1615"/>
      <c r="AB69" s="1616"/>
      <c r="AC69" s="1614">
        <f>VLOOKUP($B$108,$B$109:$CL$469,66,FALSE)</f>
        <v>326</v>
      </c>
      <c r="AD69" s="1615"/>
      <c r="AE69" s="1615"/>
      <c r="AF69" s="1615"/>
      <c r="AG69" s="1615"/>
      <c r="AH69" s="1615"/>
      <c r="AI69" s="1615"/>
      <c r="AJ69" s="1615"/>
      <c r="AK69" s="1616"/>
      <c r="AL69" s="1614">
        <f>VLOOKUP($B$108,$B$109:$CL$469,69,FALSE)</f>
        <v>545</v>
      </c>
      <c r="AM69" s="1615"/>
      <c r="AN69" s="1615"/>
      <c r="AO69" s="1615"/>
      <c r="AP69" s="1615"/>
      <c r="AQ69" s="1615"/>
      <c r="AR69" s="1615"/>
      <c r="AS69" s="1615"/>
      <c r="AT69" s="1616"/>
    </row>
    <row r="70" spans="2:55" x14ac:dyDescent="0.25">
      <c r="B70" s="1556"/>
      <c r="C70" s="1557"/>
      <c r="D70" s="1557"/>
      <c r="E70" s="1557"/>
      <c r="F70" s="1557"/>
      <c r="G70" s="1557"/>
      <c r="H70" s="1557"/>
      <c r="I70" s="1557"/>
      <c r="J70" s="1569"/>
      <c r="K70" s="1556"/>
      <c r="L70" s="1557"/>
      <c r="M70" s="1557"/>
      <c r="N70" s="1557"/>
      <c r="O70" s="1557"/>
      <c r="P70" s="1557"/>
      <c r="Q70" s="1557"/>
      <c r="R70" s="1557"/>
      <c r="S70" s="1569"/>
      <c r="T70" s="1556"/>
      <c r="U70" s="1557"/>
      <c r="V70" s="1557"/>
      <c r="W70" s="1557"/>
      <c r="X70" s="1557"/>
      <c r="Y70" s="1557"/>
      <c r="Z70" s="1557"/>
      <c r="AA70" s="1557"/>
      <c r="AB70" s="1569"/>
      <c r="AC70" s="1556"/>
      <c r="AD70" s="1557"/>
      <c r="AE70" s="1557"/>
      <c r="AF70" s="1557"/>
      <c r="AG70" s="1557"/>
      <c r="AH70" s="1557"/>
      <c r="AI70" s="1557"/>
      <c r="AJ70" s="1557"/>
      <c r="AK70" s="1569"/>
      <c r="AL70" s="1556"/>
      <c r="AM70" s="1557"/>
      <c r="AN70" s="1557"/>
      <c r="AO70" s="1557"/>
      <c r="AP70" s="1557"/>
      <c r="AQ70" s="1557"/>
      <c r="AR70" s="1557"/>
      <c r="AS70" s="1557"/>
      <c r="AT70" s="1569"/>
    </row>
    <row r="71" spans="2:55" x14ac:dyDescent="0.25">
      <c r="B71" s="1556"/>
      <c r="C71" s="1557"/>
      <c r="D71" s="1557"/>
      <c r="E71" s="1557"/>
      <c r="F71" s="1557"/>
      <c r="G71" s="1557"/>
      <c r="H71" s="1557"/>
      <c r="I71" s="1557"/>
      <c r="J71" s="1569"/>
      <c r="K71" s="1556"/>
      <c r="L71" s="1557"/>
      <c r="M71" s="1557"/>
      <c r="N71" s="1557"/>
      <c r="O71" s="1557"/>
      <c r="P71" s="1557"/>
      <c r="Q71" s="1557"/>
      <c r="R71" s="1557"/>
      <c r="S71" s="1569"/>
      <c r="T71" s="1556"/>
      <c r="U71" s="1557"/>
      <c r="V71" s="1557"/>
      <c r="W71" s="1557"/>
      <c r="X71" s="1557"/>
      <c r="Y71" s="1557"/>
      <c r="Z71" s="1557"/>
      <c r="AA71" s="1557"/>
      <c r="AB71" s="1569"/>
      <c r="AC71" s="1556"/>
      <c r="AD71" s="1557"/>
      <c r="AE71" s="1557"/>
      <c r="AF71" s="1557"/>
      <c r="AG71" s="1557"/>
      <c r="AH71" s="1557"/>
      <c r="AI71" s="1557"/>
      <c r="AJ71" s="1557"/>
      <c r="AK71" s="1569"/>
      <c r="AL71" s="1556"/>
      <c r="AM71" s="1557"/>
      <c r="AN71" s="1557"/>
      <c r="AO71" s="1557"/>
      <c r="AP71" s="1557"/>
      <c r="AQ71" s="1557"/>
      <c r="AR71" s="1557"/>
      <c r="AS71" s="1557"/>
      <c r="AT71" s="1569"/>
    </row>
    <row r="72" spans="2:55" x14ac:dyDescent="0.25">
      <c r="B72" s="1556"/>
      <c r="C72" s="1557"/>
      <c r="D72" s="1557"/>
      <c r="E72" s="1557"/>
      <c r="F72" s="1557"/>
      <c r="G72" s="1557"/>
      <c r="H72" s="1557"/>
      <c r="I72" s="1557"/>
      <c r="J72" s="1569"/>
      <c r="K72" s="1556"/>
      <c r="L72" s="1557"/>
      <c r="M72" s="1557"/>
      <c r="N72" s="1557"/>
      <c r="O72" s="1557"/>
      <c r="P72" s="1557"/>
      <c r="Q72" s="1557"/>
      <c r="R72" s="1557"/>
      <c r="S72" s="1569"/>
      <c r="T72" s="1556"/>
      <c r="U72" s="1557"/>
      <c r="V72" s="1557"/>
      <c r="W72" s="1557"/>
      <c r="X72" s="1557"/>
      <c r="Y72" s="1557"/>
      <c r="Z72" s="1557"/>
      <c r="AA72" s="1557"/>
      <c r="AB72" s="1569"/>
      <c r="AC72" s="1556"/>
      <c r="AD72" s="1557"/>
      <c r="AE72" s="1557"/>
      <c r="AF72" s="1557"/>
      <c r="AG72" s="1557"/>
      <c r="AH72" s="1557"/>
      <c r="AI72" s="1557"/>
      <c r="AJ72" s="1557"/>
      <c r="AK72" s="1569"/>
      <c r="AL72" s="1556"/>
      <c r="AM72" s="1557"/>
      <c r="AN72" s="1557"/>
      <c r="AO72" s="1557"/>
      <c r="AP72" s="1557"/>
      <c r="AQ72" s="1557"/>
      <c r="AR72" s="1557"/>
      <c r="AS72" s="1557"/>
      <c r="AT72" s="1569"/>
    </row>
    <row r="73" spans="2:55" x14ac:dyDescent="0.25">
      <c r="B73" s="1556"/>
      <c r="C73" s="1557"/>
      <c r="D73" s="1557"/>
      <c r="E73" s="1557"/>
      <c r="F73" s="1557"/>
      <c r="G73" s="1557"/>
      <c r="H73" s="1557"/>
      <c r="I73" s="1557"/>
      <c r="J73" s="1569"/>
      <c r="K73" s="1556"/>
      <c r="L73" s="1557"/>
      <c r="M73" s="1557"/>
      <c r="N73" s="1557"/>
      <c r="O73" s="1557"/>
      <c r="P73" s="1557"/>
      <c r="Q73" s="1557"/>
      <c r="R73" s="1557"/>
      <c r="S73" s="1569"/>
      <c r="T73" s="1556"/>
      <c r="U73" s="1557"/>
      <c r="V73" s="1557"/>
      <c r="W73" s="1557"/>
      <c r="X73" s="1557"/>
      <c r="Y73" s="1557"/>
      <c r="Z73" s="1557"/>
      <c r="AA73" s="1557"/>
      <c r="AB73" s="1569"/>
      <c r="AC73" s="1556"/>
      <c r="AD73" s="1557"/>
      <c r="AE73" s="1557"/>
      <c r="AF73" s="1557"/>
      <c r="AG73" s="1557"/>
      <c r="AH73" s="1557"/>
      <c r="AI73" s="1557"/>
      <c r="AJ73" s="1557"/>
      <c r="AK73" s="1569"/>
      <c r="AL73" s="1556"/>
      <c r="AM73" s="1557"/>
      <c r="AN73" s="1557"/>
      <c r="AO73" s="1557"/>
      <c r="AP73" s="1557"/>
      <c r="AQ73" s="1557"/>
      <c r="AR73" s="1557"/>
      <c r="AS73" s="1557"/>
      <c r="AT73" s="1569"/>
    </row>
    <row r="74" spans="2:55" x14ac:dyDescent="0.25">
      <c r="B74" s="1556"/>
      <c r="C74" s="1557"/>
      <c r="D74" s="1557"/>
      <c r="E74" s="1557"/>
      <c r="F74" s="1557"/>
      <c r="G74" s="1557"/>
      <c r="H74" s="1557"/>
      <c r="I74" s="1557"/>
      <c r="J74" s="1569"/>
      <c r="K74" s="1556"/>
      <c r="L74" s="1557"/>
      <c r="M74" s="1557"/>
      <c r="N74" s="1557"/>
      <c r="O74" s="1557"/>
      <c r="P74" s="1557"/>
      <c r="Q74" s="1557"/>
      <c r="R74" s="1557"/>
      <c r="S74" s="1569"/>
      <c r="T74" s="1556"/>
      <c r="U74" s="1557"/>
      <c r="V74" s="1557"/>
      <c r="W74" s="1557"/>
      <c r="X74" s="1557"/>
      <c r="Y74" s="1557"/>
      <c r="Z74" s="1557"/>
      <c r="AA74" s="1557"/>
      <c r="AB74" s="1569"/>
      <c r="AC74" s="1556"/>
      <c r="AD74" s="1557"/>
      <c r="AE74" s="1557"/>
      <c r="AF74" s="1557"/>
      <c r="AG74" s="1557"/>
      <c r="AH74" s="1557"/>
      <c r="AI74" s="1557"/>
      <c r="AJ74" s="1557"/>
      <c r="AK74" s="1569"/>
      <c r="AL74" s="1556"/>
      <c r="AM74" s="1557"/>
      <c r="AN74" s="1557"/>
      <c r="AO74" s="1557"/>
      <c r="AP74" s="1557"/>
      <c r="AQ74" s="1557"/>
      <c r="AR74" s="1557"/>
      <c r="AS74" s="1557"/>
      <c r="AT74" s="1569"/>
    </row>
    <row r="75" spans="2:55" x14ac:dyDescent="0.25">
      <c r="B75" s="1556"/>
      <c r="C75" s="1557"/>
      <c r="D75" s="1557"/>
      <c r="E75" s="1557"/>
      <c r="F75" s="1557"/>
      <c r="G75" s="1557"/>
      <c r="H75" s="1557"/>
      <c r="I75" s="1557"/>
      <c r="J75" s="1569"/>
      <c r="K75" s="1556"/>
      <c r="L75" s="1557"/>
      <c r="M75" s="1557"/>
      <c r="N75" s="1557"/>
      <c r="O75" s="1557"/>
      <c r="P75" s="1557"/>
      <c r="Q75" s="1557"/>
      <c r="R75" s="1557"/>
      <c r="S75" s="1569"/>
      <c r="T75" s="1556"/>
      <c r="U75" s="1557"/>
      <c r="V75" s="1557"/>
      <c r="W75" s="1557"/>
      <c r="X75" s="1557"/>
      <c r="Y75" s="1557"/>
      <c r="Z75" s="1557"/>
      <c r="AA75" s="1557"/>
      <c r="AB75" s="1569"/>
      <c r="AC75" s="1556"/>
      <c r="AD75" s="1557"/>
      <c r="AE75" s="1557"/>
      <c r="AF75" s="1557"/>
      <c r="AG75" s="1557"/>
      <c r="AH75" s="1557"/>
      <c r="AI75" s="1557"/>
      <c r="AJ75" s="1557"/>
      <c r="AK75" s="1569"/>
      <c r="AL75" s="1556"/>
      <c r="AM75" s="1557"/>
      <c r="AN75" s="1557"/>
      <c r="AO75" s="1557"/>
      <c r="AP75" s="1557"/>
      <c r="AQ75" s="1557"/>
      <c r="AR75" s="1557"/>
      <c r="AS75" s="1557"/>
      <c r="AT75" s="1569"/>
    </row>
    <row r="76" spans="2:55" x14ac:dyDescent="0.25">
      <c r="B76" s="1556"/>
      <c r="C76" s="1557"/>
      <c r="D76" s="1557"/>
      <c r="E76" s="1557"/>
      <c r="F76" s="1557"/>
      <c r="G76" s="1557"/>
      <c r="H76" s="1557"/>
      <c r="I76" s="1557"/>
      <c r="J76" s="1569"/>
      <c r="K76" s="1556"/>
      <c r="L76" s="1557"/>
      <c r="M76" s="1557"/>
      <c r="N76" s="1557"/>
      <c r="O76" s="1557"/>
      <c r="P76" s="1557"/>
      <c r="Q76" s="1557"/>
      <c r="R76" s="1557"/>
      <c r="S76" s="1569"/>
      <c r="T76" s="1556"/>
      <c r="U76" s="1557"/>
      <c r="V76" s="1557"/>
      <c r="W76" s="1557"/>
      <c r="X76" s="1557"/>
      <c r="Y76" s="1557"/>
      <c r="Z76" s="1557"/>
      <c r="AA76" s="1557"/>
      <c r="AB76" s="1569"/>
      <c r="AC76" s="1556"/>
      <c r="AD76" s="1557"/>
      <c r="AE76" s="1557"/>
      <c r="AF76" s="1557"/>
      <c r="AG76" s="1557"/>
      <c r="AH76" s="1557"/>
      <c r="AI76" s="1557"/>
      <c r="AJ76" s="1557"/>
      <c r="AK76" s="1569"/>
      <c r="AL76" s="1556"/>
      <c r="AM76" s="1557"/>
      <c r="AN76" s="1557"/>
      <c r="AO76" s="1557"/>
      <c r="AP76" s="1557"/>
      <c r="AQ76" s="1557"/>
      <c r="AR76" s="1557"/>
      <c r="AS76" s="1557"/>
      <c r="AT76" s="1569"/>
    </row>
    <row r="77" spans="2:55" x14ac:dyDescent="0.25">
      <c r="B77" s="1556"/>
      <c r="C77" s="1557"/>
      <c r="D77" s="1557"/>
      <c r="E77" s="1557"/>
      <c r="F77" s="1557"/>
      <c r="G77" s="1557"/>
      <c r="H77" s="1557"/>
      <c r="I77" s="1557"/>
      <c r="J77" s="1569"/>
      <c r="K77" s="1556"/>
      <c r="L77" s="1557"/>
      <c r="M77" s="1557"/>
      <c r="N77" s="1557"/>
      <c r="O77" s="1557"/>
      <c r="P77" s="1557"/>
      <c r="Q77" s="1557"/>
      <c r="R77" s="1557"/>
      <c r="S77" s="1569"/>
      <c r="T77" s="1556"/>
      <c r="U77" s="1557"/>
      <c r="V77" s="1557"/>
      <c r="W77" s="1557"/>
      <c r="X77" s="1557"/>
      <c r="Y77" s="1557"/>
      <c r="Z77" s="1557"/>
      <c r="AA77" s="1557"/>
      <c r="AB77" s="1569"/>
      <c r="AC77" s="1556"/>
      <c r="AD77" s="1557"/>
      <c r="AE77" s="1557"/>
      <c r="AF77" s="1557"/>
      <c r="AG77" s="1557"/>
      <c r="AH77" s="1557"/>
      <c r="AI77" s="1557"/>
      <c r="AJ77" s="1557"/>
      <c r="AK77" s="1569"/>
      <c r="AL77" s="1556"/>
      <c r="AM77" s="1557"/>
      <c r="AN77" s="1557"/>
      <c r="AO77" s="1557"/>
      <c r="AP77" s="1557"/>
      <c r="AQ77" s="1557"/>
      <c r="AR77" s="1557"/>
      <c r="AS77" s="1557"/>
      <c r="AT77" s="1569"/>
    </row>
    <row r="78" spans="2:55" x14ac:dyDescent="0.25">
      <c r="B78" s="1556"/>
      <c r="C78" s="1557"/>
      <c r="D78" s="1557"/>
      <c r="E78" s="1557"/>
      <c r="F78" s="1557"/>
      <c r="G78" s="1557"/>
      <c r="H78" s="1557"/>
      <c r="I78" s="1557"/>
      <c r="J78" s="1569"/>
      <c r="K78" s="1556"/>
      <c r="L78" s="1557"/>
      <c r="M78" s="1557"/>
      <c r="N78" s="1557"/>
      <c r="O78" s="1557"/>
      <c r="P78" s="1557"/>
      <c r="Q78" s="1557"/>
      <c r="R78" s="1557"/>
      <c r="S78" s="1569"/>
      <c r="T78" s="1556"/>
      <c r="U78" s="1557"/>
      <c r="V78" s="1557"/>
      <c r="W78" s="1557"/>
      <c r="X78" s="1557"/>
      <c r="Y78" s="1557"/>
      <c r="Z78" s="1557"/>
      <c r="AA78" s="1557"/>
      <c r="AB78" s="1569"/>
      <c r="AC78" s="1556"/>
      <c r="AD78" s="1557"/>
      <c r="AE78" s="1557"/>
      <c r="AF78" s="1557"/>
      <c r="AG78" s="1557"/>
      <c r="AH78" s="1557"/>
      <c r="AI78" s="1557"/>
      <c r="AJ78" s="1557"/>
      <c r="AK78" s="1569"/>
      <c r="AL78" s="1556"/>
      <c r="AM78" s="1557"/>
      <c r="AN78" s="1557"/>
      <c r="AO78" s="1557"/>
      <c r="AP78" s="1557"/>
      <c r="AQ78" s="1557"/>
      <c r="AR78" s="1557"/>
      <c r="AS78" s="1557"/>
      <c r="AT78" s="1569"/>
    </row>
    <row r="79" spans="2:55" x14ac:dyDescent="0.25">
      <c r="B79" s="1556"/>
      <c r="C79" s="1557"/>
      <c r="D79" s="1557"/>
      <c r="E79" s="1557"/>
      <c r="F79" s="1557"/>
      <c r="G79" s="1557"/>
      <c r="H79" s="1557"/>
      <c r="I79" s="1557"/>
      <c r="J79" s="1569"/>
      <c r="K79" s="1556"/>
      <c r="L79" s="1557"/>
      <c r="M79" s="1557"/>
      <c r="N79" s="1557"/>
      <c r="O79" s="1557"/>
      <c r="P79" s="1557"/>
      <c r="Q79" s="1557"/>
      <c r="R79" s="1557"/>
      <c r="S79" s="1569"/>
      <c r="T79" s="1556"/>
      <c r="U79" s="1557"/>
      <c r="V79" s="1557"/>
      <c r="W79" s="1557"/>
      <c r="X79" s="1557"/>
      <c r="Y79" s="1557"/>
      <c r="Z79" s="1557"/>
      <c r="AA79" s="1557"/>
      <c r="AB79" s="1569"/>
      <c r="AC79" s="1556"/>
      <c r="AD79" s="1557"/>
      <c r="AE79" s="1557"/>
      <c r="AF79" s="1557"/>
      <c r="AG79" s="1557"/>
      <c r="AH79" s="1557"/>
      <c r="AI79" s="1557"/>
      <c r="AJ79" s="1557"/>
      <c r="AK79" s="1569"/>
      <c r="AL79" s="1556"/>
      <c r="AM79" s="1557"/>
      <c r="AN79" s="1557"/>
      <c r="AO79" s="1557"/>
      <c r="AP79" s="1557"/>
      <c r="AQ79" s="1557"/>
      <c r="AR79" s="1557"/>
      <c r="AS79" s="1557"/>
      <c r="AT79" s="1569"/>
    </row>
    <row r="80" spans="2:55" x14ac:dyDescent="0.25">
      <c r="B80" s="1556"/>
      <c r="C80" s="1557"/>
      <c r="D80" s="1557"/>
      <c r="E80" s="1557"/>
      <c r="F80" s="1557"/>
      <c r="G80" s="1557"/>
      <c r="H80" s="1557"/>
      <c r="I80" s="1557"/>
      <c r="J80" s="1569"/>
      <c r="K80" s="1556"/>
      <c r="L80" s="1557"/>
      <c r="M80" s="1557"/>
      <c r="N80" s="1557"/>
      <c r="O80" s="1557"/>
      <c r="P80" s="1557"/>
      <c r="Q80" s="1557"/>
      <c r="R80" s="1557"/>
      <c r="S80" s="1569"/>
      <c r="T80" s="1556"/>
      <c r="U80" s="1557"/>
      <c r="V80" s="1557"/>
      <c r="W80" s="1557"/>
      <c r="X80" s="1557"/>
      <c r="Y80" s="1557"/>
      <c r="Z80" s="1557"/>
      <c r="AA80" s="1557"/>
      <c r="AB80" s="1569"/>
      <c r="AC80" s="1556"/>
      <c r="AD80" s="1557"/>
      <c r="AE80" s="1557"/>
      <c r="AF80" s="1557"/>
      <c r="AG80" s="1557"/>
      <c r="AH80" s="1557"/>
      <c r="AI80" s="1557"/>
      <c r="AJ80" s="1557"/>
      <c r="AK80" s="1569"/>
      <c r="AL80" s="1556"/>
      <c r="AM80" s="1557"/>
      <c r="AN80" s="1557"/>
      <c r="AO80" s="1557"/>
      <c r="AP80" s="1557"/>
      <c r="AQ80" s="1557"/>
      <c r="AR80" s="1557"/>
      <c r="AS80" s="1557"/>
      <c r="AT80" s="1569"/>
    </row>
    <row r="81" spans="2:55" x14ac:dyDescent="0.25">
      <c r="B81" s="1556"/>
      <c r="C81" s="1557"/>
      <c r="D81" s="1557"/>
      <c r="E81" s="1557"/>
      <c r="F81" s="1557"/>
      <c r="G81" s="1557"/>
      <c r="H81" s="1557"/>
      <c r="I81" s="1557"/>
      <c r="J81" s="1569"/>
      <c r="K81" s="1556"/>
      <c r="L81" s="1557"/>
      <c r="M81" s="1557"/>
      <c r="N81" s="1557"/>
      <c r="O81" s="1557"/>
      <c r="P81" s="1557"/>
      <c r="Q81" s="1557"/>
      <c r="R81" s="1557"/>
      <c r="S81" s="1569"/>
      <c r="T81" s="1556"/>
      <c r="U81" s="1557"/>
      <c r="V81" s="1557"/>
      <c r="W81" s="1557"/>
      <c r="X81" s="1557"/>
      <c r="Y81" s="1557"/>
      <c r="Z81" s="1557"/>
      <c r="AA81" s="1557"/>
      <c r="AB81" s="1569"/>
      <c r="AC81" s="1556"/>
      <c r="AD81" s="1557"/>
      <c r="AE81" s="1557"/>
      <c r="AF81" s="1557"/>
      <c r="AG81" s="1557"/>
      <c r="AH81" s="1557"/>
      <c r="AI81" s="1557"/>
      <c r="AJ81" s="1557"/>
      <c r="AK81" s="1569"/>
      <c r="AL81" s="1556"/>
      <c r="AM81" s="1557"/>
      <c r="AN81" s="1557"/>
      <c r="AO81" s="1557"/>
      <c r="AP81" s="1557"/>
      <c r="AQ81" s="1557"/>
      <c r="AR81" s="1557"/>
      <c r="AS81" s="1557"/>
      <c r="AT81" s="1569"/>
    </row>
    <row r="82" spans="2:55" x14ac:dyDescent="0.25">
      <c r="B82" s="1556"/>
      <c r="C82" s="1557"/>
      <c r="D82" s="1557"/>
      <c r="E82" s="1557"/>
      <c r="F82" s="1557"/>
      <c r="G82" s="1557"/>
      <c r="H82" s="1557"/>
      <c r="I82" s="1557"/>
      <c r="J82" s="1569"/>
      <c r="K82" s="1556"/>
      <c r="L82" s="1557"/>
      <c r="M82" s="1557"/>
      <c r="N82" s="1557"/>
      <c r="O82" s="1557"/>
      <c r="P82" s="1557"/>
      <c r="Q82" s="1557"/>
      <c r="R82" s="1557"/>
      <c r="S82" s="1569"/>
      <c r="T82" s="1556"/>
      <c r="U82" s="1557"/>
      <c r="V82" s="1557"/>
      <c r="W82" s="1557"/>
      <c r="X82" s="1557"/>
      <c r="Y82" s="1557"/>
      <c r="Z82" s="1557"/>
      <c r="AA82" s="1557"/>
      <c r="AB82" s="1569"/>
      <c r="AC82" s="1556"/>
      <c r="AD82" s="1557"/>
      <c r="AE82" s="1557"/>
      <c r="AF82" s="1557"/>
      <c r="AG82" s="1557"/>
      <c r="AH82" s="1557"/>
      <c r="AI82" s="1557"/>
      <c r="AJ82" s="1557"/>
      <c r="AK82" s="1569"/>
      <c r="AL82" s="1556"/>
      <c r="AM82" s="1557"/>
      <c r="AN82" s="1557"/>
      <c r="AO82" s="1557"/>
      <c r="AP82" s="1557"/>
      <c r="AQ82" s="1557"/>
      <c r="AR82" s="1557"/>
      <c r="AS82" s="1557"/>
      <c r="AT82" s="1569"/>
    </row>
    <row r="83" spans="2:55" x14ac:dyDescent="0.25">
      <c r="B83" s="1556"/>
      <c r="C83" s="1557"/>
      <c r="D83" s="1557"/>
      <c r="E83" s="1557"/>
      <c r="F83" s="1557"/>
      <c r="G83" s="1557"/>
      <c r="H83" s="1557"/>
      <c r="I83" s="1557"/>
      <c r="J83" s="1569"/>
      <c r="K83" s="1556"/>
      <c r="L83" s="1557"/>
      <c r="M83" s="1557"/>
      <c r="N83" s="1557"/>
      <c r="O83" s="1557"/>
      <c r="P83" s="1557"/>
      <c r="Q83" s="1557"/>
      <c r="R83" s="1557"/>
      <c r="S83" s="1569"/>
      <c r="T83" s="1556"/>
      <c r="U83" s="1557"/>
      <c r="V83" s="1557"/>
      <c r="W83" s="1557"/>
      <c r="X83" s="1557"/>
      <c r="Y83" s="1557"/>
      <c r="Z83" s="1557"/>
      <c r="AA83" s="1557"/>
      <c r="AB83" s="1569"/>
      <c r="AC83" s="1556"/>
      <c r="AD83" s="1557"/>
      <c r="AE83" s="1557"/>
      <c r="AF83" s="1557"/>
      <c r="AG83" s="1557"/>
      <c r="AH83" s="1557"/>
      <c r="AI83" s="1557"/>
      <c r="AJ83" s="1557"/>
      <c r="AK83" s="1569"/>
      <c r="AL83" s="1556"/>
      <c r="AM83" s="1557"/>
      <c r="AN83" s="1557"/>
      <c r="AO83" s="1557"/>
      <c r="AP83" s="1557"/>
      <c r="AQ83" s="1557"/>
      <c r="AR83" s="1557"/>
      <c r="AS83" s="1557"/>
      <c r="AT83" s="1569"/>
    </row>
    <row r="84" spans="2:55" x14ac:dyDescent="0.25">
      <c r="B84" s="1617"/>
      <c r="C84" s="1618"/>
      <c r="D84" s="1618"/>
      <c r="E84" s="1618"/>
      <c r="F84" s="1618"/>
      <c r="G84" s="1618"/>
      <c r="H84" s="1618"/>
      <c r="I84" s="1618"/>
      <c r="J84" s="1619"/>
      <c r="K84" s="1617"/>
      <c r="L84" s="1618"/>
      <c r="M84" s="1618"/>
      <c r="N84" s="1618"/>
      <c r="O84" s="1618"/>
      <c r="P84" s="1618"/>
      <c r="Q84" s="1618"/>
      <c r="R84" s="1618"/>
      <c r="S84" s="1619"/>
      <c r="T84" s="1617"/>
      <c r="U84" s="1618"/>
      <c r="V84" s="1618"/>
      <c r="W84" s="1618"/>
      <c r="X84" s="1618"/>
      <c r="Y84" s="1618"/>
      <c r="Z84" s="1618"/>
      <c r="AA84" s="1618"/>
      <c r="AB84" s="1619"/>
      <c r="AC84" s="1617"/>
      <c r="AD84" s="1618"/>
      <c r="AE84" s="1618"/>
      <c r="AF84" s="1618"/>
      <c r="AG84" s="1618"/>
      <c r="AH84" s="1618"/>
      <c r="AI84" s="1618"/>
      <c r="AJ84" s="1618"/>
      <c r="AK84" s="1619"/>
      <c r="AL84" s="1617"/>
      <c r="AM84" s="1618"/>
      <c r="AN84" s="1618"/>
      <c r="AO84" s="1618"/>
      <c r="AP84" s="1618"/>
      <c r="AQ84" s="1618"/>
      <c r="AR84" s="1618"/>
      <c r="AS84" s="1618"/>
      <c r="AT84" s="1619"/>
    </row>
    <row r="85" spans="2:55" x14ac:dyDescent="0.25">
      <c r="B85" s="67"/>
      <c r="F85" s="43">
        <v>54</v>
      </c>
      <c r="J85" s="81"/>
      <c r="K85" s="67"/>
      <c r="O85" s="43">
        <v>60</v>
      </c>
      <c r="S85" s="81"/>
      <c r="T85" s="67"/>
      <c r="X85" s="43">
        <v>63</v>
      </c>
      <c r="AB85" s="81"/>
      <c r="AC85" s="67"/>
      <c r="AG85" s="43">
        <v>66</v>
      </c>
      <c r="AK85" s="81"/>
      <c r="AL85" s="67"/>
      <c r="AO85" s="43">
        <v>69</v>
      </c>
      <c r="AT85" s="81"/>
      <c r="AU85" s="67"/>
      <c r="AY85" s="43">
        <v>87</v>
      </c>
      <c r="BC85" s="81"/>
    </row>
    <row r="86" spans="2:55" x14ac:dyDescent="0.25">
      <c r="B86" s="1614">
        <f>VLOOKUP($B$108,$B$109:$CL$469,57,FALSE)</f>
        <v>272</v>
      </c>
      <c r="C86" s="1615"/>
      <c r="D86" s="1615"/>
      <c r="E86" s="1615"/>
      <c r="F86" s="1615"/>
      <c r="G86" s="1615"/>
      <c r="H86" s="1615"/>
      <c r="I86" s="1615"/>
      <c r="J86" s="1616"/>
      <c r="K86" s="1614">
        <f>VLOOKUP($B$108,$B$109:$CL$469,72,FALSE)</f>
        <v>719</v>
      </c>
      <c r="L86" s="1615"/>
      <c r="M86" s="1615"/>
      <c r="N86" s="1615"/>
      <c r="O86" s="1615"/>
      <c r="P86" s="1615"/>
      <c r="Q86" s="1615"/>
      <c r="R86" s="1615"/>
      <c r="S86" s="1616"/>
      <c r="T86" s="1614">
        <f>VLOOKUP($B$108,$B$109:$CL$469,75,FALSE)</f>
        <v>118</v>
      </c>
      <c r="U86" s="1615"/>
      <c r="V86" s="1615"/>
      <c r="W86" s="1615"/>
      <c r="X86" s="1615"/>
      <c r="Y86" s="1615"/>
      <c r="Z86" s="1615"/>
      <c r="AA86" s="1615"/>
      <c r="AB86" s="1616"/>
      <c r="AC86" s="1614">
        <f>VLOOKUP($B$108,$B$109:$CL$469,78,FALSE)</f>
        <v>217</v>
      </c>
      <c r="AD86" s="1615"/>
      <c r="AE86" s="1615"/>
      <c r="AF86" s="1615"/>
      <c r="AG86" s="1615"/>
      <c r="AH86" s="1615"/>
      <c r="AI86" s="1615"/>
      <c r="AJ86" s="1615"/>
      <c r="AK86" s="1616"/>
      <c r="AL86" s="1614">
        <f>VLOOKUP($B$108,$B$109:$CL$469,81,FALSE)</f>
        <v>314</v>
      </c>
      <c r="AM86" s="1615"/>
      <c r="AN86" s="1615"/>
      <c r="AO86" s="1615"/>
      <c r="AP86" s="1615"/>
      <c r="AQ86" s="1615"/>
      <c r="AR86" s="1615"/>
      <c r="AS86" s="1615"/>
      <c r="AT86" s="1616"/>
    </row>
    <row r="87" spans="2:55" x14ac:dyDescent="0.25">
      <c r="B87" s="1556"/>
      <c r="C87" s="1557"/>
      <c r="D87" s="1557"/>
      <c r="E87" s="1557"/>
      <c r="F87" s="1557"/>
      <c r="G87" s="1557"/>
      <c r="H87" s="1557"/>
      <c r="I87" s="1557"/>
      <c r="J87" s="1569"/>
      <c r="K87" s="1556"/>
      <c r="L87" s="1557"/>
      <c r="M87" s="1557"/>
      <c r="N87" s="1557"/>
      <c r="O87" s="1557"/>
      <c r="P87" s="1557"/>
      <c r="Q87" s="1557"/>
      <c r="R87" s="1557"/>
      <c r="S87" s="1569"/>
      <c r="T87" s="1556"/>
      <c r="U87" s="1557"/>
      <c r="V87" s="1557"/>
      <c r="W87" s="1557"/>
      <c r="X87" s="1557"/>
      <c r="Y87" s="1557"/>
      <c r="Z87" s="1557"/>
      <c r="AA87" s="1557"/>
      <c r="AB87" s="1569"/>
      <c r="AC87" s="1556"/>
      <c r="AD87" s="1557"/>
      <c r="AE87" s="1557"/>
      <c r="AF87" s="1557"/>
      <c r="AG87" s="1557"/>
      <c r="AH87" s="1557"/>
      <c r="AI87" s="1557"/>
      <c r="AJ87" s="1557"/>
      <c r="AK87" s="1569"/>
      <c r="AL87" s="1556"/>
      <c r="AM87" s="1557"/>
      <c r="AN87" s="1557"/>
      <c r="AO87" s="1557"/>
      <c r="AP87" s="1557"/>
      <c r="AQ87" s="1557"/>
      <c r="AR87" s="1557"/>
      <c r="AS87" s="1557"/>
      <c r="AT87" s="1569"/>
    </row>
    <row r="88" spans="2:55" x14ac:dyDescent="0.25">
      <c r="B88" s="1556"/>
      <c r="C88" s="1557"/>
      <c r="D88" s="1557"/>
      <c r="E88" s="1557"/>
      <c r="F88" s="1557"/>
      <c r="G88" s="1557"/>
      <c r="H88" s="1557"/>
      <c r="I88" s="1557"/>
      <c r="J88" s="1569"/>
      <c r="K88" s="1556"/>
      <c r="L88" s="1557"/>
      <c r="M88" s="1557"/>
      <c r="N88" s="1557"/>
      <c r="O88" s="1557"/>
      <c r="P88" s="1557"/>
      <c r="Q88" s="1557"/>
      <c r="R88" s="1557"/>
      <c r="S88" s="1569"/>
      <c r="T88" s="1556"/>
      <c r="U88" s="1557"/>
      <c r="V88" s="1557"/>
      <c r="W88" s="1557"/>
      <c r="X88" s="1557"/>
      <c r="Y88" s="1557"/>
      <c r="Z88" s="1557"/>
      <c r="AA88" s="1557"/>
      <c r="AB88" s="1569"/>
      <c r="AC88" s="1556"/>
      <c r="AD88" s="1557"/>
      <c r="AE88" s="1557"/>
      <c r="AF88" s="1557"/>
      <c r="AG88" s="1557"/>
      <c r="AH88" s="1557"/>
      <c r="AI88" s="1557"/>
      <c r="AJ88" s="1557"/>
      <c r="AK88" s="1569"/>
      <c r="AL88" s="1556"/>
      <c r="AM88" s="1557"/>
      <c r="AN88" s="1557"/>
      <c r="AO88" s="1557"/>
      <c r="AP88" s="1557"/>
      <c r="AQ88" s="1557"/>
      <c r="AR88" s="1557"/>
      <c r="AS88" s="1557"/>
      <c r="AT88" s="1569"/>
    </row>
    <row r="89" spans="2:55" x14ac:dyDescent="0.25">
      <c r="B89" s="1556"/>
      <c r="C89" s="1557"/>
      <c r="D89" s="1557"/>
      <c r="E89" s="1557"/>
      <c r="F89" s="1557"/>
      <c r="G89" s="1557"/>
      <c r="H89" s="1557"/>
      <c r="I89" s="1557"/>
      <c r="J89" s="1569"/>
      <c r="K89" s="1556"/>
      <c r="L89" s="1557"/>
      <c r="M89" s="1557"/>
      <c r="N89" s="1557"/>
      <c r="O89" s="1557"/>
      <c r="P89" s="1557"/>
      <c r="Q89" s="1557"/>
      <c r="R89" s="1557"/>
      <c r="S89" s="1569"/>
      <c r="T89" s="1556"/>
      <c r="U89" s="1557"/>
      <c r="V89" s="1557"/>
      <c r="W89" s="1557"/>
      <c r="X89" s="1557"/>
      <c r="Y89" s="1557"/>
      <c r="Z89" s="1557"/>
      <c r="AA89" s="1557"/>
      <c r="AB89" s="1569"/>
      <c r="AC89" s="1556"/>
      <c r="AD89" s="1557"/>
      <c r="AE89" s="1557"/>
      <c r="AF89" s="1557"/>
      <c r="AG89" s="1557"/>
      <c r="AH89" s="1557"/>
      <c r="AI89" s="1557"/>
      <c r="AJ89" s="1557"/>
      <c r="AK89" s="1569"/>
      <c r="AL89" s="1556"/>
      <c r="AM89" s="1557"/>
      <c r="AN89" s="1557"/>
      <c r="AO89" s="1557"/>
      <c r="AP89" s="1557"/>
      <c r="AQ89" s="1557"/>
      <c r="AR89" s="1557"/>
      <c r="AS89" s="1557"/>
      <c r="AT89" s="1569"/>
    </row>
    <row r="90" spans="2:55" x14ac:dyDescent="0.25">
      <c r="B90" s="1556"/>
      <c r="C90" s="1557"/>
      <c r="D90" s="1557"/>
      <c r="E90" s="1557"/>
      <c r="F90" s="1557"/>
      <c r="G90" s="1557"/>
      <c r="H90" s="1557"/>
      <c r="I90" s="1557"/>
      <c r="J90" s="1569"/>
      <c r="K90" s="1556"/>
      <c r="L90" s="1557"/>
      <c r="M90" s="1557"/>
      <c r="N90" s="1557"/>
      <c r="O90" s="1557"/>
      <c r="P90" s="1557"/>
      <c r="Q90" s="1557"/>
      <c r="R90" s="1557"/>
      <c r="S90" s="1569"/>
      <c r="T90" s="1556"/>
      <c r="U90" s="1557"/>
      <c r="V90" s="1557"/>
      <c r="W90" s="1557"/>
      <c r="X90" s="1557"/>
      <c r="Y90" s="1557"/>
      <c r="Z90" s="1557"/>
      <c r="AA90" s="1557"/>
      <c r="AB90" s="1569"/>
      <c r="AC90" s="1556"/>
      <c r="AD90" s="1557"/>
      <c r="AE90" s="1557"/>
      <c r="AF90" s="1557"/>
      <c r="AG90" s="1557"/>
      <c r="AH90" s="1557"/>
      <c r="AI90" s="1557"/>
      <c r="AJ90" s="1557"/>
      <c r="AK90" s="1569"/>
      <c r="AL90" s="1556"/>
      <c r="AM90" s="1557"/>
      <c r="AN90" s="1557"/>
      <c r="AO90" s="1557"/>
      <c r="AP90" s="1557"/>
      <c r="AQ90" s="1557"/>
      <c r="AR90" s="1557"/>
      <c r="AS90" s="1557"/>
      <c r="AT90" s="1569"/>
    </row>
    <row r="91" spans="2:55" x14ac:dyDescent="0.25">
      <c r="B91" s="1556"/>
      <c r="C91" s="1557"/>
      <c r="D91" s="1557"/>
      <c r="E91" s="1557"/>
      <c r="F91" s="1557"/>
      <c r="G91" s="1557"/>
      <c r="H91" s="1557"/>
      <c r="I91" s="1557"/>
      <c r="J91" s="1569"/>
      <c r="K91" s="1556"/>
      <c r="L91" s="1557"/>
      <c r="M91" s="1557"/>
      <c r="N91" s="1557"/>
      <c r="O91" s="1557"/>
      <c r="P91" s="1557"/>
      <c r="Q91" s="1557"/>
      <c r="R91" s="1557"/>
      <c r="S91" s="1569"/>
      <c r="T91" s="1556"/>
      <c r="U91" s="1557"/>
      <c r="V91" s="1557"/>
      <c r="W91" s="1557"/>
      <c r="X91" s="1557"/>
      <c r="Y91" s="1557"/>
      <c r="Z91" s="1557"/>
      <c r="AA91" s="1557"/>
      <c r="AB91" s="1569"/>
      <c r="AC91" s="1556"/>
      <c r="AD91" s="1557"/>
      <c r="AE91" s="1557"/>
      <c r="AF91" s="1557"/>
      <c r="AG91" s="1557"/>
      <c r="AH91" s="1557"/>
      <c r="AI91" s="1557"/>
      <c r="AJ91" s="1557"/>
      <c r="AK91" s="1569"/>
      <c r="AL91" s="1556"/>
      <c r="AM91" s="1557"/>
      <c r="AN91" s="1557"/>
      <c r="AO91" s="1557"/>
      <c r="AP91" s="1557"/>
      <c r="AQ91" s="1557"/>
      <c r="AR91" s="1557"/>
      <c r="AS91" s="1557"/>
      <c r="AT91" s="1569"/>
    </row>
    <row r="92" spans="2:55" x14ac:dyDescent="0.25">
      <c r="B92" s="1556"/>
      <c r="C92" s="1557"/>
      <c r="D92" s="1557"/>
      <c r="E92" s="1557"/>
      <c r="F92" s="1557"/>
      <c r="G92" s="1557"/>
      <c r="H92" s="1557"/>
      <c r="I92" s="1557"/>
      <c r="J92" s="1569"/>
      <c r="K92" s="1556"/>
      <c r="L92" s="1557"/>
      <c r="M92" s="1557"/>
      <c r="N92" s="1557"/>
      <c r="O92" s="1557"/>
      <c r="P92" s="1557"/>
      <c r="Q92" s="1557"/>
      <c r="R92" s="1557"/>
      <c r="S92" s="1569"/>
      <c r="T92" s="1556"/>
      <c r="U92" s="1557"/>
      <c r="V92" s="1557"/>
      <c r="W92" s="1557"/>
      <c r="X92" s="1557"/>
      <c r="Y92" s="1557"/>
      <c r="Z92" s="1557"/>
      <c r="AA92" s="1557"/>
      <c r="AB92" s="1569"/>
      <c r="AC92" s="1556"/>
      <c r="AD92" s="1557"/>
      <c r="AE92" s="1557"/>
      <c r="AF92" s="1557"/>
      <c r="AG92" s="1557"/>
      <c r="AH92" s="1557"/>
      <c r="AI92" s="1557"/>
      <c r="AJ92" s="1557"/>
      <c r="AK92" s="1569"/>
      <c r="AL92" s="1556"/>
      <c r="AM92" s="1557"/>
      <c r="AN92" s="1557"/>
      <c r="AO92" s="1557"/>
      <c r="AP92" s="1557"/>
      <c r="AQ92" s="1557"/>
      <c r="AR92" s="1557"/>
      <c r="AS92" s="1557"/>
      <c r="AT92" s="1569"/>
    </row>
    <row r="93" spans="2:55" x14ac:dyDescent="0.25">
      <c r="B93" s="1556"/>
      <c r="C93" s="1557"/>
      <c r="D93" s="1557"/>
      <c r="E93" s="1557"/>
      <c r="F93" s="1557"/>
      <c r="G93" s="1557"/>
      <c r="H93" s="1557"/>
      <c r="I93" s="1557"/>
      <c r="J93" s="1569"/>
      <c r="K93" s="1556"/>
      <c r="L93" s="1557"/>
      <c r="M93" s="1557"/>
      <c r="N93" s="1557"/>
      <c r="O93" s="1557"/>
      <c r="P93" s="1557"/>
      <c r="Q93" s="1557"/>
      <c r="R93" s="1557"/>
      <c r="S93" s="1569"/>
      <c r="T93" s="1556"/>
      <c r="U93" s="1557"/>
      <c r="V93" s="1557"/>
      <c r="W93" s="1557"/>
      <c r="X93" s="1557"/>
      <c r="Y93" s="1557"/>
      <c r="Z93" s="1557"/>
      <c r="AA93" s="1557"/>
      <c r="AB93" s="1569"/>
      <c r="AC93" s="1556"/>
      <c r="AD93" s="1557"/>
      <c r="AE93" s="1557"/>
      <c r="AF93" s="1557"/>
      <c r="AG93" s="1557"/>
      <c r="AH93" s="1557"/>
      <c r="AI93" s="1557"/>
      <c r="AJ93" s="1557"/>
      <c r="AK93" s="1569"/>
      <c r="AL93" s="1556"/>
      <c r="AM93" s="1557"/>
      <c r="AN93" s="1557"/>
      <c r="AO93" s="1557"/>
      <c r="AP93" s="1557"/>
      <c r="AQ93" s="1557"/>
      <c r="AR93" s="1557"/>
      <c r="AS93" s="1557"/>
      <c r="AT93" s="1569"/>
    </row>
    <row r="94" spans="2:55" x14ac:dyDescent="0.25">
      <c r="B94" s="1556"/>
      <c r="C94" s="1557"/>
      <c r="D94" s="1557"/>
      <c r="E94" s="1557"/>
      <c r="F94" s="1557"/>
      <c r="G94" s="1557"/>
      <c r="H94" s="1557"/>
      <c r="I94" s="1557"/>
      <c r="J94" s="1569"/>
      <c r="K94" s="1556"/>
      <c r="L94" s="1557"/>
      <c r="M94" s="1557"/>
      <c r="N94" s="1557"/>
      <c r="O94" s="1557"/>
      <c r="P94" s="1557"/>
      <c r="Q94" s="1557"/>
      <c r="R94" s="1557"/>
      <c r="S94" s="1569"/>
      <c r="T94" s="1556"/>
      <c r="U94" s="1557"/>
      <c r="V94" s="1557"/>
      <c r="W94" s="1557"/>
      <c r="X94" s="1557"/>
      <c r="Y94" s="1557"/>
      <c r="Z94" s="1557"/>
      <c r="AA94" s="1557"/>
      <c r="AB94" s="1569"/>
      <c r="AC94" s="1556"/>
      <c r="AD94" s="1557"/>
      <c r="AE94" s="1557"/>
      <c r="AF94" s="1557"/>
      <c r="AG94" s="1557"/>
      <c r="AH94" s="1557"/>
      <c r="AI94" s="1557"/>
      <c r="AJ94" s="1557"/>
      <c r="AK94" s="1569"/>
      <c r="AL94" s="1556"/>
      <c r="AM94" s="1557"/>
      <c r="AN94" s="1557"/>
      <c r="AO94" s="1557"/>
      <c r="AP94" s="1557"/>
      <c r="AQ94" s="1557"/>
      <c r="AR94" s="1557"/>
      <c r="AS94" s="1557"/>
      <c r="AT94" s="1569"/>
    </row>
    <row r="95" spans="2:55" x14ac:dyDescent="0.25">
      <c r="B95" s="1556"/>
      <c r="C95" s="1557"/>
      <c r="D95" s="1557"/>
      <c r="E95" s="1557"/>
      <c r="F95" s="1557"/>
      <c r="G95" s="1557"/>
      <c r="H95" s="1557"/>
      <c r="I95" s="1557"/>
      <c r="J95" s="1569"/>
      <c r="K95" s="1556"/>
      <c r="L95" s="1557"/>
      <c r="M95" s="1557"/>
      <c r="N95" s="1557"/>
      <c r="O95" s="1557"/>
      <c r="P95" s="1557"/>
      <c r="Q95" s="1557"/>
      <c r="R95" s="1557"/>
      <c r="S95" s="1569"/>
      <c r="T95" s="1556"/>
      <c r="U95" s="1557"/>
      <c r="V95" s="1557"/>
      <c r="W95" s="1557"/>
      <c r="X95" s="1557"/>
      <c r="Y95" s="1557"/>
      <c r="Z95" s="1557"/>
      <c r="AA95" s="1557"/>
      <c r="AB95" s="1569"/>
      <c r="AC95" s="1556"/>
      <c r="AD95" s="1557"/>
      <c r="AE95" s="1557"/>
      <c r="AF95" s="1557"/>
      <c r="AG95" s="1557"/>
      <c r="AH95" s="1557"/>
      <c r="AI95" s="1557"/>
      <c r="AJ95" s="1557"/>
      <c r="AK95" s="1569"/>
      <c r="AL95" s="1556"/>
      <c r="AM95" s="1557"/>
      <c r="AN95" s="1557"/>
      <c r="AO95" s="1557"/>
      <c r="AP95" s="1557"/>
      <c r="AQ95" s="1557"/>
      <c r="AR95" s="1557"/>
      <c r="AS95" s="1557"/>
      <c r="AT95" s="1569"/>
    </row>
    <row r="96" spans="2:55" x14ac:dyDescent="0.25">
      <c r="B96" s="1556"/>
      <c r="C96" s="1557"/>
      <c r="D96" s="1557"/>
      <c r="E96" s="1557"/>
      <c r="F96" s="1557"/>
      <c r="G96" s="1557"/>
      <c r="H96" s="1557"/>
      <c r="I96" s="1557"/>
      <c r="J96" s="1569"/>
      <c r="K96" s="1556"/>
      <c r="L96" s="1557"/>
      <c r="M96" s="1557"/>
      <c r="N96" s="1557"/>
      <c r="O96" s="1557"/>
      <c r="P96" s="1557"/>
      <c r="Q96" s="1557"/>
      <c r="R96" s="1557"/>
      <c r="S96" s="1569"/>
      <c r="T96" s="1556"/>
      <c r="U96" s="1557"/>
      <c r="V96" s="1557"/>
      <c r="W96" s="1557"/>
      <c r="X96" s="1557"/>
      <c r="Y96" s="1557"/>
      <c r="Z96" s="1557"/>
      <c r="AA96" s="1557"/>
      <c r="AB96" s="1569"/>
      <c r="AC96" s="1556"/>
      <c r="AD96" s="1557"/>
      <c r="AE96" s="1557"/>
      <c r="AF96" s="1557"/>
      <c r="AG96" s="1557"/>
      <c r="AH96" s="1557"/>
      <c r="AI96" s="1557"/>
      <c r="AJ96" s="1557"/>
      <c r="AK96" s="1569"/>
      <c r="AL96" s="1556"/>
      <c r="AM96" s="1557"/>
      <c r="AN96" s="1557"/>
      <c r="AO96" s="1557"/>
      <c r="AP96" s="1557"/>
      <c r="AQ96" s="1557"/>
      <c r="AR96" s="1557"/>
      <c r="AS96" s="1557"/>
      <c r="AT96" s="1569"/>
    </row>
    <row r="97" spans="2:93" x14ac:dyDescent="0.25">
      <c r="B97" s="1556"/>
      <c r="C97" s="1557"/>
      <c r="D97" s="1557"/>
      <c r="E97" s="1557"/>
      <c r="F97" s="1557"/>
      <c r="G97" s="1557"/>
      <c r="H97" s="1557"/>
      <c r="I97" s="1557"/>
      <c r="J97" s="1569"/>
      <c r="K97" s="1556"/>
      <c r="L97" s="1557"/>
      <c r="M97" s="1557"/>
      <c r="N97" s="1557"/>
      <c r="O97" s="1557"/>
      <c r="P97" s="1557"/>
      <c r="Q97" s="1557"/>
      <c r="R97" s="1557"/>
      <c r="S97" s="1569"/>
      <c r="T97" s="1556"/>
      <c r="U97" s="1557"/>
      <c r="V97" s="1557"/>
      <c r="W97" s="1557"/>
      <c r="X97" s="1557"/>
      <c r="Y97" s="1557"/>
      <c r="Z97" s="1557"/>
      <c r="AA97" s="1557"/>
      <c r="AB97" s="1569"/>
      <c r="AC97" s="1556"/>
      <c r="AD97" s="1557"/>
      <c r="AE97" s="1557"/>
      <c r="AF97" s="1557"/>
      <c r="AG97" s="1557"/>
      <c r="AH97" s="1557"/>
      <c r="AI97" s="1557"/>
      <c r="AJ97" s="1557"/>
      <c r="AK97" s="1569"/>
      <c r="AL97" s="1556"/>
      <c r="AM97" s="1557"/>
      <c r="AN97" s="1557"/>
      <c r="AO97" s="1557"/>
      <c r="AP97" s="1557"/>
      <c r="AQ97" s="1557"/>
      <c r="AR97" s="1557"/>
      <c r="AS97" s="1557"/>
      <c r="AT97" s="1569"/>
    </row>
    <row r="98" spans="2:93" x14ac:dyDescent="0.25">
      <c r="B98" s="1556"/>
      <c r="C98" s="1557"/>
      <c r="D98" s="1557"/>
      <c r="E98" s="1557"/>
      <c r="F98" s="1557"/>
      <c r="G98" s="1557"/>
      <c r="H98" s="1557"/>
      <c r="I98" s="1557"/>
      <c r="J98" s="1569"/>
      <c r="K98" s="1556"/>
      <c r="L98" s="1557"/>
      <c r="M98" s="1557"/>
      <c r="N98" s="1557"/>
      <c r="O98" s="1557"/>
      <c r="P98" s="1557"/>
      <c r="Q98" s="1557"/>
      <c r="R98" s="1557"/>
      <c r="S98" s="1569"/>
      <c r="T98" s="1556"/>
      <c r="U98" s="1557"/>
      <c r="V98" s="1557"/>
      <c r="W98" s="1557"/>
      <c r="X98" s="1557"/>
      <c r="Y98" s="1557"/>
      <c r="Z98" s="1557"/>
      <c r="AA98" s="1557"/>
      <c r="AB98" s="1569"/>
      <c r="AC98" s="1556"/>
      <c r="AD98" s="1557"/>
      <c r="AE98" s="1557"/>
      <c r="AF98" s="1557"/>
      <c r="AG98" s="1557"/>
      <c r="AH98" s="1557"/>
      <c r="AI98" s="1557"/>
      <c r="AJ98" s="1557"/>
      <c r="AK98" s="1569"/>
      <c r="AL98" s="1556"/>
      <c r="AM98" s="1557"/>
      <c r="AN98" s="1557"/>
      <c r="AO98" s="1557"/>
      <c r="AP98" s="1557"/>
      <c r="AQ98" s="1557"/>
      <c r="AR98" s="1557"/>
      <c r="AS98" s="1557"/>
      <c r="AT98" s="1569"/>
    </row>
    <row r="99" spans="2:93" x14ac:dyDescent="0.25">
      <c r="B99" s="1556"/>
      <c r="C99" s="1557"/>
      <c r="D99" s="1557"/>
      <c r="E99" s="1557"/>
      <c r="F99" s="1557"/>
      <c r="G99" s="1557"/>
      <c r="H99" s="1557"/>
      <c r="I99" s="1557"/>
      <c r="J99" s="1569"/>
      <c r="K99" s="1556"/>
      <c r="L99" s="1557"/>
      <c r="M99" s="1557"/>
      <c r="N99" s="1557"/>
      <c r="O99" s="1557"/>
      <c r="P99" s="1557"/>
      <c r="Q99" s="1557"/>
      <c r="R99" s="1557"/>
      <c r="S99" s="1569"/>
      <c r="T99" s="1556"/>
      <c r="U99" s="1557"/>
      <c r="V99" s="1557"/>
      <c r="W99" s="1557"/>
      <c r="X99" s="1557"/>
      <c r="Y99" s="1557"/>
      <c r="Z99" s="1557"/>
      <c r="AA99" s="1557"/>
      <c r="AB99" s="1569"/>
      <c r="AC99" s="1556"/>
      <c r="AD99" s="1557"/>
      <c r="AE99" s="1557"/>
      <c r="AF99" s="1557"/>
      <c r="AG99" s="1557"/>
      <c r="AH99" s="1557"/>
      <c r="AI99" s="1557"/>
      <c r="AJ99" s="1557"/>
      <c r="AK99" s="1569"/>
      <c r="AL99" s="1556"/>
      <c r="AM99" s="1557"/>
      <c r="AN99" s="1557"/>
      <c r="AO99" s="1557"/>
      <c r="AP99" s="1557"/>
      <c r="AQ99" s="1557"/>
      <c r="AR99" s="1557"/>
      <c r="AS99" s="1557"/>
      <c r="AT99" s="1569"/>
    </row>
    <row r="100" spans="2:93" x14ac:dyDescent="0.25">
      <c r="B100" s="1556"/>
      <c r="C100" s="1557"/>
      <c r="D100" s="1557"/>
      <c r="E100" s="1557"/>
      <c r="F100" s="1557"/>
      <c r="G100" s="1557"/>
      <c r="H100" s="1557"/>
      <c r="I100" s="1557"/>
      <c r="J100" s="1569"/>
      <c r="K100" s="1556"/>
      <c r="L100" s="1557"/>
      <c r="M100" s="1557"/>
      <c r="N100" s="1557"/>
      <c r="O100" s="1557"/>
      <c r="P100" s="1557"/>
      <c r="Q100" s="1557"/>
      <c r="R100" s="1557"/>
      <c r="S100" s="1569"/>
      <c r="T100" s="1556"/>
      <c r="U100" s="1557"/>
      <c r="V100" s="1557"/>
      <c r="W100" s="1557"/>
      <c r="X100" s="1557"/>
      <c r="Y100" s="1557"/>
      <c r="Z100" s="1557"/>
      <c r="AA100" s="1557"/>
      <c r="AB100" s="1569"/>
      <c r="AC100" s="1556"/>
      <c r="AD100" s="1557"/>
      <c r="AE100" s="1557"/>
      <c r="AF100" s="1557"/>
      <c r="AG100" s="1557"/>
      <c r="AH100" s="1557"/>
      <c r="AI100" s="1557"/>
      <c r="AJ100" s="1557"/>
      <c r="AK100" s="1569"/>
      <c r="AL100" s="1556"/>
      <c r="AM100" s="1557"/>
      <c r="AN100" s="1557"/>
      <c r="AO100" s="1557"/>
      <c r="AP100" s="1557"/>
      <c r="AQ100" s="1557"/>
      <c r="AR100" s="1557"/>
      <c r="AS100" s="1557"/>
      <c r="AT100" s="1569"/>
    </row>
    <row r="101" spans="2:93" x14ac:dyDescent="0.25">
      <c r="B101" s="1617"/>
      <c r="C101" s="1618"/>
      <c r="D101" s="1618"/>
      <c r="E101" s="1618"/>
      <c r="F101" s="1618"/>
      <c r="G101" s="1618"/>
      <c r="H101" s="1618"/>
      <c r="I101" s="1618"/>
      <c r="J101" s="1619"/>
      <c r="K101" s="1617"/>
      <c r="L101" s="1618"/>
      <c r="M101" s="1618"/>
      <c r="N101" s="1618"/>
      <c r="O101" s="1618"/>
      <c r="P101" s="1618"/>
      <c r="Q101" s="1618"/>
      <c r="R101" s="1618"/>
      <c r="S101" s="1619"/>
      <c r="T101" s="1617"/>
      <c r="U101" s="1618"/>
      <c r="V101" s="1618"/>
      <c r="W101" s="1618"/>
      <c r="X101" s="1618"/>
      <c r="Y101" s="1618"/>
      <c r="Z101" s="1618"/>
      <c r="AA101" s="1618"/>
      <c r="AB101" s="1619"/>
      <c r="AC101" s="1617"/>
      <c r="AD101" s="1618"/>
      <c r="AE101" s="1618"/>
      <c r="AF101" s="1618"/>
      <c r="AG101" s="1618"/>
      <c r="AH101" s="1618"/>
      <c r="AI101" s="1618"/>
      <c r="AJ101" s="1618"/>
      <c r="AK101" s="1619"/>
      <c r="AL101" s="1617"/>
      <c r="AM101" s="1618"/>
      <c r="AN101" s="1618"/>
      <c r="AO101" s="1618"/>
      <c r="AP101" s="1618"/>
      <c r="AQ101" s="1618"/>
      <c r="AR101" s="1618"/>
      <c r="AS101" s="1618"/>
      <c r="AT101" s="1619"/>
    </row>
    <row r="102" spans="2:93" x14ac:dyDescent="0.25">
      <c r="F102" s="43">
        <v>57</v>
      </c>
      <c r="O102" s="43">
        <v>72</v>
      </c>
      <c r="Y102" s="43">
        <v>75</v>
      </c>
      <c r="AC102" s="6"/>
      <c r="AD102" s="6"/>
      <c r="AE102" s="6"/>
      <c r="AF102" s="6"/>
      <c r="AG102" s="6">
        <v>78</v>
      </c>
      <c r="AH102" s="6"/>
      <c r="AI102" s="6"/>
      <c r="AJ102" s="6"/>
      <c r="AK102" s="6"/>
      <c r="AL102" s="6"/>
      <c r="AM102" s="6"/>
      <c r="AN102" s="6"/>
      <c r="AO102" s="6"/>
      <c r="AP102" s="6">
        <v>81</v>
      </c>
      <c r="AQ102" s="6"/>
      <c r="AR102" s="6"/>
      <c r="AS102" s="6"/>
      <c r="AT102" s="6"/>
      <c r="AY102" s="43">
        <v>84</v>
      </c>
    </row>
    <row r="104" spans="2:93" x14ac:dyDescent="0.25"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2:93" x14ac:dyDescent="0.25"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2:93" x14ac:dyDescent="0.25">
      <c r="B106" s="43">
        <v>1</v>
      </c>
      <c r="C106" s="43">
        <v>2</v>
      </c>
      <c r="D106" s="43">
        <v>3</v>
      </c>
      <c r="E106" s="43">
        <v>4</v>
      </c>
      <c r="F106" s="43">
        <v>5</v>
      </c>
      <c r="G106" s="43">
        <v>6</v>
      </c>
      <c r="H106" s="43">
        <v>7</v>
      </c>
      <c r="I106" s="43">
        <v>8</v>
      </c>
      <c r="J106" s="43">
        <v>9</v>
      </c>
      <c r="K106" s="43">
        <v>10</v>
      </c>
      <c r="L106" s="43">
        <v>11</v>
      </c>
      <c r="M106" s="43">
        <v>12</v>
      </c>
      <c r="N106" s="43">
        <v>13</v>
      </c>
      <c r="O106" s="43">
        <v>14</v>
      </c>
      <c r="P106" s="43">
        <v>15</v>
      </c>
      <c r="Q106" s="43">
        <v>16</v>
      </c>
      <c r="R106" s="43">
        <v>17</v>
      </c>
      <c r="S106" s="43">
        <v>18</v>
      </c>
      <c r="T106" s="43">
        <v>19</v>
      </c>
      <c r="U106" s="43">
        <v>20</v>
      </c>
      <c r="V106" s="43">
        <v>21</v>
      </c>
      <c r="W106" s="43">
        <v>22</v>
      </c>
      <c r="X106" s="43">
        <v>23</v>
      </c>
      <c r="Y106" s="43">
        <v>24</v>
      </c>
      <c r="Z106" s="43">
        <v>25</v>
      </c>
      <c r="AA106" s="43">
        <v>26</v>
      </c>
      <c r="AB106" s="43">
        <v>27</v>
      </c>
      <c r="AC106" s="43">
        <v>28</v>
      </c>
      <c r="AD106" s="43">
        <v>29</v>
      </c>
      <c r="AE106" s="43">
        <v>30</v>
      </c>
      <c r="AF106" s="43">
        <v>31</v>
      </c>
      <c r="AG106" s="43">
        <v>32</v>
      </c>
      <c r="AH106" s="43">
        <v>33</v>
      </c>
      <c r="AI106" s="43">
        <v>34</v>
      </c>
      <c r="AJ106" s="43">
        <v>35</v>
      </c>
      <c r="AK106" s="43">
        <v>36</v>
      </c>
      <c r="AL106" s="43">
        <v>37</v>
      </c>
      <c r="AM106" s="43">
        <v>38</v>
      </c>
      <c r="AN106" s="43">
        <v>39</v>
      </c>
      <c r="AO106" s="43">
        <v>40</v>
      </c>
      <c r="AP106" s="43">
        <v>41</v>
      </c>
      <c r="AQ106" s="43">
        <v>42</v>
      </c>
      <c r="AR106" s="43">
        <v>43</v>
      </c>
      <c r="AS106" s="43">
        <v>44</v>
      </c>
      <c r="AT106" s="43">
        <v>45</v>
      </c>
      <c r="AU106" s="43">
        <v>46</v>
      </c>
      <c r="AV106" s="43">
        <v>47</v>
      </c>
      <c r="AW106" s="43">
        <v>48</v>
      </c>
      <c r="AX106" s="43">
        <v>49</v>
      </c>
      <c r="AY106" s="43">
        <v>50</v>
      </c>
      <c r="AZ106" s="43">
        <v>51</v>
      </c>
      <c r="BA106" s="43">
        <v>52</v>
      </c>
      <c r="BB106" s="43">
        <v>53</v>
      </c>
      <c r="BC106" s="43">
        <v>54</v>
      </c>
      <c r="BD106" s="43">
        <v>55</v>
      </c>
      <c r="BE106" s="43">
        <v>56</v>
      </c>
      <c r="BF106" s="43">
        <v>57</v>
      </c>
      <c r="BG106" s="43">
        <v>58</v>
      </c>
      <c r="BH106" s="43">
        <v>59</v>
      </c>
      <c r="BI106" s="43">
        <v>60</v>
      </c>
      <c r="BJ106" s="43">
        <v>61</v>
      </c>
      <c r="BK106" s="43">
        <v>62</v>
      </c>
      <c r="BL106" s="43">
        <v>63</v>
      </c>
      <c r="BM106" s="43">
        <v>64</v>
      </c>
      <c r="BN106" s="43">
        <v>65</v>
      </c>
      <c r="BO106" s="43">
        <v>66</v>
      </c>
      <c r="BP106" s="43">
        <v>67</v>
      </c>
      <c r="BQ106" s="43">
        <v>68</v>
      </c>
      <c r="BR106" s="43">
        <v>69</v>
      </c>
      <c r="BS106" s="43">
        <v>70</v>
      </c>
      <c r="BT106" s="43">
        <v>71</v>
      </c>
      <c r="BU106" s="43">
        <v>72</v>
      </c>
      <c r="BV106" s="43">
        <v>73</v>
      </c>
      <c r="BW106" s="43">
        <v>74</v>
      </c>
      <c r="BX106" s="43">
        <v>75</v>
      </c>
      <c r="BY106" s="43">
        <v>76</v>
      </c>
      <c r="BZ106" s="43">
        <v>77</v>
      </c>
      <c r="CA106" s="43">
        <v>78</v>
      </c>
      <c r="CB106" s="43">
        <v>79</v>
      </c>
      <c r="CC106" s="43">
        <v>80</v>
      </c>
      <c r="CD106" s="43">
        <v>81</v>
      </c>
      <c r="CE106" s="43">
        <v>82</v>
      </c>
      <c r="CF106" s="43">
        <v>83</v>
      </c>
      <c r="CG106" s="43">
        <v>84</v>
      </c>
      <c r="CH106" s="43">
        <v>85</v>
      </c>
      <c r="CI106" s="43">
        <v>86</v>
      </c>
      <c r="CJ106" s="43">
        <v>87</v>
      </c>
      <c r="CK106" s="43">
        <v>88</v>
      </c>
      <c r="CL106" s="43">
        <v>89</v>
      </c>
    </row>
    <row r="107" spans="2:93" x14ac:dyDescent="0.25">
      <c r="B107" s="208" t="s">
        <v>1163</v>
      </c>
      <c r="F107" s="1557" t="s">
        <v>536</v>
      </c>
      <c r="G107" s="1557"/>
      <c r="I107" s="1557" t="s">
        <v>536</v>
      </c>
      <c r="J107" s="1557"/>
      <c r="L107" s="1557" t="s">
        <v>536</v>
      </c>
      <c r="M107" s="1557"/>
      <c r="O107" s="1557" t="s">
        <v>536</v>
      </c>
      <c r="P107" s="1557"/>
      <c r="R107" s="1557" t="s">
        <v>536</v>
      </c>
      <c r="S107" s="1557"/>
      <c r="U107" s="1557" t="s">
        <v>536</v>
      </c>
      <c r="V107" s="1557"/>
      <c r="X107" s="1557" t="s">
        <v>536</v>
      </c>
      <c r="Y107" s="1557"/>
      <c r="AC107" s="1557" t="s">
        <v>536</v>
      </c>
      <c r="AD107" s="1557"/>
      <c r="AG107" s="1557" t="s">
        <v>536</v>
      </c>
      <c r="AH107" s="1557"/>
      <c r="AJ107" s="1557" t="s">
        <v>536</v>
      </c>
      <c r="AK107" s="1557"/>
      <c r="AM107" s="1557" t="s">
        <v>536</v>
      </c>
      <c r="AN107" s="1557"/>
      <c r="AP107" s="1557" t="s">
        <v>536</v>
      </c>
      <c r="AQ107" s="1557"/>
      <c r="AS107" s="1557" t="s">
        <v>536</v>
      </c>
      <c r="AT107" s="1557"/>
      <c r="AV107" s="1557" t="s">
        <v>536</v>
      </c>
      <c r="AW107" s="1557"/>
      <c r="BE107" s="1557" t="s">
        <v>536</v>
      </c>
      <c r="BF107" s="1557"/>
      <c r="BH107" s="1557" t="s">
        <v>536</v>
      </c>
      <c r="BI107" s="1557"/>
      <c r="BK107" s="1557" t="s">
        <v>536</v>
      </c>
      <c r="BL107" s="1557"/>
      <c r="BN107" s="1557" t="s">
        <v>536</v>
      </c>
      <c r="BO107" s="1557"/>
      <c r="BQ107" s="1557" t="s">
        <v>536</v>
      </c>
      <c r="BR107" s="1557"/>
      <c r="BT107" s="1557" t="s">
        <v>536</v>
      </c>
      <c r="BU107" s="1557"/>
      <c r="BW107" s="1557" t="s">
        <v>536</v>
      </c>
      <c r="BX107" s="1557"/>
      <c r="BZ107" s="1557" t="s">
        <v>536</v>
      </c>
      <c r="CA107" s="1557"/>
      <c r="CC107" s="1557" t="s">
        <v>536</v>
      </c>
      <c r="CD107" s="1557"/>
      <c r="CF107" s="1557" t="s">
        <v>536</v>
      </c>
      <c r="CG107" s="1557"/>
      <c r="CI107" s="1557" t="s">
        <v>536</v>
      </c>
      <c r="CJ107" s="1557"/>
      <c r="CL107" s="1557" t="s">
        <v>536</v>
      </c>
      <c r="CM107" s="1557"/>
    </row>
    <row r="108" spans="2:93" s="183" customFormat="1" x14ac:dyDescent="0.25">
      <c r="B108" s="1448">
        <v>44958</v>
      </c>
      <c r="F108" s="1545" t="str">
        <f>E109</f>
        <v>Over/Under Recovery %</v>
      </c>
      <c r="G108" s="1545"/>
      <c r="I108" s="1545" t="str">
        <f>H109</f>
        <v>Expense / Transfer to FG</v>
      </c>
      <c r="J108" s="1545"/>
      <c r="L108" s="1545" t="str">
        <f>K109</f>
        <v>Expenses / FG unit produced</v>
      </c>
      <c r="M108" s="1545"/>
      <c r="O108" s="1545" t="str">
        <f>N109</f>
        <v>Expenses / Labour Hour</v>
      </c>
      <c r="P108" s="1545"/>
      <c r="R108" s="1545" t="str">
        <f>Q109</f>
        <v>Units to FG / Labour Hour</v>
      </c>
      <c r="S108" s="1545"/>
      <c r="U108" s="1545" t="str">
        <f>T109</f>
        <v>Expense / direct team member</v>
      </c>
      <c r="V108" s="1545"/>
      <c r="X108" s="1545" t="str">
        <f>W109</f>
        <v>Expense / total team</v>
      </c>
      <c r="Y108" s="1545"/>
      <c r="AC108" s="1545" t="str">
        <f>AB109</f>
        <v>Directs / Total Team</v>
      </c>
      <c r="AD108" s="1545"/>
      <c r="AG108" s="1545" t="str">
        <f>AF109</f>
        <v>Labour Hours / direct team member</v>
      </c>
      <c r="AH108" s="1545"/>
      <c r="AJ108" s="1545" t="str">
        <f>AI109</f>
        <v>Recovery / labour hour</v>
      </c>
      <c r="AK108" s="1545"/>
      <c r="AM108" s="1545" t="str">
        <f>AL109</f>
        <v>Recovery / direct team member</v>
      </c>
      <c r="AN108" s="1545"/>
      <c r="AP108" s="1545" t="str">
        <f>AO109</f>
        <v>Units to FG per direct team</v>
      </c>
      <c r="AQ108" s="1545"/>
      <c r="AS108" s="1545" t="str">
        <f>AR109</f>
        <v>Units to FG per total team</v>
      </c>
      <c r="AT108" s="1545"/>
      <c r="AV108" s="1545" t="str">
        <f>AU109</f>
        <v>Scrap per $100 to FG</v>
      </c>
      <c r="AW108" s="1545"/>
      <c r="BE108" s="1545" t="str">
        <f>BD109</f>
        <v>FG Units / SKU</v>
      </c>
      <c r="BF108" s="1545"/>
      <c r="BH108" s="1545" t="str">
        <f>BG109</f>
        <v>FG Units / W/O</v>
      </c>
      <c r="BI108" s="1545"/>
      <c r="BK108" s="1545" t="str">
        <f>BJ109</f>
        <v>AM FG Units / SKU</v>
      </c>
      <c r="BL108" s="1545"/>
      <c r="BN108" s="1545" t="str">
        <f>BM109</f>
        <v>SEC FG Units / SKU</v>
      </c>
      <c r="BO108" s="1545"/>
      <c r="BQ108" s="1545" t="str">
        <f>BP109</f>
        <v>PCB Units / SKU</v>
      </c>
      <c r="BR108" s="1545"/>
      <c r="BT108" s="1545" t="str">
        <f>BS109</f>
        <v>XFMR Units / SKU</v>
      </c>
      <c r="BU108" s="1545"/>
      <c r="BW108" s="1545" t="str">
        <f>BV109</f>
        <v>AM FG Units / W/O</v>
      </c>
      <c r="BX108" s="1545"/>
      <c r="BZ108" s="1545" t="str">
        <f>BY109</f>
        <v>SEC FG Units / W/O</v>
      </c>
      <c r="CA108" s="1545"/>
      <c r="CC108" s="1545" t="str">
        <f>CB109</f>
        <v>PCB Units / W/O</v>
      </c>
      <c r="CD108" s="1545"/>
      <c r="CF108" s="1545" t="str">
        <f>CE109</f>
        <v>XFMR Units / W/O</v>
      </c>
      <c r="CG108" s="1545"/>
      <c r="CI108" s="1545" t="str">
        <f>CH109</f>
        <v>FPY</v>
      </c>
      <c r="CJ108" s="1545"/>
      <c r="CL108" s="1545" t="str">
        <f>CK109</f>
        <v>Operator Caused Failure Rate</v>
      </c>
      <c r="CM108" s="1545"/>
    </row>
    <row r="109" spans="2:93" s="183" customFormat="1" ht="90" x14ac:dyDescent="0.25">
      <c r="B109" s="183" t="s">
        <v>22</v>
      </c>
      <c r="C109" s="1449" t="str">
        <f>'Group Totals'!AK3</f>
        <v>Expenses</v>
      </c>
      <c r="D109" s="1449" t="s">
        <v>1164</v>
      </c>
      <c r="E109" s="1449" t="str">
        <f>'Group Totals'!CY3</f>
        <v>Over/Under Recovery %</v>
      </c>
      <c r="F109" s="183" t="s">
        <v>1165</v>
      </c>
      <c r="G109" s="183" t="s">
        <v>1166</v>
      </c>
      <c r="H109" s="1449" t="str">
        <f>'Group Totals'!CC3</f>
        <v>Expense / Transfer to FG</v>
      </c>
      <c r="I109" s="183" t="s">
        <v>1165</v>
      </c>
      <c r="J109" s="183" t="s">
        <v>1166</v>
      </c>
      <c r="K109" s="1449" t="str">
        <f>'Group Totals'!AT3</f>
        <v>Expenses / FG unit produced</v>
      </c>
      <c r="L109" s="183" t="s">
        <v>1165</v>
      </c>
      <c r="M109" s="183" t="s">
        <v>1166</v>
      </c>
      <c r="N109" s="1449" t="str">
        <f>'Group Totals'!CS3</f>
        <v>Expenses / Labour Hour</v>
      </c>
      <c r="O109" s="183" t="s">
        <v>1165</v>
      </c>
      <c r="P109" s="183" t="s">
        <v>1166</v>
      </c>
      <c r="Q109" s="1449" t="str">
        <f>'Group Totals'!DC3</f>
        <v>Units to FG / Labour Hour</v>
      </c>
      <c r="R109" s="183" t="s">
        <v>1165</v>
      </c>
      <c r="S109" s="183" t="s">
        <v>1166</v>
      </c>
      <c r="T109" s="1449" t="str">
        <f>'Group Totals'!AV3</f>
        <v>Expense / direct team member</v>
      </c>
      <c r="U109" s="183" t="s">
        <v>1165</v>
      </c>
      <c r="V109" s="183" t="s">
        <v>1166</v>
      </c>
      <c r="W109" s="1449" t="str">
        <f>'Group Totals'!AW3</f>
        <v>Expense / total team</v>
      </c>
      <c r="X109" s="183" t="s">
        <v>1165</v>
      </c>
      <c r="Y109" s="183" t="s">
        <v>1166</v>
      </c>
      <c r="Z109" s="1449" t="str">
        <f>'Group Totals'!AF3</f>
        <v>Directs</v>
      </c>
      <c r="AA109" s="1449" t="s">
        <v>502</v>
      </c>
      <c r="AB109" s="1449" t="s">
        <v>1167</v>
      </c>
      <c r="AC109" s="183" t="s">
        <v>1165</v>
      </c>
      <c r="AD109" s="183" t="s">
        <v>1166</v>
      </c>
      <c r="AE109" s="1449" t="str">
        <f>'Group Totals'!AN3</f>
        <v>Total Labour Hours</v>
      </c>
      <c r="AF109" s="1449" t="str">
        <f>'Group Totals'!BN3</f>
        <v>Labour Hours / direct team member</v>
      </c>
      <c r="AG109" s="183" t="s">
        <v>1165</v>
      </c>
      <c r="AH109" s="183" t="s">
        <v>1166</v>
      </c>
      <c r="AI109" s="1449" t="str">
        <f>'Group Totals'!BO3</f>
        <v>Recovery / labour hour</v>
      </c>
      <c r="AJ109" s="183" t="s">
        <v>1165</v>
      </c>
      <c r="AK109" s="183" t="s">
        <v>1166</v>
      </c>
      <c r="AL109" s="1449" t="str">
        <f>'Group Totals'!BA3</f>
        <v>Recovery / direct team member</v>
      </c>
      <c r="AM109" s="183" t="s">
        <v>1165</v>
      </c>
      <c r="AN109" s="183" t="s">
        <v>1166</v>
      </c>
      <c r="AO109" s="1449" t="str">
        <f>'Group Totals'!BC3</f>
        <v>Units to FG per direct team</v>
      </c>
      <c r="AP109" s="183" t="s">
        <v>1165</v>
      </c>
      <c r="AQ109" s="183" t="s">
        <v>1166</v>
      </c>
      <c r="AR109" s="1449" t="str">
        <f>'Group Totals'!BD3</f>
        <v>Units to FG per total team</v>
      </c>
      <c r="AS109" s="183" t="s">
        <v>1165</v>
      </c>
      <c r="AT109" s="183" t="s">
        <v>1166</v>
      </c>
      <c r="AU109" s="1449" t="str">
        <f>'Group Totals'!AP3</f>
        <v>Scrap per $100 to FG</v>
      </c>
      <c r="AV109" s="183" t="s">
        <v>1165</v>
      </c>
      <c r="AW109" s="183" t="s">
        <v>1166</v>
      </c>
      <c r="AX109" s="1449" t="str">
        <f>'Group Totals'!I3</f>
        <v>$ Transfer to FG</v>
      </c>
      <c r="AY109" s="1449" t="str">
        <f>'Group Totals'!K3</f>
        <v>Total Finished Goods Units (SEC&amp;AM)</v>
      </c>
      <c r="AZ109" s="1449" t="str">
        <f>'Group Totals'!W3</f>
        <v>AM Completed Units</v>
      </c>
      <c r="BA109" s="1449" t="str">
        <f>'Group Totals'!Q3</f>
        <v>SEC Completed Units</v>
      </c>
      <c r="BB109" s="1449" t="str">
        <f>'Group Totals'!AC3</f>
        <v>Modules PCB's</v>
      </c>
      <c r="BC109" s="1449" t="str">
        <f>'Group Totals'!AD3</f>
        <v xml:space="preserve">XFMR's </v>
      </c>
      <c r="BD109" s="1449" t="str">
        <f>'Group Totals'!DD3</f>
        <v>FG Units / SKU</v>
      </c>
      <c r="BE109" s="183" t="s">
        <v>1165</v>
      </c>
      <c r="BF109" s="183" t="s">
        <v>1166</v>
      </c>
      <c r="BG109" s="1449" t="str">
        <f>'Group Totals'!DE3</f>
        <v>FG Units / W/O</v>
      </c>
      <c r="BH109" s="183" t="s">
        <v>1165</v>
      </c>
      <c r="BI109" s="183" t="s">
        <v>1166</v>
      </c>
      <c r="BJ109" s="1449" t="str">
        <f>'Group Totals'!DF3</f>
        <v>AM FG Units / SKU</v>
      </c>
      <c r="BK109" s="183" t="s">
        <v>1165</v>
      </c>
      <c r="BL109" s="183" t="s">
        <v>1166</v>
      </c>
      <c r="BM109" s="1449" t="str">
        <f>'Group Totals'!DG3</f>
        <v>SEC FG Units / SKU</v>
      </c>
      <c r="BN109" s="183" t="s">
        <v>1165</v>
      </c>
      <c r="BO109" s="183" t="s">
        <v>1166</v>
      </c>
      <c r="BP109" s="1449" t="str">
        <f>'Group Totals'!DH3</f>
        <v>PCB Units / SKU</v>
      </c>
      <c r="BQ109" s="183" t="s">
        <v>1165</v>
      </c>
      <c r="BR109" s="183" t="s">
        <v>1166</v>
      </c>
      <c r="BS109" s="1449" t="str">
        <f>'Group Totals'!DI3</f>
        <v>XFMR Units / SKU</v>
      </c>
      <c r="BT109" s="183" t="s">
        <v>1165</v>
      </c>
      <c r="BU109" s="183" t="s">
        <v>1166</v>
      </c>
      <c r="BV109" s="1449" t="str">
        <f>'Group Totals'!DJ3</f>
        <v>AM FG Units / W/O</v>
      </c>
      <c r="BW109" s="183" t="s">
        <v>1165</v>
      </c>
      <c r="BX109" s="183" t="s">
        <v>1166</v>
      </c>
      <c r="BY109" s="1449" t="str">
        <f>'Group Totals'!DK3</f>
        <v>SEC FG Units / W/O</v>
      </c>
      <c r="BZ109" s="183" t="s">
        <v>1165</v>
      </c>
      <c r="CA109" s="183" t="s">
        <v>1166</v>
      </c>
      <c r="CB109" s="1449" t="str">
        <f>'Group Totals'!DL3</f>
        <v>PCB Units / W/O</v>
      </c>
      <c r="CC109" s="183" t="s">
        <v>1165</v>
      </c>
      <c r="CD109" s="183" t="s">
        <v>1166</v>
      </c>
      <c r="CE109" s="1449" t="str">
        <f>'Group Totals'!DM3</f>
        <v>XFMR Units / W/O</v>
      </c>
      <c r="CF109" s="183" t="s">
        <v>1165</v>
      </c>
      <c r="CG109" s="183" t="s">
        <v>1166</v>
      </c>
      <c r="CH109" s="1449" t="str">
        <f>'Group Totals'!F3</f>
        <v>FPY</v>
      </c>
      <c r="CI109" s="183" t="s">
        <v>1165</v>
      </c>
      <c r="CJ109" s="183" t="s">
        <v>1166</v>
      </c>
      <c r="CK109" s="183" t="str">
        <f>'Group Totals'!D3</f>
        <v>Operator Caused Failure Rate</v>
      </c>
      <c r="CL109" s="183" t="s">
        <v>1165</v>
      </c>
      <c r="CM109" s="183" t="s">
        <v>1166</v>
      </c>
      <c r="CN109" s="183" t="s">
        <v>1168</v>
      </c>
      <c r="CO109" s="183" t="s">
        <v>1169</v>
      </c>
    </row>
    <row r="110" spans="2:93" x14ac:dyDescent="0.25">
      <c r="B110" s="1445">
        <f>'Group Totals'!A81</f>
        <v>43191</v>
      </c>
      <c r="C110" s="1352">
        <f>'Group Totals'!AK81</f>
        <v>848121</v>
      </c>
      <c r="D110" s="38">
        <f>'Group Totals'!CZ81</f>
        <v>0</v>
      </c>
      <c r="E110" s="69">
        <f>'Group Totals'!CY81</f>
        <v>5.52033023589793E-2</v>
      </c>
      <c r="F110" s="69">
        <v>0.05</v>
      </c>
      <c r="G110" s="69">
        <v>-0.05</v>
      </c>
      <c r="H110" s="38">
        <f>'Group Totals'!AK81/'Group Totals'!I81</f>
        <v>0.19827026950399068</v>
      </c>
      <c r="I110" s="69">
        <v>0.2</v>
      </c>
      <c r="J110" s="69">
        <v>0</v>
      </c>
      <c r="K110" s="1446">
        <f>'Group Totals'!AT81</f>
        <v>25.587431364267182</v>
      </c>
      <c r="L110" s="1352">
        <v>30</v>
      </c>
      <c r="M110" s="1352">
        <v>0</v>
      </c>
      <c r="N110" s="1361">
        <f>'Group Totals'!CS81</f>
        <v>102.56019261151982</v>
      </c>
      <c r="O110" s="1352">
        <v>135</v>
      </c>
      <c r="P110" s="1352">
        <v>0</v>
      </c>
      <c r="Q110" s="337">
        <f>'Group Totals'!DC81</f>
        <v>4.008225411588012</v>
      </c>
      <c r="S110" s="43">
        <v>4.5999999999999996</v>
      </c>
      <c r="T110" s="1352">
        <f>'Group Totals'!AV81</f>
        <v>11159.486842105263</v>
      </c>
      <c r="U110" s="1352">
        <v>14600</v>
      </c>
      <c r="W110" s="1352">
        <f>'Group Totals'!AW81</f>
        <v>7374.9652173913046</v>
      </c>
      <c r="X110" s="1352">
        <v>8500</v>
      </c>
      <c r="Z110" s="43">
        <f>'Group Totals'!AF81</f>
        <v>76</v>
      </c>
      <c r="AA110" s="43">
        <f>'Group Totals'!AE81</f>
        <v>115</v>
      </c>
      <c r="AB110" s="38">
        <f>'Group Totals'!AF81/'Group Totals'!AE81</f>
        <v>0.66086956521739126</v>
      </c>
      <c r="AD110" s="69">
        <v>0.65</v>
      </c>
      <c r="AE110" s="386">
        <f>'Group Totals'!AN81</f>
        <v>8269.494999999999</v>
      </c>
      <c r="AF110" s="7">
        <f>'Group Totals'!BN81</f>
        <v>108.80914473684209</v>
      </c>
      <c r="AH110" s="43">
        <v>130</v>
      </c>
      <c r="AI110" s="1352">
        <f>'Group Totals'!BO81</f>
        <v>108.22185393424871</v>
      </c>
      <c r="AK110" s="1361">
        <f>N110</f>
        <v>102.56019261151982</v>
      </c>
      <c r="AL110" s="1352">
        <f>'Group Totals'!BA81</f>
        <v>11775.527368421052</v>
      </c>
      <c r="AN110" s="1363">
        <f>T110</f>
        <v>11159.486842105263</v>
      </c>
      <c r="AO110" s="7">
        <f>'Group Totals'!BC81</f>
        <v>436.13157894736844</v>
      </c>
      <c r="AR110" s="7">
        <f>'Group Totals'!BD81</f>
        <v>288.22608695652173</v>
      </c>
      <c r="AU110" s="1361">
        <f>'Group Totals'!AP81</f>
        <v>0.39321110231407108</v>
      </c>
      <c r="AV110" s="1446">
        <v>0.28999999999999998</v>
      </c>
      <c r="AX110" s="1352">
        <f>'Group Totals'!I81</f>
        <v>4277600.4800000004</v>
      </c>
      <c r="AY110" s="94">
        <f>'Group Totals'!K81</f>
        <v>33146</v>
      </c>
      <c r="AZ110" s="94">
        <f>'Group Totals'!W81</f>
        <v>20901</v>
      </c>
      <c r="BA110" s="94">
        <f>'Group Totals'!Q81</f>
        <v>12245</v>
      </c>
      <c r="BB110" s="94">
        <f>'Group Totals'!AC81</f>
        <v>43329</v>
      </c>
      <c r="BC110" s="94">
        <f>'Group Totals'!AD81</f>
        <v>20420</v>
      </c>
      <c r="BD110" s="7">
        <f>'Group Totals'!DD81</f>
        <v>162.48039215686273</v>
      </c>
      <c r="BF110" s="43">
        <v>272</v>
      </c>
      <c r="BG110" s="7">
        <f>'Group Totals'!DE81</f>
        <v>80.647201946472023</v>
      </c>
      <c r="BI110" s="43">
        <v>142</v>
      </c>
      <c r="BJ110" s="7">
        <f>'Group Totals'!DF81</f>
        <v>135.72077922077921</v>
      </c>
      <c r="BL110" s="43">
        <v>248</v>
      </c>
      <c r="BM110" s="7">
        <f>'Group Totals'!DG81</f>
        <v>244.9</v>
      </c>
      <c r="BO110" s="43">
        <v>326</v>
      </c>
      <c r="BP110" s="7">
        <f>'Group Totals'!DH81</f>
        <v>0</v>
      </c>
      <c r="BR110" s="43">
        <v>545</v>
      </c>
      <c r="BS110" s="7">
        <f>'Group Totals'!DI81</f>
        <v>0</v>
      </c>
      <c r="BU110" s="43">
        <v>719</v>
      </c>
      <c r="BV110" s="7">
        <f>'Group Totals'!DJ81</f>
        <v>66.563694267515928</v>
      </c>
      <c r="BX110" s="43">
        <v>118</v>
      </c>
      <c r="BY110" s="7">
        <f>'Group Totals'!DK81</f>
        <v>126.23711340206185</v>
      </c>
      <c r="CA110" s="43">
        <v>217</v>
      </c>
      <c r="CB110" s="7">
        <f>'Group Totals'!DL81</f>
        <v>0</v>
      </c>
      <c r="CD110" s="43">
        <v>314</v>
      </c>
      <c r="CE110" s="7">
        <f>'Group Totals'!DM81</f>
        <v>0</v>
      </c>
      <c r="CG110" s="43">
        <v>334</v>
      </c>
      <c r="CH110" s="1447">
        <f>'Group Totals'!F81</f>
        <v>0.97034353488653202</v>
      </c>
      <c r="CJ110" s="69">
        <v>0.97</v>
      </c>
      <c r="CK110" s="1447">
        <f>'Group Totals'!D81</f>
        <v>2.0427280693802313E-2</v>
      </c>
      <c r="CL110" s="1470">
        <v>1.4999999999999999E-2</v>
      </c>
      <c r="CM110" s="1470"/>
      <c r="CN110" s="69">
        <f>'Group Totals'!CX81</f>
        <v>0</v>
      </c>
      <c r="CO110" s="1363">
        <f>AX110/Z110</f>
        <v>56284.21684210527</v>
      </c>
    </row>
    <row r="111" spans="2:93" x14ac:dyDescent="0.25">
      <c r="B111" s="1445">
        <f>'Group Totals'!A82</f>
        <v>43221</v>
      </c>
      <c r="C111" s="1352">
        <f>'Group Totals'!AK82</f>
        <v>923966</v>
      </c>
      <c r="D111" s="38">
        <f>'Group Totals'!CZ82</f>
        <v>0</v>
      </c>
      <c r="E111" s="69">
        <f>'Group Totals'!CY82</f>
        <v>5.0000974061816805E-3</v>
      </c>
      <c r="F111" s="69">
        <f>F110</f>
        <v>0.05</v>
      </c>
      <c r="G111" s="69">
        <f>G110</f>
        <v>-0.05</v>
      </c>
      <c r="H111" s="38">
        <f>'Group Totals'!AK82/'Group Totals'!I82</f>
        <v>0.19932896369038625</v>
      </c>
      <c r="I111" s="69">
        <f>I110</f>
        <v>0.2</v>
      </c>
      <c r="J111" s="69">
        <f>J110</f>
        <v>0</v>
      </c>
      <c r="K111" s="1446">
        <f>'Group Totals'!AT82</f>
        <v>26.424698278327519</v>
      </c>
      <c r="L111" s="1352">
        <f>L110</f>
        <v>30</v>
      </c>
      <c r="M111" s="1352">
        <v>0</v>
      </c>
      <c r="N111" s="1361">
        <f>'Group Totals'!CS82</f>
        <v>107.74038183476962</v>
      </c>
      <c r="O111" s="1352">
        <v>135</v>
      </c>
      <c r="P111" s="1352">
        <v>0</v>
      </c>
      <c r="Q111" s="337">
        <f>'Group Totals'!DC82</f>
        <v>4.0772606256448336</v>
      </c>
      <c r="S111" s="43">
        <v>4.5999999999999996</v>
      </c>
      <c r="T111" s="1352">
        <f>'Group Totals'!AV82</f>
        <v>12157.447368421053</v>
      </c>
      <c r="U111" s="1352">
        <v>14600</v>
      </c>
      <c r="W111" s="1352">
        <f>'Group Totals'!AW82</f>
        <v>7573.4918032786882</v>
      </c>
      <c r="X111" s="1352">
        <v>8500</v>
      </c>
      <c r="Z111" s="43">
        <f>'Group Totals'!AF82</f>
        <v>76</v>
      </c>
      <c r="AA111" s="43">
        <f>'Group Totals'!AE82</f>
        <v>122</v>
      </c>
      <c r="AB111" s="38">
        <f>'Group Totals'!AF82/'Group Totals'!AE82</f>
        <v>0.62295081967213117</v>
      </c>
      <c r="AD111" s="69">
        <v>0.65</v>
      </c>
      <c r="AE111" s="386">
        <f>'Group Totals'!AN82</f>
        <v>8575.8559999999998</v>
      </c>
      <c r="AF111" s="7">
        <f>'Group Totals'!BN82</f>
        <v>112.84021052631579</v>
      </c>
      <c r="AH111" s="43">
        <v>130</v>
      </c>
      <c r="AI111" s="1352">
        <f>'Group Totals'!BO82</f>
        <v>108.27909423852267</v>
      </c>
      <c r="AK111" s="1361">
        <f t="shared" ref="AK111:AK168" si="0">N111</f>
        <v>107.74038183476962</v>
      </c>
      <c r="AL111" s="1352">
        <f>'Group Totals'!BA82</f>
        <v>12218.235789473685</v>
      </c>
      <c r="AN111" s="1363">
        <f t="shared" ref="AN111:AN168" si="1">T111</f>
        <v>12157.447368421053</v>
      </c>
      <c r="AO111" s="7">
        <f>'Group Totals'!BC82</f>
        <v>460.07894736842104</v>
      </c>
      <c r="AR111" s="7">
        <f>'Group Totals'!BD82</f>
        <v>286.60655737704917</v>
      </c>
      <c r="AU111" s="1361">
        <f>'Group Totals'!AP82</f>
        <v>0.88040198537658998</v>
      </c>
      <c r="AV111" s="1446">
        <v>0.28999999999999998</v>
      </c>
      <c r="AX111" s="1352">
        <f>'Group Totals'!I82</f>
        <v>4635382.55</v>
      </c>
      <c r="AY111" s="94">
        <f>'Group Totals'!K82</f>
        <v>34966</v>
      </c>
      <c r="AZ111" s="94">
        <f>'Group Totals'!W82</f>
        <v>23076</v>
      </c>
      <c r="BA111" s="94">
        <f>'Group Totals'!Q82</f>
        <v>11890</v>
      </c>
      <c r="BB111" s="94">
        <f>'Group Totals'!AC82</f>
        <v>36292</v>
      </c>
      <c r="BC111" s="94">
        <f>'Group Totals'!AD82</f>
        <v>15988</v>
      </c>
      <c r="BD111" s="7">
        <f>'Group Totals'!DD82</f>
        <v>168.10576923076923</v>
      </c>
      <c r="BF111" s="43">
        <v>272</v>
      </c>
      <c r="BG111" s="7">
        <f>'Group Totals'!DE82</f>
        <v>86.123152709359601</v>
      </c>
      <c r="BI111" s="43">
        <v>142</v>
      </c>
      <c r="BJ111" s="7">
        <f>'Group Totals'!DF82</f>
        <v>159.1448275862069</v>
      </c>
      <c r="BL111" s="43">
        <v>248</v>
      </c>
      <c r="BM111" s="7">
        <f>'Group Totals'!DG82</f>
        <v>188.73015873015873</v>
      </c>
      <c r="BO111" s="43">
        <v>326</v>
      </c>
      <c r="BP111" s="7">
        <f>'Group Totals'!DH82</f>
        <v>0</v>
      </c>
      <c r="BR111" s="43">
        <v>545</v>
      </c>
      <c r="BS111" s="7">
        <f>'Group Totals'!DI82</f>
        <v>0</v>
      </c>
      <c r="BU111" s="43">
        <v>719</v>
      </c>
      <c r="BV111" s="7">
        <f>'Group Totals'!DJ82</f>
        <v>74.679611650485441</v>
      </c>
      <c r="BX111" s="43">
        <v>118</v>
      </c>
      <c r="BY111" s="7">
        <f>'Group Totals'!DK82</f>
        <v>122.57731958762886</v>
      </c>
      <c r="CA111" s="43">
        <v>217</v>
      </c>
      <c r="CB111" s="7">
        <f>'Group Totals'!DL82</f>
        <v>0</v>
      </c>
      <c r="CD111" s="43">
        <v>314</v>
      </c>
      <c r="CE111" s="7">
        <f>'Group Totals'!DM82</f>
        <v>0</v>
      </c>
      <c r="CG111" s="43">
        <v>334</v>
      </c>
      <c r="CH111" s="1447">
        <f>'Group Totals'!F82</f>
        <v>0.94266367783170235</v>
      </c>
      <c r="CJ111" s="69">
        <v>0.97</v>
      </c>
      <c r="CK111" s="1447">
        <f>'Group Totals'!D82</f>
        <v>1.8405070676532208E-2</v>
      </c>
      <c r="CL111" s="1470">
        <v>1.4999999999999999E-2</v>
      </c>
      <c r="CM111" s="1470"/>
      <c r="CN111" s="69">
        <f>'Group Totals'!CX82</f>
        <v>0</v>
      </c>
      <c r="CO111" s="1363">
        <f t="shared" ref="CO111:CO169" si="2">AX111/Z111</f>
        <v>60991.875657894736</v>
      </c>
    </row>
    <row r="112" spans="2:93" x14ac:dyDescent="0.25">
      <c r="B112" s="1445">
        <f>'Group Totals'!A83</f>
        <v>43252</v>
      </c>
      <c r="C112" s="1352">
        <f>'Group Totals'!AK83</f>
        <v>1042669</v>
      </c>
      <c r="D112" s="38">
        <f>'Group Totals'!CZ83</f>
        <v>-1.9894086734338567E-2</v>
      </c>
      <c r="E112" s="69">
        <f>'Group Totals'!CY83</f>
        <v>-0.10303941135681605</v>
      </c>
      <c r="F112" s="69">
        <f t="shared" ref="F112:F170" si="3">F111</f>
        <v>0.05</v>
      </c>
      <c r="G112" s="69">
        <f t="shared" ref="G112:G170" si="4">G111</f>
        <v>-0.05</v>
      </c>
      <c r="H112" s="38">
        <f>'Group Totals'!AK83/'Group Totals'!I83</f>
        <v>0.22206684771634014</v>
      </c>
      <c r="I112" s="69">
        <v>0.2</v>
      </c>
      <c r="J112" s="69">
        <v>0</v>
      </c>
      <c r="K112" s="1446">
        <f>'Group Totals'!AT83</f>
        <v>36.66077142153933</v>
      </c>
      <c r="L112" s="1352">
        <v>30</v>
      </c>
      <c r="M112" s="1352">
        <v>0</v>
      </c>
      <c r="N112" s="1361">
        <f>'Group Totals'!CS83</f>
        <v>127.78495409066177</v>
      </c>
      <c r="O112" s="1352">
        <v>135</v>
      </c>
      <c r="P112" s="1352">
        <v>0</v>
      </c>
      <c r="Q112" s="337">
        <f>'Group Totals'!DC83</f>
        <v>3.4856046159351735</v>
      </c>
      <c r="S112" s="43">
        <v>4.5999999999999996</v>
      </c>
      <c r="T112" s="1352">
        <f>'Group Totals'!AV83</f>
        <v>13719.328947368422</v>
      </c>
      <c r="U112" s="1352">
        <v>14600</v>
      </c>
      <c r="W112" s="1352">
        <f>'Group Totals'!AW83</f>
        <v>8617.0991735537191</v>
      </c>
      <c r="X112" s="1352">
        <v>8500</v>
      </c>
      <c r="Z112" s="43">
        <f>'Group Totals'!AF83</f>
        <v>76</v>
      </c>
      <c r="AA112" s="43">
        <f>'Group Totals'!AE83</f>
        <v>121</v>
      </c>
      <c r="AB112" s="38">
        <f>'Group Totals'!AF83/'Group Totals'!AE83</f>
        <v>0.62809917355371903</v>
      </c>
      <c r="AD112" s="69">
        <v>0.65</v>
      </c>
      <c r="AE112" s="386">
        <f>'Group Totals'!AN83</f>
        <v>8159.5599999999986</v>
      </c>
      <c r="AF112" s="7">
        <f>'Group Totals'!BN83</f>
        <v>107.36263157894734</v>
      </c>
      <c r="AH112" s="43">
        <v>130</v>
      </c>
      <c r="AI112" s="1352">
        <f>'Group Totals'!BO83</f>
        <v>114.61806764090223</v>
      </c>
      <c r="AK112" s="1361">
        <f t="shared" si="0"/>
        <v>127.78495409066177</v>
      </c>
      <c r="AL112" s="1352">
        <f>'Group Totals'!BA83</f>
        <v>12305.697368421053</v>
      </c>
      <c r="AN112" s="1363">
        <f t="shared" si="1"/>
        <v>13719.328947368422</v>
      </c>
      <c r="AO112" s="7">
        <f>'Group Totals'!BC83</f>
        <v>374.2236842105263</v>
      </c>
      <c r="AR112" s="7">
        <f>'Group Totals'!BD83</f>
        <v>235.04958677685951</v>
      </c>
      <c r="AU112" s="1361">
        <f>'Group Totals'!AP83</f>
        <v>0.44704341776402479</v>
      </c>
      <c r="AV112" s="1446">
        <v>0.28999999999999998</v>
      </c>
      <c r="AX112" s="1352">
        <f>'Group Totals'!I83</f>
        <v>4695293.38</v>
      </c>
      <c r="AY112" s="94">
        <f>'Group Totals'!K83</f>
        <v>28441</v>
      </c>
      <c r="AZ112" s="94">
        <f>'Group Totals'!W83</f>
        <v>16145</v>
      </c>
      <c r="BA112" s="94">
        <f>'Group Totals'!Q83</f>
        <v>12296</v>
      </c>
      <c r="BB112" s="94">
        <f>'Group Totals'!AC83</f>
        <v>31555</v>
      </c>
      <c r="BC112" s="94">
        <f>'Group Totals'!AD83</f>
        <v>11828</v>
      </c>
      <c r="BD112" s="7">
        <f>'Group Totals'!DD83</f>
        <v>157.13259668508286</v>
      </c>
      <c r="BF112" s="43">
        <v>272</v>
      </c>
      <c r="BG112" s="7">
        <f>'Group Totals'!DE83</f>
        <v>80.115492957746483</v>
      </c>
      <c r="BI112" s="43">
        <v>142</v>
      </c>
      <c r="BJ112" s="7">
        <f>'Group Totals'!DF83</f>
        <v>142.87610619469027</v>
      </c>
      <c r="BL112" s="43">
        <v>248</v>
      </c>
      <c r="BM112" s="7">
        <f>'Group Totals'!DG83</f>
        <v>180.8235294117647</v>
      </c>
      <c r="BO112" s="43">
        <v>326</v>
      </c>
      <c r="BP112" s="7">
        <f>'Group Totals'!DH83</f>
        <v>0</v>
      </c>
      <c r="BR112" s="43">
        <v>545</v>
      </c>
      <c r="BS112" s="7">
        <f>'Group Totals'!DI83</f>
        <v>0</v>
      </c>
      <c r="BU112" s="43">
        <v>719</v>
      </c>
      <c r="BV112" s="7">
        <f>'Group Totals'!DJ83</f>
        <v>63.562992125984252</v>
      </c>
      <c r="BX112" s="43">
        <v>118</v>
      </c>
      <c r="BY112" s="7">
        <f>'Group Totals'!DK83</f>
        <v>121.74257425742574</v>
      </c>
      <c r="CA112" s="43">
        <v>217</v>
      </c>
      <c r="CB112" s="7">
        <f>'Group Totals'!DL83</f>
        <v>0</v>
      </c>
      <c r="CD112" s="43">
        <v>314</v>
      </c>
      <c r="CE112" s="7">
        <f>'Group Totals'!DM83</f>
        <v>0</v>
      </c>
      <c r="CG112" s="43">
        <v>334</v>
      </c>
      <c r="CH112" s="1447">
        <f>'Group Totals'!F83</f>
        <v>0.9741370613593906</v>
      </c>
      <c r="CJ112" s="69">
        <v>0.97</v>
      </c>
      <c r="CK112" s="1447">
        <f>'Group Totals'!D83</f>
        <v>2.1554821094984911E-2</v>
      </c>
      <c r="CL112" s="1470">
        <v>1.4999999999999999E-2</v>
      </c>
      <c r="CM112" s="1470"/>
      <c r="CN112" s="69">
        <f>'Group Totals'!CX83</f>
        <v>0.20500246212134604</v>
      </c>
      <c r="CO112" s="1363">
        <f t="shared" si="2"/>
        <v>61780.176052631577</v>
      </c>
    </row>
    <row r="113" spans="2:93" x14ac:dyDescent="0.25">
      <c r="B113" s="1445">
        <f>'Group Totals'!A84</f>
        <v>43282</v>
      </c>
      <c r="C113" s="1352">
        <f>'Group Totals'!AK84</f>
        <v>982769</v>
      </c>
      <c r="D113" s="38">
        <f>'Group Totals'!CZ84</f>
        <v>-2.9196773314201785E-2</v>
      </c>
      <c r="E113" s="69">
        <f>'Group Totals'!CY84</f>
        <v>1.6995855587630393E-2</v>
      </c>
      <c r="F113" s="69">
        <f t="shared" si="3"/>
        <v>0.05</v>
      </c>
      <c r="G113" s="69">
        <f t="shared" si="4"/>
        <v>-0.05</v>
      </c>
      <c r="H113" s="38">
        <f>'Group Totals'!AK84/'Group Totals'!I84</f>
        <v>0.18996509435921666</v>
      </c>
      <c r="I113" s="69">
        <v>0.2</v>
      </c>
      <c r="J113" s="69">
        <v>0</v>
      </c>
      <c r="K113" s="1446">
        <f>'Group Totals'!AT84</f>
        <v>28.225888908036072</v>
      </c>
      <c r="L113" s="1352">
        <v>30</v>
      </c>
      <c r="M113" s="1352">
        <v>0</v>
      </c>
      <c r="N113" s="1361">
        <f>'Group Totals'!CS84</f>
        <v>117.61562580296319</v>
      </c>
      <c r="O113" s="1352">
        <v>135</v>
      </c>
      <c r="P113" s="1352">
        <v>0</v>
      </c>
      <c r="Q113" s="337">
        <f>'Group Totals'!DC84</f>
        <v>4.1669414269350913</v>
      </c>
      <c r="S113" s="43">
        <v>4.5999999999999996</v>
      </c>
      <c r="T113" s="1352">
        <f>'Group Totals'!AV84</f>
        <v>12763.233766233767</v>
      </c>
      <c r="U113" s="1352">
        <v>14600</v>
      </c>
      <c r="W113" s="1352">
        <f>'Group Totals'!AW84</f>
        <v>8122.0578512396696</v>
      </c>
      <c r="X113" s="1352">
        <v>8500</v>
      </c>
      <c r="Z113" s="43">
        <f>'Group Totals'!AF84</f>
        <v>77</v>
      </c>
      <c r="AA113" s="43">
        <f>'Group Totals'!AE84</f>
        <v>121</v>
      </c>
      <c r="AB113" s="38">
        <f>'Group Totals'!AF84/'Group Totals'!AE84</f>
        <v>0.63636363636363635</v>
      </c>
      <c r="AD113" s="69">
        <v>0.65</v>
      </c>
      <c r="AE113" s="386">
        <f>'Group Totals'!AN84</f>
        <v>8355.7690000000002</v>
      </c>
      <c r="AF113" s="7">
        <f>'Group Totals'!BN84</f>
        <v>108.51648051948052</v>
      </c>
      <c r="AH113" s="43">
        <v>130</v>
      </c>
      <c r="AI113" s="1352">
        <f>'Group Totals'!BO84</f>
        <v>119.61460399395914</v>
      </c>
      <c r="AK113" s="1361">
        <f t="shared" si="0"/>
        <v>117.61562580296319</v>
      </c>
      <c r="AL113" s="1352">
        <f>'Group Totals'!BA84</f>
        <v>12980.155844155845</v>
      </c>
      <c r="AN113" s="1363">
        <f t="shared" si="1"/>
        <v>12763.233766233767</v>
      </c>
      <c r="AO113" s="7">
        <f>'Group Totals'!BC84</f>
        <v>452.18181818181819</v>
      </c>
      <c r="AR113" s="7">
        <f>'Group Totals'!BD84</f>
        <v>287.75206611570246</v>
      </c>
      <c r="AU113" s="1361">
        <f>'Group Totals'!AP84</f>
        <v>0.46118438680061646</v>
      </c>
      <c r="AV113" s="1446">
        <v>0.28999999999999998</v>
      </c>
      <c r="AX113" s="1352">
        <f>'Group Totals'!I84</f>
        <v>5173418.8499999996</v>
      </c>
      <c r="AY113" s="94">
        <f>'Group Totals'!K84</f>
        <v>34818</v>
      </c>
      <c r="AZ113" s="94">
        <f>'Group Totals'!W84</f>
        <v>20668</v>
      </c>
      <c r="BA113" s="94">
        <f>'Group Totals'!Q84</f>
        <v>14150</v>
      </c>
      <c r="BB113" s="94">
        <f>'Group Totals'!AC84</f>
        <v>48803</v>
      </c>
      <c r="BC113" s="94">
        <f>'Group Totals'!AD84</f>
        <v>15815</v>
      </c>
      <c r="BD113" s="7">
        <f>'Group Totals'!DD84</f>
        <v>166.59330143540669</v>
      </c>
      <c r="BF113" s="43">
        <v>272</v>
      </c>
      <c r="BG113" s="7">
        <f>'Group Totals'!DE84</f>
        <v>80.784222737819022</v>
      </c>
      <c r="BI113" s="43">
        <v>142</v>
      </c>
      <c r="BJ113" s="7">
        <f>'Group Totals'!DF84</f>
        <v>154.23880597014926</v>
      </c>
      <c r="BL113" s="43">
        <v>248</v>
      </c>
      <c r="BM113" s="7">
        <f>'Group Totals'!DG84</f>
        <v>188.66666666666666</v>
      </c>
      <c r="BO113" s="43">
        <v>326</v>
      </c>
      <c r="BP113" s="7">
        <f>'Group Totals'!DH84</f>
        <v>0</v>
      </c>
      <c r="BR113" s="43">
        <v>545</v>
      </c>
      <c r="BS113" s="7">
        <f>'Group Totals'!DI84</f>
        <v>0</v>
      </c>
      <c r="BU113" s="43">
        <v>719</v>
      </c>
      <c r="BV113" s="7">
        <f>'Group Totals'!DJ84</f>
        <v>72.774647887323937</v>
      </c>
      <c r="BX113" s="43">
        <v>118</v>
      </c>
      <c r="BY113" s="7">
        <f>'Group Totals'!DK84</f>
        <v>96.258503401360542</v>
      </c>
      <c r="CA113" s="43">
        <v>217</v>
      </c>
      <c r="CB113" s="7">
        <f>'Group Totals'!DL84</f>
        <v>0</v>
      </c>
      <c r="CD113" s="43">
        <v>314</v>
      </c>
      <c r="CE113" s="7">
        <f>'Group Totals'!DM84</f>
        <v>0</v>
      </c>
      <c r="CG113" s="43">
        <v>334</v>
      </c>
      <c r="CH113" s="1447">
        <f>'Group Totals'!F84</f>
        <v>0.92376299160601094</v>
      </c>
      <c r="CJ113" s="69">
        <v>0.97</v>
      </c>
      <c r="CK113" s="1447">
        <f>'Group Totals'!D84</f>
        <v>2.4609650152617984E-2</v>
      </c>
      <c r="CL113" s="1470">
        <v>1.4999999999999999E-2</v>
      </c>
      <c r="CM113" s="1470"/>
      <c r="CN113" s="69">
        <f>'Group Totals'!CX84</f>
        <v>0.19406629939300493</v>
      </c>
      <c r="CO113" s="1363">
        <f t="shared" si="2"/>
        <v>67187.257792207791</v>
      </c>
    </row>
    <row r="114" spans="2:93" x14ac:dyDescent="0.25">
      <c r="B114" s="1445">
        <f>'Group Totals'!A85</f>
        <v>43313</v>
      </c>
      <c r="C114" s="1352">
        <f>'Group Totals'!AK85</f>
        <v>1146219</v>
      </c>
      <c r="D114" s="38">
        <f>'Group Totals'!CZ85</f>
        <v>-2.4027188311977032E-2</v>
      </c>
      <c r="E114" s="69">
        <f>'Group Totals'!CY85</f>
        <v>1.2673843305685883E-2</v>
      </c>
      <c r="F114" s="69">
        <f t="shared" si="3"/>
        <v>0.05</v>
      </c>
      <c r="G114" s="69">
        <f t="shared" si="4"/>
        <v>-0.05</v>
      </c>
      <c r="H114" s="38">
        <f>'Group Totals'!AK85/'Group Totals'!I85</f>
        <v>0.19001175866834499</v>
      </c>
      <c r="I114" s="69">
        <v>0.2</v>
      </c>
      <c r="J114" s="69">
        <v>0</v>
      </c>
      <c r="K114" s="1446">
        <f>'Group Totals'!AT85</f>
        <v>34.969156141314294</v>
      </c>
      <c r="L114" s="1352">
        <v>30</v>
      </c>
      <c r="M114" s="1352">
        <v>0</v>
      </c>
      <c r="N114" s="1361">
        <f>'Group Totals'!CS85</f>
        <v>119.28090478821331</v>
      </c>
      <c r="O114" s="1352">
        <v>135</v>
      </c>
      <c r="P114" s="1352">
        <v>0</v>
      </c>
      <c r="Q114" s="337">
        <f>'Group Totals'!DC85</f>
        <v>3.4110318334873666</v>
      </c>
      <c r="S114" s="43">
        <v>4.5999999999999996</v>
      </c>
      <c r="T114" s="1352">
        <f>'Group Totals'!AV85</f>
        <v>13809.867469879518</v>
      </c>
      <c r="U114" s="1352">
        <v>14600</v>
      </c>
      <c r="W114" s="1352">
        <f>'Group Totals'!AW85</f>
        <v>9096.9761904761908</v>
      </c>
      <c r="X114" s="1352">
        <v>8500</v>
      </c>
      <c r="Z114" s="43">
        <f>'Group Totals'!AF85</f>
        <v>83</v>
      </c>
      <c r="AA114" s="43">
        <f>'Group Totals'!AE85</f>
        <v>126</v>
      </c>
      <c r="AB114" s="38">
        <f>'Group Totals'!AF85/'Group Totals'!AE85</f>
        <v>0.65873015873015872</v>
      </c>
      <c r="AD114" s="69">
        <v>0.65</v>
      </c>
      <c r="AE114" s="386">
        <f>'Group Totals'!AN85</f>
        <v>9609.4089999999997</v>
      </c>
      <c r="AF114" s="7">
        <f>'Group Totals'!BN85</f>
        <v>115.77601204819277</v>
      </c>
      <c r="AH114" s="43">
        <v>130</v>
      </c>
      <c r="AI114" s="1352">
        <f>'Group Totals'!BO85</f>
        <v>120.79265228485956</v>
      </c>
      <c r="AK114" s="1361">
        <f t="shared" si="0"/>
        <v>119.28090478821331</v>
      </c>
      <c r="AL114" s="1352">
        <f>'Group Totals'!BA85</f>
        <v>13984.89156626506</v>
      </c>
      <c r="AN114" s="1363">
        <f t="shared" si="1"/>
        <v>13809.867469879518</v>
      </c>
      <c r="AO114" s="7">
        <f>'Group Totals'!BC85</f>
        <v>394.91566265060243</v>
      </c>
      <c r="AR114" s="7">
        <f>'Group Totals'!BD85</f>
        <v>260.14285714285717</v>
      </c>
      <c r="AU114" s="1361">
        <f>'Group Totals'!AP85</f>
        <v>0.4972184800198165</v>
      </c>
      <c r="AV114" s="1446">
        <v>0.28999999999999998</v>
      </c>
      <c r="AX114" s="1352">
        <f>'Group Totals'!I85</f>
        <v>6032358.25</v>
      </c>
      <c r="AY114" s="94">
        <f>'Group Totals'!K85</f>
        <v>32778</v>
      </c>
      <c r="AZ114" s="94">
        <f>'Group Totals'!W85</f>
        <v>19075</v>
      </c>
      <c r="BA114" s="94">
        <f>'Group Totals'!Q85</f>
        <v>13703</v>
      </c>
      <c r="BB114" s="94">
        <f>'Group Totals'!AC85</f>
        <v>47529</v>
      </c>
      <c r="BC114" s="94">
        <f>'Group Totals'!AD85</f>
        <v>13214</v>
      </c>
      <c r="BD114" s="7">
        <f>'Group Totals'!DD85</f>
        <v>151.05069124423963</v>
      </c>
      <c r="BF114" s="43">
        <v>272</v>
      </c>
      <c r="BG114" s="7">
        <f>'Group Totals'!DE85</f>
        <v>74.49545454545455</v>
      </c>
      <c r="BI114" s="43">
        <v>142</v>
      </c>
      <c r="BJ114" s="7">
        <f>'Group Totals'!DF85</f>
        <v>123.86363636363636</v>
      </c>
      <c r="BL114" s="43">
        <v>248</v>
      </c>
      <c r="BM114" s="7">
        <f>'Group Totals'!DG85</f>
        <v>217.50793650793651</v>
      </c>
      <c r="BO114" s="43">
        <v>326</v>
      </c>
      <c r="BP114" s="7">
        <f>'Group Totals'!DH85</f>
        <v>0</v>
      </c>
      <c r="BR114" s="43">
        <v>545</v>
      </c>
      <c r="BS114" s="7">
        <f>'Group Totals'!DI85</f>
        <v>0</v>
      </c>
      <c r="BU114" s="43">
        <v>719</v>
      </c>
      <c r="BV114" s="7">
        <f>'Group Totals'!DJ85</f>
        <v>59.055727554179569</v>
      </c>
      <c r="BX114" s="43">
        <v>118</v>
      </c>
      <c r="BY114" s="7">
        <f>'Group Totals'!DK85</f>
        <v>117.11965811965813</v>
      </c>
      <c r="CA114" s="43">
        <v>217</v>
      </c>
      <c r="CB114" s="7">
        <f>'Group Totals'!DL85</f>
        <v>0</v>
      </c>
      <c r="CD114" s="43">
        <v>314</v>
      </c>
      <c r="CE114" s="7">
        <f>'Group Totals'!DM85</f>
        <v>0</v>
      </c>
      <c r="CG114" s="43">
        <v>334</v>
      </c>
      <c r="CH114" s="1447">
        <f>'Group Totals'!F85</f>
        <v>0.93020170230037347</v>
      </c>
      <c r="CJ114" s="69">
        <v>0.97</v>
      </c>
      <c r="CK114" s="1447">
        <f>'Group Totals'!D85</f>
        <v>2.3027611646313076E-2</v>
      </c>
      <c r="CL114" s="1470">
        <v>1.4999999999999999E-2</v>
      </c>
      <c r="CM114" s="1470"/>
      <c r="CN114" s="69">
        <f>'Group Totals'!CX85</f>
        <v>0.18548461902044219</v>
      </c>
      <c r="CO114" s="1363">
        <f t="shared" si="2"/>
        <v>72679.01506024097</v>
      </c>
    </row>
    <row r="115" spans="2:93" x14ac:dyDescent="0.25">
      <c r="B115" s="1445">
        <f>'Group Totals'!A86</f>
        <v>43344</v>
      </c>
      <c r="C115" s="1352">
        <f>'Group Totals'!AK86</f>
        <v>1012121</v>
      </c>
      <c r="D115" s="38">
        <f>'Group Totals'!CZ86</f>
        <v>1.7894953661270696E-2</v>
      </c>
      <c r="E115" s="69">
        <f>'Group Totals'!CY86</f>
        <v>2.4680843495985094E-2</v>
      </c>
      <c r="F115" s="69">
        <f t="shared" si="3"/>
        <v>0.05</v>
      </c>
      <c r="G115" s="69">
        <f t="shared" si="4"/>
        <v>-0.05</v>
      </c>
      <c r="H115" s="38">
        <f>'Group Totals'!AK86/'Group Totals'!I86</f>
        <v>0.18238585036069913</v>
      </c>
      <c r="I115" s="69">
        <v>0.2</v>
      </c>
      <c r="J115" s="69">
        <v>0</v>
      </c>
      <c r="K115" s="1446">
        <f>'Group Totals'!AT86</f>
        <v>28.975694245634127</v>
      </c>
      <c r="L115" s="1352">
        <v>30</v>
      </c>
      <c r="M115" s="1352">
        <v>0</v>
      </c>
      <c r="N115" s="1361">
        <f>'Group Totals'!CS86</f>
        <v>117.43492452169265</v>
      </c>
      <c r="O115" s="1352">
        <v>135</v>
      </c>
      <c r="P115" s="1352">
        <v>0</v>
      </c>
      <c r="Q115" s="337">
        <f>'Group Totals'!DC86</f>
        <v>4.0528769915284082</v>
      </c>
      <c r="S115" s="43">
        <v>4.5999999999999996</v>
      </c>
      <c r="T115" s="1352">
        <f>'Group Totals'!AV86</f>
        <v>11907.305882352941</v>
      </c>
      <c r="U115" s="1352">
        <v>14600</v>
      </c>
      <c r="W115" s="1352">
        <f>'Group Totals'!AW86</f>
        <v>7907.1953125</v>
      </c>
      <c r="X115" s="1352">
        <v>8500</v>
      </c>
      <c r="Z115" s="43">
        <f>'Group Totals'!AF86</f>
        <v>85</v>
      </c>
      <c r="AA115" s="43">
        <f>'Group Totals'!AE86</f>
        <v>128</v>
      </c>
      <c r="AB115" s="38">
        <f>'Group Totals'!AF86/'Group Totals'!AE86</f>
        <v>0.6640625</v>
      </c>
      <c r="AD115" s="69">
        <v>0.65</v>
      </c>
      <c r="AE115" s="386">
        <f>'Group Totals'!AN86</f>
        <v>8618.5689999999995</v>
      </c>
      <c r="AF115" s="7">
        <f>'Group Totals'!BN86</f>
        <v>101.39492941176471</v>
      </c>
      <c r="AH115" s="43">
        <v>130</v>
      </c>
      <c r="AI115" s="1352">
        <f>'Group Totals'!BO86</f>
        <v>120.33331751477537</v>
      </c>
      <c r="AK115" s="1361">
        <f t="shared" si="0"/>
        <v>117.43492452169265</v>
      </c>
      <c r="AL115" s="1352">
        <f>'Group Totals'!BA86</f>
        <v>12201.188235294117</v>
      </c>
      <c r="AN115" s="1363">
        <f t="shared" si="1"/>
        <v>11907.305882352941</v>
      </c>
      <c r="AO115" s="7">
        <f>'Group Totals'!BC86</f>
        <v>410.94117647058823</v>
      </c>
      <c r="AR115" s="7">
        <f>'Group Totals'!BD86</f>
        <v>272.890625</v>
      </c>
      <c r="AU115" s="1361">
        <f>'Group Totals'!AP86</f>
        <v>0.47706578585457166</v>
      </c>
      <c r="AV115" s="1446">
        <v>0.28999999999999998</v>
      </c>
      <c r="AX115" s="1352">
        <f>'Group Totals'!I86</f>
        <v>5549339.4800000004</v>
      </c>
      <c r="AY115" s="94">
        <f>'Group Totals'!K86</f>
        <v>34930</v>
      </c>
      <c r="AZ115" s="94">
        <f>'Group Totals'!W86</f>
        <v>19388</v>
      </c>
      <c r="BA115" s="94">
        <f>'Group Totals'!Q86</f>
        <v>15542</v>
      </c>
      <c r="BB115" s="94">
        <f>'Group Totals'!AC86</f>
        <v>46660</v>
      </c>
      <c r="BC115" s="94">
        <f>'Group Totals'!AD86</f>
        <v>18050</v>
      </c>
      <c r="BD115" s="7">
        <f>'Group Totals'!DD86</f>
        <v>195.13966480446928</v>
      </c>
      <c r="BF115" s="43">
        <v>272</v>
      </c>
      <c r="BG115" s="7">
        <f>'Group Totals'!DE86</f>
        <v>95.698630136986296</v>
      </c>
      <c r="BI115" s="43">
        <v>142</v>
      </c>
      <c r="BJ115" s="7">
        <f>'Group Totals'!DF86</f>
        <v>168.59130434782608</v>
      </c>
      <c r="BL115" s="43">
        <v>248</v>
      </c>
      <c r="BM115" s="7">
        <f>'Group Totals'!DG86</f>
        <v>242.84375</v>
      </c>
      <c r="BO115" s="43">
        <v>326</v>
      </c>
      <c r="BP115" s="7">
        <f>'Group Totals'!DH86</f>
        <v>0</v>
      </c>
      <c r="BR115" s="43">
        <v>545</v>
      </c>
      <c r="BS115" s="7">
        <f>'Group Totals'!DI86</f>
        <v>0</v>
      </c>
      <c r="BU115" s="43">
        <v>719</v>
      </c>
      <c r="BV115" s="7">
        <f>'Group Totals'!DJ86</f>
        <v>80.115702479338836</v>
      </c>
      <c r="BX115" s="43">
        <v>118</v>
      </c>
      <c r="BY115" s="7">
        <f>'Group Totals'!DK86</f>
        <v>126.35772357723577</v>
      </c>
      <c r="CA115" s="43">
        <v>217</v>
      </c>
      <c r="CB115" s="7">
        <f>'Group Totals'!DL86</f>
        <v>0</v>
      </c>
      <c r="CD115" s="43">
        <v>314</v>
      </c>
      <c r="CE115" s="7">
        <f>'Group Totals'!DM86</f>
        <v>0</v>
      </c>
      <c r="CG115" s="43">
        <v>334</v>
      </c>
      <c r="CH115" s="1447">
        <f>'Group Totals'!F86</f>
        <v>0.96874256571602579</v>
      </c>
      <c r="CJ115" s="69">
        <v>0.97</v>
      </c>
      <c r="CK115" s="1447">
        <f>'Group Totals'!D86</f>
        <v>2.6857302344463613E-2</v>
      </c>
      <c r="CL115" s="1470">
        <v>1.4999999999999999E-2</v>
      </c>
      <c r="CM115" s="1470"/>
      <c r="CN115" s="69">
        <f>'Group Totals'!CX86</f>
        <v>0.18929483330398886</v>
      </c>
      <c r="CO115" s="1363">
        <f t="shared" si="2"/>
        <v>65286.34682352942</v>
      </c>
    </row>
    <row r="116" spans="2:93" x14ac:dyDescent="0.25">
      <c r="B116" s="1445">
        <f>'Group Totals'!A87</f>
        <v>43374</v>
      </c>
      <c r="C116" s="1352">
        <f>'Group Totals'!AK87</f>
        <v>1072382</v>
      </c>
      <c r="D116" s="38">
        <f>'Group Totals'!CZ87</f>
        <v>1.9214673995472387E-2</v>
      </c>
      <c r="E116" s="69">
        <f>'Group Totals'!CY87</f>
        <v>2.1046856437352046E-2</v>
      </c>
      <c r="F116" s="69">
        <f t="shared" si="3"/>
        <v>0.05</v>
      </c>
      <c r="G116" s="69">
        <f t="shared" si="4"/>
        <v>-0.05</v>
      </c>
      <c r="H116" s="38">
        <f>'Group Totals'!AK87/'Group Totals'!I87</f>
        <v>0.18910627839079719</v>
      </c>
      <c r="I116" s="69">
        <v>0.2</v>
      </c>
      <c r="J116" s="69">
        <v>0</v>
      </c>
      <c r="K116" s="1446">
        <f>'Group Totals'!AT87</f>
        <v>25.099049758928988</v>
      </c>
      <c r="L116" s="1352">
        <v>30</v>
      </c>
      <c r="M116" s="1352">
        <v>0</v>
      </c>
      <c r="N116" s="1361">
        <f>'Group Totals'!CS87</f>
        <v>113.34906336946845</v>
      </c>
      <c r="O116" s="1352">
        <v>135</v>
      </c>
      <c r="P116" s="1352">
        <v>0</v>
      </c>
      <c r="Q116" s="337">
        <f>'Group Totals'!DC87</f>
        <v>4.516069909345652</v>
      </c>
      <c r="S116" s="43">
        <v>4.5999999999999996</v>
      </c>
      <c r="T116" s="1352">
        <f>'Group Totals'!AV87</f>
        <v>12920.265060240963</v>
      </c>
      <c r="U116" s="1352">
        <v>14600</v>
      </c>
      <c r="W116" s="1352">
        <f>'Group Totals'!AW87</f>
        <v>8443.9527559055114</v>
      </c>
      <c r="X116" s="1352">
        <v>8500</v>
      </c>
      <c r="Z116" s="43">
        <f>'Group Totals'!AF87</f>
        <v>83</v>
      </c>
      <c r="AA116" s="43">
        <f>'Group Totals'!AE87</f>
        <v>127</v>
      </c>
      <c r="AB116" s="38">
        <f>'Group Totals'!AF87/'Group Totals'!AE87</f>
        <v>0.65354330708661412</v>
      </c>
      <c r="AD116" s="69">
        <v>0.65</v>
      </c>
      <c r="AE116" s="386">
        <f>'Group Totals'!AN87</f>
        <v>9460.8809999999994</v>
      </c>
      <c r="AF116" s="7">
        <f>'Group Totals'!BN87</f>
        <v>113.98651807228914</v>
      </c>
      <c r="AH116" s="43">
        <v>130</v>
      </c>
      <c r="AI116" s="1352">
        <f>'Group Totals'!BO87</f>
        <v>115.73470483351397</v>
      </c>
      <c r="AK116" s="1361">
        <f t="shared" si="0"/>
        <v>113.34906336946845</v>
      </c>
      <c r="AL116" s="1352">
        <f>'Group Totals'!BA87</f>
        <v>13192.196024096391</v>
      </c>
      <c r="AN116" s="1363">
        <f t="shared" si="1"/>
        <v>12920.265060240963</v>
      </c>
      <c r="AO116" s="7">
        <f>'Group Totals'!BC87</f>
        <v>514.77108433734941</v>
      </c>
      <c r="AR116" s="7">
        <f>'Group Totals'!BD87</f>
        <v>336.42519685039372</v>
      </c>
      <c r="AU116" s="1361">
        <f>'Group Totals'!AP87</f>
        <v>0.62858966296696117</v>
      </c>
      <c r="AV116" s="1446">
        <v>0.28999999999999998</v>
      </c>
      <c r="AX116" s="1352">
        <f>'Group Totals'!I87</f>
        <v>5670790.04</v>
      </c>
      <c r="AY116" s="94">
        <f>'Group Totals'!K87</f>
        <v>42726</v>
      </c>
      <c r="AZ116" s="94">
        <f>'Group Totals'!W87</f>
        <v>22739</v>
      </c>
      <c r="BA116" s="94">
        <f>'Group Totals'!Q87</f>
        <v>19987</v>
      </c>
      <c r="BB116" s="94">
        <f>'Group Totals'!AC87</f>
        <v>56609</v>
      </c>
      <c r="BC116" s="94">
        <f>'Group Totals'!AD87</f>
        <v>20984</v>
      </c>
      <c r="BD116" s="7">
        <f>'Group Totals'!DD87</f>
        <v>214.7035175879397</v>
      </c>
      <c r="BF116" s="43">
        <v>272</v>
      </c>
      <c r="BG116" s="7">
        <f>'Group Totals'!DE87</f>
        <v>98.902777777777771</v>
      </c>
      <c r="BI116" s="43">
        <v>142</v>
      </c>
      <c r="BJ116" s="7">
        <f>'Group Totals'!DF87</f>
        <v>172.2651515151515</v>
      </c>
      <c r="BL116" s="43">
        <v>248</v>
      </c>
      <c r="BM116" s="7">
        <f>'Group Totals'!DG87</f>
        <v>298.31343283582089</v>
      </c>
      <c r="BO116" s="43">
        <v>326</v>
      </c>
      <c r="BP116" s="7">
        <f>'Group Totals'!DH87</f>
        <v>0</v>
      </c>
      <c r="BR116" s="43">
        <v>545</v>
      </c>
      <c r="BS116" s="7">
        <f>'Group Totals'!DI87</f>
        <v>0</v>
      </c>
      <c r="BU116" s="43">
        <v>719</v>
      </c>
      <c r="BV116" s="7">
        <f>'Group Totals'!DJ87</f>
        <v>77.607508532423211</v>
      </c>
      <c r="BX116" s="43">
        <v>118</v>
      </c>
      <c r="BY116" s="7">
        <f>'Group Totals'!DK87</f>
        <v>143.79136690647482</v>
      </c>
      <c r="CA116" s="43">
        <v>217</v>
      </c>
      <c r="CB116" s="7">
        <f>'Group Totals'!DL87</f>
        <v>0</v>
      </c>
      <c r="CD116" s="43">
        <v>314</v>
      </c>
      <c r="CE116" s="7">
        <f>'Group Totals'!DM87</f>
        <v>0</v>
      </c>
      <c r="CG116" s="43">
        <v>334</v>
      </c>
      <c r="CH116" s="1447">
        <f>'Group Totals'!F87</f>
        <v>0.97299999999999998</v>
      </c>
      <c r="CJ116" s="69">
        <v>0.97</v>
      </c>
      <c r="CK116" s="1447">
        <f>'Group Totals'!D87</f>
        <v>2.2244893172916815E-2</v>
      </c>
      <c r="CL116" s="1470">
        <v>1.4999999999999999E-2</v>
      </c>
      <c r="CM116" s="1470"/>
      <c r="CN116" s="69">
        <f>'Group Totals'!CX87</f>
        <v>0.18206701792085955</v>
      </c>
      <c r="CO116" s="1363">
        <f t="shared" si="2"/>
        <v>68322.771566265059</v>
      </c>
    </row>
    <row r="117" spans="2:93" x14ac:dyDescent="0.25">
      <c r="B117" s="1445">
        <f>'Group Totals'!A88</f>
        <v>43405</v>
      </c>
      <c r="C117" s="1352">
        <f>'Group Totals'!AK88</f>
        <v>1121489</v>
      </c>
      <c r="D117" s="38">
        <f>'Group Totals'!CZ88</f>
        <v>3.4121108224848928E-2</v>
      </c>
      <c r="E117" s="69">
        <f>'Group Totals'!CY88</f>
        <v>5.5142520345718538E-2</v>
      </c>
      <c r="F117" s="69">
        <f t="shared" si="3"/>
        <v>0.05</v>
      </c>
      <c r="G117" s="69">
        <f t="shared" si="4"/>
        <v>-0.05</v>
      </c>
      <c r="H117" s="38">
        <f>'Group Totals'!AK88/'Group Totals'!I88</f>
        <v>0.17349877106977404</v>
      </c>
      <c r="I117" s="69">
        <v>0.2</v>
      </c>
      <c r="J117" s="69">
        <v>0</v>
      </c>
      <c r="K117" s="1446">
        <f>'Group Totals'!AT88</f>
        <v>24.821588243105662</v>
      </c>
      <c r="L117" s="1352">
        <v>30</v>
      </c>
      <c r="M117" s="1352">
        <v>0</v>
      </c>
      <c r="N117" s="1361">
        <f>'Group Totals'!CS88</f>
        <v>115.0397098611591</v>
      </c>
      <c r="O117" s="1352">
        <v>135</v>
      </c>
      <c r="P117" s="1352">
        <v>0</v>
      </c>
      <c r="Q117" s="337">
        <f>'Group Totals'!DC88</f>
        <v>4.6346635329877426</v>
      </c>
      <c r="S117" s="43">
        <v>4.5999999999999996</v>
      </c>
      <c r="T117" s="1352">
        <f>'Group Totals'!AV88</f>
        <v>12744.193181818182</v>
      </c>
      <c r="U117" s="1352">
        <v>14600</v>
      </c>
      <c r="W117" s="1352">
        <f>'Group Totals'!AW88</f>
        <v>8693.7131782945744</v>
      </c>
      <c r="X117" s="1352">
        <v>8500</v>
      </c>
      <c r="Z117" s="43">
        <f>'Group Totals'!AF88</f>
        <v>88</v>
      </c>
      <c r="AA117" s="43">
        <f>'Group Totals'!AE88</f>
        <v>129</v>
      </c>
      <c r="AB117" s="38">
        <f>'Group Totals'!AF88/'Group Totals'!AE88</f>
        <v>0.68217054263565891</v>
      </c>
      <c r="AD117" s="69">
        <v>0.65</v>
      </c>
      <c r="AE117" s="386">
        <f>'Group Totals'!AN88</f>
        <v>9748.7119999999995</v>
      </c>
      <c r="AF117" s="7">
        <f>'Group Totals'!BN88</f>
        <v>110.78081818181818</v>
      </c>
      <c r="AH117" s="43">
        <v>130</v>
      </c>
      <c r="AI117" s="1352">
        <f>'Group Totals'!BO88</f>
        <v>121.38328940274363</v>
      </c>
      <c r="AK117" s="1361">
        <f t="shared" si="0"/>
        <v>115.0397098611591</v>
      </c>
      <c r="AL117" s="1352">
        <f>'Group Totals'!BA88</f>
        <v>13446.940113636358</v>
      </c>
      <c r="AN117" s="1363">
        <f t="shared" si="1"/>
        <v>12744.193181818182</v>
      </c>
      <c r="AO117" s="7">
        <f>'Group Totals'!BC88</f>
        <v>513.43181818181813</v>
      </c>
      <c r="AR117" s="7">
        <f>'Group Totals'!BD88</f>
        <v>350.24806201550388</v>
      </c>
      <c r="AU117" s="1361">
        <f>'Group Totals'!AP88</f>
        <v>0.45996576528584071</v>
      </c>
      <c r="AV117" s="1446">
        <v>0.28999999999999998</v>
      </c>
      <c r="AX117" s="1352">
        <f>'Group Totals'!I88</f>
        <v>6463959.3300000001</v>
      </c>
      <c r="AY117" s="94">
        <f>'Group Totals'!K88</f>
        <v>45182</v>
      </c>
      <c r="AZ117" s="94">
        <f>'Group Totals'!W88</f>
        <v>27348</v>
      </c>
      <c r="BA117" s="94">
        <f>'Group Totals'!Q88</f>
        <v>17834</v>
      </c>
      <c r="BB117" s="94">
        <f>'Group Totals'!AC88</f>
        <v>44085</v>
      </c>
      <c r="BC117" s="94">
        <f>'Group Totals'!AD88</f>
        <v>20087</v>
      </c>
      <c r="BD117" s="7">
        <f>'Group Totals'!DD88</f>
        <v>218.27053140096618</v>
      </c>
      <c r="BF117" s="43">
        <v>272</v>
      </c>
      <c r="BG117" s="7">
        <f>'Group Totals'!DE88</f>
        <v>116.44845360824742</v>
      </c>
      <c r="BI117" s="43">
        <v>142</v>
      </c>
      <c r="BJ117" s="7">
        <f>'Group Totals'!DF88</f>
        <v>196.74820143884892</v>
      </c>
      <c r="BL117" s="43">
        <v>248</v>
      </c>
      <c r="BM117" s="7">
        <f>'Group Totals'!DG88</f>
        <v>262.26470588235293</v>
      </c>
      <c r="BO117" s="43">
        <v>326</v>
      </c>
      <c r="BP117" s="7">
        <f>'Group Totals'!DH88</f>
        <v>0</v>
      </c>
      <c r="BR117" s="43">
        <v>545</v>
      </c>
      <c r="BS117" s="7">
        <f>'Group Totals'!DI88</f>
        <v>0</v>
      </c>
      <c r="BU117" s="43">
        <v>719</v>
      </c>
      <c r="BV117" s="7">
        <f>'Group Totals'!DJ88</f>
        <v>101.66542750929368</v>
      </c>
      <c r="BX117" s="43">
        <v>118</v>
      </c>
      <c r="BY117" s="7">
        <f>'Group Totals'!DK88</f>
        <v>149.8655462184874</v>
      </c>
      <c r="CA117" s="43">
        <v>217</v>
      </c>
      <c r="CB117" s="7">
        <f>'Group Totals'!DL88</f>
        <v>0</v>
      </c>
      <c r="CD117" s="43">
        <v>314</v>
      </c>
      <c r="CE117" s="7">
        <f>'Group Totals'!DM88</f>
        <v>0</v>
      </c>
      <c r="CG117" s="43">
        <v>334</v>
      </c>
      <c r="CH117" s="1447">
        <f>'Group Totals'!F88</f>
        <v>0.9778280746578013</v>
      </c>
      <c r="CJ117" s="69">
        <v>0.97</v>
      </c>
      <c r="CK117" s="1447">
        <f>'Group Totals'!D88</f>
        <v>2.1127049600853702E-2</v>
      </c>
      <c r="CL117" s="1470">
        <v>1.4999999999999999E-2</v>
      </c>
      <c r="CM117" s="1470"/>
      <c r="CN117" s="69">
        <f>'Group Totals'!CX88</f>
        <v>0.18269089391054488</v>
      </c>
      <c r="CO117" s="1363">
        <f t="shared" si="2"/>
        <v>73454.083295454548</v>
      </c>
    </row>
    <row r="118" spans="2:93" x14ac:dyDescent="0.25">
      <c r="B118" s="1445">
        <f>'Group Totals'!A89</f>
        <v>43435</v>
      </c>
      <c r="C118" s="1352">
        <f>'Group Totals'!AK89</f>
        <v>920013</v>
      </c>
      <c r="D118" s="38">
        <f>'Group Totals'!CZ89</f>
        <v>-4.5488232702310061E-2</v>
      </c>
      <c r="E118" s="69">
        <f>'Group Totals'!CY89</f>
        <v>-0.24571074539164128</v>
      </c>
      <c r="F118" s="69">
        <f t="shared" si="3"/>
        <v>0.05</v>
      </c>
      <c r="G118" s="69">
        <f t="shared" si="4"/>
        <v>-0.05</v>
      </c>
      <c r="H118" s="38">
        <f>'Group Totals'!AK89/'Group Totals'!I89</f>
        <v>0.26619473245045677</v>
      </c>
      <c r="I118" s="69">
        <v>0.2</v>
      </c>
      <c r="J118" s="69">
        <v>0</v>
      </c>
      <c r="K118" s="1446">
        <f>'Group Totals'!AT89</f>
        <v>33.303638009049777</v>
      </c>
      <c r="L118" s="1352">
        <v>30</v>
      </c>
      <c r="M118" s="1352">
        <v>0</v>
      </c>
      <c r="N118" s="1361">
        <f>'Group Totals'!CS89</f>
        <v>151.03258038636542</v>
      </c>
      <c r="O118" s="1352">
        <v>135</v>
      </c>
      <c r="P118" s="1352">
        <v>0</v>
      </c>
      <c r="Q118" s="337">
        <f>'Group Totals'!DC89</f>
        <v>4.5350174760284307</v>
      </c>
      <c r="S118" s="43">
        <v>4.5999999999999996</v>
      </c>
      <c r="T118" s="1352">
        <f>'Group Totals'!AV89</f>
        <v>10110.032967032967</v>
      </c>
      <c r="U118" s="1352">
        <v>14600</v>
      </c>
      <c r="W118" s="1352">
        <f>'Group Totals'!AW89</f>
        <v>6814.9111111111115</v>
      </c>
      <c r="X118" s="1352">
        <v>8500</v>
      </c>
      <c r="Z118" s="43">
        <f>'Group Totals'!AF89</f>
        <v>91</v>
      </c>
      <c r="AA118" s="43">
        <f>'Group Totals'!AE89</f>
        <v>135</v>
      </c>
      <c r="AB118" s="38">
        <f>'Group Totals'!AF89/'Group Totals'!AE89</f>
        <v>0.67407407407407405</v>
      </c>
      <c r="AD118" s="69">
        <v>0.65</v>
      </c>
      <c r="AE118" s="386">
        <f>'Group Totals'!AN89</f>
        <v>6091.4870000000001</v>
      </c>
      <c r="AF118" s="7">
        <f>'Group Totals'!BN89</f>
        <v>66.93941758241759</v>
      </c>
      <c r="AH118" s="43">
        <v>130</v>
      </c>
      <c r="AI118" s="1352">
        <f>'Group Totals'!BO89</f>
        <v>113.9222524812086</v>
      </c>
      <c r="AK118" s="1361">
        <f t="shared" si="0"/>
        <v>151.03258038636542</v>
      </c>
      <c r="AL118" s="1352">
        <f>'Group Totals'!BA89</f>
        <v>7625.8892307692304</v>
      </c>
      <c r="AN118" s="1363">
        <f t="shared" si="1"/>
        <v>10110.032967032967</v>
      </c>
      <c r="AO118" s="7">
        <f>'Group Totals'!BC89</f>
        <v>303.57142857142856</v>
      </c>
      <c r="AR118" s="7">
        <f>'Group Totals'!BD89</f>
        <v>204.62962962962962</v>
      </c>
      <c r="AU118" s="1361">
        <f>'Group Totals'!AP89</f>
        <v>0.39595906944624709</v>
      </c>
      <c r="AV118" s="1446">
        <v>0.28999999999999998</v>
      </c>
      <c r="AX118" s="1352">
        <f>'Group Totals'!I89</f>
        <v>3456165.31</v>
      </c>
      <c r="AY118" s="94">
        <f>'Group Totals'!K89</f>
        <v>27625</v>
      </c>
      <c r="AZ118" s="94">
        <f>'Group Totals'!W89</f>
        <v>14857</v>
      </c>
      <c r="BA118" s="94">
        <f>'Group Totals'!Q89</f>
        <v>12768</v>
      </c>
      <c r="BB118" s="94">
        <f>'Group Totals'!AC89</f>
        <v>29618</v>
      </c>
      <c r="BC118" s="94">
        <f>'Group Totals'!AD89</f>
        <v>14973</v>
      </c>
      <c r="BD118" s="7">
        <f>'Group Totals'!DD89</f>
        <v>194.54225352112675</v>
      </c>
      <c r="BF118" s="43">
        <v>272</v>
      </c>
      <c r="BG118" s="7">
        <f>'Group Totals'!DE89</f>
        <v>114.6265560165975</v>
      </c>
      <c r="BI118" s="43">
        <v>142</v>
      </c>
      <c r="BJ118" s="7">
        <f>'Group Totals'!DF89</f>
        <v>174.78823529411764</v>
      </c>
      <c r="BL118" s="43">
        <v>248</v>
      </c>
      <c r="BM118" s="7">
        <f>'Group Totals'!DG89</f>
        <v>224</v>
      </c>
      <c r="BO118" s="43">
        <v>326</v>
      </c>
      <c r="BP118" s="7">
        <f>'Group Totals'!DH89</f>
        <v>0</v>
      </c>
      <c r="BR118" s="43">
        <v>545</v>
      </c>
      <c r="BS118" s="7">
        <f>'Group Totals'!DI89</f>
        <v>0</v>
      </c>
      <c r="BU118" s="43">
        <v>719</v>
      </c>
      <c r="BV118" s="7">
        <f>'Group Totals'!DJ89</f>
        <v>95.851612903225814</v>
      </c>
      <c r="BX118" s="43">
        <v>118</v>
      </c>
      <c r="BY118" s="7">
        <f>'Group Totals'!DK89</f>
        <v>148.46511627906978</v>
      </c>
      <c r="CA118" s="43">
        <v>217</v>
      </c>
      <c r="CB118" s="7">
        <f>'Group Totals'!DL89</f>
        <v>0</v>
      </c>
      <c r="CD118" s="43">
        <v>314</v>
      </c>
      <c r="CE118" s="7">
        <f>'Group Totals'!DM89</f>
        <v>0</v>
      </c>
      <c r="CG118" s="43">
        <v>334</v>
      </c>
      <c r="CH118" s="1447">
        <f>'Group Totals'!F89</f>
        <v>0.97612568406642641</v>
      </c>
      <c r="CJ118" s="69">
        <v>0.97</v>
      </c>
      <c r="CK118" s="1447">
        <f>'Group Totals'!D89</f>
        <v>2.0957937452127574E-2</v>
      </c>
      <c r="CL118" s="1470">
        <v>1.4999999999999999E-2</v>
      </c>
      <c r="CM118" s="1470"/>
      <c r="CN118" s="69">
        <f>'Group Totals'!CX89</f>
        <v>0.2056320662258925</v>
      </c>
      <c r="CO118" s="1363">
        <f t="shared" si="2"/>
        <v>37979.838571428569</v>
      </c>
    </row>
    <row r="119" spans="2:93" x14ac:dyDescent="0.25">
      <c r="B119" s="1445">
        <f>'Group Totals'!A90</f>
        <v>43466</v>
      </c>
      <c r="C119" s="1352">
        <f>'Group Totals'!AK90</f>
        <v>821898</v>
      </c>
      <c r="D119" s="38">
        <f>'Group Totals'!CZ90</f>
        <v>-5.2553289795348457E-2</v>
      </c>
      <c r="E119" s="69">
        <f>'Group Totals'!CY90</f>
        <v>1.6710419054432268E-2</v>
      </c>
      <c r="F119" s="69">
        <f t="shared" si="3"/>
        <v>0.05</v>
      </c>
      <c r="G119" s="69">
        <f t="shared" si="4"/>
        <v>-0.05</v>
      </c>
      <c r="H119" s="38">
        <f>'Group Totals'!AK90/'Group Totals'!I90</f>
        <v>0.18633086210339814</v>
      </c>
      <c r="I119" s="69">
        <v>0.2</v>
      </c>
      <c r="J119" s="69">
        <v>0</v>
      </c>
      <c r="K119" s="1446">
        <f>'Group Totals'!AT90</f>
        <v>26.958081868276043</v>
      </c>
      <c r="L119" s="1352">
        <v>30</v>
      </c>
      <c r="M119" s="1352">
        <v>0</v>
      </c>
      <c r="N119" s="1361">
        <f>'Group Totals'!CS90</f>
        <v>109.36540896362085</v>
      </c>
      <c r="O119" s="1352">
        <v>135</v>
      </c>
      <c r="P119" s="1352">
        <v>0</v>
      </c>
      <c r="Q119" s="337">
        <f>'Group Totals'!DC90</f>
        <v>4.0568690865324806</v>
      </c>
      <c r="S119" s="43">
        <v>4.5999999999999996</v>
      </c>
      <c r="T119" s="1352">
        <f>'Group Totals'!AV90</f>
        <v>10146.888888888889</v>
      </c>
      <c r="U119" s="1352">
        <v>14600</v>
      </c>
      <c r="W119" s="1352">
        <f>'Group Totals'!AW90</f>
        <v>6322.292307692308</v>
      </c>
      <c r="X119" s="1352">
        <v>8500</v>
      </c>
      <c r="Z119" s="43">
        <f>'Group Totals'!AF90</f>
        <v>81</v>
      </c>
      <c r="AA119" s="43">
        <f>'Group Totals'!AE90</f>
        <v>130</v>
      </c>
      <c r="AB119" s="38">
        <f>'Group Totals'!AF90/'Group Totals'!AE90</f>
        <v>0.62307692307692308</v>
      </c>
      <c r="AD119" s="69">
        <v>0.65</v>
      </c>
      <c r="AE119" s="386">
        <f>'Group Totals'!AN90</f>
        <v>7515.1549999999997</v>
      </c>
      <c r="AF119" s="7">
        <f>'Group Totals'!BN90</f>
        <v>92.779691358024692</v>
      </c>
      <c r="AH119" s="43">
        <v>130</v>
      </c>
      <c r="AI119" s="1352">
        <f>'Group Totals'!BO90</f>
        <v>111.19295077746231</v>
      </c>
      <c r="AK119" s="1361">
        <f t="shared" si="0"/>
        <v>109.36540896362085</v>
      </c>
      <c r="AL119" s="1352">
        <f>'Group Totals'!BA90</f>
        <v>10316.447654320986</v>
      </c>
      <c r="AN119" s="1363">
        <f t="shared" si="1"/>
        <v>10146.888888888889</v>
      </c>
      <c r="AO119" s="7">
        <f>'Group Totals'!BC90</f>
        <v>376.39506172839504</v>
      </c>
      <c r="AR119" s="7">
        <f>'Group Totals'!BD90</f>
        <v>234.52307692307693</v>
      </c>
      <c r="AU119" s="1361">
        <f>'Group Totals'!AP90</f>
        <v>-0.35083064942974512</v>
      </c>
      <c r="AV119" s="1446">
        <v>0.28999999999999998</v>
      </c>
      <c r="AX119" s="1352">
        <f>'Group Totals'!I90</f>
        <v>4410960.1100000003</v>
      </c>
      <c r="AY119" s="94">
        <f>'Group Totals'!K90</f>
        <v>30488</v>
      </c>
      <c r="AZ119" s="94">
        <f>'Group Totals'!W90</f>
        <v>18623</v>
      </c>
      <c r="BA119" s="94">
        <f>'Group Totals'!Q90</f>
        <v>11865</v>
      </c>
      <c r="BB119" s="94">
        <f>'Group Totals'!AC90</f>
        <v>32500</v>
      </c>
      <c r="BC119" s="94">
        <f>'Group Totals'!AD90</f>
        <v>18112</v>
      </c>
      <c r="BD119" s="7">
        <f>'Group Totals'!DD90</f>
        <v>206</v>
      </c>
      <c r="BF119" s="43">
        <v>272</v>
      </c>
      <c r="BG119" s="7">
        <f>'Group Totals'!DE90</f>
        <v>120.50592885375494</v>
      </c>
      <c r="BI119" s="43">
        <v>142</v>
      </c>
      <c r="BJ119" s="7">
        <f>'Group Totals'!DF90</f>
        <v>182.57843137254903</v>
      </c>
      <c r="BL119" s="43">
        <v>248</v>
      </c>
      <c r="BM119" s="7">
        <f>'Group Totals'!DG90</f>
        <v>257.93478260869563</v>
      </c>
      <c r="BO119" s="43">
        <v>326</v>
      </c>
      <c r="BP119" s="7">
        <f>'Group Totals'!DH90</f>
        <v>0</v>
      </c>
      <c r="BR119" s="43">
        <v>545</v>
      </c>
      <c r="BS119" s="7">
        <f>'Group Totals'!DI90</f>
        <v>0</v>
      </c>
      <c r="BU119" s="43">
        <v>719</v>
      </c>
      <c r="BV119" s="7">
        <f>'Group Totals'!DJ90</f>
        <v>101.21195652173913</v>
      </c>
      <c r="BX119" s="43">
        <v>118</v>
      </c>
      <c r="BY119" s="7">
        <f>'Group Totals'!DK90</f>
        <v>171.95652173913044</v>
      </c>
      <c r="CA119" s="43">
        <v>217</v>
      </c>
      <c r="CB119" s="7">
        <f>'Group Totals'!DL90</f>
        <v>0</v>
      </c>
      <c r="CD119" s="43">
        <v>314</v>
      </c>
      <c r="CE119" s="7">
        <f>'Group Totals'!DM90</f>
        <v>0</v>
      </c>
      <c r="CG119" s="43">
        <v>334</v>
      </c>
      <c r="CH119" s="1447">
        <f>'Group Totals'!F90</f>
        <v>0.97719084245271792</v>
      </c>
      <c r="CJ119" s="69">
        <v>0.97</v>
      </c>
      <c r="CK119" s="1447">
        <f>'Group Totals'!D90</f>
        <v>3.4747829189960749E-2</v>
      </c>
      <c r="CL119" s="1470">
        <v>1.4999999999999999E-2</v>
      </c>
      <c r="CM119" s="1470"/>
      <c r="CN119" s="69">
        <f>'Group Totals'!CX90</f>
        <v>0.21728180764544011</v>
      </c>
      <c r="CO119" s="1363">
        <f t="shared" si="2"/>
        <v>54456.297654320995</v>
      </c>
    </row>
    <row r="120" spans="2:93" x14ac:dyDescent="0.25">
      <c r="B120" s="1445">
        <f>'Group Totals'!A91</f>
        <v>43497</v>
      </c>
      <c r="C120" s="1352">
        <f>'Group Totals'!AK91</f>
        <v>1037261</v>
      </c>
      <c r="D120" s="38">
        <f>'Group Totals'!CZ91</f>
        <v>-0.11302090694638511</v>
      </c>
      <c r="E120" s="69">
        <f>'Group Totals'!CY91</f>
        <v>-9.8125466975041764E-2</v>
      </c>
      <c r="F120" s="69">
        <f t="shared" si="3"/>
        <v>0.05</v>
      </c>
      <c r="G120" s="69">
        <f t="shared" si="4"/>
        <v>-0.05</v>
      </c>
      <c r="H120" s="38">
        <f>'Group Totals'!AK91/'Group Totals'!I91</f>
        <v>0.21793759619303141</v>
      </c>
      <c r="I120" s="69">
        <v>0.2</v>
      </c>
      <c r="J120" s="69">
        <v>0</v>
      </c>
      <c r="K120" s="1446">
        <f>'Group Totals'!AT91</f>
        <v>27.092435877344197</v>
      </c>
      <c r="L120" s="1352">
        <v>30</v>
      </c>
      <c r="M120" s="1352">
        <v>0</v>
      </c>
      <c r="N120" s="1361">
        <f>'Group Totals'!CS91</f>
        <v>127.4788207354009</v>
      </c>
      <c r="O120" s="1352">
        <v>135</v>
      </c>
      <c r="P120" s="1352">
        <v>0</v>
      </c>
      <c r="Q120" s="337">
        <f>'Group Totals'!DC91</f>
        <v>4.7053288715911989</v>
      </c>
      <c r="S120" s="43">
        <v>4.5999999999999996</v>
      </c>
      <c r="T120" s="1352">
        <f>'Group Totals'!AV91</f>
        <v>11787.056818181818</v>
      </c>
      <c r="U120" s="1352">
        <v>14600</v>
      </c>
      <c r="W120" s="1352">
        <f>'Group Totals'!AW91</f>
        <v>8103.6015625</v>
      </c>
      <c r="X120" s="1352">
        <v>8500</v>
      </c>
      <c r="Z120" s="43">
        <f>'Group Totals'!AF91</f>
        <v>88</v>
      </c>
      <c r="AA120" s="43">
        <f>'Group Totals'!AE91</f>
        <v>128</v>
      </c>
      <c r="AB120" s="38">
        <f>'Group Totals'!AF91/'Group Totals'!AE91</f>
        <v>0.6875</v>
      </c>
      <c r="AD120" s="69">
        <v>0.65</v>
      </c>
      <c r="AE120" s="386">
        <f>'Group Totals'!AN91</f>
        <v>8136.732</v>
      </c>
      <c r="AF120" s="7">
        <f>'Group Totals'!BN91</f>
        <v>92.462863636363636</v>
      </c>
      <c r="AH120" s="43">
        <v>130</v>
      </c>
      <c r="AI120" s="1352">
        <f>'Group Totals'!BO91</f>
        <v>114.96990192131204</v>
      </c>
      <c r="AK120" s="1361">
        <f t="shared" si="0"/>
        <v>127.4788207354009</v>
      </c>
      <c r="AL120" s="1352">
        <f>'Group Totals'!BA91</f>
        <v>10630.446363636378</v>
      </c>
      <c r="AN120" s="1363">
        <f t="shared" si="1"/>
        <v>11787.056818181818</v>
      </c>
      <c r="AO120" s="7">
        <f>'Group Totals'!BC91</f>
        <v>435.06818181818181</v>
      </c>
      <c r="AR120" s="7">
        <f>'Group Totals'!BD91</f>
        <v>299.109375</v>
      </c>
      <c r="AU120" s="1361">
        <f>'Group Totals'!AP91</f>
        <v>0.39088628990920865</v>
      </c>
      <c r="AV120" s="1446">
        <v>0.28999999999999998</v>
      </c>
      <c r="AX120" s="1352">
        <f>'Group Totals'!I91</f>
        <v>4759440.4000000004</v>
      </c>
      <c r="AY120" s="94">
        <f>'Group Totals'!K91</f>
        <v>38286</v>
      </c>
      <c r="AZ120" s="94">
        <f>'Group Totals'!W91</f>
        <v>22506</v>
      </c>
      <c r="BA120" s="94">
        <f>'Group Totals'!Q91</f>
        <v>15780</v>
      </c>
      <c r="BB120" s="94">
        <f>'Group Totals'!AC91</f>
        <v>33054</v>
      </c>
      <c r="BC120" s="94">
        <f>'Group Totals'!AD91</f>
        <v>16132</v>
      </c>
      <c r="BD120" s="7">
        <f>'Group Totals'!DD91</f>
        <v>221.30635838150289</v>
      </c>
      <c r="BF120" s="43">
        <v>272</v>
      </c>
      <c r="BG120" s="7">
        <f>'Group Totals'!DE91</f>
        <v>127.19601328903654</v>
      </c>
      <c r="BI120" s="43">
        <v>142</v>
      </c>
      <c r="BJ120" s="7">
        <f>'Group Totals'!DF91</f>
        <v>195.70434782608694</v>
      </c>
      <c r="BL120" s="43">
        <v>248</v>
      </c>
      <c r="BM120" s="7">
        <f>'Group Totals'!DG91</f>
        <v>272.06896551724139</v>
      </c>
      <c r="BO120" s="43">
        <v>326</v>
      </c>
      <c r="BP120" s="7">
        <f>'Group Totals'!DH91</f>
        <v>0</v>
      </c>
      <c r="BR120" s="43">
        <v>545</v>
      </c>
      <c r="BS120" s="7">
        <f>'Group Totals'!DI91</f>
        <v>0</v>
      </c>
      <c r="BU120" s="43">
        <v>719</v>
      </c>
      <c r="BV120" s="7">
        <f>'Group Totals'!DJ91</f>
        <v>108.20192307692308</v>
      </c>
      <c r="BX120" s="43">
        <v>118</v>
      </c>
      <c r="BY120" s="7">
        <f>'Group Totals'!DK91</f>
        <v>169.67741935483872</v>
      </c>
      <c r="CA120" s="43">
        <v>217</v>
      </c>
      <c r="CB120" s="7">
        <f>'Group Totals'!DL91</f>
        <v>0</v>
      </c>
      <c r="CD120" s="43">
        <v>314</v>
      </c>
      <c r="CE120" s="7">
        <f>'Group Totals'!DM91</f>
        <v>0</v>
      </c>
      <c r="CG120" s="43">
        <v>334</v>
      </c>
      <c r="CH120" s="1447">
        <f>'Group Totals'!F91</f>
        <v>0.97499999999999998</v>
      </c>
      <c r="CJ120" s="69">
        <v>0.97</v>
      </c>
      <c r="CK120" s="1447">
        <f>'Group Totals'!D91</f>
        <v>2.6055958761829045E-2</v>
      </c>
      <c r="CL120" s="1470">
        <v>1.4999999999999999E-2</v>
      </c>
      <c r="CM120" s="1470"/>
      <c r="CN120" s="69">
        <f>'Group Totals'!CX91</f>
        <v>0.22677583444458693</v>
      </c>
      <c r="CO120" s="1363">
        <f t="shared" si="2"/>
        <v>54084.55</v>
      </c>
    </row>
    <row r="121" spans="2:93" x14ac:dyDescent="0.25">
      <c r="B121" s="1445">
        <f>'Group Totals'!A92</f>
        <v>43525</v>
      </c>
      <c r="C121" s="1352">
        <f>'Group Totals'!AK92</f>
        <v>1048183</v>
      </c>
      <c r="D121" s="38">
        <f>'Group Totals'!CZ92</f>
        <v>-5.0704203358256095E-2</v>
      </c>
      <c r="E121" s="69">
        <f>'Group Totals'!CY92</f>
        <v>-5.6638010729042509E-2</v>
      </c>
      <c r="F121" s="69">
        <f t="shared" si="3"/>
        <v>0.05</v>
      </c>
      <c r="G121" s="69">
        <f t="shared" si="4"/>
        <v>-0.05</v>
      </c>
      <c r="H121" s="38">
        <f>'Group Totals'!AK92/'Group Totals'!I92</f>
        <v>0.18913531600521877</v>
      </c>
      <c r="I121" s="69">
        <v>0.2</v>
      </c>
      <c r="J121" s="69">
        <v>0</v>
      </c>
      <c r="K121" s="1446">
        <f>'Group Totals'!AT92</f>
        <v>29.984924335612323</v>
      </c>
      <c r="L121" s="1352">
        <v>30</v>
      </c>
      <c r="M121" s="1352">
        <v>0</v>
      </c>
      <c r="N121" s="1361">
        <f>'Group Totals'!CS92</f>
        <v>122.67851259546741</v>
      </c>
      <c r="O121" s="1352">
        <v>135</v>
      </c>
      <c r="P121" s="1352">
        <v>0</v>
      </c>
      <c r="Q121" s="337">
        <f>'Group Totals'!DC92</f>
        <v>4.0913397420104642</v>
      </c>
      <c r="S121" s="43">
        <v>4.5999999999999996</v>
      </c>
      <c r="T121" s="1352">
        <f>'Group Totals'!AV92</f>
        <v>13102.2875</v>
      </c>
      <c r="U121" s="1352">
        <v>14600</v>
      </c>
      <c r="W121" s="1352">
        <f>'Group Totals'!AW92</f>
        <v>8318.9126984126979</v>
      </c>
      <c r="X121" s="1352">
        <v>8500</v>
      </c>
      <c r="Z121" s="43">
        <f>'Group Totals'!AF92</f>
        <v>80</v>
      </c>
      <c r="AA121" s="43">
        <f>'Group Totals'!AE92</f>
        <v>126</v>
      </c>
      <c r="AB121" s="38">
        <f>'Group Totals'!AF92/'Group Totals'!AE92</f>
        <v>0.63492063492063489</v>
      </c>
      <c r="AD121" s="69">
        <v>0.65</v>
      </c>
      <c r="AE121" s="386">
        <f>'Group Totals'!AN92</f>
        <v>8544.1450000000004</v>
      </c>
      <c r="AF121" s="7">
        <f>'Group Totals'!BN92</f>
        <v>106.80181250000001</v>
      </c>
      <c r="AH121" s="43">
        <v>130</v>
      </c>
      <c r="AI121" s="1352">
        <f>'Group Totals'!BO92</f>
        <v>115.73024568286235</v>
      </c>
      <c r="AK121" s="1361">
        <f t="shared" si="0"/>
        <v>122.67851259546741</v>
      </c>
      <c r="AL121" s="1352">
        <f>'Group Totals'!BA92</f>
        <v>12360.2</v>
      </c>
      <c r="AN121" s="1363">
        <f t="shared" si="1"/>
        <v>13102.2875</v>
      </c>
      <c r="AO121" s="7">
        <f>'Group Totals'!BC92</f>
        <v>436.96249999999998</v>
      </c>
      <c r="AR121" s="7">
        <f>'Group Totals'!BD92</f>
        <v>277.43650793650795</v>
      </c>
      <c r="AU121" s="1361">
        <f>'Group Totals'!AP92</f>
        <v>0.45785130156818232</v>
      </c>
      <c r="AV121" s="1446">
        <v>0.28999999999999998</v>
      </c>
      <c r="AX121" s="1352">
        <f>'Group Totals'!I92</f>
        <v>5541973.9800000004</v>
      </c>
      <c r="AY121" s="94">
        <f>'Group Totals'!K92</f>
        <v>34957</v>
      </c>
      <c r="AZ121" s="94">
        <f>'Group Totals'!W92</f>
        <v>23577</v>
      </c>
      <c r="BA121" s="94">
        <f>'Group Totals'!Q92</f>
        <v>11380</v>
      </c>
      <c r="BB121" s="94">
        <f>'Group Totals'!AC92</f>
        <v>40036</v>
      </c>
      <c r="BC121" s="94">
        <f>'Group Totals'!AD92</f>
        <v>17603</v>
      </c>
      <c r="BD121" s="7">
        <f>'Group Totals'!DD92</f>
        <v>189.98369565217391</v>
      </c>
      <c r="BF121" s="43">
        <v>272</v>
      </c>
      <c r="BG121" s="7">
        <f>'Group Totals'!DE92</f>
        <v>100.45114942528735</v>
      </c>
      <c r="BI121" s="43">
        <v>142</v>
      </c>
      <c r="BJ121" s="7">
        <f>'Group Totals'!DF92</f>
        <v>178.61363636363637</v>
      </c>
      <c r="BL121" s="43">
        <v>248</v>
      </c>
      <c r="BM121" s="7">
        <f>'Group Totals'!DG92</f>
        <v>218.84615384615384</v>
      </c>
      <c r="BO121" s="43">
        <v>326</v>
      </c>
      <c r="BP121" s="7">
        <f>'Group Totals'!DH92</f>
        <v>0</v>
      </c>
      <c r="BR121" s="43">
        <v>545</v>
      </c>
      <c r="BS121" s="7">
        <f>'Group Totals'!DI92</f>
        <v>0</v>
      </c>
      <c r="BU121" s="43">
        <v>719</v>
      </c>
      <c r="BV121" s="7">
        <f>'Group Totals'!DJ92</f>
        <v>87.646840148698885</v>
      </c>
      <c r="BX121" s="43">
        <v>118</v>
      </c>
      <c r="BY121" s="7">
        <f>'Group Totals'!DK92</f>
        <v>144.0506329113924</v>
      </c>
      <c r="CA121" s="43">
        <v>217</v>
      </c>
      <c r="CB121" s="7">
        <f>'Group Totals'!DL92</f>
        <v>0</v>
      </c>
      <c r="CD121" s="43">
        <v>314</v>
      </c>
      <c r="CE121" s="7">
        <f>'Group Totals'!DM92</f>
        <v>0</v>
      </c>
      <c r="CG121" s="43">
        <v>334</v>
      </c>
      <c r="CH121" s="1447">
        <f>'Group Totals'!F92</f>
        <v>0.9729379255116305</v>
      </c>
      <c r="CJ121" s="69">
        <v>0.97</v>
      </c>
      <c r="CK121" s="1447">
        <f>'Group Totals'!D92</f>
        <v>2.7011567306470065E-2</v>
      </c>
      <c r="CL121" s="1470">
        <v>1.4999999999999999E-2</v>
      </c>
      <c r="CM121" s="1470"/>
      <c r="CN121" s="69">
        <f>'Group Totals'!CX92</f>
        <v>0.1889003030672583</v>
      </c>
      <c r="CO121" s="1363">
        <f t="shared" si="2"/>
        <v>69274.674750000006</v>
      </c>
    </row>
    <row r="122" spans="2:93" x14ac:dyDescent="0.25">
      <c r="B122" s="1445">
        <f>'Group Totals'!A93</f>
        <v>43556</v>
      </c>
      <c r="C122" s="1352">
        <f>'Group Totals'!AK93</f>
        <v>988237</v>
      </c>
      <c r="D122" s="38">
        <f>'Group Totals'!CZ93</f>
        <v>-0.14029520955492736</v>
      </c>
      <c r="E122" s="69">
        <f>'Group Totals'!CY93</f>
        <v>-0.27328869491832419</v>
      </c>
      <c r="F122" s="69">
        <f t="shared" si="3"/>
        <v>0.05</v>
      </c>
      <c r="G122" s="69">
        <f t="shared" si="4"/>
        <v>-0.05</v>
      </c>
      <c r="H122" s="38">
        <f>'Group Totals'!AK93/'Group Totals'!I93</f>
        <v>0.26619807216402641</v>
      </c>
      <c r="I122" s="69">
        <v>0.2</v>
      </c>
      <c r="J122" s="69">
        <v>0</v>
      </c>
      <c r="K122" s="1446">
        <f>'Group Totals'!AT93</f>
        <v>33.395410921870777</v>
      </c>
      <c r="L122" s="1352">
        <v>30</v>
      </c>
      <c r="M122" s="1352">
        <v>0</v>
      </c>
      <c r="N122" s="1361">
        <f>'Group Totals'!CS93</f>
        <v>156.48157340907252</v>
      </c>
      <c r="O122" s="1352">
        <v>135</v>
      </c>
      <c r="P122" s="1352">
        <v>0</v>
      </c>
      <c r="Q122" s="337">
        <f>'Group Totals'!DC93</f>
        <v>4.6857208547355285</v>
      </c>
      <c r="S122" s="43">
        <v>4.5999999999999996</v>
      </c>
      <c r="T122" s="1352">
        <f>'Group Totals'!AV93</f>
        <v>12200.456790123457</v>
      </c>
      <c r="U122" s="1352">
        <v>14600</v>
      </c>
      <c r="W122" s="1352">
        <f>'Group Totals'!AW93</f>
        <v>7781.3937007874019</v>
      </c>
      <c r="X122" s="1352">
        <v>8500</v>
      </c>
      <c r="Z122" s="43">
        <f>'Group Totals'!AF93</f>
        <v>81</v>
      </c>
      <c r="AA122" s="43">
        <f>'Group Totals'!AE93</f>
        <v>127</v>
      </c>
      <c r="AB122" s="38">
        <f>'Group Totals'!AF93/'Group Totals'!AE93</f>
        <v>0.63779527559055116</v>
      </c>
      <c r="AD122" s="69">
        <v>0.65</v>
      </c>
      <c r="AE122" s="386">
        <f>'Group Totals'!AN93</f>
        <v>6315.357</v>
      </c>
      <c r="AF122" s="7">
        <f>'Group Totals'!BN93</f>
        <v>77.967370370370375</v>
      </c>
      <c r="AH122" s="43">
        <v>130</v>
      </c>
      <c r="AI122" s="1352">
        <f>'Group Totals'!BO93</f>
        <v>113.71692843334114</v>
      </c>
      <c r="AK122" s="1361">
        <f t="shared" si="0"/>
        <v>156.48157340907252</v>
      </c>
      <c r="AL122" s="1352">
        <f>'Group Totals'!BA93</f>
        <v>8866.2098765432092</v>
      </c>
      <c r="AN122" s="1363">
        <f t="shared" si="1"/>
        <v>12200.456790123457</v>
      </c>
      <c r="AO122" s="7">
        <f>'Group Totals'!BC93</f>
        <v>365.33333333333331</v>
      </c>
      <c r="AR122" s="7">
        <f>'Group Totals'!BD93</f>
        <v>233.00787401574803</v>
      </c>
      <c r="AU122" s="1361">
        <f>'Group Totals'!AP93</f>
        <v>0.33320652360405517</v>
      </c>
      <c r="AV122" s="1446">
        <v>0.28999999999999998</v>
      </c>
      <c r="AX122" s="1352">
        <f>'Group Totals'!I93</f>
        <v>3712412.31</v>
      </c>
      <c r="AY122" s="94">
        <f>'Group Totals'!K93</f>
        <v>29592</v>
      </c>
      <c r="AZ122" s="94">
        <f>'Group Totals'!W93</f>
        <v>17632</v>
      </c>
      <c r="BA122" s="94">
        <f>'Group Totals'!Q93</f>
        <v>11960</v>
      </c>
      <c r="BB122" s="94">
        <f>'Group Totals'!AC93</f>
        <v>31642</v>
      </c>
      <c r="BC122" s="94">
        <f>'Group Totals'!AD93</f>
        <v>15554</v>
      </c>
      <c r="BD122" s="7">
        <f>'Group Totals'!DD93</f>
        <v>171.05202312138729</v>
      </c>
      <c r="BF122" s="43">
        <v>272</v>
      </c>
      <c r="BG122" s="7">
        <f>'Group Totals'!DE93</f>
        <v>89.945288753799389</v>
      </c>
      <c r="BI122" s="43">
        <v>142</v>
      </c>
      <c r="BJ122" s="7">
        <f>'Group Totals'!DF93</f>
        <v>139.93650793650792</v>
      </c>
      <c r="BL122" s="43">
        <v>248</v>
      </c>
      <c r="BM122" s="7">
        <f>'Group Totals'!DG93</f>
        <v>254.46808510638297</v>
      </c>
      <c r="BO122" s="43">
        <v>326</v>
      </c>
      <c r="BP122" s="7">
        <f>'Group Totals'!DH93</f>
        <v>0</v>
      </c>
      <c r="BR122" s="43">
        <v>545</v>
      </c>
      <c r="BS122" s="7">
        <f>'Group Totals'!DI93</f>
        <v>0</v>
      </c>
      <c r="BU122" s="43">
        <v>719</v>
      </c>
      <c r="BV122" s="7">
        <f>'Group Totals'!DJ93</f>
        <v>70.24701195219123</v>
      </c>
      <c r="BX122" s="43">
        <v>118</v>
      </c>
      <c r="BY122" s="7">
        <f>'Group Totals'!DK93</f>
        <v>153.33333333333334</v>
      </c>
      <c r="CA122" s="43">
        <v>217</v>
      </c>
      <c r="CB122" s="7">
        <f>'Group Totals'!DL93</f>
        <v>0</v>
      </c>
      <c r="CD122" s="43">
        <v>314</v>
      </c>
      <c r="CE122" s="7">
        <f>'Group Totals'!DM93</f>
        <v>0</v>
      </c>
      <c r="CG122" s="43">
        <v>334</v>
      </c>
      <c r="CH122" s="1447">
        <f>'Group Totals'!F93</f>
        <v>0.97643551481898483</v>
      </c>
      <c r="CJ122" s="69">
        <v>0.97</v>
      </c>
      <c r="CK122" s="1447">
        <f>'Group Totals'!D93</f>
        <v>2.6482294920790982E-2</v>
      </c>
      <c r="CL122" s="1470">
        <v>1.4999999999999999E-2</v>
      </c>
      <c r="CM122" s="1470"/>
      <c r="CN122" s="69">
        <f>'Group Totals'!CX93</f>
        <v>0.20746239155894683</v>
      </c>
      <c r="CO122" s="1363">
        <f t="shared" si="2"/>
        <v>45832.250740740739</v>
      </c>
    </row>
    <row r="123" spans="2:93" x14ac:dyDescent="0.25">
      <c r="B123" s="1445">
        <f>'Group Totals'!A94</f>
        <v>43586</v>
      </c>
      <c r="C123" s="1352">
        <f>'Group Totals'!AK94</f>
        <v>1147953</v>
      </c>
      <c r="D123" s="38">
        <f>'Group Totals'!CZ94</f>
        <v>-0.13862132356982049</v>
      </c>
      <c r="E123" s="69">
        <f>'Group Totals'!CY94</f>
        <v>-9.7548418794149216E-2</v>
      </c>
      <c r="F123" s="69">
        <f t="shared" si="3"/>
        <v>0.05</v>
      </c>
      <c r="G123" s="69">
        <f t="shared" si="4"/>
        <v>-0.05</v>
      </c>
      <c r="H123" s="38">
        <f>'Group Totals'!AK94/'Group Totals'!I94</f>
        <v>0.2061889785743691</v>
      </c>
      <c r="I123" s="69">
        <v>0.2</v>
      </c>
      <c r="J123" s="69">
        <v>0</v>
      </c>
      <c r="K123" s="1446">
        <f>'Group Totals'!AT94</f>
        <v>30.385203811540496</v>
      </c>
      <c r="L123" s="1352">
        <v>30</v>
      </c>
      <c r="M123" s="1352">
        <v>0</v>
      </c>
      <c r="N123" s="1361">
        <f>'Group Totals'!CS94</f>
        <v>126.31861455817813</v>
      </c>
      <c r="O123" s="1352">
        <v>135</v>
      </c>
      <c r="P123" s="1352">
        <v>0</v>
      </c>
      <c r="Q123" s="337">
        <f>'Group Totals'!DC94</f>
        <v>4.1572409828694816</v>
      </c>
      <c r="S123" s="43">
        <v>4.5999999999999996</v>
      </c>
      <c r="T123" s="1352">
        <f>'Group Totals'!AV94</f>
        <v>13999.426829268292</v>
      </c>
      <c r="U123" s="1352">
        <v>14600</v>
      </c>
      <c r="W123" s="1352">
        <f>'Group Totals'!AW94</f>
        <v>8763</v>
      </c>
      <c r="X123" s="1352">
        <v>8500</v>
      </c>
      <c r="Z123" s="43">
        <f>'Group Totals'!AF94</f>
        <v>82</v>
      </c>
      <c r="AA123" s="43">
        <f>'Group Totals'!AE94</f>
        <v>131</v>
      </c>
      <c r="AB123" s="38">
        <f>'Group Totals'!AF94/'Group Totals'!AE94</f>
        <v>0.62595419847328249</v>
      </c>
      <c r="AD123" s="69">
        <v>0.65</v>
      </c>
      <c r="AE123" s="386">
        <f>'Group Totals'!AN94</f>
        <v>9087.7580000000016</v>
      </c>
      <c r="AF123" s="7">
        <f>'Group Totals'!BN94</f>
        <v>110.82631707317076</v>
      </c>
      <c r="AH123" s="43">
        <v>130</v>
      </c>
      <c r="AI123" s="1352">
        <f>'Group Totals'!BO94</f>
        <v>113.99643344376025</v>
      </c>
      <c r="AK123" s="1361">
        <f t="shared" si="0"/>
        <v>126.31861455817813</v>
      </c>
      <c r="AL123" s="1352">
        <f>'Group Totals'!BA94</f>
        <v>12633.804878048781</v>
      </c>
      <c r="AN123" s="1363">
        <f t="shared" si="1"/>
        <v>13999.426829268292</v>
      </c>
      <c r="AO123" s="7">
        <f>'Group Totals'!BC94</f>
        <v>460.73170731707319</v>
      </c>
      <c r="AR123" s="7">
        <f>'Group Totals'!BD94</f>
        <v>288.39694656488547</v>
      </c>
      <c r="AU123" s="1361">
        <f>'Group Totals'!AP94</f>
        <v>0.46529130460646312</v>
      </c>
      <c r="AV123" s="1446">
        <v>0.28999999999999998</v>
      </c>
      <c r="AX123" s="1352">
        <f>'Group Totals'!I94</f>
        <v>5567479.9299999997</v>
      </c>
      <c r="AY123" s="94">
        <f>'Group Totals'!K94</f>
        <v>37780</v>
      </c>
      <c r="AZ123" s="94">
        <f>'Group Totals'!W94</f>
        <v>25155</v>
      </c>
      <c r="BA123" s="94">
        <f>'Group Totals'!Q94</f>
        <v>12625</v>
      </c>
      <c r="BB123" s="94">
        <f>'Group Totals'!AC94</f>
        <v>42571</v>
      </c>
      <c r="BC123" s="94">
        <f>'Group Totals'!AD94</f>
        <v>18571</v>
      </c>
      <c r="BD123" s="7">
        <f>'Group Totals'!DD94</f>
        <v>192.75510204081633</v>
      </c>
      <c r="BF123" s="43">
        <v>272</v>
      </c>
      <c r="BG123" s="7">
        <f>'Group Totals'!DE94</f>
        <v>97.120822622107966</v>
      </c>
      <c r="BI123" s="43">
        <v>142</v>
      </c>
      <c r="BJ123" s="7">
        <f>'Group Totals'!DF94</f>
        <v>169.96621621621622</v>
      </c>
      <c r="BL123" s="43">
        <v>248</v>
      </c>
      <c r="BM123" s="7">
        <f>'Group Totals'!DG94</f>
        <v>263.02083333333331</v>
      </c>
      <c r="BO123" s="43">
        <v>326</v>
      </c>
      <c r="BP123" s="7">
        <f>'Group Totals'!DH94</f>
        <v>0</v>
      </c>
      <c r="BR123" s="43">
        <v>545</v>
      </c>
      <c r="BS123" s="7">
        <f>'Group Totals'!DI94</f>
        <v>0</v>
      </c>
      <c r="BU123" s="43">
        <v>719</v>
      </c>
      <c r="BV123" s="7">
        <f>'Group Totals'!DJ94</f>
        <v>79.103773584905667</v>
      </c>
      <c r="BX123" s="43">
        <v>118</v>
      </c>
      <c r="BY123" s="7">
        <f>'Group Totals'!DK94</f>
        <v>177.81690140845072</v>
      </c>
      <c r="CA123" s="43">
        <v>217</v>
      </c>
      <c r="CB123" s="7">
        <f>'Group Totals'!DL94</f>
        <v>0</v>
      </c>
      <c r="CD123" s="43">
        <v>314</v>
      </c>
      <c r="CE123" s="7">
        <f>'Group Totals'!DM94</f>
        <v>0</v>
      </c>
      <c r="CG123" s="43">
        <v>334</v>
      </c>
      <c r="CH123" s="1447">
        <f>'Group Totals'!F94</f>
        <v>0.93319463723128226</v>
      </c>
      <c r="CJ123" s="69">
        <v>0.97</v>
      </c>
      <c r="CK123" s="1447">
        <f>'Group Totals'!D94</f>
        <v>2.8736564121571533E-2</v>
      </c>
      <c r="CL123" s="1470">
        <v>1.4999999999999999E-2</v>
      </c>
      <c r="CM123" s="1470"/>
      <c r="CN123" s="69">
        <f>'Group Totals'!CX94</f>
        <v>0.20737476336498736</v>
      </c>
      <c r="CO123" s="1363">
        <f t="shared" si="2"/>
        <v>67896.096707317076</v>
      </c>
    </row>
    <row r="124" spans="2:93" x14ac:dyDescent="0.25">
      <c r="B124" s="1445">
        <f>'Group Totals'!A95</f>
        <v>43617</v>
      </c>
      <c r="C124" s="1352">
        <f>'Group Totals'!AK95</f>
        <v>1041480</v>
      </c>
      <c r="D124" s="38">
        <f>'Group Totals'!CZ95</f>
        <v>-0.16903926461841534</v>
      </c>
      <c r="E124" s="69">
        <f>'Group Totals'!CY95</f>
        <v>-0.14891884625724927</v>
      </c>
      <c r="F124" s="69">
        <f t="shared" si="3"/>
        <v>0.05</v>
      </c>
      <c r="G124" s="69">
        <f t="shared" si="4"/>
        <v>-0.05</v>
      </c>
      <c r="H124" s="38">
        <f>'Group Totals'!AK95/'Group Totals'!I95</f>
        <v>0.23121956092265003</v>
      </c>
      <c r="I124" s="69">
        <v>0.2</v>
      </c>
      <c r="J124" s="69">
        <v>0</v>
      </c>
      <c r="K124" s="1446">
        <f>'Group Totals'!AT95</f>
        <v>31.863183014134492</v>
      </c>
      <c r="L124" s="1352">
        <v>30</v>
      </c>
      <c r="M124" s="1352">
        <v>0</v>
      </c>
      <c r="N124" s="1361">
        <f>'Group Totals'!CS95</f>
        <v>132.63765257284416</v>
      </c>
      <c r="O124" s="1352">
        <v>135</v>
      </c>
      <c r="P124" s="1352">
        <v>0</v>
      </c>
      <c r="Q124" s="337">
        <f>'Group Totals'!DC95</f>
        <v>4.1627244997465001</v>
      </c>
      <c r="S124" s="43">
        <v>4.5999999999999996</v>
      </c>
      <c r="T124" s="1352">
        <f>'Group Totals'!AV95</f>
        <v>12398.571428571429</v>
      </c>
      <c r="U124" s="1352">
        <v>14600</v>
      </c>
      <c r="W124" s="1352">
        <f>'Group Totals'!AW95</f>
        <v>7950.2290076335876</v>
      </c>
      <c r="X124" s="1352">
        <v>8500</v>
      </c>
      <c r="Z124" s="43">
        <f>'Group Totals'!AF95</f>
        <v>84</v>
      </c>
      <c r="AA124" s="43">
        <f>'Group Totals'!AE95</f>
        <v>131</v>
      </c>
      <c r="AB124" s="38">
        <f>'Group Totals'!AF95/'Group Totals'!AE95</f>
        <v>0.64122137404580148</v>
      </c>
      <c r="AD124" s="69">
        <v>0.65</v>
      </c>
      <c r="AE124" s="386">
        <f>'Group Totals'!AN95</f>
        <v>7852.0690000000004</v>
      </c>
      <c r="AF124" s="7">
        <f>'Group Totals'!BN95</f>
        <v>93.477011904761909</v>
      </c>
      <c r="AH124" s="43">
        <v>130</v>
      </c>
      <c r="AI124" s="1352">
        <f>'Group Totals'!BO95</f>
        <v>112.88540638142634</v>
      </c>
      <c r="AK124" s="1361">
        <f t="shared" si="0"/>
        <v>132.63765257284416</v>
      </c>
      <c r="AL124" s="1352">
        <f>'Group Totals'!BA95</f>
        <v>10552.190476190477</v>
      </c>
      <c r="AN124" s="1363">
        <f t="shared" si="1"/>
        <v>12398.571428571429</v>
      </c>
      <c r="AO124" s="7">
        <f>'Group Totals'!BC95</f>
        <v>389.11904761904759</v>
      </c>
      <c r="AR124" s="7">
        <f>'Group Totals'!BD95</f>
        <v>249.5114503816794</v>
      </c>
      <c r="AU124" s="1361">
        <f>'Group Totals'!AP95</f>
        <v>0.36012333388315726</v>
      </c>
      <c r="AV124" s="1446">
        <v>0.28999999999999998</v>
      </c>
      <c r="AX124" s="1352">
        <f>'Group Totals'!I95</f>
        <v>4504290.1900000004</v>
      </c>
      <c r="AY124" s="94">
        <f>'Group Totals'!K95</f>
        <v>32686</v>
      </c>
      <c r="AZ124" s="94">
        <f>'Group Totals'!W95</f>
        <v>19784</v>
      </c>
      <c r="BA124" s="94">
        <f>'Group Totals'!Q95</f>
        <v>12902</v>
      </c>
      <c r="BB124" s="94">
        <f>'Group Totals'!AC95</f>
        <v>42661</v>
      </c>
      <c r="BC124" s="94">
        <f>'Group Totals'!AD95</f>
        <v>15706</v>
      </c>
      <c r="BD124" s="7">
        <f>'Group Totals'!DD95</f>
        <v>187.85057471264369</v>
      </c>
      <c r="BF124" s="43">
        <v>272</v>
      </c>
      <c r="BG124" s="7">
        <f>'Group Totals'!DE95</f>
        <v>93.388571428571424</v>
      </c>
      <c r="BI124" s="43">
        <v>142</v>
      </c>
      <c r="BJ124" s="7">
        <f>'Group Totals'!DF95</f>
        <v>148.75187969924812</v>
      </c>
      <c r="BL124" s="43">
        <v>248</v>
      </c>
      <c r="BM124" s="7">
        <f>'Group Totals'!DG95</f>
        <v>314.6829268292683</v>
      </c>
      <c r="BO124" s="43">
        <v>326</v>
      </c>
      <c r="BP124" s="7">
        <f>'Group Totals'!DH95</f>
        <v>0</v>
      </c>
      <c r="BR124" s="43">
        <v>545</v>
      </c>
      <c r="BS124" s="7">
        <f>'Group Totals'!DI95</f>
        <v>0</v>
      </c>
      <c r="BU124" s="43">
        <v>719</v>
      </c>
      <c r="BV124" s="7">
        <f>'Group Totals'!DJ95</f>
        <v>70.657142857142858</v>
      </c>
      <c r="BX124" s="43">
        <v>118</v>
      </c>
      <c r="BY124" s="7">
        <f>'Group Totals'!DK95</f>
        <v>184.31428571428572</v>
      </c>
      <c r="CA124" s="43">
        <v>217</v>
      </c>
      <c r="CB124" s="7">
        <f>'Group Totals'!DL95</f>
        <v>0</v>
      </c>
      <c r="CD124" s="43">
        <v>314</v>
      </c>
      <c r="CE124" s="7">
        <f>'Group Totals'!DM95</f>
        <v>0</v>
      </c>
      <c r="CG124" s="43">
        <v>334</v>
      </c>
      <c r="CH124" s="1447">
        <f>'Group Totals'!F95</f>
        <v>0.97637223883053137</v>
      </c>
      <c r="CJ124" s="69">
        <v>0.97</v>
      </c>
      <c r="CK124" s="1447">
        <f>'Group Totals'!D95</f>
        <v>2.3326293848221387E-2</v>
      </c>
      <c r="CL124" s="1470">
        <v>1.4999999999999999E-2</v>
      </c>
      <c r="CM124" s="1470"/>
      <c r="CN124" s="69">
        <f>'Group Totals'!CX95</f>
        <v>0.23101645789811273</v>
      </c>
      <c r="CO124" s="1363">
        <f t="shared" si="2"/>
        <v>53622.502261904767</v>
      </c>
    </row>
    <row r="125" spans="2:93" x14ac:dyDescent="0.25">
      <c r="B125" s="1445">
        <f>'Group Totals'!A96</f>
        <v>43647</v>
      </c>
      <c r="C125" s="1352">
        <f>'Group Totals'!AK96</f>
        <v>1287992</v>
      </c>
      <c r="D125" s="38">
        <f>'Group Totals'!CZ96</f>
        <v>-0.17216446077197922</v>
      </c>
      <c r="E125" s="69">
        <f>'Group Totals'!CY96</f>
        <v>-0.2574643320765968</v>
      </c>
      <c r="F125" s="69">
        <f t="shared" si="3"/>
        <v>0.05</v>
      </c>
      <c r="G125" s="69">
        <f t="shared" si="4"/>
        <v>-0.05</v>
      </c>
      <c r="H125" s="38">
        <f>'Group Totals'!AK96/'Group Totals'!I96</f>
        <v>0.25692656119357554</v>
      </c>
      <c r="I125" s="69">
        <v>0.2</v>
      </c>
      <c r="J125" s="69">
        <v>0</v>
      </c>
      <c r="K125" s="1446">
        <f>'Group Totals'!AT96</f>
        <v>35.70119466696233</v>
      </c>
      <c r="L125" s="1352">
        <v>30</v>
      </c>
      <c r="M125" s="1352">
        <v>0</v>
      </c>
      <c r="N125" s="1361">
        <f>'Group Totals'!CS96</f>
        <v>157.47469660562894</v>
      </c>
      <c r="O125" s="1352">
        <v>135</v>
      </c>
      <c r="P125" s="1352">
        <v>0</v>
      </c>
      <c r="Q125" s="337">
        <f>'Group Totals'!DC96</f>
        <v>4.4109083204253405</v>
      </c>
      <c r="S125" s="43">
        <v>4.5999999999999996</v>
      </c>
      <c r="T125" s="1352">
        <f>'Group Totals'!AV96</f>
        <v>16303.696202531646</v>
      </c>
      <c r="U125" s="1352">
        <v>14600</v>
      </c>
      <c r="W125" s="1352">
        <f>'Group Totals'!AW96</f>
        <v>9684.1503759398493</v>
      </c>
      <c r="X125" s="1352">
        <v>8500</v>
      </c>
      <c r="Z125" s="43">
        <f>'Group Totals'!AF96</f>
        <v>79</v>
      </c>
      <c r="AA125" s="43">
        <f>'Group Totals'!AE96</f>
        <v>133</v>
      </c>
      <c r="AB125" s="38">
        <f>'Group Totals'!AF96/'Group Totals'!AE96</f>
        <v>0.59398496240601506</v>
      </c>
      <c r="AD125" s="69">
        <v>0.65</v>
      </c>
      <c r="AE125" s="386">
        <f>'Group Totals'!AN96</f>
        <v>8179.0410000000002</v>
      </c>
      <c r="AF125" s="7">
        <f>'Group Totals'!BN96</f>
        <v>103.53216455696203</v>
      </c>
      <c r="AH125" s="43">
        <v>130</v>
      </c>
      <c r="AI125" s="1352">
        <f>'Group Totals'!BO96</f>
        <v>116.93057902509597</v>
      </c>
      <c r="AK125" s="1361">
        <f t="shared" si="0"/>
        <v>157.47469660562894</v>
      </c>
      <c r="AL125" s="1352">
        <f>'Group Totals'!BA96</f>
        <v>12106.075949367088</v>
      </c>
      <c r="AN125" s="1363">
        <f t="shared" si="1"/>
        <v>16303.696202531646</v>
      </c>
      <c r="AO125" s="7">
        <f>'Group Totals'!BC96</f>
        <v>456.67088607594934</v>
      </c>
      <c r="AR125" s="7">
        <f>'Group Totals'!BD96</f>
        <v>271.25563909774434</v>
      </c>
      <c r="AU125" s="1361">
        <f>'Group Totals'!AP96</f>
        <v>2.6131867622562552</v>
      </c>
      <c r="AV125" s="1446">
        <v>0.28999999999999998</v>
      </c>
      <c r="AX125" s="1352">
        <f>'Group Totals'!I96</f>
        <v>5013074.53</v>
      </c>
      <c r="AY125" s="94">
        <f>'Group Totals'!K96</f>
        <v>36077</v>
      </c>
      <c r="AZ125" s="94">
        <f>'Group Totals'!W96</f>
        <v>20600</v>
      </c>
      <c r="BA125" s="94">
        <f>'Group Totals'!Q96</f>
        <v>15477</v>
      </c>
      <c r="BB125" s="94">
        <f>'Group Totals'!AC96</f>
        <v>62701</v>
      </c>
      <c r="BC125" s="94">
        <f>'Group Totals'!AD96</f>
        <v>22787</v>
      </c>
      <c r="BD125" s="7">
        <f>'Group Totals'!DD96</f>
        <v>191.89893617021278</v>
      </c>
      <c r="BF125" s="43">
        <v>272</v>
      </c>
      <c r="BG125" s="7">
        <f>'Group Totals'!DE96</f>
        <v>103.37249283667622</v>
      </c>
      <c r="BI125" s="43">
        <v>142</v>
      </c>
      <c r="BJ125" s="7">
        <f>'Group Totals'!DF96</f>
        <v>148.20143884892087</v>
      </c>
      <c r="BL125" s="43">
        <v>248</v>
      </c>
      <c r="BM125" s="7">
        <f>'Group Totals'!DG96</f>
        <v>315.85714285714283</v>
      </c>
      <c r="BO125" s="43">
        <v>326</v>
      </c>
      <c r="BP125" s="7">
        <f>'Group Totals'!DH96</f>
        <v>0</v>
      </c>
      <c r="BR125" s="43">
        <v>545</v>
      </c>
      <c r="BS125" s="7">
        <f>'Group Totals'!DI96</f>
        <v>0</v>
      </c>
      <c r="BU125" s="43">
        <v>719</v>
      </c>
      <c r="BV125" s="7">
        <f>'Group Totals'!DJ96</f>
        <v>80.46875</v>
      </c>
      <c r="BX125" s="43">
        <v>118</v>
      </c>
      <c r="BY125" s="7">
        <f>'Group Totals'!DK96</f>
        <v>166.41935483870967</v>
      </c>
      <c r="CA125" s="43">
        <v>217</v>
      </c>
      <c r="CB125" s="7">
        <f>'Group Totals'!DL96</f>
        <v>0</v>
      </c>
      <c r="CD125" s="43">
        <v>314</v>
      </c>
      <c r="CE125" s="7">
        <f>'Group Totals'!DM96</f>
        <v>0</v>
      </c>
      <c r="CG125" s="43">
        <v>334</v>
      </c>
      <c r="CH125" s="1447">
        <f>'Group Totals'!F96</f>
        <v>0.9769530967773179</v>
      </c>
      <c r="CJ125" s="69">
        <v>0.97</v>
      </c>
      <c r="CK125" s="1447">
        <f>'Group Totals'!D96</f>
        <v>2.1149608968305852E-2</v>
      </c>
      <c r="CL125" s="1470">
        <v>1.4999999999999999E-2</v>
      </c>
      <c r="CM125" s="1470"/>
      <c r="CN125" s="69">
        <f>'Group Totals'!CX96</f>
        <v>0.21065314716383238</v>
      </c>
      <c r="CO125" s="1363">
        <f t="shared" si="2"/>
        <v>63456.639620253169</v>
      </c>
    </row>
    <row r="126" spans="2:93" x14ac:dyDescent="0.25">
      <c r="B126" s="1445">
        <f>'Group Totals'!A97</f>
        <v>43678</v>
      </c>
      <c r="C126" s="1352">
        <f>'Group Totals'!AK97</f>
        <v>1105068</v>
      </c>
      <c r="D126" s="38">
        <f>'Group Totals'!CZ97</f>
        <v>-0.11608570580048561</v>
      </c>
      <c r="E126" s="69">
        <f>'Group Totals'!CY97</f>
        <v>7.9639443002602617E-2</v>
      </c>
      <c r="F126" s="69">
        <f t="shared" si="3"/>
        <v>0.05</v>
      </c>
      <c r="G126" s="69">
        <f t="shared" si="4"/>
        <v>-0.05</v>
      </c>
      <c r="H126" s="38">
        <f>'Group Totals'!AK97/'Group Totals'!I97</f>
        <v>0.20055165079304868</v>
      </c>
      <c r="I126" s="69">
        <v>0.2</v>
      </c>
      <c r="J126" s="69">
        <v>0</v>
      </c>
      <c r="K126" s="1446">
        <f>'Group Totals'!AT97</f>
        <v>28.378007755322155</v>
      </c>
      <c r="L126" s="1352">
        <v>30</v>
      </c>
      <c r="M126" s="1352">
        <v>0</v>
      </c>
      <c r="N126" s="1361">
        <f>'Group Totals'!CS97</f>
        <v>129.3405570758801</v>
      </c>
      <c r="O126" s="1352">
        <v>135</v>
      </c>
      <c r="P126" s="1352">
        <v>0</v>
      </c>
      <c r="Q126" s="337">
        <f>'Group Totals'!DC97</f>
        <v>4.5577743931521377</v>
      </c>
      <c r="S126" s="43">
        <v>4.5999999999999996</v>
      </c>
      <c r="T126" s="1352">
        <f>'Group Totals'!AV97</f>
        <v>13813.35</v>
      </c>
      <c r="U126" s="1352">
        <v>14600</v>
      </c>
      <c r="W126" s="1352">
        <f>'Group Totals'!AW97</f>
        <v>8371.7272727272721</v>
      </c>
      <c r="X126" s="1352">
        <v>8500</v>
      </c>
      <c r="Z126" s="43">
        <f>'Group Totals'!AF97</f>
        <v>80</v>
      </c>
      <c r="AA126" s="43">
        <f>'Group Totals'!AE97</f>
        <v>132</v>
      </c>
      <c r="AB126" s="38">
        <f>'Group Totals'!AF97/'Group Totals'!AE97</f>
        <v>0.60606060606060608</v>
      </c>
      <c r="AD126" s="69">
        <v>0.65</v>
      </c>
      <c r="AE126" s="386">
        <f>'Group Totals'!AN97</f>
        <v>8543.8629999999994</v>
      </c>
      <c r="AF126" s="7">
        <f>'Group Totals'!BN97</f>
        <v>106.79828749999999</v>
      </c>
      <c r="AH126" s="43">
        <v>130</v>
      </c>
      <c r="AI126" s="1352">
        <f>'Group Totals'!BO97</f>
        <v>139.64116699904952</v>
      </c>
      <c r="AK126" s="1361">
        <f t="shared" si="0"/>
        <v>129.3405570758801</v>
      </c>
      <c r="AL126" s="1352">
        <f>'Group Totals'!BA97</f>
        <v>14913.4375</v>
      </c>
      <c r="AN126" s="1363">
        <f t="shared" si="1"/>
        <v>13813.35</v>
      </c>
      <c r="AO126" s="7">
        <f>'Group Totals'!BC97</f>
        <v>486.76249999999999</v>
      </c>
      <c r="AR126" s="7">
        <f>'Group Totals'!BD97</f>
        <v>295.00757575757575</v>
      </c>
      <c r="AU126" s="1361">
        <f>'Group Totals'!AP97</f>
        <v>-2.2213585097993208E-2</v>
      </c>
      <c r="AV126" s="1446">
        <v>0.28999999999999998</v>
      </c>
      <c r="AX126" s="1352">
        <f>'Group Totals'!I97</f>
        <v>5510141.6299999999</v>
      </c>
      <c r="AY126" s="94">
        <f>'Group Totals'!K97</f>
        <v>38941</v>
      </c>
      <c r="AZ126" s="94">
        <f>'Group Totals'!W97</f>
        <v>22383</v>
      </c>
      <c r="BA126" s="94">
        <f>'Group Totals'!Q97</f>
        <v>16558</v>
      </c>
      <c r="BB126" s="94">
        <f>'Group Totals'!AC97</f>
        <v>47148</v>
      </c>
      <c r="BC126" s="94">
        <f>'Group Totals'!AD97</f>
        <v>16384</v>
      </c>
      <c r="BD126" s="7">
        <f>'Group Totals'!DD97</f>
        <v>184.55450236966826</v>
      </c>
      <c r="BF126" s="43">
        <v>272</v>
      </c>
      <c r="BG126" s="7">
        <f>'Group Totals'!DE97</f>
        <v>108.16944444444445</v>
      </c>
      <c r="BI126" s="43">
        <v>142</v>
      </c>
      <c r="BJ126" s="7">
        <f>'Group Totals'!DF97</f>
        <v>145.34415584415584</v>
      </c>
      <c r="BL126" s="43">
        <v>248</v>
      </c>
      <c r="BM126" s="7">
        <f>'Group Totals'!DG97</f>
        <v>290.49122807017545</v>
      </c>
      <c r="BO126" s="43">
        <v>326</v>
      </c>
      <c r="BP126" s="7">
        <f>'Group Totals'!DH97</f>
        <v>0</v>
      </c>
      <c r="BR126" s="43">
        <v>545</v>
      </c>
      <c r="BS126" s="7">
        <f>'Group Totals'!DI97</f>
        <v>0</v>
      </c>
      <c r="BU126" s="43">
        <v>719</v>
      </c>
      <c r="BV126" s="7">
        <f>'Group Totals'!DJ97</f>
        <v>81.989010989010993</v>
      </c>
      <c r="BX126" s="43">
        <v>118</v>
      </c>
      <c r="BY126" s="7">
        <f>'Group Totals'!DK97</f>
        <v>190.32183908045977</v>
      </c>
      <c r="CA126" s="43">
        <v>217</v>
      </c>
      <c r="CB126" s="7">
        <f>'Group Totals'!DL97</f>
        <v>0</v>
      </c>
      <c r="CD126" s="43">
        <v>314</v>
      </c>
      <c r="CE126" s="7">
        <f>'Group Totals'!DM97</f>
        <v>0</v>
      </c>
      <c r="CG126" s="43">
        <v>334</v>
      </c>
      <c r="CH126" s="1447">
        <f>'Group Totals'!F97</f>
        <v>0.97461737010179716</v>
      </c>
      <c r="CJ126" s="69">
        <v>0.97</v>
      </c>
      <c r="CK126" s="1447">
        <f>'Group Totals'!D97</f>
        <v>1.9379532170484545E-2</v>
      </c>
      <c r="CL126" s="1470">
        <v>1.4999999999999999E-2</v>
      </c>
      <c r="CM126" s="1470"/>
      <c r="CN126" s="69">
        <f>'Group Totals'!CX97</f>
        <v>0.23140399471533077</v>
      </c>
      <c r="CO126" s="1363">
        <f t="shared" si="2"/>
        <v>68876.770374999993</v>
      </c>
    </row>
    <row r="127" spans="2:93" x14ac:dyDescent="0.25">
      <c r="B127" s="1445">
        <f>'Group Totals'!A98</f>
        <v>43709</v>
      </c>
      <c r="C127" s="1352">
        <f>'Group Totals'!AK98</f>
        <v>1082205</v>
      </c>
      <c r="D127" s="38">
        <f>'Group Totals'!CZ98</f>
        <v>-8.3006044143396296E-2</v>
      </c>
      <c r="E127" s="69">
        <f>'Group Totals'!CY98</f>
        <v>-4.1455177161443535E-2</v>
      </c>
      <c r="F127" s="69">
        <f t="shared" si="3"/>
        <v>0.05</v>
      </c>
      <c r="G127" s="69">
        <f t="shared" si="4"/>
        <v>-0.05</v>
      </c>
      <c r="H127" s="38">
        <f>'Group Totals'!AK98/'Group Totals'!I98</f>
        <v>0.19808884356706724</v>
      </c>
      <c r="I127" s="69">
        <v>0.2</v>
      </c>
      <c r="J127" s="69">
        <v>0</v>
      </c>
      <c r="K127" s="1446">
        <f>'Group Totals'!AT98</f>
        <v>28.514346691961109</v>
      </c>
      <c r="L127" s="1352">
        <v>30</v>
      </c>
      <c r="M127" s="1352">
        <v>0</v>
      </c>
      <c r="N127" s="1361">
        <f>'Group Totals'!CS98</f>
        <v>140.0691049260557</v>
      </c>
      <c r="O127" s="1352">
        <v>135</v>
      </c>
      <c r="P127" s="1352">
        <v>0</v>
      </c>
      <c r="Q127" s="337">
        <f>'Group Totals'!DC98</f>
        <v>4.9122326539413441</v>
      </c>
      <c r="S127" s="43">
        <v>4.5999999999999996</v>
      </c>
      <c r="T127" s="1352">
        <f>'Group Totals'!AV98</f>
        <v>14429.4</v>
      </c>
      <c r="U127" s="1352">
        <v>14600</v>
      </c>
      <c r="W127" s="1352">
        <f>'Group Totals'!AW98</f>
        <v>8454.7265625</v>
      </c>
      <c r="X127" s="1352">
        <v>8500</v>
      </c>
      <c r="Z127" s="43">
        <f>'Group Totals'!AF98</f>
        <v>75</v>
      </c>
      <c r="AA127" s="43">
        <f>'Group Totals'!AE98</f>
        <v>128</v>
      </c>
      <c r="AB127" s="38">
        <f>'Group Totals'!AF98/'Group Totals'!AE98</f>
        <v>0.5859375</v>
      </c>
      <c r="AD127" s="69">
        <v>0.65</v>
      </c>
      <c r="AE127" s="386">
        <f>'Group Totals'!AN98</f>
        <v>7726.2220000000007</v>
      </c>
      <c r="AF127" s="7">
        <f>'Group Totals'!BN98</f>
        <v>103.01629333333334</v>
      </c>
      <c r="AH127" s="43">
        <v>130</v>
      </c>
      <c r="AI127" s="1352">
        <f>'Group Totals'!BO98</f>
        <v>134.26251536650125</v>
      </c>
      <c r="AK127" s="1361">
        <f t="shared" si="0"/>
        <v>140.0691049260557</v>
      </c>
      <c r="AL127" s="1352">
        <f>'Group Totals'!BA98</f>
        <v>13831.226666666667</v>
      </c>
      <c r="AN127" s="1363">
        <f t="shared" si="1"/>
        <v>14429.4</v>
      </c>
      <c r="AO127" s="7">
        <f>'Group Totals'!BC98</f>
        <v>506.04</v>
      </c>
      <c r="AR127" s="7">
        <f>'Group Totals'!BD98</f>
        <v>296.5078125</v>
      </c>
      <c r="AU127" s="1361">
        <f>'Group Totals'!AP98</f>
        <v>0.45198532756747484</v>
      </c>
      <c r="AV127" s="1446">
        <v>0.28999999999999998</v>
      </c>
      <c r="AX127" s="1352">
        <f>'Group Totals'!I98</f>
        <v>5463230.4400000004</v>
      </c>
      <c r="AY127" s="94">
        <f>'Group Totals'!K98</f>
        <v>37953</v>
      </c>
      <c r="AZ127" s="94">
        <f>'Group Totals'!W98</f>
        <v>18712</v>
      </c>
      <c r="BA127" s="94">
        <f>'Group Totals'!Q98</f>
        <v>19241</v>
      </c>
      <c r="BB127" s="94">
        <f>'Group Totals'!AC98</f>
        <v>52455</v>
      </c>
      <c r="BC127" s="94">
        <f>'Group Totals'!AD98</f>
        <v>20194</v>
      </c>
      <c r="BD127" s="7">
        <f>'Group Totals'!DD98</f>
        <v>224.57396449704143</v>
      </c>
      <c r="BF127" s="43">
        <v>272</v>
      </c>
      <c r="BG127" s="7">
        <f>'Group Totals'!DE98</f>
        <v>116.42024539877301</v>
      </c>
      <c r="BI127" s="43">
        <v>142</v>
      </c>
      <c r="BJ127" s="7">
        <f>'Group Totals'!DF98</f>
        <v>168.57657657657657</v>
      </c>
      <c r="BL127" s="43">
        <v>248</v>
      </c>
      <c r="BM127" s="7">
        <f>'Group Totals'!DG98</f>
        <v>331.74137931034483</v>
      </c>
      <c r="BO127" s="43">
        <v>326</v>
      </c>
      <c r="BP127" s="7">
        <f>'Group Totals'!DH98</f>
        <v>0</v>
      </c>
      <c r="BR127" s="43">
        <v>545</v>
      </c>
      <c r="BS127" s="7">
        <f>'Group Totals'!DI98</f>
        <v>0</v>
      </c>
      <c r="BU127" s="43">
        <v>719</v>
      </c>
      <c r="BV127" s="7">
        <f>'Group Totals'!DJ98</f>
        <v>86.629629629629633</v>
      </c>
      <c r="BX127" s="43">
        <v>118</v>
      </c>
      <c r="BY127" s="7">
        <f>'Group Totals'!DK98</f>
        <v>174.91818181818181</v>
      </c>
      <c r="CA127" s="43">
        <v>217</v>
      </c>
      <c r="CB127" s="7">
        <f>'Group Totals'!DL98</f>
        <v>0</v>
      </c>
      <c r="CD127" s="43">
        <v>314</v>
      </c>
      <c r="CE127" s="7">
        <f>'Group Totals'!DM98</f>
        <v>0</v>
      </c>
      <c r="CG127" s="43">
        <v>334</v>
      </c>
      <c r="CH127" s="1447">
        <f>'Group Totals'!F98</f>
        <v>0.95104784433374834</v>
      </c>
      <c r="CJ127" s="69">
        <v>0.97</v>
      </c>
      <c r="CK127" s="1447">
        <f>'Group Totals'!D98</f>
        <v>1.9389788293897883E-2</v>
      </c>
      <c r="CL127" s="1470">
        <v>1.4999999999999999E-2</v>
      </c>
      <c r="CM127" s="1470"/>
      <c r="CN127" s="69">
        <f>'Group Totals'!CX98</f>
        <v>0.21484073890441668</v>
      </c>
      <c r="CO127" s="1363">
        <f t="shared" si="2"/>
        <v>72843.072533333339</v>
      </c>
    </row>
    <row r="128" spans="2:93" x14ac:dyDescent="0.25">
      <c r="B128" s="1445">
        <f>'Group Totals'!A99</f>
        <v>43739</v>
      </c>
      <c r="C128" s="1352">
        <f>'Group Totals'!AK99</f>
        <v>1120670</v>
      </c>
      <c r="D128" s="38">
        <f>'Group Totals'!CZ99</f>
        <v>1.3088496385820436E-2</v>
      </c>
      <c r="E128" s="69">
        <f>'Group Totals'!CY99</f>
        <v>1.3563314802755855E-4</v>
      </c>
      <c r="F128" s="69">
        <f t="shared" si="3"/>
        <v>0.05</v>
      </c>
      <c r="G128" s="69">
        <f t="shared" si="4"/>
        <v>-0.05</v>
      </c>
      <c r="H128" s="38">
        <f>'Group Totals'!AK99/'Group Totals'!I99</f>
        <v>0.20395006360029141</v>
      </c>
      <c r="I128" s="69">
        <v>0.2</v>
      </c>
      <c r="J128" s="69">
        <v>0</v>
      </c>
      <c r="K128" s="1446">
        <f>'Group Totals'!AT99</f>
        <v>31.034893381334811</v>
      </c>
      <c r="L128" s="1352">
        <v>30</v>
      </c>
      <c r="M128" s="1352">
        <v>0</v>
      </c>
      <c r="N128" s="1361">
        <f>'Group Totals'!CS99</f>
        <v>140.60317327286327</v>
      </c>
      <c r="O128" s="1352">
        <v>135</v>
      </c>
      <c r="P128" s="1352">
        <v>0</v>
      </c>
      <c r="Q128" s="337">
        <f>'Group Totals'!DC99</f>
        <v>4.5304867506786941</v>
      </c>
      <c r="S128" s="43">
        <v>4.5999999999999996</v>
      </c>
      <c r="T128" s="1352">
        <f>'Group Totals'!AV99</f>
        <v>14554.155844155845</v>
      </c>
      <c r="U128" s="1352">
        <v>14600</v>
      </c>
      <c r="W128" s="1352">
        <f>'Group Totals'!AW99</f>
        <v>8755.234375</v>
      </c>
      <c r="X128" s="1352">
        <v>8500</v>
      </c>
      <c r="Z128" s="43">
        <f>'Group Totals'!AF99</f>
        <v>77</v>
      </c>
      <c r="AA128" s="43">
        <f>'Group Totals'!AE99</f>
        <v>128</v>
      </c>
      <c r="AB128" s="38">
        <f>'Group Totals'!AF99/'Group Totals'!AE99</f>
        <v>0.6015625</v>
      </c>
      <c r="AD128" s="69">
        <v>0.65</v>
      </c>
      <c r="AE128" s="386">
        <f>'Group Totals'!AN99</f>
        <v>7970.4460000000008</v>
      </c>
      <c r="AF128" s="7">
        <f>'Group Totals'!BN99</f>
        <v>103.51228571428572</v>
      </c>
      <c r="AH128" s="43">
        <v>130</v>
      </c>
      <c r="AI128" s="1352">
        <f>'Group Totals'!BO99</f>
        <v>140.62224372387692</v>
      </c>
      <c r="AK128" s="1361">
        <f t="shared" si="0"/>
        <v>140.60317327286327</v>
      </c>
      <c r="AL128" s="1352">
        <f>'Group Totals'!BA99</f>
        <v>14556.129870129869</v>
      </c>
      <c r="AN128" s="1363">
        <f t="shared" si="1"/>
        <v>14554.155844155845</v>
      </c>
      <c r="AO128" s="7">
        <f>'Group Totals'!BC99</f>
        <v>468.96103896103898</v>
      </c>
      <c r="AR128" s="7">
        <f>'Group Totals'!BD99</f>
        <v>282.109375</v>
      </c>
      <c r="AU128" s="1361">
        <f>'Group Totals'!AP99</f>
        <v>0.27680588106761422</v>
      </c>
      <c r="AV128" s="1446">
        <v>0.28999999999999998</v>
      </c>
      <c r="AX128" s="1352">
        <f>'Group Totals'!I99</f>
        <v>5494825.4500000002</v>
      </c>
      <c r="AY128" s="94">
        <f>'Group Totals'!K99</f>
        <v>36110</v>
      </c>
      <c r="AZ128" s="94">
        <f>'Group Totals'!W99</f>
        <v>20819</v>
      </c>
      <c r="BA128" s="94">
        <f>'Group Totals'!Q99</f>
        <v>15291</v>
      </c>
      <c r="BB128" s="94">
        <f>'Group Totals'!AC99</f>
        <v>55404</v>
      </c>
      <c r="BC128" s="94">
        <f>'Group Totals'!AD99</f>
        <v>16317</v>
      </c>
      <c r="BD128" s="7">
        <f>'Group Totals'!DD99</f>
        <v>190.05263157894737</v>
      </c>
      <c r="BF128" s="43">
        <v>272</v>
      </c>
      <c r="BG128" s="7">
        <f>'Group Totals'!DE99</f>
        <v>107.15133531157269</v>
      </c>
      <c r="BI128" s="43">
        <v>142</v>
      </c>
      <c r="BJ128" s="7">
        <f>'Group Totals'!DF99</f>
        <v>149.77697841726618</v>
      </c>
      <c r="BL128" s="43">
        <v>248</v>
      </c>
      <c r="BM128" s="7">
        <f>'Group Totals'!DG99</f>
        <v>299.8235294117647</v>
      </c>
      <c r="BO128" s="43">
        <v>326</v>
      </c>
      <c r="BP128" s="7">
        <f>'Group Totals'!DH99</f>
        <v>0</v>
      </c>
      <c r="BR128" s="43">
        <v>545</v>
      </c>
      <c r="BS128" s="7">
        <f>'Group Totals'!DI99</f>
        <v>0</v>
      </c>
      <c r="BU128" s="43">
        <v>719</v>
      </c>
      <c r="BV128" s="7">
        <f>'Group Totals'!DJ99</f>
        <v>82.28853754940711</v>
      </c>
      <c r="BX128" s="43">
        <v>118</v>
      </c>
      <c r="BY128" s="7">
        <f>'Group Totals'!DK99</f>
        <v>182.03571428571428</v>
      </c>
      <c r="CA128" s="43">
        <v>217</v>
      </c>
      <c r="CB128" s="7">
        <f>'Group Totals'!DL99</f>
        <v>0</v>
      </c>
      <c r="CD128" s="43">
        <v>314</v>
      </c>
      <c r="CE128" s="7">
        <f>'Group Totals'!DM99</f>
        <v>0</v>
      </c>
      <c r="CG128" s="43">
        <v>334</v>
      </c>
      <c r="CH128" s="1447">
        <f>'Group Totals'!F99</f>
        <v>0.97488389459411418</v>
      </c>
      <c r="CJ128" s="69">
        <v>0.97</v>
      </c>
      <c r="CK128" s="1447">
        <f>'Group Totals'!D99</f>
        <v>1.4892860318307104E-2</v>
      </c>
      <c r="CL128" s="1470">
        <v>1.4999999999999999E-2</v>
      </c>
      <c r="CM128" s="1470"/>
      <c r="CN128" s="69">
        <f>'Group Totals'!CX99</f>
        <v>0.21102886310292446</v>
      </c>
      <c r="CO128" s="1363">
        <f t="shared" si="2"/>
        <v>71361.369480519483</v>
      </c>
    </row>
    <row r="129" spans="2:93" x14ac:dyDescent="0.25">
      <c r="B129" s="1445">
        <f>'Group Totals'!A100</f>
        <v>43770</v>
      </c>
      <c r="C129" s="1352">
        <f>'Group Totals'!AK100</f>
        <v>1107174</v>
      </c>
      <c r="D129" s="38">
        <f>'Group Totals'!CZ100</f>
        <v>-1.3861728330909928E-2</v>
      </c>
      <c r="E129" s="69">
        <f>'Group Totals'!CY100</f>
        <v>-1.0585508691497436E-3</v>
      </c>
      <c r="F129" s="69">
        <f t="shared" si="3"/>
        <v>0.05</v>
      </c>
      <c r="G129" s="69">
        <f t="shared" si="4"/>
        <v>-0.05</v>
      </c>
      <c r="H129" s="38">
        <f>'Group Totals'!AK100/'Group Totals'!I100</f>
        <v>0.20187975507435685</v>
      </c>
      <c r="I129" s="69">
        <v>0.2</v>
      </c>
      <c r="J129" s="69">
        <v>0</v>
      </c>
      <c r="K129" s="1446">
        <f>'Group Totals'!AT100</f>
        <v>32.25091756481212</v>
      </c>
      <c r="L129" s="1352">
        <v>30</v>
      </c>
      <c r="M129" s="1352">
        <v>0</v>
      </c>
      <c r="N129" s="1361">
        <f>'Group Totals'!CS100</f>
        <v>145.19962466484418</v>
      </c>
      <c r="O129" s="1352">
        <v>135</v>
      </c>
      <c r="P129" s="1352">
        <v>0</v>
      </c>
      <c r="Q129" s="337">
        <f>'Group Totals'!DC100</f>
        <v>4.5021858486056399</v>
      </c>
      <c r="S129" s="43">
        <v>4.5999999999999996</v>
      </c>
      <c r="T129" s="1352">
        <f>'Group Totals'!AV100</f>
        <v>14378.883116883117</v>
      </c>
      <c r="U129" s="1352">
        <v>14600</v>
      </c>
      <c r="W129" s="1352">
        <f>'Group Totals'!AW100</f>
        <v>8649.796875</v>
      </c>
      <c r="X129" s="1352">
        <v>8500</v>
      </c>
      <c r="Z129" s="43">
        <f>'Group Totals'!AF100</f>
        <v>77</v>
      </c>
      <c r="AA129" s="43">
        <f>'Group Totals'!AE100</f>
        <v>128</v>
      </c>
      <c r="AB129" s="38">
        <f>'Group Totals'!AF100/'Group Totals'!AE100</f>
        <v>0.6015625</v>
      </c>
      <c r="AD129" s="69">
        <v>0.65</v>
      </c>
      <c r="AE129" s="386">
        <f>'Group Totals'!AN100</f>
        <v>7625.1850000000004</v>
      </c>
      <c r="AF129" s="7">
        <f>'Group Totals'!BN100</f>
        <v>99.02837662337663</v>
      </c>
      <c r="AH129" s="43">
        <v>130</v>
      </c>
      <c r="AI129" s="1352">
        <f>'Group Totals'!BO100</f>
        <v>145.04592347595499</v>
      </c>
      <c r="AK129" s="1361">
        <f t="shared" si="0"/>
        <v>145.19962466484418</v>
      </c>
      <c r="AL129" s="1352">
        <f>'Group Totals'!BA100</f>
        <v>14363.662337662337</v>
      </c>
      <c r="AN129" s="1363">
        <f t="shared" si="1"/>
        <v>14378.883116883117</v>
      </c>
      <c r="AO129" s="7">
        <f>'Group Totals'!BC100</f>
        <v>445.84415584415586</v>
      </c>
      <c r="AR129" s="7">
        <f>'Group Totals'!BD100</f>
        <v>268.203125</v>
      </c>
      <c r="AU129" s="1361">
        <f>'Group Totals'!AP100</f>
        <v>1.079440223524209E-2</v>
      </c>
      <c r="AV129" s="1446">
        <v>0.28999999999999998</v>
      </c>
      <c r="AX129" s="1352">
        <f>'Group Totals'!I100</f>
        <v>5484324.0700000003</v>
      </c>
      <c r="AY129" s="94">
        <f>'Group Totals'!K100</f>
        <v>34330</v>
      </c>
      <c r="AZ129" s="94">
        <f>'Group Totals'!W100</f>
        <v>19078</v>
      </c>
      <c r="BA129" s="94">
        <f>'Group Totals'!Q100</f>
        <v>15252</v>
      </c>
      <c r="BB129" s="94">
        <f>'Group Totals'!AC100</f>
        <v>44484</v>
      </c>
      <c r="BC129" s="94">
        <f>'Group Totals'!AD100</f>
        <v>14217</v>
      </c>
      <c r="BD129" s="7">
        <f>'Group Totals'!DD100</f>
        <v>189.66850828729281</v>
      </c>
      <c r="BF129" s="43">
        <v>272</v>
      </c>
      <c r="BG129" s="7">
        <f>'Group Totals'!DE100</f>
        <v>113.67549668874172</v>
      </c>
      <c r="BI129" s="43">
        <v>142</v>
      </c>
      <c r="BJ129" s="7">
        <f>'Group Totals'!DF100</f>
        <v>155.10569105691056</v>
      </c>
      <c r="BL129" s="43">
        <v>248</v>
      </c>
      <c r="BM129" s="7">
        <f>'Group Totals'!DG100</f>
        <v>262.9655172413793</v>
      </c>
      <c r="BO129" s="43">
        <v>326</v>
      </c>
      <c r="BP129" s="7">
        <f>'Group Totals'!DH100</f>
        <v>0</v>
      </c>
      <c r="BR129" s="43">
        <v>545</v>
      </c>
      <c r="BS129" s="7">
        <f>'Group Totals'!DI100</f>
        <v>0</v>
      </c>
      <c r="BU129" s="43">
        <v>719</v>
      </c>
      <c r="BV129" s="7">
        <f>'Group Totals'!DJ100</f>
        <v>91.282296650717697</v>
      </c>
      <c r="BX129" s="43">
        <v>118</v>
      </c>
      <c r="BY129" s="7">
        <f>'Group Totals'!DK100</f>
        <v>164</v>
      </c>
      <c r="CA129" s="43">
        <v>217</v>
      </c>
      <c r="CB129" s="7">
        <f>'Group Totals'!DL100</f>
        <v>0</v>
      </c>
      <c r="CD129" s="43">
        <v>314</v>
      </c>
      <c r="CE129" s="7">
        <f>'Group Totals'!DM100</f>
        <v>0</v>
      </c>
      <c r="CG129" s="43">
        <v>334</v>
      </c>
      <c r="CH129" s="1447">
        <f>'Group Totals'!F100</f>
        <v>0.97738420575442142</v>
      </c>
      <c r="CJ129" s="69">
        <v>0.97</v>
      </c>
      <c r="CK129" s="1447">
        <f>'Group Totals'!D100</f>
        <v>1.3026063603915852E-2</v>
      </c>
      <c r="CL129" s="1470">
        <v>1.4999999999999999E-2</v>
      </c>
      <c r="CM129" s="1470"/>
      <c r="CN129" s="69">
        <f>'Group Totals'!CX100</f>
        <v>0.20118395317754231</v>
      </c>
      <c r="CO129" s="1363">
        <f t="shared" si="2"/>
        <v>71224.987922077926</v>
      </c>
    </row>
    <row r="130" spans="2:93" x14ac:dyDescent="0.25">
      <c r="B130" s="1445">
        <f>'Group Totals'!A101</f>
        <v>43800</v>
      </c>
      <c r="C130" s="1352">
        <f>'Group Totals'!AK101</f>
        <v>974002</v>
      </c>
      <c r="D130" s="38">
        <f>'Group Totals'!CZ101</f>
        <v>-6.1303697929257051E-2</v>
      </c>
      <c r="E130" s="69">
        <f>'Group Totals'!CY101</f>
        <v>-0.20047700107391975</v>
      </c>
      <c r="F130" s="69">
        <f t="shared" si="3"/>
        <v>0.05</v>
      </c>
      <c r="G130" s="69">
        <f t="shared" si="4"/>
        <v>-0.05</v>
      </c>
      <c r="H130" s="38">
        <f>'Group Totals'!AK101/'Group Totals'!I101</f>
        <v>0.25413808621441009</v>
      </c>
      <c r="I130" s="69">
        <v>0.2</v>
      </c>
      <c r="J130" s="69">
        <v>0</v>
      </c>
      <c r="K130" s="1446">
        <f>'Group Totals'!AT101</f>
        <v>31.961737874909758</v>
      </c>
      <c r="L130" s="1352">
        <v>30</v>
      </c>
      <c r="M130" s="1352">
        <v>0</v>
      </c>
      <c r="N130" s="1361">
        <f>'Group Totals'!CS101</f>
        <v>178.05360389625821</v>
      </c>
      <c r="O130" s="1352">
        <v>135</v>
      </c>
      <c r="P130" s="1352">
        <v>0</v>
      </c>
      <c r="Q130" s="337">
        <f>'Group Totals'!DC101</f>
        <v>5.5708361226512597</v>
      </c>
      <c r="S130" s="43">
        <v>4.5999999999999996</v>
      </c>
      <c r="T130" s="1352">
        <f>'Group Totals'!AV101</f>
        <v>13342.493150684932</v>
      </c>
      <c r="U130" s="1352">
        <v>14600</v>
      </c>
      <c r="W130" s="1352">
        <f>'Group Totals'!AW101</f>
        <v>7854.8548387096771</v>
      </c>
      <c r="X130" s="1352">
        <v>8500</v>
      </c>
      <c r="Z130" s="43">
        <f>'Group Totals'!AF101</f>
        <v>73</v>
      </c>
      <c r="AA130" s="43">
        <f>'Group Totals'!AE101</f>
        <v>124</v>
      </c>
      <c r="AB130" s="38">
        <f>'Group Totals'!AF101/'Group Totals'!AE101</f>
        <v>0.58870967741935487</v>
      </c>
      <c r="AD130" s="69">
        <v>0.65</v>
      </c>
      <c r="AE130" s="386">
        <f>'Group Totals'!AN101</f>
        <v>5470.2740000000003</v>
      </c>
      <c r="AF130" s="7">
        <f>'Group Totals'!BN101</f>
        <v>74.935260273972602</v>
      </c>
      <c r="AH130" s="43">
        <v>130</v>
      </c>
      <c r="AI130" s="1352">
        <f>'Group Totals'!BO101</f>
        <v>142.35795135673277</v>
      </c>
      <c r="AK130" s="1361">
        <f t="shared" si="0"/>
        <v>178.05360389625821</v>
      </c>
      <c r="AL130" s="1352">
        <f>'Group Totals'!BA101</f>
        <v>10667.630136986301</v>
      </c>
      <c r="AN130" s="1363">
        <f t="shared" si="1"/>
        <v>13342.493150684932</v>
      </c>
      <c r="AO130" s="7">
        <f>'Group Totals'!BC101</f>
        <v>417.45205479452056</v>
      </c>
      <c r="AR130" s="7">
        <f>'Group Totals'!BD101</f>
        <v>245.75806451612902</v>
      </c>
      <c r="AU130" s="1361">
        <f>'Group Totals'!AP101</f>
        <v>0.23279418370855165</v>
      </c>
      <c r="AV130" s="1446">
        <v>0.28999999999999998</v>
      </c>
      <c r="AX130" s="1352">
        <f>'Group Totals'!I101</f>
        <v>3832569.98</v>
      </c>
      <c r="AY130" s="94">
        <f>'Group Totals'!K101</f>
        <v>30474</v>
      </c>
      <c r="AZ130" s="94">
        <f>'Group Totals'!W101</f>
        <v>16236</v>
      </c>
      <c r="BA130" s="94">
        <f>'Group Totals'!Q101</f>
        <v>14238</v>
      </c>
      <c r="BB130" s="94">
        <f>'Group Totals'!AC101</f>
        <v>42262</v>
      </c>
      <c r="BC130" s="94">
        <f>'Group Totals'!AD101</f>
        <v>12514</v>
      </c>
      <c r="BD130" s="7">
        <f>'Group Totals'!DD101</f>
        <v>236.23255813953489</v>
      </c>
      <c r="BF130" s="43">
        <v>272</v>
      </c>
      <c r="BG130" s="7">
        <f>'Group Totals'!DE101</f>
        <v>136.04464285714286</v>
      </c>
      <c r="BI130" s="43">
        <v>142</v>
      </c>
      <c r="BJ130" s="7">
        <f>'Group Totals'!DF101</f>
        <v>188.7906976744186</v>
      </c>
      <c r="BL130" s="43">
        <v>248</v>
      </c>
      <c r="BM130" s="7">
        <f>'Group Totals'!DG101</f>
        <v>331.11627906976742</v>
      </c>
      <c r="BO130" s="43">
        <v>326</v>
      </c>
      <c r="BP130" s="7">
        <f>'Group Totals'!DH101</f>
        <v>0</v>
      </c>
      <c r="BR130" s="43">
        <v>545</v>
      </c>
      <c r="BS130" s="7">
        <f>'Group Totals'!DI101</f>
        <v>0</v>
      </c>
      <c r="BU130" s="43">
        <v>719</v>
      </c>
      <c r="BV130" s="7">
        <f>'Group Totals'!DJ101</f>
        <v>101.47499999999999</v>
      </c>
      <c r="BX130" s="43">
        <v>118</v>
      </c>
      <c r="BY130" s="7">
        <f>'Group Totals'!DK101</f>
        <v>222.46875</v>
      </c>
      <c r="CA130" s="43">
        <v>217</v>
      </c>
      <c r="CB130" s="7">
        <f>'Group Totals'!DL101</f>
        <v>0</v>
      </c>
      <c r="CD130" s="43">
        <v>314</v>
      </c>
      <c r="CE130" s="7">
        <f>'Group Totals'!DM101</f>
        <v>0</v>
      </c>
      <c r="CG130" s="43">
        <v>334</v>
      </c>
      <c r="CH130" s="1447">
        <f>'Group Totals'!F101</f>
        <v>0.97529942868055419</v>
      </c>
      <c r="CJ130" s="69">
        <v>0.97</v>
      </c>
      <c r="CK130" s="1447">
        <f>'Group Totals'!D101</f>
        <v>1.4672883810493817E-2</v>
      </c>
      <c r="CL130" s="1470">
        <v>1.4999999999999999E-2</v>
      </c>
      <c r="CM130" s="1470"/>
      <c r="CN130" s="69">
        <f>'Group Totals'!CX101</f>
        <v>0.22347499896956596</v>
      </c>
      <c r="CO130" s="1363">
        <f t="shared" si="2"/>
        <v>52500.958630136985</v>
      </c>
    </row>
    <row r="131" spans="2:93" x14ac:dyDescent="0.25">
      <c r="B131" s="1445">
        <f>'Group Totals'!A102</f>
        <v>43831</v>
      </c>
      <c r="C131" s="1352">
        <f>'Group Totals'!AK102</f>
        <v>1071165</v>
      </c>
      <c r="D131" s="38">
        <f>'Group Totals'!CZ102</f>
        <v>-6.8068143643089329E-2</v>
      </c>
      <c r="E131" s="69">
        <f>'Group Totals'!CY102</f>
        <v>-1.6932031946525483E-2</v>
      </c>
      <c r="F131" s="69">
        <f t="shared" si="3"/>
        <v>0.05</v>
      </c>
      <c r="G131" s="69">
        <f t="shared" si="4"/>
        <v>-0.05</v>
      </c>
      <c r="H131" s="38">
        <f>'Group Totals'!AK102/'Group Totals'!I102</f>
        <v>0.20523853215702573</v>
      </c>
      <c r="I131" s="69">
        <v>0.2</v>
      </c>
      <c r="J131" s="69">
        <v>0</v>
      </c>
      <c r="K131" s="1446">
        <f>'Group Totals'!AT102</f>
        <v>27.425685536523542</v>
      </c>
      <c r="L131" s="1352">
        <v>30</v>
      </c>
      <c r="M131" s="1352">
        <v>0</v>
      </c>
      <c r="N131" s="1361">
        <f>'Group Totals'!CS102</f>
        <v>138.44420950322856</v>
      </c>
      <c r="O131" s="1352">
        <v>135</v>
      </c>
      <c r="P131" s="1352">
        <v>0</v>
      </c>
      <c r="Q131" s="337">
        <f>'Group Totals'!DC102</f>
        <v>5.0479762600230575</v>
      </c>
      <c r="S131" s="43">
        <v>4.5999999999999996</v>
      </c>
      <c r="T131" s="1352">
        <f>'Group Totals'!AV102</f>
        <v>15752.426470588236</v>
      </c>
      <c r="U131" s="1352">
        <v>14600</v>
      </c>
      <c r="W131" s="1352">
        <f>'Group Totals'!AW102</f>
        <v>8501.3095238095229</v>
      </c>
      <c r="X131" s="1352">
        <v>8500</v>
      </c>
      <c r="Z131" s="43">
        <f>'Group Totals'!AF102</f>
        <v>68</v>
      </c>
      <c r="AA131" s="43">
        <f>'Group Totals'!AE102</f>
        <v>126</v>
      </c>
      <c r="AB131" s="38">
        <f>'Group Totals'!AF102/'Group Totals'!AE102</f>
        <v>0.53968253968253965</v>
      </c>
      <c r="AD131" s="69">
        <v>0.65</v>
      </c>
      <c r="AE131" s="386">
        <f>'Group Totals'!AN102</f>
        <v>7737.16</v>
      </c>
      <c r="AF131" s="7">
        <f>'Group Totals'!BN102</f>
        <v>113.78176470588235</v>
      </c>
      <c r="AH131" s="43">
        <v>130</v>
      </c>
      <c r="AI131" s="1352">
        <f>'Group Totals'!BO102</f>
        <v>136.10006772510843</v>
      </c>
      <c r="AK131" s="1361">
        <f t="shared" si="0"/>
        <v>138.44420950322856</v>
      </c>
      <c r="AL131" s="1352">
        <f>'Group Totals'!BA102</f>
        <v>15485.705882352941</v>
      </c>
      <c r="AN131" s="1363">
        <f t="shared" si="1"/>
        <v>15752.426470588236</v>
      </c>
      <c r="AO131" s="7">
        <f>'Group Totals'!BC102</f>
        <v>574.36764705882354</v>
      </c>
      <c r="AR131" s="7">
        <f>'Group Totals'!BD102</f>
        <v>309.97619047619048</v>
      </c>
      <c r="AU131" s="1361">
        <f>'Group Totals'!AP102</f>
        <v>0.21045684252311925</v>
      </c>
      <c r="AV131" s="1446">
        <v>0.28999999999999998</v>
      </c>
      <c r="AX131" s="1352">
        <f>'Group Totals'!I102</f>
        <v>5219122.3</v>
      </c>
      <c r="AY131" s="94">
        <f>'Group Totals'!K102</f>
        <v>39057</v>
      </c>
      <c r="AZ131" s="94">
        <f>'Group Totals'!W102</f>
        <v>20816</v>
      </c>
      <c r="BA131" s="94">
        <f>'Group Totals'!Q102</f>
        <v>18241</v>
      </c>
      <c r="BB131" s="94">
        <f>'Group Totals'!AC102</f>
        <v>50058</v>
      </c>
      <c r="BC131" s="94">
        <f>'Group Totals'!AD102</f>
        <v>16445</v>
      </c>
      <c r="BD131" s="7">
        <f>'Group Totals'!DD102</f>
        <v>258.65562913907286</v>
      </c>
      <c r="BF131" s="43">
        <v>272</v>
      </c>
      <c r="BG131" s="7">
        <f>'Group Totals'!DE102</f>
        <v>133.30034129692834</v>
      </c>
      <c r="BI131" s="43">
        <v>142</v>
      </c>
      <c r="BJ131" s="7">
        <f>'Group Totals'!DF102</f>
        <v>185.85714285714286</v>
      </c>
      <c r="BL131" s="43">
        <v>248</v>
      </c>
      <c r="BM131" s="7">
        <f>'Group Totals'!DG102</f>
        <v>467.71794871794873</v>
      </c>
      <c r="BO131" s="43">
        <v>326</v>
      </c>
      <c r="BP131" s="7">
        <f>'Group Totals'!DH102</f>
        <v>0</v>
      </c>
      <c r="BR131" s="43">
        <v>545</v>
      </c>
      <c r="BS131" s="7">
        <f>'Group Totals'!DI102</f>
        <v>0</v>
      </c>
      <c r="BU131" s="43">
        <v>719</v>
      </c>
      <c r="BV131" s="7">
        <f>'Group Totals'!DJ102</f>
        <v>92.106194690265482</v>
      </c>
      <c r="BX131" s="43">
        <v>118</v>
      </c>
      <c r="BY131" s="7">
        <f>'Group Totals'!DK102</f>
        <v>272.25373134328356</v>
      </c>
      <c r="CA131" s="43">
        <v>217</v>
      </c>
      <c r="CB131" s="7">
        <f>'Group Totals'!DL102</f>
        <v>0</v>
      </c>
      <c r="CD131" s="43">
        <v>314</v>
      </c>
      <c r="CE131" s="7">
        <f>'Group Totals'!DM102</f>
        <v>0</v>
      </c>
      <c r="CG131" s="43">
        <v>334</v>
      </c>
      <c r="CH131" s="1447">
        <f>'Group Totals'!F102</f>
        <v>0.97824330403309201</v>
      </c>
      <c r="CJ131" s="69">
        <v>0.97</v>
      </c>
      <c r="CK131" s="1447">
        <f>'Group Totals'!D102</f>
        <v>1.4122285418821096E-2</v>
      </c>
      <c r="CL131" s="1470">
        <v>1.4999999999999999E-2</v>
      </c>
      <c r="CM131" s="1470"/>
      <c r="CN131" s="69">
        <f>'Group Totals'!CX102</f>
        <v>0.22026984029912705</v>
      </c>
      <c r="CO131" s="1363">
        <f t="shared" si="2"/>
        <v>76751.798529411768</v>
      </c>
    </row>
    <row r="132" spans="2:93" x14ac:dyDescent="0.25">
      <c r="B132" s="1445">
        <f>'Group Totals'!A103</f>
        <v>43862</v>
      </c>
      <c r="C132" s="1352">
        <f>'Group Totals'!AK103</f>
        <v>1058618</v>
      </c>
      <c r="D132" s="38">
        <f>'Group Totals'!CZ103</f>
        <v>-7.8795406253976963E-2</v>
      </c>
      <c r="E132" s="69">
        <f>'Group Totals'!CY103</f>
        <v>-2.9436491727894309E-2</v>
      </c>
      <c r="F132" s="69">
        <f t="shared" si="3"/>
        <v>0.05</v>
      </c>
      <c r="G132" s="69">
        <f t="shared" si="4"/>
        <v>-0.05</v>
      </c>
      <c r="H132" s="38">
        <f>'Group Totals'!AK103/'Group Totals'!I103</f>
        <v>0.21179179526374056</v>
      </c>
      <c r="I132" s="69">
        <v>0.2</v>
      </c>
      <c r="J132" s="69">
        <v>0</v>
      </c>
      <c r="K132" s="1446">
        <f>'Group Totals'!AT103</f>
        <v>31.585451724549468</v>
      </c>
      <c r="L132" s="1352">
        <v>30</v>
      </c>
      <c r="M132" s="1352">
        <v>0</v>
      </c>
      <c r="N132" s="1361">
        <f>'Group Totals'!CS103</f>
        <v>148.59298062400691</v>
      </c>
      <c r="O132" s="1352">
        <v>135</v>
      </c>
      <c r="P132" s="1352">
        <v>0</v>
      </c>
      <c r="Q132" s="337">
        <f>'Group Totals'!DC103</f>
        <v>4.70447539961933</v>
      </c>
      <c r="S132" s="43">
        <v>4.5999999999999996</v>
      </c>
      <c r="T132" s="1352">
        <f>'Group Totals'!AV103</f>
        <v>16286.430769230768</v>
      </c>
      <c r="U132" s="1352">
        <v>14600</v>
      </c>
      <c r="W132" s="1352">
        <f>'Group Totals'!AW103</f>
        <v>8748.9090909090901</v>
      </c>
      <c r="X132" s="1352">
        <v>8500</v>
      </c>
      <c r="Z132" s="43">
        <f>'Group Totals'!AF103</f>
        <v>65</v>
      </c>
      <c r="AA132" s="43">
        <f>'Group Totals'!AE103</f>
        <v>121</v>
      </c>
      <c r="AB132" s="38">
        <f>'Group Totals'!AF103/'Group Totals'!AE103</f>
        <v>0.53719008264462809</v>
      </c>
      <c r="AD132" s="69">
        <v>0.65</v>
      </c>
      <c r="AE132" s="386">
        <f>'Group Totals'!AN103</f>
        <v>7124.28</v>
      </c>
      <c r="AF132" s="7">
        <f>'Group Totals'!BN103</f>
        <v>109.60430769230769</v>
      </c>
      <c r="AH132" s="43">
        <v>130</v>
      </c>
      <c r="AI132" s="1352">
        <f>'Group Totals'!BO103</f>
        <v>144.21892457904519</v>
      </c>
      <c r="AK132" s="1361">
        <f t="shared" si="0"/>
        <v>148.59298062400691</v>
      </c>
      <c r="AL132" s="1352">
        <f>'Group Totals'!BA103</f>
        <v>15807.015384615384</v>
      </c>
      <c r="AN132" s="1363">
        <f t="shared" si="1"/>
        <v>16286.430769230768</v>
      </c>
      <c r="AO132" s="7">
        <f>'Group Totals'!BC103</f>
        <v>515.63076923076926</v>
      </c>
      <c r="AR132" s="7">
        <f>'Group Totals'!BD103</f>
        <v>276.9917355371901</v>
      </c>
      <c r="AU132" s="1361">
        <f>'Group Totals'!AP103</f>
        <v>9.5750831001575859E-2</v>
      </c>
      <c r="AV132" s="1446">
        <v>0.28999999999999998</v>
      </c>
      <c r="AX132" s="1352">
        <f>'Group Totals'!I103</f>
        <v>4998390.04</v>
      </c>
      <c r="AY132" s="94">
        <f>'Group Totals'!K103</f>
        <v>33516</v>
      </c>
      <c r="AZ132" s="94">
        <f>'Group Totals'!W103</f>
        <v>18454</v>
      </c>
      <c r="BA132" s="94">
        <f>'Group Totals'!Q103</f>
        <v>15062</v>
      </c>
      <c r="BB132" s="94">
        <f>'Group Totals'!AC103</f>
        <v>46023</v>
      </c>
      <c r="BC132" s="94">
        <f>'Group Totals'!AD103</f>
        <v>13516</v>
      </c>
      <c r="BD132" s="7">
        <f>'Group Totals'!DD103</f>
        <v>193.73410404624278</v>
      </c>
      <c r="BF132" s="43">
        <v>272</v>
      </c>
      <c r="BG132" s="7">
        <f>'Group Totals'!DE103</f>
        <v>110.61386138613861</v>
      </c>
      <c r="BI132" s="43">
        <v>142</v>
      </c>
      <c r="BJ132" s="7">
        <f>'Group Totals'!DF103</f>
        <v>139.80303030303031</v>
      </c>
      <c r="BL132" s="43">
        <v>248</v>
      </c>
      <c r="BM132" s="7">
        <f>'Group Totals'!DG103</f>
        <v>367.36585365853659</v>
      </c>
      <c r="BO132" s="43">
        <v>326</v>
      </c>
      <c r="BP132" s="7">
        <f>'Group Totals'!DH103</f>
        <v>0</v>
      </c>
      <c r="BR132" s="43">
        <v>545</v>
      </c>
      <c r="BS132" s="7">
        <f>'Group Totals'!DI103</f>
        <v>0</v>
      </c>
      <c r="BU132" s="43">
        <v>719</v>
      </c>
      <c r="BV132" s="7">
        <f>'Group Totals'!DJ103</f>
        <v>76.572614107883822</v>
      </c>
      <c r="BX132" s="43">
        <v>118</v>
      </c>
      <c r="BY132" s="7">
        <f>'Group Totals'!DK103</f>
        <v>242.93548387096774</v>
      </c>
      <c r="CA132" s="43">
        <v>217</v>
      </c>
      <c r="CB132" s="7">
        <f>'Group Totals'!DL103</f>
        <v>0</v>
      </c>
      <c r="CD132" s="43">
        <v>314</v>
      </c>
      <c r="CE132" s="7">
        <f>'Group Totals'!DM103</f>
        <v>0</v>
      </c>
      <c r="CG132" s="43">
        <v>334</v>
      </c>
      <c r="CH132" s="1447">
        <f>'Group Totals'!F103</f>
        <v>0.97413117563813623</v>
      </c>
      <c r="CJ132" s="69">
        <v>0.97</v>
      </c>
      <c r="CK132" s="1447">
        <f>'Group Totals'!D103</f>
        <v>1.5842025263378585E-2</v>
      </c>
      <c r="CL132" s="1470">
        <v>1.4999999999999999E-2</v>
      </c>
      <c r="CM132" s="1470"/>
      <c r="CN132" s="69">
        <f>'Group Totals'!CX103</f>
        <v>0.22436459290439231</v>
      </c>
      <c r="CO132" s="1363">
        <f t="shared" si="2"/>
        <v>76898.308307692307</v>
      </c>
    </row>
    <row r="133" spans="2:93" ht="15.75" thickBot="1" x14ac:dyDescent="0.3">
      <c r="B133" s="1445">
        <f>'Group Totals'!A104</f>
        <v>43891</v>
      </c>
      <c r="C133" s="1352">
        <f>'Group Totals'!AK104</f>
        <v>1101807</v>
      </c>
      <c r="D133" s="38">
        <f>'Group Totals'!CZ104</f>
        <v>-0.10528099170996319</v>
      </c>
      <c r="E133" s="69">
        <f>'Group Totals'!CY104</f>
        <v>-0.26404442883372492</v>
      </c>
      <c r="F133" s="69">
        <f t="shared" si="3"/>
        <v>0.05</v>
      </c>
      <c r="G133" s="69">
        <f t="shared" si="4"/>
        <v>-0.05</v>
      </c>
      <c r="H133" s="38">
        <f>'Group Totals'!AK104/'Group Totals'!I104</f>
        <v>0.28592993110710258</v>
      </c>
      <c r="I133" s="69">
        <v>0.2</v>
      </c>
      <c r="J133" s="69">
        <v>0</v>
      </c>
      <c r="K133" s="1446">
        <f>'Group Totals'!AT104</f>
        <v>35.854441913439636</v>
      </c>
      <c r="L133" s="1352">
        <v>30</v>
      </c>
      <c r="M133" s="1352">
        <v>0</v>
      </c>
      <c r="N133" s="1361">
        <f>'Group Totals'!CS104</f>
        <v>193.28001004811094</v>
      </c>
      <c r="O133" s="1352">
        <v>135</v>
      </c>
      <c r="P133" s="1352">
        <v>0</v>
      </c>
      <c r="Q133" s="337">
        <f>'Group Totals'!DC104</f>
        <v>5.3906852187165706</v>
      </c>
      <c r="S133" s="43">
        <v>4.5999999999999996</v>
      </c>
      <c r="T133" s="1352">
        <f>'Group Totals'!AV104</f>
        <v>17215.734375</v>
      </c>
      <c r="U133" s="1352">
        <v>14600</v>
      </c>
      <c r="W133" s="1352">
        <f>'Group Totals'!AW104</f>
        <v>9258.8823529411766</v>
      </c>
      <c r="X133" s="1352">
        <v>8500</v>
      </c>
      <c r="Z133" s="43">
        <f>'Group Totals'!AF104</f>
        <v>64</v>
      </c>
      <c r="AA133" s="43">
        <f>'Group Totals'!AE104</f>
        <v>119</v>
      </c>
      <c r="AB133" s="38">
        <f>'Group Totals'!AF104/'Group Totals'!AE104</f>
        <v>0.53781512605042014</v>
      </c>
      <c r="AD133" s="69">
        <v>0.65</v>
      </c>
      <c r="AE133" s="386">
        <f>'Group Totals'!AN104</f>
        <v>5700.5740000000005</v>
      </c>
      <c r="AF133" s="7">
        <f>'Group Totals'!BN104</f>
        <v>89.071468750000008</v>
      </c>
      <c r="AH133" s="43">
        <v>130</v>
      </c>
      <c r="AI133" s="1352">
        <f>'Group Totals'!BO104</f>
        <v>142.24550018998085</v>
      </c>
      <c r="AK133" s="1361">
        <f t="shared" si="0"/>
        <v>193.28001004811094</v>
      </c>
      <c r="AL133" s="1352">
        <f>'Group Totals'!BA104</f>
        <v>12670.015625</v>
      </c>
      <c r="AN133" s="1363">
        <f t="shared" si="1"/>
        <v>17215.734375</v>
      </c>
      <c r="AO133" s="7">
        <f>'Group Totals'!BC104</f>
        <v>480.15625</v>
      </c>
      <c r="AR133" s="7">
        <f>'Group Totals'!BD104</f>
        <v>258.23529411764707</v>
      </c>
      <c r="AU133" s="1361">
        <f>'Group Totals'!AP104</f>
        <v>0.75522599285345793</v>
      </c>
      <c r="AV133" s="1446">
        <v>0.28999999999999998</v>
      </c>
      <c r="AX133" s="1352">
        <f>'Group Totals'!I104</f>
        <v>3853416.1</v>
      </c>
      <c r="AY133" s="94">
        <f>'Group Totals'!K104</f>
        <v>30730</v>
      </c>
      <c r="AZ133" s="94">
        <f>'Group Totals'!W104</f>
        <v>14246</v>
      </c>
      <c r="BA133" s="94">
        <f>'Group Totals'!Q104</f>
        <v>16484</v>
      </c>
      <c r="BB133" s="94">
        <f>'Group Totals'!AC104</f>
        <v>54126</v>
      </c>
      <c r="BC133" s="94">
        <f>'Group Totals'!AD104</f>
        <v>21103</v>
      </c>
      <c r="BD133" s="7">
        <f>'Group Totals'!DD104</f>
        <v>199.54545454545453</v>
      </c>
      <c r="BF133" s="43">
        <v>272</v>
      </c>
      <c r="BG133" s="7">
        <f>'Group Totals'!DE104</f>
        <v>109.35943060498221</v>
      </c>
      <c r="BI133" s="43">
        <v>142</v>
      </c>
      <c r="BJ133" s="7">
        <f>'Group Totals'!DF104</f>
        <v>127.19642857142857</v>
      </c>
      <c r="BL133" s="43">
        <v>248</v>
      </c>
      <c r="BM133" s="7">
        <f>'Group Totals'!DG104</f>
        <v>392.47619047619048</v>
      </c>
      <c r="BO133" s="43">
        <v>326</v>
      </c>
      <c r="BP133" s="7">
        <f>'Group Totals'!DH104</f>
        <v>0</v>
      </c>
      <c r="BR133" s="43">
        <v>545</v>
      </c>
      <c r="BS133" s="7">
        <f>'Group Totals'!DI104</f>
        <v>0</v>
      </c>
      <c r="BU133" s="43">
        <v>719</v>
      </c>
      <c r="BV133" s="7">
        <f>'Group Totals'!DJ104</f>
        <v>66.882629107981217</v>
      </c>
      <c r="BX133" s="43">
        <v>118</v>
      </c>
      <c r="BY133" s="7">
        <f>'Group Totals'!DK104</f>
        <v>242.41176470588235</v>
      </c>
      <c r="CA133" s="43">
        <v>217</v>
      </c>
      <c r="CB133" s="7">
        <f>'Group Totals'!DL104</f>
        <v>0</v>
      </c>
      <c r="CD133" s="43">
        <v>314</v>
      </c>
      <c r="CE133" s="7">
        <f>'Group Totals'!DM104</f>
        <v>0</v>
      </c>
      <c r="CG133" s="43">
        <v>334</v>
      </c>
      <c r="CH133" s="1447">
        <f>'Group Totals'!F104</f>
        <v>0.97694650645505499</v>
      </c>
      <c r="CJ133" s="69">
        <v>0.97</v>
      </c>
      <c r="CK133" s="1447">
        <f>'Group Totals'!D104</f>
        <v>1.3826893307483054E-2</v>
      </c>
      <c r="CL133" s="1470">
        <v>1.4999999999999999E-2</v>
      </c>
      <c r="CM133" s="1470"/>
      <c r="CN133" s="69">
        <f>'Group Totals'!CX104</f>
        <v>0.22058139327727261</v>
      </c>
      <c r="CO133" s="1363">
        <f t="shared" si="2"/>
        <v>60209.626562500001</v>
      </c>
    </row>
    <row r="134" spans="2:93" s="1464" customFormat="1" ht="15.75" thickBot="1" x14ac:dyDescent="0.3">
      <c r="B134" s="1457">
        <f>'Group Totals'!A105</f>
        <v>43922</v>
      </c>
      <c r="C134" s="1458">
        <f>'Group Totals'!AK105</f>
        <v>1024467</v>
      </c>
      <c r="D134" s="1459">
        <f>'Group Totals'!CZ105</f>
        <v>-0.27449816194709276</v>
      </c>
      <c r="E134" s="1460">
        <f>'Group Totals'!CY105</f>
        <v>-0.53897197274289943</v>
      </c>
      <c r="F134" s="1460">
        <f t="shared" si="3"/>
        <v>0.05</v>
      </c>
      <c r="G134" s="1460">
        <f t="shared" si="4"/>
        <v>-0.05</v>
      </c>
      <c r="H134" s="1459">
        <f>'Group Totals'!AK105/'Group Totals'!I105</f>
        <v>0.44317548887983893</v>
      </c>
      <c r="I134" s="1460">
        <v>0.2</v>
      </c>
      <c r="J134" s="1460">
        <v>0</v>
      </c>
      <c r="K134" s="1461">
        <f>'Group Totals'!AT105</f>
        <v>122.1057210965435</v>
      </c>
      <c r="L134" s="1458">
        <v>30</v>
      </c>
      <c r="M134" s="1458">
        <v>0</v>
      </c>
      <c r="N134" s="1462">
        <f>'Group Totals'!CS105</f>
        <v>341.91205918790183</v>
      </c>
      <c r="O134" s="1458">
        <v>135</v>
      </c>
      <c r="P134" s="1458">
        <v>0</v>
      </c>
      <c r="Q134" s="1463">
        <f>'Group Totals'!DC105</f>
        <v>2.8001313625392488</v>
      </c>
      <c r="S134" s="1464">
        <v>4.5999999999999996</v>
      </c>
      <c r="T134" s="1458">
        <f>'Group Totals'!AV105</f>
        <v>16523.66129032258</v>
      </c>
      <c r="U134" s="1458">
        <v>14600</v>
      </c>
      <c r="W134" s="1458">
        <f>'Group Totals'!AW105</f>
        <v>8756.1282051282051</v>
      </c>
      <c r="X134" s="1458">
        <v>8500</v>
      </c>
      <c r="Z134" s="1464">
        <f>'Group Totals'!AF105</f>
        <v>62</v>
      </c>
      <c r="AA134" s="1464">
        <f>'Group Totals'!AE105</f>
        <v>117</v>
      </c>
      <c r="AB134" s="1459">
        <f>'Group Totals'!AF105/'Group Totals'!AE105</f>
        <v>0.52991452991452992</v>
      </c>
      <c r="AD134" s="1460">
        <v>0.65</v>
      </c>
      <c r="AE134" s="1465">
        <f>'Group Totals'!AN105</f>
        <v>2996.288</v>
      </c>
      <c r="AF134" s="1466">
        <f>'Group Totals'!BN105</f>
        <v>48.327225806451615</v>
      </c>
      <c r="AH134" s="1464">
        <v>130</v>
      </c>
      <c r="AI134" s="1458">
        <f>'Group Totals'!BO105</f>
        <v>157.63104214281137</v>
      </c>
      <c r="AK134" s="1462">
        <f t="shared" si="0"/>
        <v>341.91205918790183</v>
      </c>
      <c r="AL134" s="1458">
        <f>'Group Totals'!BA105</f>
        <v>7617.8709677419356</v>
      </c>
      <c r="AN134" s="1467">
        <f t="shared" si="1"/>
        <v>16523.66129032258</v>
      </c>
      <c r="AO134" s="1466">
        <f>'Group Totals'!BC105</f>
        <v>135.32258064516128</v>
      </c>
      <c r="AR134" s="1466">
        <f>'Group Totals'!BD105</f>
        <v>71.709401709401703</v>
      </c>
      <c r="AU134" s="1462">
        <f>'Group Totals'!AP105</f>
        <v>0.18233722371033143</v>
      </c>
      <c r="AV134" s="1461">
        <v>0.28999999999999998</v>
      </c>
      <c r="AX134" s="1458">
        <f>'Group Totals'!I105</f>
        <v>2311650.86</v>
      </c>
      <c r="AY134" s="1468">
        <f>'Group Totals'!K105</f>
        <v>8390</v>
      </c>
      <c r="AZ134" s="1468">
        <f>'Group Totals'!W105</f>
        <v>2666</v>
      </c>
      <c r="BA134" s="1468">
        <f>'Group Totals'!Q105</f>
        <v>5724</v>
      </c>
      <c r="BB134" s="1468">
        <f>'Group Totals'!AC105</f>
        <v>7734</v>
      </c>
      <c r="BC134" s="1468">
        <f>'Group Totals'!AD105</f>
        <v>3349</v>
      </c>
      <c r="BD134" s="1466">
        <f>'Group Totals'!DD105</f>
        <v>204.63414634146341</v>
      </c>
      <c r="BF134" s="1464">
        <v>272</v>
      </c>
      <c r="BG134" s="1466">
        <f>'Group Totals'!DE105</f>
        <v>149.82142857142858</v>
      </c>
      <c r="BI134" s="1464">
        <v>142</v>
      </c>
      <c r="BJ134" s="1466">
        <f>'Group Totals'!DF105</f>
        <v>148.11111111111111</v>
      </c>
      <c r="BL134" s="1464">
        <v>248</v>
      </c>
      <c r="BM134" s="1466">
        <f>'Group Totals'!DG105</f>
        <v>248.86956521739131</v>
      </c>
      <c r="BO134" s="1464">
        <v>326</v>
      </c>
      <c r="BP134" s="1466">
        <f>'Group Totals'!DH105</f>
        <v>0</v>
      </c>
      <c r="BR134" s="1464">
        <v>545</v>
      </c>
      <c r="BS134" s="1466">
        <f>'Group Totals'!DI105</f>
        <v>0</v>
      </c>
      <c r="BU134" s="1464">
        <v>719</v>
      </c>
      <c r="BV134" s="1466">
        <f>'Group Totals'!DJ105</f>
        <v>95.214285714285708</v>
      </c>
      <c r="BX134" s="1464">
        <v>118</v>
      </c>
      <c r="BY134" s="1466">
        <f>'Group Totals'!DK105</f>
        <v>204.42857142857142</v>
      </c>
      <c r="CA134" s="1464">
        <v>217</v>
      </c>
      <c r="CB134" s="1466">
        <f>'Group Totals'!DL105</f>
        <v>0</v>
      </c>
      <c r="CD134" s="1464">
        <v>314</v>
      </c>
      <c r="CE134" s="1466">
        <f>'Group Totals'!DM105</f>
        <v>0</v>
      </c>
      <c r="CG134" s="1464">
        <v>334</v>
      </c>
      <c r="CH134" s="1469">
        <f>'Group Totals'!F105</f>
        <v>0.97733522515044613</v>
      </c>
      <c r="CJ134" s="1460">
        <v>0.97</v>
      </c>
      <c r="CK134" s="1469">
        <f>'Group Totals'!D105</f>
        <v>1.2087570035277028E-2</v>
      </c>
      <c r="CL134" s="1542">
        <v>1.4999999999999999E-2</v>
      </c>
      <c r="CM134" s="1542"/>
      <c r="CN134" s="1460">
        <f>'Group Totals'!CX105</f>
        <v>0.28947932526635789</v>
      </c>
      <c r="CO134" s="1467">
        <f t="shared" si="2"/>
        <v>37284.691290322582</v>
      </c>
    </row>
    <row r="135" spans="2:93" x14ac:dyDescent="0.25">
      <c r="B135" s="1445">
        <f>'Group Totals'!A106</f>
        <v>43952</v>
      </c>
      <c r="C135" s="1352">
        <f>'Group Totals'!AK106</f>
        <v>976563</v>
      </c>
      <c r="D135" s="38">
        <f>'Group Totals'!CZ106</f>
        <v>-0.16830693974578748</v>
      </c>
      <c r="E135" s="69">
        <f>'Group Totals'!CY106</f>
        <v>0.32855637577913566</v>
      </c>
      <c r="F135" s="69">
        <f t="shared" si="3"/>
        <v>0.05</v>
      </c>
      <c r="G135" s="69">
        <f t="shared" si="4"/>
        <v>-0.05</v>
      </c>
      <c r="H135" s="38">
        <f>'Group Totals'!AK106/'Group Totals'!I106</f>
        <v>0.1590816897899181</v>
      </c>
      <c r="I135" s="69">
        <v>0.2</v>
      </c>
      <c r="J135" s="69">
        <v>0</v>
      </c>
      <c r="K135" s="1446">
        <f>'Group Totals'!AT106</f>
        <v>26.450069066384984</v>
      </c>
      <c r="L135" s="1352">
        <v>30</v>
      </c>
      <c r="M135" s="1352">
        <v>0</v>
      </c>
      <c r="N135" s="1361">
        <f>'Group Totals'!CS106</f>
        <v>119.75025864509823</v>
      </c>
      <c r="O135" s="1352">
        <v>135</v>
      </c>
      <c r="P135" s="1352">
        <v>0</v>
      </c>
      <c r="Q135" s="337">
        <f>'Group Totals'!DC106</f>
        <v>4.5274081645891471</v>
      </c>
      <c r="S135" s="43">
        <v>4.5999999999999996</v>
      </c>
      <c r="T135" s="1352">
        <f>'Group Totals'!AV106</f>
        <v>14796.40909090909</v>
      </c>
      <c r="U135" s="1352">
        <v>14600</v>
      </c>
      <c r="W135" s="1352">
        <f>'Group Totals'!AW106</f>
        <v>8275.9576271186434</v>
      </c>
      <c r="X135" s="1352">
        <v>8500</v>
      </c>
      <c r="Z135" s="43">
        <f>'Group Totals'!AF106</f>
        <v>66</v>
      </c>
      <c r="AA135" s="43">
        <f>'Group Totals'!AE106</f>
        <v>118</v>
      </c>
      <c r="AB135" s="38">
        <f>'Group Totals'!AF106/'Group Totals'!AE106</f>
        <v>0.55932203389830504</v>
      </c>
      <c r="AD135" s="69">
        <v>0.65</v>
      </c>
      <c r="AE135" s="386">
        <f>'Group Totals'!AN106</f>
        <v>8154.9969999999994</v>
      </c>
      <c r="AF135" s="7">
        <f>'Group Totals'!BN106</f>
        <v>123.56056060606059</v>
      </c>
      <c r="AH135" s="43">
        <v>130</v>
      </c>
      <c r="AI135" s="1352">
        <f>'Group Totals'!BO106</f>
        <v>159.09496962414579</v>
      </c>
      <c r="AK135" s="1361">
        <f t="shared" si="0"/>
        <v>119.75025864509823</v>
      </c>
      <c r="AL135" s="1352">
        <f>'Group Totals'!BA106</f>
        <v>19657.863636363636</v>
      </c>
      <c r="AN135" s="1363">
        <f t="shared" si="1"/>
        <v>14796.40909090909</v>
      </c>
      <c r="AO135" s="7">
        <f>'Group Totals'!BC106</f>
        <v>559.40909090909088</v>
      </c>
      <c r="AR135" s="7">
        <f>'Group Totals'!BD106</f>
        <v>312.88983050847457</v>
      </c>
      <c r="AU135" s="1361">
        <f>'Group Totals'!AP106</f>
        <v>0.20108322543110368</v>
      </c>
      <c r="AV135" s="1446">
        <v>0.28999999999999998</v>
      </c>
      <c r="AX135" s="1352">
        <f>'Group Totals'!I106</f>
        <v>6138751.7400000002</v>
      </c>
      <c r="AY135" s="94">
        <f>'Group Totals'!K106</f>
        <v>36921</v>
      </c>
      <c r="AZ135" s="94">
        <f>'Group Totals'!W106</f>
        <v>20053</v>
      </c>
      <c r="BA135" s="94">
        <f>'Group Totals'!Q106</f>
        <v>16868</v>
      </c>
      <c r="BB135" s="94">
        <f>'Group Totals'!AC106</f>
        <v>46990</v>
      </c>
      <c r="BC135" s="94">
        <f>'Group Totals'!AD106</f>
        <v>18279</v>
      </c>
      <c r="BD135" s="7">
        <f>'Group Totals'!DD106</f>
        <v>226.50920245398774</v>
      </c>
      <c r="BF135" s="43">
        <v>272</v>
      </c>
      <c r="BG135" s="7">
        <f>'Group Totals'!DE106</f>
        <v>127.31379310344828</v>
      </c>
      <c r="BI135" s="43">
        <v>142</v>
      </c>
      <c r="BJ135" s="7">
        <f>'Group Totals'!DF106</f>
        <v>179.04464285714286</v>
      </c>
      <c r="BL135" s="43">
        <v>248</v>
      </c>
      <c r="BM135" s="7">
        <f>'Group Totals'!DG106</f>
        <v>330.74509803921569</v>
      </c>
      <c r="BO135" s="43">
        <v>326</v>
      </c>
      <c r="BP135" s="7">
        <f>'Group Totals'!DH106</f>
        <v>0</v>
      </c>
      <c r="BR135" s="43">
        <v>545</v>
      </c>
      <c r="BS135" s="7">
        <f>'Group Totals'!DI106</f>
        <v>0</v>
      </c>
      <c r="BU135" s="43">
        <v>719</v>
      </c>
      <c r="BV135" s="7">
        <f>'Group Totals'!DJ106</f>
        <v>96.40865384615384</v>
      </c>
      <c r="BX135" s="43">
        <v>118</v>
      </c>
      <c r="BY135" s="7">
        <f>'Group Totals'!DK106</f>
        <v>205.70731707317074</v>
      </c>
      <c r="CA135" s="43">
        <v>217</v>
      </c>
      <c r="CB135" s="7">
        <f>'Group Totals'!DL106</f>
        <v>0</v>
      </c>
      <c r="CD135" s="43">
        <v>314</v>
      </c>
      <c r="CE135" s="7">
        <f>'Group Totals'!DM106</f>
        <v>0</v>
      </c>
      <c r="CG135" s="43">
        <v>334</v>
      </c>
      <c r="CH135" s="1447">
        <f>'Group Totals'!F106</f>
        <v>0.97552471520215522</v>
      </c>
      <c r="CJ135" s="69">
        <v>0.97</v>
      </c>
      <c r="CK135" s="1447">
        <f>'Group Totals'!D106</f>
        <v>1.4998972673104582E-2</v>
      </c>
      <c r="CL135" s="1470">
        <v>1.4999999999999999E-2</v>
      </c>
      <c r="CM135" s="1470"/>
      <c r="CN135" s="69">
        <f>'Group Totals'!CX106</f>
        <v>0.25885394426366182</v>
      </c>
      <c r="CO135" s="1363">
        <f t="shared" si="2"/>
        <v>93011.39</v>
      </c>
    </row>
    <row r="136" spans="2:93" x14ac:dyDescent="0.25">
      <c r="B136" s="1445">
        <f>'Group Totals'!A107</f>
        <v>43983</v>
      </c>
      <c r="C136" s="1352">
        <f>'Group Totals'!AK107</f>
        <v>1207469</v>
      </c>
      <c r="D136" s="38">
        <f>'Group Totals'!CZ107</f>
        <v>-3.7578319332497889E-2</v>
      </c>
      <c r="E136" s="69">
        <f>'Group Totals'!CY107</f>
        <v>9.1706702201050261E-2</v>
      </c>
      <c r="F136" s="69">
        <f t="shared" si="3"/>
        <v>0.05</v>
      </c>
      <c r="G136" s="69">
        <f t="shared" si="4"/>
        <v>-0.05</v>
      </c>
      <c r="H136" s="38">
        <f>'Group Totals'!AK107/'Group Totals'!I107</f>
        <v>0.18775909865854926</v>
      </c>
      <c r="I136" s="69">
        <v>0.2</v>
      </c>
      <c r="J136" s="69">
        <v>0</v>
      </c>
      <c r="K136" s="1446">
        <f>'Group Totals'!AT107</f>
        <v>25.243430267806744</v>
      </c>
      <c r="L136" s="1352">
        <v>30</v>
      </c>
      <c r="M136" s="1352">
        <v>0</v>
      </c>
      <c r="N136" s="1361">
        <f>'Group Totals'!CS107</f>
        <v>134.64194915254237</v>
      </c>
      <c r="O136" s="1352">
        <v>135</v>
      </c>
      <c r="P136" s="1352">
        <v>0</v>
      </c>
      <c r="Q136" s="337">
        <f>'Group Totals'!DC107</f>
        <v>5.3337421944692238</v>
      </c>
      <c r="S136" s="43">
        <v>4.5999999999999996</v>
      </c>
      <c r="T136" s="1352">
        <f>'Group Totals'!AV107</f>
        <v>15681.415584415585</v>
      </c>
      <c r="U136" s="1352">
        <v>14600</v>
      </c>
      <c r="W136" s="1352">
        <f>'Group Totals'!AW107</f>
        <v>9433.3515625</v>
      </c>
      <c r="X136" s="1352">
        <v>8500</v>
      </c>
      <c r="Z136" s="43">
        <f>'Group Totals'!AF107</f>
        <v>77</v>
      </c>
      <c r="AA136" s="43">
        <f>'Group Totals'!AE107</f>
        <v>128</v>
      </c>
      <c r="AB136" s="38">
        <f>'Group Totals'!AF107/'Group Totals'!AE107</f>
        <v>0.6015625</v>
      </c>
      <c r="AD136" s="69">
        <v>0.65</v>
      </c>
      <c r="AE136" s="386">
        <f>'Group Totals'!AN107</f>
        <v>8968</v>
      </c>
      <c r="AF136" s="7">
        <f>'Group Totals'!BN107</f>
        <v>116.46753246753246</v>
      </c>
      <c r="AH136" s="43">
        <v>130</v>
      </c>
      <c r="AI136" s="1352">
        <f>'Group Totals'!BO107</f>
        <v>146.98951828724353</v>
      </c>
      <c r="AK136" s="1361">
        <f t="shared" si="0"/>
        <v>134.64194915254237</v>
      </c>
      <c r="AL136" s="1352">
        <f>'Group Totals'!BA107</f>
        <v>17119.506493506495</v>
      </c>
      <c r="AN136" s="1363">
        <f t="shared" si="1"/>
        <v>15681.415584415585</v>
      </c>
      <c r="AO136" s="7">
        <f>'Group Totals'!BC107</f>
        <v>621.20779220779218</v>
      </c>
      <c r="AR136" s="7">
        <f>'Group Totals'!BD107</f>
        <v>373.6953125</v>
      </c>
      <c r="AU136" s="1361">
        <f>'Group Totals'!AP107</f>
        <v>0.25116048209377528</v>
      </c>
      <c r="AV136" s="1446">
        <v>0.28999999999999998</v>
      </c>
      <c r="AX136" s="1352">
        <f>'Group Totals'!I107</f>
        <v>6430948</v>
      </c>
      <c r="AY136" s="94">
        <f>'Group Totals'!K107</f>
        <v>47833</v>
      </c>
      <c r="AZ136" s="94">
        <f>'Group Totals'!W107</f>
        <v>21176</v>
      </c>
      <c r="BA136" s="94">
        <f>'Group Totals'!Q107</f>
        <v>26657</v>
      </c>
      <c r="BB136" s="94">
        <f>'Group Totals'!AC107</f>
        <v>61357</v>
      </c>
      <c r="BC136" s="94">
        <f>'Group Totals'!AD107</f>
        <v>21124</v>
      </c>
      <c r="BD136" s="7">
        <f>'Group Totals'!DD107</f>
        <v>254.43085106382978</v>
      </c>
      <c r="BF136" s="43">
        <v>272</v>
      </c>
      <c r="BG136" s="7">
        <f>'Group Totals'!DE107</f>
        <v>137.45114942528735</v>
      </c>
      <c r="BI136" s="43">
        <v>142</v>
      </c>
      <c r="BJ136" s="7">
        <f>'Group Totals'!DF107</f>
        <v>164.15503875968992</v>
      </c>
      <c r="BL136" s="43">
        <v>248</v>
      </c>
      <c r="BM136" s="7">
        <f>'Group Totals'!DG107</f>
        <v>451.81355932203388</v>
      </c>
      <c r="BO136" s="43">
        <v>326</v>
      </c>
      <c r="BP136" s="7">
        <f>'Group Totals'!DH107</f>
        <v>0</v>
      </c>
      <c r="BR136" s="43">
        <v>545</v>
      </c>
      <c r="BS136" s="7">
        <f>'Group Totals'!DI107</f>
        <v>704.13333333333333</v>
      </c>
      <c r="BU136" s="43">
        <v>719</v>
      </c>
      <c r="BV136" s="7">
        <f>'Group Totals'!DJ107</f>
        <v>88.60251046025104</v>
      </c>
      <c r="BX136" s="43">
        <v>118</v>
      </c>
      <c r="BY136" s="7">
        <f>'Group Totals'!DK107</f>
        <v>244.55963302752295</v>
      </c>
      <c r="CA136" s="43">
        <v>217</v>
      </c>
      <c r="CB136" s="7">
        <f>'Group Totals'!DL107</f>
        <v>0</v>
      </c>
      <c r="CD136" s="43">
        <v>314</v>
      </c>
      <c r="CE136" s="7">
        <f>'Group Totals'!DM107</f>
        <v>391.18518518518516</v>
      </c>
      <c r="CG136" s="43">
        <v>334</v>
      </c>
      <c r="CH136" s="1447">
        <f>'Group Totals'!F107</f>
        <v>0.9760860864472739</v>
      </c>
      <c r="CJ136" s="69">
        <v>0.97</v>
      </c>
      <c r="CK136" s="1447">
        <f>'Group Totals'!D107</f>
        <v>1.4168587297389202E-2</v>
      </c>
      <c r="CL136" s="1470">
        <v>1.4999999999999999E-2</v>
      </c>
      <c r="CM136" s="1470"/>
      <c r="CN136" s="69">
        <f>'Group Totals'!CX107</f>
        <v>0.20850506673769248</v>
      </c>
      <c r="CO136" s="1363">
        <f t="shared" si="2"/>
        <v>83518.805194805202</v>
      </c>
    </row>
    <row r="137" spans="2:93" x14ac:dyDescent="0.25">
      <c r="B137" s="1445">
        <f>'Group Totals'!A108</f>
        <v>44013</v>
      </c>
      <c r="C137" s="1352">
        <f>'Group Totals'!AK108</f>
        <v>1242234</v>
      </c>
      <c r="D137" s="38">
        <f>'Group Totals'!CZ108</f>
        <v>0.20474709202379504</v>
      </c>
      <c r="E137" s="69">
        <f>'Group Totals'!CY108</f>
        <v>0.21729319918791479</v>
      </c>
      <c r="F137" s="69">
        <f t="shared" si="3"/>
        <v>0.05</v>
      </c>
      <c r="G137" s="69">
        <f t="shared" si="4"/>
        <v>-0.05</v>
      </c>
      <c r="H137" s="38">
        <f>'Group Totals'!AK108/'Group Totals'!I108</f>
        <v>0.1667142871521988</v>
      </c>
      <c r="I137" s="69">
        <v>0.2</v>
      </c>
      <c r="J137" s="69">
        <v>0</v>
      </c>
      <c r="K137" s="1446">
        <f>'Group Totals'!AT108</f>
        <v>25.906861313868614</v>
      </c>
      <c r="L137" s="1352">
        <v>30</v>
      </c>
      <c r="M137" s="1352">
        <v>0</v>
      </c>
      <c r="N137" s="1361">
        <f>'Group Totals'!CS108</f>
        <v>119.01073002490898</v>
      </c>
      <c r="O137" s="1352">
        <v>135</v>
      </c>
      <c r="P137" s="1352">
        <v>0</v>
      </c>
      <c r="Q137" s="337">
        <f>'Group Totals'!DC108</f>
        <v>4.5937919141598007</v>
      </c>
      <c r="S137" s="43">
        <v>4.5999999999999996</v>
      </c>
      <c r="T137" s="1352">
        <f>'Group Totals'!AV108</f>
        <v>14614.517647058823</v>
      </c>
      <c r="U137" s="1352">
        <v>14600</v>
      </c>
      <c r="W137" s="1352">
        <f>'Group Totals'!AW108</f>
        <v>9201.7333333333336</v>
      </c>
      <c r="X137" s="1352">
        <v>8500</v>
      </c>
      <c r="Z137" s="43">
        <f>'Group Totals'!AF108</f>
        <v>85</v>
      </c>
      <c r="AA137" s="43">
        <f>'Group Totals'!AE108</f>
        <v>135</v>
      </c>
      <c r="AB137" s="38">
        <f>'Group Totals'!AF108/'Group Totals'!AE108</f>
        <v>0.62962962962962965</v>
      </c>
      <c r="AD137" s="69">
        <v>0.65</v>
      </c>
      <c r="AE137" s="386">
        <f>'Group Totals'!AN108</f>
        <v>10438</v>
      </c>
      <c r="AF137" s="7">
        <f>'Group Totals'!BN108</f>
        <v>122.8</v>
      </c>
      <c r="AH137" s="43">
        <v>130</v>
      </c>
      <c r="AI137" s="1352">
        <f>'Group Totals'!BO108</f>
        <v>144.87095228971069</v>
      </c>
      <c r="AK137" s="1361">
        <f t="shared" si="0"/>
        <v>119.01073002490898</v>
      </c>
      <c r="AL137" s="1352">
        <f>'Group Totals'!BA108</f>
        <v>17790.152941176471</v>
      </c>
      <c r="AN137" s="1363">
        <f t="shared" si="1"/>
        <v>14614.517647058823</v>
      </c>
      <c r="AO137" s="7">
        <f>'Group Totals'!BC108</f>
        <v>564.11764705882354</v>
      </c>
      <c r="AR137" s="7">
        <f>'Group Totals'!BD108</f>
        <v>355.18518518518516</v>
      </c>
      <c r="AU137" s="1361">
        <f>'Group Totals'!AP108</f>
        <v>0.40672233946539355</v>
      </c>
      <c r="AV137" s="1446">
        <v>0.28999999999999998</v>
      </c>
      <c r="AX137" s="1352">
        <f>'Group Totals'!I108</f>
        <v>7451275</v>
      </c>
      <c r="AY137" s="94">
        <f>'Group Totals'!K108</f>
        <v>47950</v>
      </c>
      <c r="AZ137" s="94">
        <f>'Group Totals'!W108</f>
        <v>23811</v>
      </c>
      <c r="BA137" s="94">
        <f>'Group Totals'!Q108</f>
        <v>24139</v>
      </c>
      <c r="BB137" s="94">
        <f>'Group Totals'!AC108</f>
        <v>52884</v>
      </c>
      <c r="BC137" s="94">
        <f>'Group Totals'!AD108</f>
        <v>15318</v>
      </c>
      <c r="BD137" s="7">
        <f>'Group Totals'!DD108</f>
        <v>264.91712707182319</v>
      </c>
      <c r="BF137" s="43">
        <v>272</v>
      </c>
      <c r="BG137" s="7">
        <f>'Group Totals'!DE108</f>
        <v>135.07042253521126</v>
      </c>
      <c r="BI137" s="43">
        <v>142</v>
      </c>
      <c r="BJ137" s="7">
        <f>'Group Totals'!DF108</f>
        <v>193.58536585365854</v>
      </c>
      <c r="BL137" s="43">
        <v>248</v>
      </c>
      <c r="BM137" s="7">
        <f>'Group Totals'!DG108</f>
        <v>416.18965517241378</v>
      </c>
      <c r="BO137" s="43">
        <v>326</v>
      </c>
      <c r="BP137" s="7">
        <f>'Group Totals'!DH108</f>
        <v>568.64516129032256</v>
      </c>
      <c r="BR137" s="43">
        <v>545</v>
      </c>
      <c r="BS137" s="7">
        <f>'Group Totals'!DI108</f>
        <v>528.20689655172418</v>
      </c>
      <c r="BU137" s="43">
        <v>719</v>
      </c>
      <c r="BV137" s="7">
        <f>'Group Totals'!DJ108</f>
        <v>90.881679389312978</v>
      </c>
      <c r="BX137" s="43">
        <v>118</v>
      </c>
      <c r="BY137" s="7">
        <f>'Group Totals'!DK108</f>
        <v>259.55913978494624</v>
      </c>
      <c r="CA137" s="43">
        <v>217</v>
      </c>
      <c r="CB137" s="7">
        <f>'Group Totals'!DL108</f>
        <v>377.74285714285713</v>
      </c>
      <c r="CD137" s="43">
        <v>314</v>
      </c>
      <c r="CE137" s="7">
        <f>'Group Totals'!DM108</f>
        <v>283.66666666666669</v>
      </c>
      <c r="CG137" s="43">
        <v>334</v>
      </c>
      <c r="CH137" s="1447">
        <f>'Group Totals'!F108</f>
        <v>0.97499999999999998</v>
      </c>
      <c r="CJ137" s="69">
        <v>0.97</v>
      </c>
      <c r="CK137" s="1447">
        <f>'Group Totals'!D108</f>
        <v>1.8040758751252831E-2</v>
      </c>
      <c r="CL137" s="1470">
        <v>1.4999999999999999E-2</v>
      </c>
      <c r="CM137" s="1470"/>
      <c r="CN137" s="69">
        <f>'Group Totals'!CX108</f>
        <v>0.1602568826776313</v>
      </c>
      <c r="CO137" s="1363">
        <f t="shared" si="2"/>
        <v>87662.058823529413</v>
      </c>
    </row>
    <row r="138" spans="2:93" x14ac:dyDescent="0.25">
      <c r="B138" s="1445">
        <f>'Group Totals'!A109</f>
        <v>44044</v>
      </c>
      <c r="C138" s="1352">
        <f>'Group Totals'!AK109</f>
        <v>1155925</v>
      </c>
      <c r="D138" s="38">
        <f>'Group Totals'!CZ109</f>
        <v>0.12283075236824215</v>
      </c>
      <c r="E138" s="69">
        <f>'Group Totals'!CY109</f>
        <v>5.3827021649328399E-2</v>
      </c>
      <c r="F138" s="69">
        <f t="shared" si="3"/>
        <v>0.05</v>
      </c>
      <c r="G138" s="69">
        <f t="shared" si="4"/>
        <v>-0.05</v>
      </c>
      <c r="H138" s="38">
        <f>'Group Totals'!AK109/'Group Totals'!I109</f>
        <v>0.20561639559176806</v>
      </c>
      <c r="I138" s="69">
        <v>0.2</v>
      </c>
      <c r="J138" s="69">
        <v>0</v>
      </c>
      <c r="K138" s="1446">
        <f>'Group Totals'!AT109</f>
        <v>27.248886164871173</v>
      </c>
      <c r="L138" s="1352">
        <v>30</v>
      </c>
      <c r="M138" s="1352">
        <v>0</v>
      </c>
      <c r="N138" s="1361">
        <f>'Group Totals'!CS109</f>
        <v>126.2616056799563</v>
      </c>
      <c r="O138" s="1352">
        <v>135</v>
      </c>
      <c r="P138" s="1352">
        <v>0</v>
      </c>
      <c r="Q138" s="337">
        <f>'Group Totals'!DC109</f>
        <v>4.6336428181321683</v>
      </c>
      <c r="S138" s="43">
        <v>4.5999999999999996</v>
      </c>
      <c r="T138" s="1352">
        <f>'Group Totals'!AV109</f>
        <v>13926.807228915663</v>
      </c>
      <c r="U138" s="1352">
        <v>14600</v>
      </c>
      <c r="W138" s="1352">
        <f>'Group Totals'!AW109</f>
        <v>8757.007575757576</v>
      </c>
      <c r="X138" s="1352">
        <v>8500</v>
      </c>
      <c r="Z138" s="43">
        <f>'Group Totals'!AF109</f>
        <v>83</v>
      </c>
      <c r="AA138" s="43">
        <f>'Group Totals'!AE109</f>
        <v>132</v>
      </c>
      <c r="AB138" s="38">
        <f>'Group Totals'!AF109/'Group Totals'!AE109</f>
        <v>0.62878787878787878</v>
      </c>
      <c r="AD138" s="69">
        <v>0.65</v>
      </c>
      <c r="AE138" s="386">
        <f>'Group Totals'!AN109</f>
        <v>9155</v>
      </c>
      <c r="AF138" s="7">
        <f>'Group Totals'!BN109</f>
        <v>110.3012048192771</v>
      </c>
      <c r="AH138" s="43">
        <v>130</v>
      </c>
      <c r="AI138" s="1352">
        <f>'Group Totals'!BO109</f>
        <v>133.0578918623703</v>
      </c>
      <c r="AK138" s="1361">
        <f t="shared" si="0"/>
        <v>126.2616056799563</v>
      </c>
      <c r="AL138" s="1352">
        <f>'Group Totals'!BA109</f>
        <v>14676.445783132531</v>
      </c>
      <c r="AN138" s="1363">
        <f t="shared" si="1"/>
        <v>13926.807228915663</v>
      </c>
      <c r="AO138" s="7">
        <f>'Group Totals'!BC109</f>
        <v>511.09638554216866</v>
      </c>
      <c r="AR138" s="7">
        <f>'Group Totals'!BD109</f>
        <v>321.37121212121212</v>
      </c>
      <c r="AU138" s="1361">
        <f>'Group Totals'!AP109</f>
        <v>0.38559133224411241</v>
      </c>
      <c r="AV138" s="1446">
        <v>0.28999999999999998</v>
      </c>
      <c r="AX138" s="1352">
        <f>'Group Totals'!I109</f>
        <v>5621755</v>
      </c>
      <c r="AY138" s="94">
        <f>'Group Totals'!K109</f>
        <v>42421</v>
      </c>
      <c r="AZ138" s="94">
        <f>'Group Totals'!W109</f>
        <v>24509</v>
      </c>
      <c r="BA138" s="94">
        <f>'Group Totals'!Q109</f>
        <v>17912</v>
      </c>
      <c r="BB138" s="94">
        <f>'Group Totals'!AC109</f>
        <v>55544</v>
      </c>
      <c r="BC138" s="94">
        <f>'Group Totals'!AD109</f>
        <v>26131</v>
      </c>
      <c r="BD138" s="7">
        <f>'Group Totals'!DD109</f>
        <v>214.24747474747474</v>
      </c>
      <c r="BF138" s="43">
        <v>272</v>
      </c>
      <c r="BG138" s="7">
        <f>'Group Totals'!DE109</f>
        <v>122.95942028985507</v>
      </c>
      <c r="BI138" s="43">
        <v>142</v>
      </c>
      <c r="BJ138" s="7">
        <f>'Group Totals'!DF109</f>
        <v>169.02758620689656</v>
      </c>
      <c r="BL138" s="43">
        <v>248</v>
      </c>
      <c r="BM138" s="7">
        <f>'Group Totals'!DG109</f>
        <v>337.96226415094338</v>
      </c>
      <c r="BO138" s="43">
        <v>326</v>
      </c>
      <c r="BP138" s="7">
        <f>'Group Totals'!DH109</f>
        <v>491.53982300884957</v>
      </c>
      <c r="BR138" s="43">
        <v>545</v>
      </c>
      <c r="BS138" s="7">
        <f>'Group Totals'!DI109</f>
        <v>791.84848484848487</v>
      </c>
      <c r="BU138" s="43">
        <v>719</v>
      </c>
      <c r="BV138" s="7">
        <f>'Group Totals'!DJ109</f>
        <v>90.439114391143917</v>
      </c>
      <c r="BX138" s="43">
        <v>118</v>
      </c>
      <c r="BY138" s="7">
        <f>'Group Totals'!DK109</f>
        <v>242.05405405405406</v>
      </c>
      <c r="CA138" s="43">
        <v>217</v>
      </c>
      <c r="CB138" s="7">
        <f>'Group Totals'!DL109</f>
        <v>298.6236559139785</v>
      </c>
      <c r="CD138" s="43">
        <v>314</v>
      </c>
      <c r="CE138" s="7">
        <f>'Group Totals'!DM109</f>
        <v>384.27941176470586</v>
      </c>
      <c r="CG138" s="43">
        <v>334</v>
      </c>
      <c r="CH138" s="1447">
        <f>'Group Totals'!F109</f>
        <v>0.97429862444905801</v>
      </c>
      <c r="CJ138" s="69">
        <v>0.97</v>
      </c>
      <c r="CK138" s="1447">
        <f>'Group Totals'!D109</f>
        <v>1.7308183362383843E-2</v>
      </c>
      <c r="CL138" s="1470">
        <v>1.4999999999999999E-2</v>
      </c>
      <c r="CM138" s="1470"/>
      <c r="CN138" s="69">
        <f>'Group Totals'!CX109</f>
        <v>0.17567011201509763</v>
      </c>
      <c r="CO138" s="1363">
        <f t="shared" si="2"/>
        <v>67731.987951807227</v>
      </c>
    </row>
    <row r="139" spans="2:93" x14ac:dyDescent="0.25">
      <c r="B139" s="1445">
        <f>'Group Totals'!A110</f>
        <v>44075</v>
      </c>
      <c r="C139" s="1352">
        <f>'Group Totals'!AK110</f>
        <v>1273607</v>
      </c>
      <c r="D139" s="38">
        <f>'Group Totals'!CZ110</f>
        <v>0.1085393241290431</v>
      </c>
      <c r="E139" s="69">
        <f>'Group Totals'!CY110</f>
        <v>5.2121258755644329E-2</v>
      </c>
      <c r="F139" s="69">
        <f t="shared" si="3"/>
        <v>0.05</v>
      </c>
      <c r="G139" s="69">
        <f t="shared" si="4"/>
        <v>-0.05</v>
      </c>
      <c r="H139" s="38">
        <f>'Group Totals'!AK110/'Group Totals'!I110</f>
        <v>0.2149558925962313</v>
      </c>
      <c r="I139" s="69">
        <v>0.2</v>
      </c>
      <c r="J139" s="69">
        <v>0</v>
      </c>
      <c r="K139" s="1446">
        <f>'Group Totals'!AT110</f>
        <v>29.869532587537233</v>
      </c>
      <c r="L139" s="1352">
        <v>30</v>
      </c>
      <c r="M139" s="1352">
        <v>0</v>
      </c>
      <c r="N139" s="1361">
        <f>'Group Totals'!CS110</f>
        <v>132.62595022388837</v>
      </c>
      <c r="O139" s="1352">
        <v>135</v>
      </c>
      <c r="P139" s="1352">
        <v>0</v>
      </c>
      <c r="Q139" s="337">
        <f>'Group Totals'!DC110</f>
        <v>4.4401749453295842</v>
      </c>
      <c r="S139" s="43">
        <v>4.5999999999999996</v>
      </c>
      <c r="T139" s="1352">
        <f>'Group Totals'!AV110</f>
        <v>15344.662650602409</v>
      </c>
      <c r="U139" s="1352">
        <v>14600</v>
      </c>
      <c r="W139" s="1352">
        <f>'Group Totals'!AW110</f>
        <v>9434.1259259259259</v>
      </c>
      <c r="X139" s="1352">
        <v>8500</v>
      </c>
      <c r="Z139" s="43">
        <f>'Group Totals'!AF110</f>
        <v>83</v>
      </c>
      <c r="AA139" s="43">
        <f>'Group Totals'!AE110</f>
        <v>135</v>
      </c>
      <c r="AB139" s="38">
        <f>'Group Totals'!AF110/'Group Totals'!AE110</f>
        <v>0.61481481481481481</v>
      </c>
      <c r="AD139" s="69">
        <v>0.65</v>
      </c>
      <c r="AE139" s="386">
        <f>'Group Totals'!AN110</f>
        <v>9603</v>
      </c>
      <c r="AF139" s="7">
        <f>'Group Totals'!BN110</f>
        <v>115.6987951807229</v>
      </c>
      <c r="AH139" s="43">
        <v>130</v>
      </c>
      <c r="AI139" s="1352">
        <f>'Group Totals'!BO110</f>
        <v>139.53858169322086</v>
      </c>
      <c r="AK139" s="1361">
        <f t="shared" si="0"/>
        <v>132.62595022388837</v>
      </c>
      <c r="AL139" s="1352">
        <f>'Group Totals'!BA110</f>
        <v>16144.445783132531</v>
      </c>
      <c r="AN139" s="1363">
        <f t="shared" si="1"/>
        <v>15344.662650602409</v>
      </c>
      <c r="AO139" s="7">
        <f>'Group Totals'!BC110</f>
        <v>513.72289156626505</v>
      </c>
      <c r="AR139" s="7">
        <f>'Group Totals'!BD110</f>
        <v>315.84444444444443</v>
      </c>
      <c r="AU139" s="1361">
        <f>'Group Totals'!AP110</f>
        <v>0.37341967527593817</v>
      </c>
      <c r="AV139" s="1446">
        <v>0.28999999999999998</v>
      </c>
      <c r="AX139" s="1352">
        <f>'Group Totals'!I110</f>
        <v>5924969</v>
      </c>
      <c r="AY139" s="94">
        <f>'Group Totals'!K110</f>
        <v>42639</v>
      </c>
      <c r="AZ139" s="94">
        <f>'Group Totals'!W110</f>
        <v>28438</v>
      </c>
      <c r="BA139" s="94">
        <f>'Group Totals'!Q110</f>
        <v>14201</v>
      </c>
      <c r="BB139" s="94">
        <f>'Group Totals'!AC110</f>
        <v>45106</v>
      </c>
      <c r="BC139" s="94">
        <f>'Group Totals'!AD110</f>
        <v>27003</v>
      </c>
      <c r="BD139" s="7">
        <f>'Group Totals'!DD110</f>
        <v>214.26633165829145</v>
      </c>
      <c r="BF139" s="43">
        <v>272</v>
      </c>
      <c r="BG139" s="7">
        <f>'Group Totals'!DE110</f>
        <v>119.10335195530726</v>
      </c>
      <c r="BI139" s="43">
        <v>142</v>
      </c>
      <c r="BJ139" s="7">
        <f>'Group Totals'!DF110</f>
        <v>183.47096774193548</v>
      </c>
      <c r="BL139" s="43">
        <v>248</v>
      </c>
      <c r="BM139" s="7">
        <f>'Group Totals'!DG110</f>
        <v>322.75</v>
      </c>
      <c r="BO139" s="43">
        <v>326</v>
      </c>
      <c r="BP139" s="7">
        <f>'Group Totals'!DH110</f>
        <v>490.28260869565219</v>
      </c>
      <c r="BR139" s="43">
        <v>545</v>
      </c>
      <c r="BS139" s="7">
        <f>'Group Totals'!DI110</f>
        <v>964.39285714285711</v>
      </c>
      <c r="BU139" s="43">
        <v>719</v>
      </c>
      <c r="BV139" s="7">
        <f>'Group Totals'!DJ110</f>
        <v>96.074324324324323</v>
      </c>
      <c r="BX139" s="43">
        <v>118</v>
      </c>
      <c r="BY139" s="7">
        <f>'Group Totals'!DK110</f>
        <v>229.04838709677421</v>
      </c>
      <c r="CA139" s="43">
        <v>217</v>
      </c>
      <c r="CB139" s="7">
        <f>'Group Totals'!DL110</f>
        <v>315.42657342657344</v>
      </c>
      <c r="CD139" s="43">
        <v>314</v>
      </c>
      <c r="CE139" s="7">
        <f>'Group Totals'!DM110</f>
        <v>509.49056603773585</v>
      </c>
      <c r="CG139" s="43">
        <v>334</v>
      </c>
      <c r="CH139" s="1447">
        <f>'Group Totals'!F110</f>
        <v>0.97826464962615201</v>
      </c>
      <c r="CJ139" s="69">
        <v>0.97</v>
      </c>
      <c r="CK139" s="1447">
        <f>'Group Totals'!D110</f>
        <v>1.6293841480254073E-2</v>
      </c>
      <c r="CL139" s="1470">
        <v>1.4999999999999999E-2</v>
      </c>
      <c r="CM139" s="1470"/>
      <c r="CN139" s="69">
        <f>'Group Totals'!CX110</f>
        <v>0.1897898826081631</v>
      </c>
      <c r="CO139" s="1363">
        <f t="shared" si="2"/>
        <v>71385.168674698798</v>
      </c>
    </row>
    <row r="140" spans="2:93" x14ac:dyDescent="0.25">
      <c r="B140" s="1445">
        <f>'Group Totals'!A111</f>
        <v>44105</v>
      </c>
      <c r="C140" s="1352">
        <f>'Group Totals'!AK111</f>
        <v>1246836</v>
      </c>
      <c r="D140" s="38">
        <f>'Group Totals'!CZ111</f>
        <v>9.8659873005095822E-3</v>
      </c>
      <c r="E140" s="69">
        <f>'Group Totals'!CY111</f>
        <v>-7.405224103250152E-2</v>
      </c>
      <c r="F140" s="69">
        <f t="shared" si="3"/>
        <v>0.05</v>
      </c>
      <c r="G140" s="69">
        <f t="shared" si="4"/>
        <v>-0.05</v>
      </c>
      <c r="H140" s="38">
        <f>'Group Totals'!AK111/'Group Totals'!I111</f>
        <v>0.22073484452433881</v>
      </c>
      <c r="I140" s="69">
        <v>0.2</v>
      </c>
      <c r="J140" s="69">
        <v>0</v>
      </c>
      <c r="K140" s="1446">
        <f>'Group Totals'!AT111</f>
        <v>31.896546431312355</v>
      </c>
      <c r="L140" s="1352">
        <v>30</v>
      </c>
      <c r="M140" s="1352">
        <v>0</v>
      </c>
      <c r="N140" s="1361">
        <f>'Group Totals'!CS111</f>
        <v>130.27228084839621</v>
      </c>
      <c r="O140" s="1352">
        <v>135</v>
      </c>
      <c r="P140" s="1352">
        <v>0</v>
      </c>
      <c r="Q140" s="337">
        <f>'Group Totals'!DC111</f>
        <v>4.0842127259429528</v>
      </c>
      <c r="S140" s="43">
        <v>4.5999999999999996</v>
      </c>
      <c r="T140" s="1352">
        <f>'Group Totals'!AV111</f>
        <v>14009.393258426966</v>
      </c>
      <c r="U140" s="1352">
        <v>14600</v>
      </c>
      <c r="W140" s="1352">
        <f>'Group Totals'!AW111</f>
        <v>8842.8085106382987</v>
      </c>
      <c r="X140" s="1352">
        <v>8500</v>
      </c>
      <c r="Z140" s="43">
        <f>'Group Totals'!AF111</f>
        <v>89</v>
      </c>
      <c r="AA140" s="43">
        <f>'Group Totals'!AE111</f>
        <v>141</v>
      </c>
      <c r="AB140" s="38">
        <f>'Group Totals'!AF111/'Group Totals'!AE111</f>
        <v>0.63120567375886527</v>
      </c>
      <c r="AD140" s="69">
        <v>0.65</v>
      </c>
      <c r="AE140" s="386">
        <f>'Group Totals'!AN111</f>
        <v>9571</v>
      </c>
      <c r="AF140" s="7">
        <f>'Group Totals'!BN111</f>
        <v>107.53932584269663</v>
      </c>
      <c r="AH140" s="43">
        <v>130</v>
      </c>
      <c r="AI140" s="1352">
        <f>'Group Totals'!BO111</f>
        <v>120.62532650715704</v>
      </c>
      <c r="AK140" s="1361">
        <f t="shared" si="0"/>
        <v>130.27228084839621</v>
      </c>
      <c r="AL140" s="1352">
        <f>'Group Totals'!BA111</f>
        <v>12971.966292134832</v>
      </c>
      <c r="AN140" s="1363">
        <f t="shared" si="1"/>
        <v>14009.393258426966</v>
      </c>
      <c r="AO140" s="7">
        <f>'Group Totals'!BC111</f>
        <v>439.2134831460674</v>
      </c>
      <c r="AR140" s="7">
        <f>'Group Totals'!BD111</f>
        <v>277.2340425531915</v>
      </c>
      <c r="AU140" s="1361">
        <f>'Group Totals'!AP111</f>
        <v>0.34047561426619732</v>
      </c>
      <c r="AV140" s="1446">
        <v>0.28999999999999998</v>
      </c>
      <c r="AX140" s="1352">
        <f>'Group Totals'!I111</f>
        <v>5648569</v>
      </c>
      <c r="AY140" s="94">
        <f>'Group Totals'!K111</f>
        <v>39090</v>
      </c>
      <c r="AZ140" s="94">
        <f>'Group Totals'!W111</f>
        <v>24173</v>
      </c>
      <c r="BA140" s="94">
        <f>'Group Totals'!Q111</f>
        <v>14917</v>
      </c>
      <c r="BB140" s="94">
        <f>'Group Totals'!AC111</f>
        <v>51740</v>
      </c>
      <c r="BC140" s="94">
        <f>'Group Totals'!AD111</f>
        <v>26659</v>
      </c>
      <c r="BD140" s="7">
        <f>'Group Totals'!DD111</f>
        <v>206.82539682539684</v>
      </c>
      <c r="BF140" s="43">
        <v>272</v>
      </c>
      <c r="BG140" s="7">
        <f>'Group Totals'!DE111</f>
        <v>113.63372093023256</v>
      </c>
      <c r="BI140" s="43">
        <v>142</v>
      </c>
      <c r="BJ140" s="7">
        <f>'Group Totals'!DF111</f>
        <v>176.44525547445255</v>
      </c>
      <c r="BL140" s="43">
        <v>248</v>
      </c>
      <c r="BM140" s="7">
        <f>'Group Totals'!DG111</f>
        <v>286.86538461538464</v>
      </c>
      <c r="BO140" s="43">
        <v>326</v>
      </c>
      <c r="BP140" s="7">
        <f>'Group Totals'!DH111</f>
        <v>522.62626262626259</v>
      </c>
      <c r="BR140" s="43">
        <v>545</v>
      </c>
      <c r="BS140" s="7">
        <f>'Group Totals'!DI111</f>
        <v>987.37037037037032</v>
      </c>
      <c r="BU140" s="43">
        <v>719</v>
      </c>
      <c r="BV140" s="7">
        <f>'Group Totals'!DJ111</f>
        <v>88.871323529411768</v>
      </c>
      <c r="BX140" s="43">
        <v>118</v>
      </c>
      <c r="BY140" s="7">
        <f>'Group Totals'!DK111</f>
        <v>207.18055555555554</v>
      </c>
      <c r="CA140" s="43">
        <v>217</v>
      </c>
      <c r="CB140" s="7">
        <f>'Group Totals'!DL111</f>
        <v>300.81395348837208</v>
      </c>
      <c r="CD140" s="43">
        <v>314</v>
      </c>
      <c r="CE140" s="7">
        <f>'Group Totals'!DM111</f>
        <v>522.72549019607845</v>
      </c>
      <c r="CG140" s="43">
        <v>334</v>
      </c>
      <c r="CH140" s="1447">
        <f>'Group Totals'!F111</f>
        <v>0.97644286174067418</v>
      </c>
      <c r="CJ140" s="69">
        <v>0.97</v>
      </c>
      <c r="CK140" s="1447">
        <f>'Group Totals'!D111</f>
        <v>1.6424589125717669E-2</v>
      </c>
      <c r="CL140" s="1470">
        <v>1.4999999999999999E-2</v>
      </c>
      <c r="CM140" s="1470"/>
      <c r="CN140" s="69">
        <f>'Group Totals'!CX111</f>
        <v>0.21353320353424626</v>
      </c>
      <c r="CO140" s="1363">
        <f t="shared" si="2"/>
        <v>63467.067415730337</v>
      </c>
    </row>
    <row r="141" spans="2:93" x14ac:dyDescent="0.25">
      <c r="B141" s="1445">
        <f>'Group Totals'!A112</f>
        <v>44136</v>
      </c>
      <c r="C141" s="1352">
        <f>'Group Totals'!AK112</f>
        <v>1254403</v>
      </c>
      <c r="D141" s="38">
        <f>'Group Totals'!CZ112</f>
        <v>9.6867527840871492E-3</v>
      </c>
      <c r="E141" s="69">
        <f>'Group Totals'!CY112</f>
        <v>4.9836456067149149E-2</v>
      </c>
      <c r="F141" s="69">
        <f t="shared" si="3"/>
        <v>0.05</v>
      </c>
      <c r="G141" s="69">
        <f t="shared" si="4"/>
        <v>-0.05</v>
      </c>
      <c r="H141" s="38">
        <f>'Group Totals'!AK112/'Group Totals'!I112</f>
        <v>0.20382429620747003</v>
      </c>
      <c r="I141" s="69">
        <v>0.2</v>
      </c>
      <c r="J141" s="69">
        <v>0</v>
      </c>
      <c r="K141" s="1446">
        <f>'Group Totals'!AT112</f>
        <v>26.648036029146219</v>
      </c>
      <c r="L141" s="1352">
        <v>30</v>
      </c>
      <c r="M141" s="1352">
        <v>0</v>
      </c>
      <c r="N141" s="1361">
        <f>'Group Totals'!CS112</f>
        <v>126.26099647710116</v>
      </c>
      <c r="O141" s="1352">
        <v>135</v>
      </c>
      <c r="P141" s="1352">
        <v>0</v>
      </c>
      <c r="Q141" s="337">
        <f>'Group Totals'!DC112</f>
        <v>4.7380976346250625</v>
      </c>
      <c r="S141" s="43">
        <v>4.5999999999999996</v>
      </c>
      <c r="T141" s="1352">
        <f>'Group Totals'!AV112</f>
        <v>13937.81111111111</v>
      </c>
      <c r="U141" s="1352">
        <v>14600</v>
      </c>
      <c r="W141" s="1352">
        <f>'Group Totals'!AW112</f>
        <v>8896.4751773049647</v>
      </c>
      <c r="X141" s="1352">
        <v>8500</v>
      </c>
      <c r="Z141" s="43">
        <f>'Group Totals'!AF112</f>
        <v>90</v>
      </c>
      <c r="AA141" s="43">
        <f>'Group Totals'!AE112</f>
        <v>141</v>
      </c>
      <c r="AB141" s="38">
        <f>'Group Totals'!AF112/'Group Totals'!AE112</f>
        <v>0.63829787234042556</v>
      </c>
      <c r="AD141" s="69">
        <v>0.65</v>
      </c>
      <c r="AE141" s="386">
        <f>'Group Totals'!AN112</f>
        <v>9935</v>
      </c>
      <c r="AF141" s="7">
        <f>'Group Totals'!BN112</f>
        <v>110.38888888888889</v>
      </c>
      <c r="AH141" s="43">
        <v>130</v>
      </c>
      <c r="AI141" s="1352">
        <f>'Group Totals'!BO112</f>
        <v>132.55339708102667</v>
      </c>
      <c r="AK141" s="1361">
        <f t="shared" si="0"/>
        <v>126.26099647710116</v>
      </c>
      <c r="AL141" s="1352">
        <f>'Group Totals'!BA112</f>
        <v>14632.422222222222</v>
      </c>
      <c r="AN141" s="1363">
        <f t="shared" si="1"/>
        <v>13937.81111111111</v>
      </c>
      <c r="AO141" s="7">
        <f>'Group Totals'!BC112</f>
        <v>523.0333333333333</v>
      </c>
      <c r="AR141" s="7">
        <f>'Group Totals'!BD112</f>
        <v>333.85106382978722</v>
      </c>
      <c r="AU141" s="1361">
        <f>'Group Totals'!AP112</f>
        <v>0.18263549189311273</v>
      </c>
      <c r="AV141" s="1446">
        <v>0.28999999999999998</v>
      </c>
      <c r="AX141" s="1352">
        <f>'Group Totals'!I112</f>
        <v>6154335</v>
      </c>
      <c r="AY141" s="94">
        <f>'Group Totals'!K112</f>
        <v>47073</v>
      </c>
      <c r="AZ141" s="94">
        <f>'Group Totals'!W112</f>
        <v>30110</v>
      </c>
      <c r="BA141" s="94">
        <f>'Group Totals'!Q112</f>
        <v>16963</v>
      </c>
      <c r="BB141" s="94">
        <f>'Group Totals'!AC112</f>
        <v>65536</v>
      </c>
      <c r="BC141" s="94">
        <f>'Group Totals'!AD112</f>
        <v>31529</v>
      </c>
      <c r="BD141" s="7">
        <f>'Group Totals'!DD112</f>
        <v>254.44864864864866</v>
      </c>
      <c r="BF141" s="43">
        <v>272</v>
      </c>
      <c r="BG141" s="7">
        <f>'Group Totals'!DE112</f>
        <v>150.875</v>
      </c>
      <c r="BI141" s="43">
        <v>142</v>
      </c>
      <c r="BJ141" s="7">
        <f>'Group Totals'!DF112</f>
        <v>226.39097744360902</v>
      </c>
      <c r="BL141" s="43">
        <v>248</v>
      </c>
      <c r="BM141" s="7">
        <f>'Group Totals'!DG112</f>
        <v>326.21153846153845</v>
      </c>
      <c r="BO141" s="43">
        <v>326</v>
      </c>
      <c r="BP141" s="7">
        <f>'Group Totals'!DH112</f>
        <v>618.2641509433962</v>
      </c>
      <c r="BR141" s="43">
        <v>545</v>
      </c>
      <c r="BS141" s="7">
        <f>'Group Totals'!DI112</f>
        <v>1126.0357142857142</v>
      </c>
      <c r="BU141" s="43">
        <v>719</v>
      </c>
      <c r="BV141" s="7">
        <f>'Group Totals'!DJ112</f>
        <v>127.0464135021097</v>
      </c>
      <c r="BX141" s="43">
        <v>118</v>
      </c>
      <c r="BY141" s="7">
        <f>'Group Totals'!DK112</f>
        <v>226.17333333333335</v>
      </c>
      <c r="CA141" s="43">
        <v>217</v>
      </c>
      <c r="CB141" s="7">
        <f>'Group Totals'!DL112</f>
        <v>344.92631578947368</v>
      </c>
      <c r="CD141" s="43">
        <v>314</v>
      </c>
      <c r="CE141" s="7">
        <f>'Group Totals'!DM112</f>
        <v>450.41428571428571</v>
      </c>
      <c r="CG141" s="43">
        <v>334</v>
      </c>
      <c r="CH141" s="1447">
        <f>'Group Totals'!F112</f>
        <v>0.9765870960028693</v>
      </c>
      <c r="CJ141" s="69">
        <v>0.97</v>
      </c>
      <c r="CK141" s="1447">
        <f>'Group Totals'!D112</f>
        <v>1.7634400031881402E-2</v>
      </c>
      <c r="CL141" s="1470">
        <v>1.4999999999999999E-2</v>
      </c>
      <c r="CM141" s="1470"/>
      <c r="CN141" s="69">
        <f>'Group Totals'!CX112</f>
        <v>0.20737783940577642</v>
      </c>
      <c r="CO141" s="1363">
        <f t="shared" si="2"/>
        <v>68381.5</v>
      </c>
    </row>
    <row r="142" spans="2:93" x14ac:dyDescent="0.25">
      <c r="B142" s="1445">
        <f>'Group Totals'!A113</f>
        <v>44166</v>
      </c>
      <c r="C142" s="1352">
        <f>'Group Totals'!AK113</f>
        <v>1227528</v>
      </c>
      <c r="D142" s="38">
        <f>'Group Totals'!CZ113</f>
        <v>-7.5512897426951109E-2</v>
      </c>
      <c r="E142" s="69">
        <f>'Group Totals'!CY113</f>
        <v>-0.20509023012102368</v>
      </c>
      <c r="F142" s="69">
        <f t="shared" si="3"/>
        <v>0.05</v>
      </c>
      <c r="G142" s="69">
        <f t="shared" si="4"/>
        <v>-0.05</v>
      </c>
      <c r="H142" s="38">
        <f>'Group Totals'!AK113/'Group Totals'!I113</f>
        <v>0.26870517486999562</v>
      </c>
      <c r="I142" s="69">
        <v>0.2</v>
      </c>
      <c r="J142" s="69">
        <v>0</v>
      </c>
      <c r="K142" s="1446">
        <f>'Group Totals'!AT113</f>
        <v>37.007175158275551</v>
      </c>
      <c r="L142" s="1352">
        <v>30</v>
      </c>
      <c r="M142" s="1352">
        <v>0</v>
      </c>
      <c r="N142" s="1361">
        <f>'Group Totals'!CS113</f>
        <v>169.8530510585305</v>
      </c>
      <c r="O142" s="1352">
        <v>135</v>
      </c>
      <c r="P142" s="1352">
        <v>0</v>
      </c>
      <c r="Q142" s="337">
        <f>'Group Totals'!DC113</f>
        <v>4.5897329458973291</v>
      </c>
      <c r="S142" s="43">
        <v>4.5999999999999996</v>
      </c>
      <c r="T142" s="1352">
        <f>'Group Totals'!AV113</f>
        <v>14109.51724137931</v>
      </c>
      <c r="U142" s="1352">
        <v>14600</v>
      </c>
      <c r="W142" s="1352">
        <f>'Group Totals'!AW113</f>
        <v>8831.1366906474814</v>
      </c>
      <c r="X142" s="1352">
        <v>8500</v>
      </c>
      <c r="Z142" s="43">
        <f>'Group Totals'!AF113</f>
        <v>87</v>
      </c>
      <c r="AA142" s="43">
        <f>'Group Totals'!AE113</f>
        <v>139</v>
      </c>
      <c r="AB142" s="38">
        <f>'Group Totals'!AF113/'Group Totals'!AE113</f>
        <v>0.62589928057553956</v>
      </c>
      <c r="AD142" s="69">
        <v>0.65</v>
      </c>
      <c r="AE142" s="386">
        <f>'Group Totals'!AN113</f>
        <v>7227</v>
      </c>
      <c r="AF142" s="7">
        <f>'Group Totals'!BN113</f>
        <v>83.068965517241381</v>
      </c>
      <c r="AH142" s="43">
        <v>130</v>
      </c>
      <c r="AI142" s="1352">
        <f>'Group Totals'!BO113</f>
        <v>135.01784973017851</v>
      </c>
      <c r="AK142" s="1361">
        <f t="shared" si="0"/>
        <v>169.8530510585305</v>
      </c>
      <c r="AL142" s="1352">
        <f>'Group Totals'!BA113</f>
        <v>11215.793103448275</v>
      </c>
      <c r="AN142" s="1363">
        <f t="shared" si="1"/>
        <v>14109.51724137931</v>
      </c>
      <c r="AO142" s="7">
        <f>'Group Totals'!BC113</f>
        <v>381.26436781609198</v>
      </c>
      <c r="AR142" s="7">
        <f>'Group Totals'!BD113</f>
        <v>238.63309352517985</v>
      </c>
      <c r="AU142" s="1361">
        <f>'Group Totals'!AP113</f>
        <v>0.34369398910931576</v>
      </c>
      <c r="AV142" s="1446">
        <v>0.28999999999999998</v>
      </c>
      <c r="AX142" s="1352">
        <f>'Group Totals'!I113</f>
        <v>4568308</v>
      </c>
      <c r="AY142" s="94">
        <f>'Group Totals'!K113</f>
        <v>33170</v>
      </c>
      <c r="AZ142" s="94">
        <f>'Group Totals'!W113</f>
        <v>25265</v>
      </c>
      <c r="BA142" s="94">
        <f>'Group Totals'!Q113</f>
        <v>7905</v>
      </c>
      <c r="BB142" s="94">
        <f>'Group Totals'!AC113</f>
        <v>32406</v>
      </c>
      <c r="BC142" s="94">
        <f>'Group Totals'!AD113</f>
        <v>11482</v>
      </c>
      <c r="BD142" s="7">
        <f>'Group Totals'!DD113</f>
        <v>181.2568306010929</v>
      </c>
      <c r="BF142" s="43">
        <v>272</v>
      </c>
      <c r="BG142" s="7">
        <f>'Group Totals'!DE113</f>
        <v>115.57491289198606</v>
      </c>
      <c r="BI142" s="43">
        <v>142</v>
      </c>
      <c r="BJ142" s="7">
        <f>'Group Totals'!DF113</f>
        <v>188.544776119403</v>
      </c>
      <c r="BL142" s="43">
        <v>248</v>
      </c>
      <c r="BM142" s="7">
        <f>'Group Totals'!DG113</f>
        <v>161.32653061224491</v>
      </c>
      <c r="BO142" s="43">
        <v>326</v>
      </c>
      <c r="BP142" s="7">
        <f>'Group Totals'!DH113</f>
        <v>462.94285714285712</v>
      </c>
      <c r="BR142" s="43">
        <v>545</v>
      </c>
      <c r="BS142" s="7">
        <f>'Group Totals'!DI113</f>
        <v>478.41666666666669</v>
      </c>
      <c r="BU142" s="43">
        <v>719</v>
      </c>
      <c r="BV142" s="7">
        <f>'Group Totals'!DJ113</f>
        <v>109.84782608695652</v>
      </c>
      <c r="BX142" s="43">
        <v>118</v>
      </c>
      <c r="BY142" s="7">
        <f>'Group Totals'!DK113</f>
        <v>138.68421052631578</v>
      </c>
      <c r="CA142" s="43">
        <v>217</v>
      </c>
      <c r="CB142" s="7">
        <f>'Group Totals'!DL113</f>
        <v>348.45161290322579</v>
      </c>
      <c r="CD142" s="43">
        <v>314</v>
      </c>
      <c r="CE142" s="7">
        <f>'Group Totals'!DM113</f>
        <v>347.93939393939394</v>
      </c>
      <c r="CG142" s="43">
        <v>334</v>
      </c>
      <c r="CH142" s="1447">
        <f>'Group Totals'!F113</f>
        <v>0.97474307350201339</v>
      </c>
      <c r="CJ142" s="69">
        <v>0.97</v>
      </c>
      <c r="CK142" s="1447">
        <f>'Group Totals'!D113</f>
        <v>1.50099164613258E-2</v>
      </c>
      <c r="CL142" s="1470">
        <v>1.4999999999999999E-2</v>
      </c>
      <c r="CM142" s="1470"/>
      <c r="CN142" s="69">
        <f>'Group Totals'!CX113</f>
        <v>0.23057828583491558</v>
      </c>
      <c r="CO142" s="1363">
        <f t="shared" si="2"/>
        <v>52509.287356321838</v>
      </c>
    </row>
    <row r="143" spans="2:93" x14ac:dyDescent="0.25">
      <c r="B143" s="1445">
        <f>'Group Totals'!A114</f>
        <v>44197</v>
      </c>
      <c r="C143" s="1352">
        <f>'Group Totals'!AK114</f>
        <v>1100908</v>
      </c>
      <c r="D143" s="38">
        <f>'Group Totals'!CZ114</f>
        <v>-6.47723774358826E-2</v>
      </c>
      <c r="E143" s="69">
        <f>'Group Totals'!CY114</f>
        <v>-3.8904249946407843E-2</v>
      </c>
      <c r="F143" s="69">
        <f t="shared" si="3"/>
        <v>0.05</v>
      </c>
      <c r="G143" s="69">
        <f t="shared" si="4"/>
        <v>-0.05</v>
      </c>
      <c r="H143" s="38">
        <f>'Group Totals'!AK114/'Group Totals'!I114</f>
        <v>0.22745403329742522</v>
      </c>
      <c r="I143" s="69">
        <v>0.2</v>
      </c>
      <c r="J143" s="69">
        <v>0</v>
      </c>
      <c r="K143" s="1446">
        <f>'Group Totals'!AT114</f>
        <v>32.821775684216803</v>
      </c>
      <c r="L143" s="1352">
        <v>30</v>
      </c>
      <c r="M143" s="1352">
        <v>0</v>
      </c>
      <c r="N143" s="1361">
        <f>'Group Totals'!CS114</f>
        <v>143.64665970772444</v>
      </c>
      <c r="O143" s="1352">
        <v>135</v>
      </c>
      <c r="P143" s="1352">
        <v>0</v>
      </c>
      <c r="Q143" s="337">
        <f>'Group Totals'!DC114</f>
        <v>4.3765657620041756</v>
      </c>
      <c r="S143" s="43">
        <v>4.5999999999999996</v>
      </c>
      <c r="T143" s="1352">
        <f>'Group Totals'!AV114</f>
        <v>13425.707317073171</v>
      </c>
      <c r="U143" s="1352">
        <v>14600</v>
      </c>
      <c r="W143" s="1352">
        <f>'Group Totals'!AW114</f>
        <v>8094.911764705882</v>
      </c>
      <c r="X143" s="1352">
        <v>8500</v>
      </c>
      <c r="Z143" s="43">
        <f>'Group Totals'!AF114</f>
        <v>82</v>
      </c>
      <c r="AA143" s="43">
        <f>'Group Totals'!AE114</f>
        <v>136</v>
      </c>
      <c r="AB143" s="38">
        <f>'Group Totals'!AF114/'Group Totals'!AE114</f>
        <v>0.6029411764705882</v>
      </c>
      <c r="AD143" s="69">
        <v>0.65</v>
      </c>
      <c r="AE143" s="386">
        <f>'Group Totals'!AN114</f>
        <v>7664</v>
      </c>
      <c r="AF143" s="7">
        <f>'Group Totals'!BN114</f>
        <v>93.463414634146346</v>
      </c>
      <c r="AH143" s="43">
        <v>130</v>
      </c>
      <c r="AI143" s="1352">
        <f>'Group Totals'!BO114</f>
        <v>138.05819415448852</v>
      </c>
      <c r="AK143" s="1361">
        <f t="shared" si="0"/>
        <v>143.64665970772444</v>
      </c>
      <c r="AL143" s="1352">
        <f>'Group Totals'!BA114</f>
        <v>12903.390243902439</v>
      </c>
      <c r="AN143" s="1363">
        <f t="shared" si="1"/>
        <v>13425.707317073171</v>
      </c>
      <c r="AO143" s="7">
        <f>'Group Totals'!BC114</f>
        <v>409.04878048780489</v>
      </c>
      <c r="AR143" s="7">
        <f>'Group Totals'!BD114</f>
        <v>246.63235294117646</v>
      </c>
      <c r="AU143" s="1361">
        <f>'Group Totals'!AP114</f>
        <v>0.23313404133026069</v>
      </c>
      <c r="AV143" s="1446">
        <v>0.28999999999999998</v>
      </c>
      <c r="AX143" s="1352">
        <f>'Group Totals'!I114</f>
        <v>4840134</v>
      </c>
      <c r="AY143" s="94">
        <f>'Group Totals'!K114</f>
        <v>33542</v>
      </c>
      <c r="AZ143" s="94">
        <f>'Group Totals'!W114</f>
        <v>21091</v>
      </c>
      <c r="BA143" s="94">
        <f>'Group Totals'!Q114</f>
        <v>12451</v>
      </c>
      <c r="BB143" s="94">
        <f>'Group Totals'!AC114</f>
        <v>34378</v>
      </c>
      <c r="BC143" s="94">
        <f>'Group Totals'!AD114</f>
        <v>21182</v>
      </c>
      <c r="BD143" s="7">
        <f>'Group Totals'!DD114</f>
        <v>192.77011494252875</v>
      </c>
      <c r="BF143" s="43">
        <v>272</v>
      </c>
      <c r="BG143" s="7">
        <f>'Group Totals'!DE114</f>
        <v>118.94326241134752</v>
      </c>
      <c r="BI143" s="43">
        <v>142</v>
      </c>
      <c r="BJ143" s="7">
        <f>'Group Totals'!DF114</f>
        <v>159.78030303030303</v>
      </c>
      <c r="BL143" s="43">
        <v>248</v>
      </c>
      <c r="BM143" s="7">
        <f>'Group Totals'!DG114</f>
        <v>296.45238095238096</v>
      </c>
      <c r="BO143" s="43">
        <v>326</v>
      </c>
      <c r="BP143" s="7">
        <f>'Group Totals'!DH114</f>
        <v>464.56756756756755</v>
      </c>
      <c r="BR143" s="43">
        <v>545</v>
      </c>
      <c r="BS143" s="7">
        <f>'Group Totals'!DI114</f>
        <v>784.51851851851848</v>
      </c>
      <c r="BU143" s="43">
        <v>719</v>
      </c>
      <c r="BV143" s="7">
        <f>'Group Totals'!DJ114</f>
        <v>92.911894273127757</v>
      </c>
      <c r="BX143" s="43">
        <v>118</v>
      </c>
      <c r="BY143" s="7">
        <f>'Group Totals'!DK114</f>
        <v>226.38181818181818</v>
      </c>
      <c r="CA143" s="43">
        <v>217</v>
      </c>
      <c r="CB143" s="7">
        <f>'Group Totals'!DL114</f>
        <v>324.32075471698113</v>
      </c>
      <c r="CD143" s="43">
        <v>314</v>
      </c>
      <c r="CE143" s="7">
        <f>'Group Totals'!DM114</f>
        <v>543.12820512820508</v>
      </c>
      <c r="CG143" s="43">
        <v>334</v>
      </c>
      <c r="CH143" s="1447">
        <f>'Group Totals'!F114</f>
        <v>0.97369582716626424</v>
      </c>
      <c r="CJ143" s="69">
        <v>0.97</v>
      </c>
      <c r="CK143" s="1447">
        <f>'Group Totals'!D114</f>
        <v>1.747552647295578E-2</v>
      </c>
      <c r="CL143" s="1470">
        <v>1.4999999999999999E-2</v>
      </c>
      <c r="CM143" s="1470"/>
      <c r="CN143" s="69">
        <f>'Group Totals'!CX114</f>
        <v>0.23959522134128119</v>
      </c>
      <c r="CO143" s="1363">
        <f t="shared" si="2"/>
        <v>59026.024390243903</v>
      </c>
    </row>
    <row r="144" spans="2:93" x14ac:dyDescent="0.25">
      <c r="B144" s="1445">
        <f>'Group Totals'!A115</f>
        <v>44228</v>
      </c>
      <c r="C144" s="1352">
        <f>'Group Totals'!AK115</f>
        <v>1177971</v>
      </c>
      <c r="D144" s="38">
        <f>'Group Totals'!CZ115</f>
        <v>-0.13540470344714695</v>
      </c>
      <c r="E144" s="69">
        <f>'Group Totals'!CY115</f>
        <v>-0.15297490345687625</v>
      </c>
      <c r="F144" s="69">
        <f t="shared" si="3"/>
        <v>0.05</v>
      </c>
      <c r="G144" s="69">
        <f t="shared" si="4"/>
        <v>-0.05</v>
      </c>
      <c r="H144" s="38">
        <f>'Group Totals'!AK115/'Group Totals'!I115</f>
        <v>0.25607269165328123</v>
      </c>
      <c r="I144" s="69">
        <v>0.2</v>
      </c>
      <c r="J144" s="69">
        <v>0</v>
      </c>
      <c r="K144" s="1446">
        <f>'Group Totals'!AT115</f>
        <v>37.418474635494427</v>
      </c>
      <c r="L144" s="1352">
        <v>30</v>
      </c>
      <c r="M144" s="1352">
        <v>0</v>
      </c>
      <c r="N144" s="1361">
        <f>'Group Totals'!CS115</f>
        <v>160.44279487877964</v>
      </c>
      <c r="O144" s="1352">
        <v>135</v>
      </c>
      <c r="P144" s="1352">
        <v>0</v>
      </c>
      <c r="Q144" s="337">
        <f>'Group Totals'!DC115</f>
        <v>4.2877962408063199</v>
      </c>
      <c r="S144" s="43">
        <v>4.5999999999999996</v>
      </c>
      <c r="T144" s="1352">
        <f>'Group Totals'!AV115</f>
        <v>15102.192307692309</v>
      </c>
      <c r="U144" s="1352">
        <v>14600</v>
      </c>
      <c r="W144" s="1352">
        <f>'Group Totals'!AW115</f>
        <v>8924.0227272727279</v>
      </c>
      <c r="X144" s="1352">
        <v>8500</v>
      </c>
      <c r="Z144" s="43">
        <f>'Group Totals'!AF115</f>
        <v>78</v>
      </c>
      <c r="AA144" s="43">
        <f>'Group Totals'!AE115</f>
        <v>132</v>
      </c>
      <c r="AB144" s="38">
        <f>'Group Totals'!AF115/'Group Totals'!AE115</f>
        <v>0.59090909090909094</v>
      </c>
      <c r="AD144" s="69">
        <v>0.65</v>
      </c>
      <c r="AE144" s="386">
        <f>'Group Totals'!AN115</f>
        <v>7342</v>
      </c>
      <c r="AF144" s="7">
        <f>'Group Totals'!BN115</f>
        <v>94.128205128205124</v>
      </c>
      <c r="AH144" s="43">
        <v>130</v>
      </c>
      <c r="AI144" s="1352">
        <f>'Group Totals'!BO115</f>
        <v>135.89907382184691</v>
      </c>
      <c r="AK144" s="1361">
        <f t="shared" si="0"/>
        <v>160.44279487877964</v>
      </c>
      <c r="AL144" s="1352">
        <f>'Group Totals'!BA115</f>
        <v>12791.935897435897</v>
      </c>
      <c r="AN144" s="1363">
        <f t="shared" si="1"/>
        <v>15102.192307692309</v>
      </c>
      <c r="AO144" s="7">
        <f>'Group Totals'!BC115</f>
        <v>403.60256410256409</v>
      </c>
      <c r="AR144" s="7">
        <f>'Group Totals'!BD115</f>
        <v>238.49242424242425</v>
      </c>
      <c r="AU144" s="1361">
        <f>'Group Totals'!AP115</f>
        <v>0.70734757593405251</v>
      </c>
      <c r="AV144" s="1446">
        <v>0.28999999999999998</v>
      </c>
      <c r="AX144" s="1352">
        <f>'Group Totals'!I115</f>
        <v>4600143</v>
      </c>
      <c r="AY144" s="94">
        <f>'Group Totals'!K115</f>
        <v>31481</v>
      </c>
      <c r="AZ144" s="94">
        <f>'Group Totals'!W115</f>
        <v>21053</v>
      </c>
      <c r="BA144" s="94">
        <f>'Group Totals'!Q115</f>
        <v>10428</v>
      </c>
      <c r="BB144" s="94">
        <f>'Group Totals'!AC115</f>
        <v>40800</v>
      </c>
      <c r="BC144" s="94">
        <f>'Group Totals'!AD115</f>
        <v>18744</v>
      </c>
      <c r="BD144" s="7">
        <f>'Group Totals'!DD115</f>
        <v>160.61734693877551</v>
      </c>
      <c r="BF144" s="43">
        <v>272</v>
      </c>
      <c r="BG144" s="7">
        <f>'Group Totals'!DE115</f>
        <v>98.686520376175551</v>
      </c>
      <c r="BI144" s="43">
        <v>142</v>
      </c>
      <c r="BJ144" s="7">
        <f>'Group Totals'!DF115</f>
        <v>145.19310344827585</v>
      </c>
      <c r="BL144" s="43">
        <v>248</v>
      </c>
      <c r="BM144" s="7">
        <f>'Group Totals'!DG115</f>
        <v>204.47058823529412</v>
      </c>
      <c r="BO144" s="43">
        <v>326</v>
      </c>
      <c r="BP144" s="7">
        <f>'Group Totals'!DH115</f>
        <v>497.5609756097561</v>
      </c>
      <c r="BR144" s="43">
        <v>545</v>
      </c>
      <c r="BS144" s="7">
        <f>'Group Totals'!DI115</f>
        <v>937.2</v>
      </c>
      <c r="BU144" s="43">
        <v>719</v>
      </c>
      <c r="BV144" s="7">
        <f>'Group Totals'!DJ115</f>
        <v>85.234817813765176</v>
      </c>
      <c r="BX144" s="43">
        <v>118</v>
      </c>
      <c r="BY144" s="7">
        <f>'Group Totals'!DK115</f>
        <v>144.83333333333334</v>
      </c>
      <c r="CA144" s="43">
        <v>217</v>
      </c>
      <c r="CB144" s="7">
        <f>'Group Totals'!DL115</f>
        <v>331.70731707317071</v>
      </c>
      <c r="CD144" s="43">
        <v>314</v>
      </c>
      <c r="CE144" s="7">
        <f>'Group Totals'!DM115</f>
        <v>568</v>
      </c>
      <c r="CG144" s="43">
        <v>334</v>
      </c>
      <c r="CH144" s="1447">
        <f>'Group Totals'!F115</f>
        <v>0.97957840129560625</v>
      </c>
      <c r="CJ144" s="69">
        <v>0.97</v>
      </c>
      <c r="CK144" s="1447">
        <f>'Group Totals'!D115</f>
        <v>1.4509736797061187E-2</v>
      </c>
      <c r="CL144" s="1470">
        <v>1.4999999999999999E-2</v>
      </c>
      <c r="CM144" s="1470"/>
      <c r="CN144" s="69">
        <f>'Group Totals'!CX115</f>
        <v>0.25576023559838484</v>
      </c>
      <c r="CO144" s="1363">
        <f t="shared" si="2"/>
        <v>58976.192307692305</v>
      </c>
    </row>
    <row r="145" spans="1:93" x14ac:dyDescent="0.25">
      <c r="B145" s="1445">
        <f>'Group Totals'!A116</f>
        <v>44256</v>
      </c>
      <c r="C145" s="1352">
        <f>'Group Totals'!AK116</f>
        <v>1235014</v>
      </c>
      <c r="D145" s="38">
        <f>'Group Totals'!CZ116</f>
        <v>-0.13496939149826137</v>
      </c>
      <c r="E145" s="69">
        <f>'Group Totals'!CY116</f>
        <v>-0.20342927286654244</v>
      </c>
      <c r="F145" s="69">
        <f t="shared" si="3"/>
        <v>0.05</v>
      </c>
      <c r="G145" s="69">
        <f t="shared" si="4"/>
        <v>-0.05</v>
      </c>
      <c r="H145" s="38">
        <f>'Group Totals'!AK116/'Group Totals'!I116</f>
        <v>0.22180519725891396</v>
      </c>
      <c r="I145" s="69">
        <v>0.2</v>
      </c>
      <c r="J145" s="69">
        <v>0</v>
      </c>
      <c r="K145" s="1446">
        <f>'Group Totals'!AT116</f>
        <v>24.440235890129028</v>
      </c>
      <c r="L145" s="1352">
        <v>30</v>
      </c>
      <c r="M145" s="1352">
        <v>0</v>
      </c>
      <c r="N145" s="1361">
        <f>'Group Totals'!CS116</f>
        <v>127.94095099968922</v>
      </c>
      <c r="O145" s="1352">
        <v>135</v>
      </c>
      <c r="P145" s="1352">
        <v>0</v>
      </c>
      <c r="Q145" s="337">
        <f>'Group Totals'!DC116</f>
        <v>5.2348492696571016</v>
      </c>
      <c r="S145" s="43">
        <v>4.5999999999999996</v>
      </c>
      <c r="T145" s="1352">
        <f>'Group Totals'!AV116</f>
        <v>13876.561797752809</v>
      </c>
      <c r="U145" s="1352">
        <v>14600</v>
      </c>
      <c r="W145" s="1352">
        <f>'Group Totals'!AW116</f>
        <v>8949.3768115942021</v>
      </c>
      <c r="X145" s="1352">
        <v>8500</v>
      </c>
      <c r="Z145" s="43">
        <f>'Group Totals'!AF116</f>
        <v>89</v>
      </c>
      <c r="AA145" s="43">
        <f>'Group Totals'!AE116</f>
        <v>138</v>
      </c>
      <c r="AB145" s="38">
        <f>'Group Totals'!AF116/'Group Totals'!AE116</f>
        <v>0.64492753623188404</v>
      </c>
      <c r="AD145" s="69">
        <v>0.65</v>
      </c>
      <c r="AE145" s="386">
        <f>'Group Totals'!AN116</f>
        <v>9653</v>
      </c>
      <c r="AF145" s="7">
        <f>'Group Totals'!BN116</f>
        <v>108.46067415730337</v>
      </c>
      <c r="AH145" s="43">
        <v>130</v>
      </c>
      <c r="AI145" s="1352">
        <f>'Group Totals'!BO116</f>
        <v>101.9140163679685</v>
      </c>
      <c r="AK145" s="1361">
        <f t="shared" si="0"/>
        <v>127.94095099968922</v>
      </c>
      <c r="AL145" s="1352">
        <f>'Group Totals'!BA116</f>
        <v>11053.662921348314</v>
      </c>
      <c r="AN145" s="1363">
        <f t="shared" si="1"/>
        <v>13876.561797752809</v>
      </c>
      <c r="AO145" s="7">
        <f>'Group Totals'!BC116</f>
        <v>567.77528089887642</v>
      </c>
      <c r="AR145" s="7">
        <f>'Group Totals'!BD116</f>
        <v>366.17391304347825</v>
      </c>
      <c r="AU145" s="1361">
        <f>'Group Totals'!AP116</f>
        <v>-0.27710069590367264</v>
      </c>
      <c r="AV145" s="1446">
        <v>0.28999999999999998</v>
      </c>
      <c r="AX145" s="1352">
        <f>'Group Totals'!I116</f>
        <v>5568012</v>
      </c>
      <c r="AY145" s="94">
        <f>'Group Totals'!K116</f>
        <v>50532</v>
      </c>
      <c r="AZ145" s="94">
        <f>'Group Totals'!W116</f>
        <v>30719</v>
      </c>
      <c r="BA145" s="94">
        <f>'Group Totals'!Q116</f>
        <v>19813</v>
      </c>
      <c r="BB145" s="94">
        <f>'Group Totals'!AC116</f>
        <v>56926</v>
      </c>
      <c r="BC145" s="94">
        <f>'Group Totals'!AD116</f>
        <v>25138</v>
      </c>
      <c r="BD145" s="7">
        <f>'Group Totals'!DD116</f>
        <v>252.66</v>
      </c>
      <c r="BF145" s="43">
        <v>272</v>
      </c>
      <c r="BG145" s="7">
        <f>'Group Totals'!DE116</f>
        <v>147.32361516034985</v>
      </c>
      <c r="BI145" s="43">
        <v>142</v>
      </c>
      <c r="BJ145" s="7">
        <f>'Group Totals'!DF116</f>
        <v>203.43708609271522</v>
      </c>
      <c r="BL145" s="43">
        <v>248</v>
      </c>
      <c r="BM145" s="7">
        <f>'Group Totals'!DG116</f>
        <v>404.34693877551018</v>
      </c>
      <c r="BO145" s="43">
        <v>326</v>
      </c>
      <c r="BP145" s="7">
        <f>'Group Totals'!DH116</f>
        <v>639.61797752808991</v>
      </c>
      <c r="BR145" s="43">
        <v>545</v>
      </c>
      <c r="BS145" s="7">
        <f>'Group Totals'!DI116</f>
        <v>897.78571428571433</v>
      </c>
      <c r="BU145" s="43">
        <v>719</v>
      </c>
      <c r="BV145" s="7">
        <f>'Group Totals'!DJ116</f>
        <v>114.6231343283582</v>
      </c>
      <c r="BX145" s="43">
        <v>118</v>
      </c>
      <c r="BY145" s="7">
        <f>'Group Totals'!DK116</f>
        <v>264.17333333333335</v>
      </c>
      <c r="CA145" s="43">
        <v>217</v>
      </c>
      <c r="CB145" s="7">
        <f>'Group Totals'!DL116</f>
        <v>358.02515723270443</v>
      </c>
      <c r="CD145" s="43">
        <v>314</v>
      </c>
      <c r="CE145" s="7">
        <f>'Group Totals'!DM116</f>
        <v>392.78125</v>
      </c>
      <c r="CG145" s="43">
        <v>334</v>
      </c>
      <c r="CH145" s="1447">
        <f>'Group Totals'!F116</f>
        <v>0.97623931623931626</v>
      </c>
      <c r="CJ145" s="69">
        <v>0.97</v>
      </c>
      <c r="CK145" s="1447">
        <f>'Group Totals'!D116</f>
        <v>2.0372046254399194E-2</v>
      </c>
      <c r="CL145" s="1470">
        <v>1.4999999999999999E-2</v>
      </c>
      <c r="CM145" s="1470"/>
      <c r="CN145" s="69">
        <f>'Group Totals'!CX116</f>
        <v>0.2336313619760387</v>
      </c>
      <c r="CO145" s="1363">
        <f t="shared" si="2"/>
        <v>62561.932584269663</v>
      </c>
    </row>
    <row r="146" spans="1:93" ht="15.75" thickBot="1" x14ac:dyDescent="0.3">
      <c r="B146" s="1445">
        <f>'Group Totals'!A117</f>
        <v>44287</v>
      </c>
      <c r="C146" s="1352">
        <f>'Group Totals'!AK117</f>
        <v>1004637</v>
      </c>
      <c r="D146" s="38">
        <f>'Group Totals'!CZ117</f>
        <v>-0.13582104750027946</v>
      </c>
      <c r="E146" s="69">
        <f>'Group Totals'!CY117</f>
        <v>-3.2595853029502186E-2</v>
      </c>
      <c r="F146" s="69">
        <f t="shared" si="3"/>
        <v>0.05</v>
      </c>
      <c r="G146" s="69">
        <f t="shared" si="4"/>
        <v>-0.05</v>
      </c>
      <c r="H146" s="38">
        <f>'Group Totals'!AK117/'Group Totals'!I117</f>
        <v>0.20739098904270267</v>
      </c>
      <c r="I146" s="69">
        <v>0.2</v>
      </c>
      <c r="J146" s="69">
        <v>0</v>
      </c>
      <c r="K146" s="1446">
        <f>'Group Totals'!AT117</f>
        <v>27.994454816507371</v>
      </c>
      <c r="L146" s="1352">
        <v>30</v>
      </c>
      <c r="M146" s="1352">
        <v>0</v>
      </c>
      <c r="N146" s="1361">
        <f>'Group Totals'!CS117</f>
        <v>126.43304807450289</v>
      </c>
      <c r="O146" s="1352">
        <v>135</v>
      </c>
      <c r="P146" s="1352">
        <v>0</v>
      </c>
      <c r="Q146" s="337">
        <f>'Group Totals'!DC117</f>
        <v>4.5163604329222249</v>
      </c>
      <c r="S146" s="43">
        <v>4.5999999999999996</v>
      </c>
      <c r="T146" s="1352">
        <f>'Group Totals'!AV117</f>
        <v>11547.551724137931</v>
      </c>
      <c r="U146" s="1352">
        <v>14600</v>
      </c>
      <c r="W146" s="1352">
        <f>'Group Totals'!AW117</f>
        <v>7387.036764705882</v>
      </c>
      <c r="X146" s="1352">
        <v>8500</v>
      </c>
      <c r="Z146" s="43">
        <f>'Group Totals'!AF117</f>
        <v>87</v>
      </c>
      <c r="AA146" s="43">
        <f>'Group Totals'!AE117</f>
        <v>136</v>
      </c>
      <c r="AB146" s="38">
        <f>'Group Totals'!AF117/'Group Totals'!AE117</f>
        <v>0.63970588235294112</v>
      </c>
      <c r="AD146" s="69">
        <v>0.65</v>
      </c>
      <c r="AE146" s="386">
        <f>'Group Totals'!AN117</f>
        <v>7946</v>
      </c>
      <c r="AF146" s="7">
        <f>'Group Totals'!BN117</f>
        <v>91.333333333333329</v>
      </c>
      <c r="AH146" s="43">
        <v>130</v>
      </c>
      <c r="AI146" s="1352">
        <f>'Group Totals'!BO117</f>
        <v>122.31185502139441</v>
      </c>
      <c r="AK146" s="1361">
        <f t="shared" si="0"/>
        <v>126.43304807450289</v>
      </c>
      <c r="AL146" s="1352">
        <f>'Group Totals'!BA117</f>
        <v>11171.149425287356</v>
      </c>
      <c r="AN146" s="1363">
        <f t="shared" si="1"/>
        <v>11547.551724137931</v>
      </c>
      <c r="AO146" s="7">
        <f>'Group Totals'!BC117</f>
        <v>412.4942528735632</v>
      </c>
      <c r="AR146" s="7">
        <f>'Group Totals'!BD117</f>
        <v>263.875</v>
      </c>
      <c r="AU146" s="1361">
        <f>'Group Totals'!AP117</f>
        <v>0.43784599587669215</v>
      </c>
      <c r="AV146" s="1446">
        <v>0.28999999999999998</v>
      </c>
      <c r="AX146" s="1352">
        <f>'Group Totals'!I117</f>
        <v>4844169</v>
      </c>
      <c r="AY146" s="94">
        <f>'Group Totals'!K117</f>
        <v>35887</v>
      </c>
      <c r="AZ146" s="94">
        <f>'Group Totals'!W117</f>
        <v>25043</v>
      </c>
      <c r="BA146" s="94">
        <f>'Group Totals'!Q117</f>
        <v>10844</v>
      </c>
      <c r="BB146" s="94">
        <f>'Group Totals'!AC117</f>
        <v>44560</v>
      </c>
      <c r="BC146" s="94">
        <f>'Group Totals'!AD117</f>
        <v>18272</v>
      </c>
      <c r="BD146" s="7">
        <f>'Group Totals'!DD117</f>
        <v>220.16564417177915</v>
      </c>
      <c r="BF146" s="43">
        <v>272</v>
      </c>
      <c r="BG146" s="7">
        <f>'Group Totals'!DE117</f>
        <v>125.91929824561403</v>
      </c>
      <c r="BI146" s="43">
        <v>142</v>
      </c>
      <c r="BJ146" s="7">
        <f>'Group Totals'!DF117</f>
        <v>198.75396825396825</v>
      </c>
      <c r="BL146" s="43">
        <v>248</v>
      </c>
      <c r="BM146" s="7">
        <f>'Group Totals'!DG117</f>
        <v>293.08108108108109</v>
      </c>
      <c r="BO146" s="43">
        <v>326</v>
      </c>
      <c r="BP146" s="7">
        <f>'Group Totals'!DH117</f>
        <v>495.11111111111109</v>
      </c>
      <c r="BR146" s="43">
        <v>545</v>
      </c>
      <c r="BS146" s="7">
        <f>'Group Totals'!DI117</f>
        <v>652.57142857142856</v>
      </c>
      <c r="BU146" s="43">
        <v>719</v>
      </c>
      <c r="BV146" s="7">
        <f>'Group Totals'!DJ117</f>
        <v>108.41125541125541</v>
      </c>
      <c r="BX146" s="43">
        <v>118</v>
      </c>
      <c r="BY146" s="7">
        <f>'Group Totals'!DK117</f>
        <v>200.81481481481481</v>
      </c>
      <c r="CA146" s="43">
        <v>217</v>
      </c>
      <c r="CB146" s="7">
        <f>'Group Totals'!DL117</f>
        <v>332.53731343283584</v>
      </c>
      <c r="CD146" s="43">
        <v>314</v>
      </c>
      <c r="CE146" s="7">
        <f>'Group Totals'!DM117</f>
        <v>372.89795918367349</v>
      </c>
      <c r="CG146" s="43">
        <v>334</v>
      </c>
      <c r="CH146" s="1447">
        <f>'Group Totals'!F117</f>
        <v>0.97674783153934586</v>
      </c>
      <c r="CJ146" s="69">
        <v>0.97</v>
      </c>
      <c r="CK146" s="1447">
        <f>'Group Totals'!D117</f>
        <v>1.8301285400773332E-2</v>
      </c>
      <c r="CL146" s="1470">
        <v>1.4999999999999999E-2</v>
      </c>
      <c r="CM146" s="1470"/>
      <c r="CN146" s="69">
        <f>'Group Totals'!CX117</f>
        <v>0.23406722370233948</v>
      </c>
      <c r="CO146" s="1363">
        <f t="shared" si="2"/>
        <v>55680.103448275862</v>
      </c>
    </row>
    <row r="147" spans="1:93" s="1464" customFormat="1" ht="15.75" thickBot="1" x14ac:dyDescent="0.3">
      <c r="A147" s="1456"/>
      <c r="B147" s="1457">
        <f>'Group Totals'!A118</f>
        <v>44317</v>
      </c>
      <c r="C147" s="1458">
        <f>'Group Totals'!AK118</f>
        <v>1004637</v>
      </c>
      <c r="D147" s="1459">
        <f>'Group Totals'!CZ118</f>
        <v>-5.8475079894263371E-2</v>
      </c>
      <c r="E147" s="1460">
        <f>'Group Totals'!CY118</f>
        <v>9.3839864548090457E-2</v>
      </c>
      <c r="F147" s="1460">
        <f t="shared" si="3"/>
        <v>0.05</v>
      </c>
      <c r="G147" s="1460">
        <f t="shared" si="4"/>
        <v>-0.05</v>
      </c>
      <c r="H147" s="1459">
        <f>'Group Totals'!AK118/'Group Totals'!I118</f>
        <v>0.18384052613857618</v>
      </c>
      <c r="I147" s="1460">
        <v>0.2</v>
      </c>
      <c r="J147" s="1460">
        <v>0</v>
      </c>
      <c r="K147" s="1461">
        <f>'Group Totals'!AT118</f>
        <v>19.978860495177489</v>
      </c>
      <c r="L147" s="1458">
        <v>30</v>
      </c>
      <c r="M147" s="1458">
        <v>0</v>
      </c>
      <c r="N147" s="1462">
        <f>'Group Totals'!CS118</f>
        <v>110.48465852853843</v>
      </c>
      <c r="O147" s="1458">
        <v>135</v>
      </c>
      <c r="P147" s="1458">
        <v>0</v>
      </c>
      <c r="Q147" s="1463">
        <f>'Group Totals'!DC118</f>
        <v>5.5300780820411308</v>
      </c>
      <c r="S147" s="1464">
        <v>4.5999999999999996</v>
      </c>
      <c r="T147" s="1458">
        <f>'Group Totals'!AV118</f>
        <v>11288.056179775282</v>
      </c>
      <c r="U147" s="1458">
        <v>14600</v>
      </c>
      <c r="W147" s="1458">
        <f>'Group Totals'!AW118</f>
        <v>7175.9785714285717</v>
      </c>
      <c r="X147" s="1458">
        <v>8500</v>
      </c>
      <c r="Z147" s="1464">
        <f>'Group Totals'!AF118</f>
        <v>89</v>
      </c>
      <c r="AA147" s="1464">
        <f>'Group Totals'!AE118</f>
        <v>140</v>
      </c>
      <c r="AB147" s="1459">
        <f>'Group Totals'!AF118/'Group Totals'!AE118</f>
        <v>0.63571428571428568</v>
      </c>
      <c r="AD147" s="1460">
        <v>0.65</v>
      </c>
      <c r="AE147" s="1465">
        <f>'Group Totals'!AN118</f>
        <v>9093</v>
      </c>
      <c r="AF147" s="1466">
        <f>'Group Totals'!BN118</f>
        <v>102.1685393258427</v>
      </c>
      <c r="AH147" s="1464">
        <v>130</v>
      </c>
      <c r="AI147" s="1458">
        <f>'Group Totals'!BO118</f>
        <v>120.85252391949851</v>
      </c>
      <c r="AK147" s="1462">
        <f t="shared" si="0"/>
        <v>110.48465852853843</v>
      </c>
      <c r="AL147" s="1458">
        <f>'Group Totals'!BA118</f>
        <v>12347.325842696629</v>
      </c>
      <c r="AN147" s="1467">
        <f t="shared" si="1"/>
        <v>11288.056179775282</v>
      </c>
      <c r="AO147" s="1466">
        <f>'Group Totals'!BC118</f>
        <v>565</v>
      </c>
      <c r="AR147" s="1466">
        <f>'Group Totals'!BD118</f>
        <v>359.17857142857144</v>
      </c>
      <c r="AU147" s="1462">
        <f>'Group Totals'!AP118</f>
        <v>0.27845891463789546</v>
      </c>
      <c r="AV147" s="1461">
        <v>0.28999999999999998</v>
      </c>
      <c r="AX147" s="1458">
        <f>'Group Totals'!I118</f>
        <v>5464720</v>
      </c>
      <c r="AY147" s="1468">
        <f>'Group Totals'!K118</f>
        <v>50285</v>
      </c>
      <c r="AZ147" s="1468">
        <f>'Group Totals'!W118</f>
        <v>32022</v>
      </c>
      <c r="BA147" s="1468">
        <f>'Group Totals'!Q118</f>
        <v>18263</v>
      </c>
      <c r="BB147" s="1468">
        <f>'Group Totals'!AC118</f>
        <v>49588</v>
      </c>
      <c r="BC147" s="1468">
        <f>'Group Totals'!AD118</f>
        <v>23730</v>
      </c>
      <c r="BD147" s="1466">
        <f>'Group Totals'!DD118</f>
        <v>271.81081081081084</v>
      </c>
      <c r="BF147" s="43">
        <v>272</v>
      </c>
      <c r="BG147" s="1466">
        <f>'Group Totals'!DE118</f>
        <v>141.64788732394365</v>
      </c>
      <c r="BI147" s="43">
        <v>142</v>
      </c>
      <c r="BJ147" s="1466">
        <f>'Group Totals'!DF118</f>
        <v>248.23255813953489</v>
      </c>
      <c r="BL147" s="43">
        <v>248</v>
      </c>
      <c r="BM147" s="1466">
        <f>'Group Totals'!DG118</f>
        <v>326.125</v>
      </c>
      <c r="BO147" s="43">
        <v>326</v>
      </c>
      <c r="BP147" s="1466">
        <f>'Group Totals'!DH118</f>
        <v>544.92307692307691</v>
      </c>
      <c r="BR147" s="43">
        <v>545</v>
      </c>
      <c r="BS147" s="1466">
        <f>'Group Totals'!DI118</f>
        <v>719.09090909090912</v>
      </c>
      <c r="BU147" s="43">
        <v>719</v>
      </c>
      <c r="BV147" s="1466">
        <f>'Group Totals'!DJ118</f>
        <v>118.16236162361623</v>
      </c>
      <c r="BX147" s="43">
        <v>118</v>
      </c>
      <c r="BY147" s="1466">
        <f>'Group Totals'!DK118</f>
        <v>217.41666666666666</v>
      </c>
      <c r="CA147" s="43">
        <v>217</v>
      </c>
      <c r="CB147" s="1466">
        <f>'Group Totals'!DL118</f>
        <v>313.84810126582278</v>
      </c>
      <c r="CD147" s="43">
        <v>314</v>
      </c>
      <c r="CE147" s="1466">
        <f>'Group Totals'!DM118</f>
        <v>334.22535211267603</v>
      </c>
      <c r="CG147" s="43">
        <v>334</v>
      </c>
      <c r="CH147" s="1469">
        <f>'Group Totals'!F118</f>
        <v>0.97900637156622961</v>
      </c>
      <c r="CJ147" s="69">
        <v>0.97</v>
      </c>
      <c r="CK147" s="1469">
        <f>'Group Totals'!D118</f>
        <v>1.5188890171832848E-2</v>
      </c>
      <c r="CL147" s="1470">
        <v>1.4999999999999999E-2</v>
      </c>
      <c r="CM147" s="1470"/>
      <c r="CN147" s="1460">
        <f>'Group Totals'!CX118</f>
        <v>0.2152574989287897</v>
      </c>
      <c r="CO147" s="1363">
        <f t="shared" si="2"/>
        <v>61401.348314606745</v>
      </c>
    </row>
    <row r="148" spans="1:93" x14ac:dyDescent="0.25">
      <c r="B148" s="1445">
        <f>'Group Totals'!A119</f>
        <v>44348</v>
      </c>
      <c r="C148" s="1352">
        <f>'Group Totals'!AK119</f>
        <v>1422347</v>
      </c>
      <c r="D148" s="38">
        <f>'Group Totals'!CZ119</f>
        <v>-6.9194995601204234E-2</v>
      </c>
      <c r="E148" s="69">
        <f>'Group Totals'!CY119</f>
        <v>-0.21020116750694451</v>
      </c>
      <c r="F148" s="69">
        <f t="shared" si="3"/>
        <v>0.05</v>
      </c>
      <c r="G148" s="69">
        <f t="shared" si="4"/>
        <v>-0.05</v>
      </c>
      <c r="H148" s="38">
        <f>'Group Totals'!AK119/'Group Totals'!I119</f>
        <v>0.26027806360105116</v>
      </c>
      <c r="I148" s="69">
        <v>0.2</v>
      </c>
      <c r="J148" s="69">
        <v>0</v>
      </c>
      <c r="K148" s="1446">
        <f>'Group Totals'!AT119</f>
        <v>35.928741032636154</v>
      </c>
      <c r="L148" s="1352">
        <v>30</v>
      </c>
      <c r="M148" s="1352">
        <v>0</v>
      </c>
      <c r="N148" s="1361">
        <f>'Group Totals'!CS119</f>
        <v>164.12958689129934</v>
      </c>
      <c r="O148" s="1352">
        <v>135</v>
      </c>
      <c r="P148" s="1352">
        <v>0</v>
      </c>
      <c r="Q148" s="337">
        <f>'Group Totals'!DC119</f>
        <v>4.5681975536579733</v>
      </c>
      <c r="S148" s="43">
        <v>4.5999999999999996</v>
      </c>
      <c r="T148" s="1352">
        <f>'Group Totals'!AV119</f>
        <v>16538.918604651164</v>
      </c>
      <c r="U148" s="1352">
        <v>14600</v>
      </c>
      <c r="W148" s="1352">
        <f>'Group Totals'!AW119</f>
        <v>10306.86231884058</v>
      </c>
      <c r="X148" s="1352">
        <v>8500</v>
      </c>
      <c r="Z148" s="43">
        <f>'Group Totals'!AF119</f>
        <v>86</v>
      </c>
      <c r="AA148" s="43">
        <f>'Group Totals'!AE119</f>
        <v>138</v>
      </c>
      <c r="AB148" s="38">
        <f>'Group Totals'!AF119/'Group Totals'!AE119</f>
        <v>0.62318840579710144</v>
      </c>
      <c r="AD148" s="69">
        <v>0.65</v>
      </c>
      <c r="AE148" s="386">
        <f>'Group Totals'!AN119</f>
        <v>8666</v>
      </c>
      <c r="AF148" s="7">
        <f>'Group Totals'!BN119</f>
        <v>100.76744186046511</v>
      </c>
      <c r="AH148" s="43">
        <v>130</v>
      </c>
      <c r="AI148" s="1352">
        <f>'Group Totals'!BO119</f>
        <v>129.62935610431572</v>
      </c>
      <c r="AK148" s="1361">
        <f t="shared" si="0"/>
        <v>164.12958689129934</v>
      </c>
      <c r="AL148" s="1352">
        <f>'Group Totals'!BA119</f>
        <v>13062.418604651162</v>
      </c>
      <c r="AN148" s="1363">
        <f t="shared" si="1"/>
        <v>16538.918604651164</v>
      </c>
      <c r="AO148" s="7">
        <f>'Group Totals'!BC119</f>
        <v>460.32558139534882</v>
      </c>
      <c r="AR148" s="7">
        <f>'Group Totals'!BD119</f>
        <v>286.86956521739131</v>
      </c>
      <c r="AU148" s="1361">
        <f>'Group Totals'!AP119</f>
        <v>0.41065225470797134</v>
      </c>
      <c r="AV148" s="1446">
        <v>0.28999999999999998</v>
      </c>
      <c r="AX148" s="1352">
        <f>'Group Totals'!I119</f>
        <v>5464721</v>
      </c>
      <c r="AY148" s="94">
        <f>'Group Totals'!K119</f>
        <v>39588</v>
      </c>
      <c r="AZ148" s="94">
        <f>'Group Totals'!W119</f>
        <v>25960</v>
      </c>
      <c r="BA148" s="94">
        <f>'Group Totals'!Q119</f>
        <v>13628</v>
      </c>
      <c r="BB148" s="94">
        <f>'Group Totals'!AC119</f>
        <v>48437</v>
      </c>
      <c r="BC148" s="94">
        <f>'Group Totals'!AD119</f>
        <v>20702</v>
      </c>
      <c r="BD148" s="7">
        <f>'Group Totals'!DD119</f>
        <v>200.95431472081219</v>
      </c>
      <c r="BF148" s="43">
        <v>272</v>
      </c>
      <c r="BG148" s="7">
        <f>'Group Totals'!DE119</f>
        <v>111.51549295774647</v>
      </c>
      <c r="BI148" s="43">
        <v>142</v>
      </c>
      <c r="BJ148" s="7">
        <f>'Group Totals'!DF119</f>
        <v>184.11347517730496</v>
      </c>
      <c r="BL148" s="43">
        <v>248</v>
      </c>
      <c r="BM148" s="7">
        <f>'Group Totals'!DG119</f>
        <v>243.35714285714286</v>
      </c>
      <c r="BO148" s="43">
        <v>326</v>
      </c>
      <c r="BP148" s="7">
        <f>'Group Totals'!DH119</f>
        <v>515.28723404255322</v>
      </c>
      <c r="BR148" s="43">
        <v>545</v>
      </c>
      <c r="BS148" s="7">
        <f>'Group Totals'!DI119</f>
        <v>862.58333333333337</v>
      </c>
      <c r="BU148" s="43">
        <v>719</v>
      </c>
      <c r="BV148" s="7">
        <f>'Group Totals'!DJ119</f>
        <v>93.046594982078858</v>
      </c>
      <c r="BX148" s="43">
        <v>118</v>
      </c>
      <c r="BY148" s="7">
        <f>'Group Totals'!DK119</f>
        <v>179.31578947368422</v>
      </c>
      <c r="CA148" s="43">
        <v>217</v>
      </c>
      <c r="CB148" s="7">
        <f>'Group Totals'!DL119</f>
        <v>329.50340136054422</v>
      </c>
      <c r="CD148" s="43">
        <v>314</v>
      </c>
      <c r="CE148" s="7">
        <f>'Group Totals'!DM119</f>
        <v>405.92156862745099</v>
      </c>
      <c r="CG148" s="43">
        <v>334</v>
      </c>
      <c r="CH148" s="1447">
        <f>'Group Totals'!F119</f>
        <v>0.97166336072541792</v>
      </c>
      <c r="CJ148" s="69">
        <v>0.97</v>
      </c>
      <c r="CK148" s="1447">
        <f>'Group Totals'!D119</f>
        <v>1.8265325399074335E-2</v>
      </c>
      <c r="CL148" s="1470">
        <v>1.4999999999999999E-2</v>
      </c>
      <c r="CM148" s="1470"/>
      <c r="CN148" s="69">
        <f>'Group Totals'!CX119</f>
        <v>0.20567821823919827</v>
      </c>
      <c r="CO148" s="1363">
        <f t="shared" si="2"/>
        <v>63543.267441860466</v>
      </c>
    </row>
    <row r="149" spans="1:93" x14ac:dyDescent="0.25">
      <c r="B149" s="1445">
        <f>'Group Totals'!A120</f>
        <v>44378</v>
      </c>
      <c r="C149" s="1352">
        <f>'Group Totals'!AK120</f>
        <v>1515606</v>
      </c>
      <c r="D149" s="38">
        <f>'Group Totals'!CZ120</f>
        <v>-9.6789927433489131E-2</v>
      </c>
      <c r="E149" s="69">
        <f>'Group Totals'!CY120</f>
        <v>-0.11671832916998215</v>
      </c>
      <c r="F149" s="69">
        <f t="shared" si="3"/>
        <v>0.05</v>
      </c>
      <c r="G149" s="69">
        <f t="shared" si="4"/>
        <v>-0.05</v>
      </c>
      <c r="H149" s="38">
        <f>'Group Totals'!AK120/'Group Totals'!I120</f>
        <v>0.21692510030742385</v>
      </c>
      <c r="I149" s="69">
        <v>0.2</v>
      </c>
      <c r="J149" s="69">
        <v>0</v>
      </c>
      <c r="K149" s="1446">
        <f>'Group Totals'!AT120</f>
        <v>33.575675675675676</v>
      </c>
      <c r="L149" s="1352">
        <v>30</v>
      </c>
      <c r="M149" s="1352">
        <v>0</v>
      </c>
      <c r="N149" s="1361">
        <f>'Group Totals'!CS120</f>
        <v>153.69698813507759</v>
      </c>
      <c r="O149" s="1352">
        <v>135</v>
      </c>
      <c r="P149" s="1352">
        <v>0</v>
      </c>
      <c r="Q149" s="337">
        <f>'Group Totals'!DC120</f>
        <v>4.5776290437075344</v>
      </c>
      <c r="S149" s="43">
        <v>4.5999999999999996</v>
      </c>
      <c r="T149" s="1352">
        <f>'Group Totals'!AV120</f>
        <v>15953.747368421053</v>
      </c>
      <c r="U149" s="1352">
        <v>14600</v>
      </c>
      <c r="W149" s="1352">
        <f>'Group Totals'!AW120</f>
        <v>10310.244897959185</v>
      </c>
      <c r="X149" s="1352">
        <v>8500</v>
      </c>
      <c r="Z149" s="43">
        <f>'Group Totals'!AF120</f>
        <v>95</v>
      </c>
      <c r="AA149" s="43">
        <f>'Group Totals'!AE120</f>
        <v>147</v>
      </c>
      <c r="AB149" s="38">
        <f>'Group Totals'!AF120/'Group Totals'!AE120</f>
        <v>0.6462585034013606</v>
      </c>
      <c r="AD149" s="69">
        <v>0.65</v>
      </c>
      <c r="AE149" s="386">
        <f>'Group Totals'!AN120</f>
        <v>9861</v>
      </c>
      <c r="AF149" s="7">
        <f>'Group Totals'!BN120</f>
        <v>103.8</v>
      </c>
      <c r="AH149" s="43">
        <v>130</v>
      </c>
      <c r="AI149" s="1352">
        <f>'Group Totals'!BO120</f>
        <v>135.75773248149275</v>
      </c>
      <c r="AK149" s="1361">
        <f t="shared" si="0"/>
        <v>153.69698813507759</v>
      </c>
      <c r="AL149" s="1352">
        <f>'Group Totals'!BA120</f>
        <v>14091.652631578947</v>
      </c>
      <c r="AN149" s="1363">
        <f t="shared" si="1"/>
        <v>15953.747368421053</v>
      </c>
      <c r="AO149" s="7">
        <f>'Group Totals'!BC120</f>
        <v>475.15789473684208</v>
      </c>
      <c r="AR149" s="7">
        <f>'Group Totals'!BD120</f>
        <v>307.07482993197277</v>
      </c>
      <c r="AU149" s="1361">
        <f>'Group Totals'!AP120</f>
        <v>0.17966811850567307</v>
      </c>
      <c r="AV149" s="1446">
        <v>0.28999999999999998</v>
      </c>
      <c r="AX149" s="1352">
        <f>'Group Totals'!I120</f>
        <v>6986771</v>
      </c>
      <c r="AY149" s="94">
        <f>'Group Totals'!K120</f>
        <v>45140</v>
      </c>
      <c r="AZ149" s="94">
        <f>'Group Totals'!W120</f>
        <v>25274</v>
      </c>
      <c r="BA149" s="94">
        <f>'Group Totals'!Q120</f>
        <v>19866</v>
      </c>
      <c r="BB149" s="94">
        <f>'Group Totals'!AC120</f>
        <v>47168</v>
      </c>
      <c r="BC149" s="94">
        <f>'Group Totals'!AD120</f>
        <v>21659</v>
      </c>
      <c r="BD149" s="7">
        <f>'Group Totals'!DD120</f>
        <v>246.66666666666666</v>
      </c>
      <c r="BF149" s="43">
        <v>272</v>
      </c>
      <c r="BG149" s="7">
        <f>'Group Totals'!DE120</f>
        <v>125.0415512465374</v>
      </c>
      <c r="BI149" s="43">
        <v>142</v>
      </c>
      <c r="BJ149" s="7">
        <f>'Group Totals'!DF120</f>
        <v>203.82258064516128</v>
      </c>
      <c r="BL149" s="43">
        <v>248</v>
      </c>
      <c r="BM149" s="7">
        <f>'Group Totals'!DG120</f>
        <v>336.71186440677968</v>
      </c>
      <c r="BO149" s="43">
        <v>326</v>
      </c>
      <c r="BP149" s="7">
        <f>'Group Totals'!DH120</f>
        <v>524.08888888888885</v>
      </c>
      <c r="BR149" s="43">
        <v>545</v>
      </c>
      <c r="BS149" s="7">
        <f>'Group Totals'!DI120</f>
        <v>656.33333333333337</v>
      </c>
      <c r="BU149" s="43">
        <v>719</v>
      </c>
      <c r="BV149" s="7">
        <f>'Group Totals'!DJ120</f>
        <v>91.241877256317693</v>
      </c>
      <c r="BX149" s="43">
        <v>118</v>
      </c>
      <c r="BY149" s="7">
        <f>'Group Totals'!DK120</f>
        <v>236.5</v>
      </c>
      <c r="CA149" s="43">
        <v>217</v>
      </c>
      <c r="CB149" s="7">
        <f>'Group Totals'!DL120</f>
        <v>332.16901408450707</v>
      </c>
      <c r="CD149" s="43">
        <v>314</v>
      </c>
      <c r="CE149" s="7">
        <f>'Group Totals'!DM120</f>
        <v>343.79365079365078</v>
      </c>
      <c r="CG149" s="43">
        <v>334</v>
      </c>
      <c r="CH149" s="1447">
        <f>'Group Totals'!F120</f>
        <v>0.97399325450038599</v>
      </c>
      <c r="CJ149" s="69">
        <v>0.97</v>
      </c>
      <c r="CK149" s="1447">
        <f>'Group Totals'!D120</f>
        <v>1.8712666097769108E-2</v>
      </c>
      <c r="CL149" s="1470">
        <v>1.4999999999999999E-2</v>
      </c>
      <c r="CM149" s="1470"/>
      <c r="CN149" s="69">
        <f>'Group Totals'!CX120</f>
        <v>0.19153719547413259</v>
      </c>
      <c r="CO149" s="1363">
        <f t="shared" si="2"/>
        <v>73544.957894736843</v>
      </c>
    </row>
    <row r="150" spans="1:93" x14ac:dyDescent="0.25">
      <c r="B150" s="1445">
        <f>'Group Totals'!A121</f>
        <v>44409</v>
      </c>
      <c r="C150" s="1352">
        <f>'Group Totals'!AK121</f>
        <v>1402452</v>
      </c>
      <c r="D150" s="38">
        <f>'Group Totals'!CZ121</f>
        <v>-4.2695324514647859E-2</v>
      </c>
      <c r="E150" s="69">
        <f>'Group Totals'!CY121</f>
        <v>0.20718213528876572</v>
      </c>
      <c r="F150" s="69">
        <f t="shared" si="3"/>
        <v>0.05</v>
      </c>
      <c r="G150" s="69">
        <f t="shared" si="4"/>
        <v>-0.05</v>
      </c>
      <c r="H150" s="38">
        <f>'Group Totals'!AK121/'Group Totals'!I121</f>
        <v>0.1382627881435971</v>
      </c>
      <c r="I150" s="69">
        <v>0.2</v>
      </c>
      <c r="J150" s="69">
        <v>0</v>
      </c>
      <c r="K150" s="1446">
        <f>'Group Totals'!AT121</f>
        <v>30.4814605520539</v>
      </c>
      <c r="L150" s="1352">
        <v>30</v>
      </c>
      <c r="M150" s="1352">
        <v>0</v>
      </c>
      <c r="N150" s="1361">
        <f>'Group Totals'!CS121</f>
        <v>149.69068203650338</v>
      </c>
      <c r="O150" s="1352">
        <v>135</v>
      </c>
      <c r="P150" s="1352">
        <v>0</v>
      </c>
      <c r="Q150" s="337">
        <f>'Group Totals'!DC121</f>
        <v>4.9108762941615964</v>
      </c>
      <c r="S150" s="43">
        <v>4.5999999999999996</v>
      </c>
      <c r="T150" s="1352">
        <f>'Group Totals'!AV121</f>
        <v>14310.734693877552</v>
      </c>
      <c r="U150" s="1352">
        <v>14600</v>
      </c>
      <c r="W150" s="1352">
        <f>'Group Totals'!AW121</f>
        <v>9226.6578947368416</v>
      </c>
      <c r="X150" s="1352">
        <v>8500</v>
      </c>
      <c r="Z150" s="43">
        <f>'Group Totals'!AF121</f>
        <v>98</v>
      </c>
      <c r="AA150" s="43">
        <f>'Group Totals'!AE121</f>
        <v>152</v>
      </c>
      <c r="AB150" s="38">
        <f>'Group Totals'!AF121/'Group Totals'!AE121</f>
        <v>0.64473684210526316</v>
      </c>
      <c r="AD150" s="69">
        <v>0.65</v>
      </c>
      <c r="AE150" s="386">
        <f>'Group Totals'!AN121</f>
        <v>9369</v>
      </c>
      <c r="AF150" s="7">
        <f>'Group Totals'!BN121</f>
        <v>95.602040816326536</v>
      </c>
      <c r="AH150" s="43">
        <v>130</v>
      </c>
      <c r="AI150" s="1352">
        <f>'Group Totals'!BO121</f>
        <v>180.7039171736578</v>
      </c>
      <c r="AK150" s="1361">
        <f t="shared" si="0"/>
        <v>149.69068203650338</v>
      </c>
      <c r="AL150" s="1352">
        <f>'Group Totals'!BA121</f>
        <v>17275.663265306124</v>
      </c>
      <c r="AN150" s="1363">
        <f t="shared" si="1"/>
        <v>14310.734693877552</v>
      </c>
      <c r="AO150" s="7">
        <f>'Group Totals'!BC121</f>
        <v>469.48979591836735</v>
      </c>
      <c r="AR150" s="7">
        <f>'Group Totals'!BD121</f>
        <v>302.69736842105266</v>
      </c>
      <c r="AU150" s="1361">
        <f>'Group Totals'!AP121</f>
        <v>0.45312312069546834</v>
      </c>
      <c r="AV150" s="1446">
        <v>0.28999999999999998</v>
      </c>
      <c r="AX150" s="1352">
        <f>'Group Totals'!I121</f>
        <v>10143380</v>
      </c>
      <c r="AY150" s="94">
        <f>'Group Totals'!K121</f>
        <v>46010</v>
      </c>
      <c r="AZ150" s="94">
        <f>'Group Totals'!W121</f>
        <v>22068</v>
      </c>
      <c r="BA150" s="94">
        <f>'Group Totals'!Q121</f>
        <v>23942</v>
      </c>
      <c r="BB150" s="94">
        <f>'Group Totals'!AC121</f>
        <v>76959</v>
      </c>
      <c r="BC150" s="94">
        <f>'Group Totals'!AD121</f>
        <v>25562</v>
      </c>
      <c r="BD150" s="7">
        <f>'Group Totals'!DD121</f>
        <v>258.4831460674157</v>
      </c>
      <c r="BF150" s="43">
        <v>272</v>
      </c>
      <c r="BG150" s="7">
        <f>'Group Totals'!DE121</f>
        <v>143.78125</v>
      </c>
      <c r="BI150" s="43">
        <v>142</v>
      </c>
      <c r="BJ150" s="7">
        <f>'Group Totals'!DF121</f>
        <v>185.44537815126051</v>
      </c>
      <c r="BL150" s="43">
        <v>248</v>
      </c>
      <c r="BM150" s="7">
        <f>'Group Totals'!DG121</f>
        <v>405.79661016949154</v>
      </c>
      <c r="BO150" s="43">
        <v>326</v>
      </c>
      <c r="BP150" s="7">
        <f>'Group Totals'!DH121</f>
        <v>777.36363636363637</v>
      </c>
      <c r="BR150" s="43">
        <v>545</v>
      </c>
      <c r="BS150" s="7">
        <f>'Group Totals'!DI121</f>
        <v>1161.909090909091</v>
      </c>
      <c r="BU150" s="43">
        <v>719</v>
      </c>
      <c r="BV150" s="7">
        <f>'Group Totals'!DJ121</f>
        <v>98.08</v>
      </c>
      <c r="BX150" s="43">
        <v>118</v>
      </c>
      <c r="BY150" s="7">
        <f>'Group Totals'!DK121</f>
        <v>252.02105263157895</v>
      </c>
      <c r="CA150" s="43">
        <v>217</v>
      </c>
      <c r="CB150" s="7">
        <f>'Group Totals'!DL121</f>
        <v>444.84971098265896</v>
      </c>
      <c r="CD150" s="43">
        <v>314</v>
      </c>
      <c r="CE150" s="7">
        <f>'Group Totals'!DM121</f>
        <v>580.9545454545455</v>
      </c>
      <c r="CG150" s="43">
        <v>334</v>
      </c>
      <c r="CH150" s="1447">
        <f>'Group Totals'!F121</f>
        <v>0.97165508880635787</v>
      </c>
      <c r="CJ150" s="69">
        <v>0.97</v>
      </c>
      <c r="CK150" s="1447">
        <f>'Group Totals'!D121</f>
        <v>1.9550868820597686E-2</v>
      </c>
      <c r="CL150" s="1470">
        <v>1.4999999999999999E-2</v>
      </c>
      <c r="CM150" s="1470"/>
      <c r="CN150" s="69">
        <f>'Group Totals'!CX121</f>
        <v>0.17449047730830253</v>
      </c>
      <c r="CO150" s="1363">
        <f t="shared" si="2"/>
        <v>103503.87755102041</v>
      </c>
    </row>
    <row r="151" spans="1:93" x14ac:dyDescent="0.25">
      <c r="B151" s="1445">
        <f>'Group Totals'!A122</f>
        <v>44440</v>
      </c>
      <c r="C151" s="1352">
        <f>'Group Totals'!AK122</f>
        <v>1508162</v>
      </c>
      <c r="D151" s="38">
        <f>'Group Totals'!CZ122</f>
        <v>0.18593382163561678</v>
      </c>
      <c r="E151" s="69">
        <f>'Group Totals'!CY122</f>
        <v>0.47032082760340077</v>
      </c>
      <c r="F151" s="69">
        <f t="shared" si="3"/>
        <v>0.05</v>
      </c>
      <c r="G151" s="69">
        <f t="shared" si="4"/>
        <v>-0.05</v>
      </c>
      <c r="H151" s="38">
        <f>'Group Totals'!AK122/'Group Totals'!I122</f>
        <v>9.1690236774328901E-2</v>
      </c>
      <c r="I151" s="69">
        <v>0.2</v>
      </c>
      <c r="J151" s="69">
        <v>0</v>
      </c>
      <c r="K151" s="1446">
        <f>'Group Totals'!AT122</f>
        <v>24.12171520880316</v>
      </c>
      <c r="L151" s="1352">
        <v>30</v>
      </c>
      <c r="M151" s="1352">
        <v>0</v>
      </c>
      <c r="N151" s="1361">
        <f>'Group Totals'!CS122</f>
        <v>133.124018006885</v>
      </c>
      <c r="O151" s="1352">
        <v>135</v>
      </c>
      <c r="P151" s="1352">
        <v>0</v>
      </c>
      <c r="Q151" s="337">
        <f>'Group Totals'!DC122</f>
        <v>5.518845440903875</v>
      </c>
      <c r="S151" s="43">
        <v>4.5999999999999996</v>
      </c>
      <c r="T151" s="1352">
        <f>'Group Totals'!AV122</f>
        <v>14932.29702970297</v>
      </c>
      <c r="U151" s="1352">
        <v>14600</v>
      </c>
      <c r="W151" s="1352">
        <f>'Group Totals'!AW122</f>
        <v>9793.2597402597403</v>
      </c>
      <c r="X151" s="1352">
        <v>8500</v>
      </c>
      <c r="Z151" s="43">
        <f>'Group Totals'!AF122</f>
        <v>101</v>
      </c>
      <c r="AA151" s="43">
        <f>'Group Totals'!AE122</f>
        <v>154</v>
      </c>
      <c r="AB151" s="38">
        <f>'Group Totals'!AF122/'Group Totals'!AE122</f>
        <v>0.6558441558441559</v>
      </c>
      <c r="AD151" s="69">
        <v>0.65</v>
      </c>
      <c r="AE151" s="386">
        <f>'Group Totals'!AN122</f>
        <v>11329</v>
      </c>
      <c r="AF151" s="7">
        <f>'Group Totals'!BN122</f>
        <v>112.16831683168317</v>
      </c>
      <c r="AH151" s="43">
        <v>130</v>
      </c>
      <c r="AI151" s="1352">
        <f>'Group Totals'!BO122</f>
        <v>195.73501632977315</v>
      </c>
      <c r="AK151" s="1361">
        <f t="shared" si="0"/>
        <v>133.124018006885</v>
      </c>
      <c r="AL151" s="1352">
        <f>'Group Totals'!BA122</f>
        <v>21955.267326732672</v>
      </c>
      <c r="AN151" s="1363">
        <f t="shared" si="1"/>
        <v>14932.29702970297</v>
      </c>
      <c r="AO151" s="7">
        <f>'Group Totals'!BC122</f>
        <v>619.03960396039599</v>
      </c>
      <c r="AR151" s="7">
        <f>'Group Totals'!BD122</f>
        <v>405.99350649350652</v>
      </c>
      <c r="AU151" s="1361">
        <f>'Group Totals'!AP122</f>
        <v>0.38778736983497591</v>
      </c>
      <c r="AV151" s="1446">
        <v>0.28999999999999998</v>
      </c>
      <c r="AX151" s="1352">
        <f>'Group Totals'!I122</f>
        <v>16448447</v>
      </c>
      <c r="AY151" s="94">
        <f>'Group Totals'!K122</f>
        <v>62523</v>
      </c>
      <c r="AZ151" s="94">
        <f>'Group Totals'!W122</f>
        <v>28205</v>
      </c>
      <c r="BA151" s="94">
        <f>'Group Totals'!Q122</f>
        <v>34318</v>
      </c>
      <c r="BB151" s="94">
        <f>'Group Totals'!AC122</f>
        <v>79466</v>
      </c>
      <c r="BC151" s="94">
        <f>'Group Totals'!AD122</f>
        <v>22259</v>
      </c>
      <c r="BD151" s="7">
        <f>'Group Totals'!DD122</f>
        <v>314.1859296482412</v>
      </c>
      <c r="BF151" s="43">
        <v>272</v>
      </c>
      <c r="BG151" s="7">
        <f>'Group Totals'!DE122</f>
        <v>177.62215909090909</v>
      </c>
      <c r="BI151" s="43">
        <v>142</v>
      </c>
      <c r="BJ151" s="7">
        <f>'Group Totals'!DF122</f>
        <v>215.30534351145039</v>
      </c>
      <c r="BL151" s="43">
        <v>248</v>
      </c>
      <c r="BM151" s="7">
        <f>'Group Totals'!DG122</f>
        <v>504.6764705882353</v>
      </c>
      <c r="BO151" s="43">
        <v>326</v>
      </c>
      <c r="BP151" s="7">
        <f>'Group Totals'!DH122</f>
        <v>709.51785714285711</v>
      </c>
      <c r="BR151" s="43">
        <v>545</v>
      </c>
      <c r="BS151" s="7">
        <f>'Group Totals'!DI122</f>
        <v>741.9666666666667</v>
      </c>
      <c r="BU151" s="43">
        <v>719</v>
      </c>
      <c r="BV151" s="7">
        <f>'Group Totals'!DJ122</f>
        <v>115.12244897959184</v>
      </c>
      <c r="BX151" s="43">
        <v>118</v>
      </c>
      <c r="BY151" s="7">
        <f>'Group Totals'!DK122</f>
        <v>320.72897196261681</v>
      </c>
      <c r="CA151" s="43">
        <v>217</v>
      </c>
      <c r="CB151" s="7">
        <f>'Group Totals'!DL122</f>
        <v>456.70114942528738</v>
      </c>
      <c r="CD151" s="43">
        <v>314</v>
      </c>
      <c r="CE151" s="7">
        <f>'Group Totals'!DM122</f>
        <v>494.64444444444445</v>
      </c>
      <c r="CG151" s="43">
        <v>334</v>
      </c>
      <c r="CH151" s="1447">
        <f>'Group Totals'!F122</f>
        <v>0.9347010720839638</v>
      </c>
      <c r="CJ151" s="69">
        <v>0.97</v>
      </c>
      <c r="CK151" s="1447">
        <f>'Group Totals'!D122</f>
        <v>2.0741444254853351E-2</v>
      </c>
      <c r="CL151" s="1470">
        <v>1.4999999999999999E-2</v>
      </c>
      <c r="CM151" s="1470"/>
      <c r="CN151" s="69">
        <f>'Group Totals'!CX122</f>
        <v>0.12926105491360895</v>
      </c>
      <c r="CO151" s="1363">
        <f t="shared" si="2"/>
        <v>162855.91089108912</v>
      </c>
    </row>
    <row r="152" spans="1:93" x14ac:dyDescent="0.25">
      <c r="B152" s="1445">
        <f>'Group Totals'!A123</f>
        <v>44470</v>
      </c>
      <c r="C152" s="1352">
        <f>'Group Totals'!AK123</f>
        <v>1558477</v>
      </c>
      <c r="D152" s="38">
        <f>'Group Totals'!CZ123</f>
        <v>0.26608028344018941</v>
      </c>
      <c r="E152" s="69">
        <f>'Group Totals'!CY123</f>
        <v>0.12143522169400001</v>
      </c>
      <c r="F152" s="69">
        <f t="shared" si="3"/>
        <v>0.05</v>
      </c>
      <c r="G152" s="69">
        <f t="shared" si="4"/>
        <v>-0.05</v>
      </c>
      <c r="H152" s="38">
        <f>'Group Totals'!AK123/'Group Totals'!I123</f>
        <v>9.0994404564349027E-2</v>
      </c>
      <c r="I152" s="69">
        <v>0.2</v>
      </c>
      <c r="J152" s="69">
        <v>0</v>
      </c>
      <c r="K152" s="1446">
        <f>'Group Totals'!AT123</f>
        <v>25.232773136454892</v>
      </c>
      <c r="L152" s="1352">
        <v>30</v>
      </c>
      <c r="M152" s="1352">
        <v>0</v>
      </c>
      <c r="N152" s="1361">
        <f>'Group Totals'!CS123</f>
        <v>133.66323811327331</v>
      </c>
      <c r="O152" s="1352">
        <v>135</v>
      </c>
      <c r="P152" s="1352">
        <v>0</v>
      </c>
      <c r="Q152" s="337">
        <f>'Group Totals'!DC123</f>
        <v>5.2972076192514956</v>
      </c>
      <c r="S152" s="43">
        <v>4.5999999999999996</v>
      </c>
      <c r="T152" s="1352">
        <f>'Group Totals'!AV123</f>
        <v>14040.333333333334</v>
      </c>
      <c r="U152" s="1352">
        <v>14600</v>
      </c>
      <c r="W152" s="1352">
        <f>'Group Totals'!AW123</f>
        <v>9008.5375722543358</v>
      </c>
      <c r="X152" s="1352">
        <v>8500</v>
      </c>
      <c r="Z152" s="43">
        <f>'Group Totals'!AF123</f>
        <v>111</v>
      </c>
      <c r="AA152" s="43">
        <f>'Group Totals'!AE123</f>
        <v>173</v>
      </c>
      <c r="AB152" s="38">
        <f>'Group Totals'!AF123/'Group Totals'!AE123</f>
        <v>0.64161849710982655</v>
      </c>
      <c r="AD152" s="69">
        <v>0.65</v>
      </c>
      <c r="AE152" s="386">
        <f>'Group Totals'!AN123</f>
        <v>11659.727999999999</v>
      </c>
      <c r="AF152" s="7">
        <f>'Group Totals'!BN123</f>
        <v>105.04259459459459</v>
      </c>
      <c r="AH152" s="43">
        <v>130</v>
      </c>
      <c r="AI152" s="1352">
        <f>'Group Totals'!BO123</f>
        <v>149.89466306589657</v>
      </c>
      <c r="AK152" s="1361">
        <f t="shared" si="0"/>
        <v>133.66323811327331</v>
      </c>
      <c r="AL152" s="1352">
        <f>'Group Totals'!BA123</f>
        <v>15745.324324324325</v>
      </c>
      <c r="AN152" s="1363">
        <f t="shared" si="1"/>
        <v>14040.333333333334</v>
      </c>
      <c r="AO152" s="7">
        <f>'Group Totals'!BC123</f>
        <v>556.43243243243239</v>
      </c>
      <c r="AR152" s="7">
        <f>'Group Totals'!BD123</f>
        <v>357.01734104046244</v>
      </c>
      <c r="AU152" s="1361">
        <f>'Group Totals'!AP123</f>
        <v>0.60970362069072226</v>
      </c>
      <c r="AV152" s="1446">
        <v>0.28999999999999998</v>
      </c>
      <c r="AX152" s="1352">
        <f>'Group Totals'!I123</f>
        <v>17127174</v>
      </c>
      <c r="AY152" s="94">
        <f>'Group Totals'!K123</f>
        <v>61764</v>
      </c>
      <c r="AZ152" s="94">
        <f>'Group Totals'!W123</f>
        <v>25626</v>
      </c>
      <c r="BA152" s="94">
        <f>'Group Totals'!Q123</f>
        <v>36138</v>
      </c>
      <c r="BB152" s="94">
        <f>'Group Totals'!AC123</f>
        <v>75159</v>
      </c>
      <c r="BC152" s="94">
        <f>'Group Totals'!AD123</f>
        <v>24389</v>
      </c>
      <c r="BD152" s="7">
        <f>'Group Totals'!DD123</f>
        <v>365.46745562130178</v>
      </c>
      <c r="BF152" s="43">
        <v>272</v>
      </c>
      <c r="BG152" s="7">
        <f>'Group Totals'!DE123</f>
        <v>196.70063694267515</v>
      </c>
      <c r="BI152" s="43">
        <v>142</v>
      </c>
      <c r="BJ152" s="7">
        <f>'Group Totals'!DF123</f>
        <v>228.80357142857142</v>
      </c>
      <c r="BL152" s="43">
        <v>248</v>
      </c>
      <c r="BM152" s="7">
        <f>'Group Totals'!DG123</f>
        <v>634</v>
      </c>
      <c r="BO152" s="43">
        <v>326</v>
      </c>
      <c r="BP152" s="7">
        <f>'Group Totals'!DH123</f>
        <v>751.59</v>
      </c>
      <c r="BR152" s="43">
        <v>545</v>
      </c>
      <c r="BS152" s="7">
        <f>'Group Totals'!DI123</f>
        <v>975.56</v>
      </c>
      <c r="BU152" s="43">
        <v>719</v>
      </c>
      <c r="BV152" s="7">
        <f>'Group Totals'!DJ123</f>
        <v>114.91479820627802</v>
      </c>
      <c r="BX152" s="43">
        <v>118</v>
      </c>
      <c r="BY152" s="7">
        <f>'Group Totals'!DK123</f>
        <v>397.12087912087912</v>
      </c>
      <c r="CA152" s="43">
        <v>217</v>
      </c>
      <c r="CB152" s="7">
        <f>'Group Totals'!DL123</f>
        <v>504.42281879194633</v>
      </c>
      <c r="CD152" s="43">
        <v>314</v>
      </c>
      <c r="CE152" s="7">
        <f>'Group Totals'!DM123</f>
        <v>609.72500000000002</v>
      </c>
      <c r="CG152" s="43">
        <v>334</v>
      </c>
      <c r="CH152" s="1447">
        <f>'Group Totals'!F123</f>
        <v>0.97562559694364848</v>
      </c>
      <c r="CJ152" s="69">
        <v>0.97</v>
      </c>
      <c r="CK152" s="1447">
        <f>'Group Totals'!D123</f>
        <v>1.6710601719197707E-2</v>
      </c>
      <c r="CL152" s="1470">
        <v>1.4999999999999999E-2</v>
      </c>
      <c r="CM152" s="1470"/>
      <c r="CN152" s="69">
        <f>'Group Totals'!CX123</f>
        <v>0.10124247807034749</v>
      </c>
      <c r="CO152" s="1363">
        <f t="shared" si="2"/>
        <v>154298.86486486485</v>
      </c>
    </row>
    <row r="153" spans="1:93" x14ac:dyDescent="0.25">
      <c r="B153" s="1445">
        <f>'Group Totals'!A124</f>
        <v>44501</v>
      </c>
      <c r="C153" s="1352">
        <f>'Group Totals'!AK124</f>
        <v>1752743</v>
      </c>
      <c r="D153" s="38">
        <f>'Group Totals'!CZ124</f>
        <v>0.2022975144945971</v>
      </c>
      <c r="E153" s="69">
        <f>'Group Totals'!CY124</f>
        <v>4.3574557137013192E-2</v>
      </c>
      <c r="F153" s="69">
        <f t="shared" si="3"/>
        <v>0.05</v>
      </c>
      <c r="G153" s="69">
        <f t="shared" si="4"/>
        <v>-0.05</v>
      </c>
      <c r="H153" s="38">
        <f>'Group Totals'!AK124/'Group Totals'!I124</f>
        <v>0.11408829242129162</v>
      </c>
      <c r="I153" s="69">
        <v>0.2</v>
      </c>
      <c r="J153" s="69">
        <v>0</v>
      </c>
      <c r="K153" s="1446">
        <f>'Group Totals'!AT124</f>
        <v>25.652650528349383</v>
      </c>
      <c r="L153" s="1352">
        <v>30</v>
      </c>
      <c r="M153" s="1352">
        <v>0</v>
      </c>
      <c r="N153" s="1361">
        <f>'Group Totals'!CS124</f>
        <v>153.97939606452482</v>
      </c>
      <c r="O153" s="1352">
        <v>135</v>
      </c>
      <c r="P153" s="1352">
        <v>0</v>
      </c>
      <c r="Q153" s="337">
        <f>'Group Totals'!DC124</f>
        <v>6.0024751007447881</v>
      </c>
      <c r="S153" s="43">
        <v>4.5999999999999996</v>
      </c>
      <c r="T153" s="1352">
        <f>'Group Totals'!AV124</f>
        <v>13693.3046875</v>
      </c>
      <c r="U153" s="1352">
        <v>14600</v>
      </c>
      <c r="W153" s="1352">
        <f>'Group Totals'!AW124</f>
        <v>9474.286486486486</v>
      </c>
      <c r="X153" s="1352">
        <v>8500</v>
      </c>
      <c r="Z153" s="43">
        <f>'Group Totals'!AF124</f>
        <v>128</v>
      </c>
      <c r="AA153" s="43">
        <f>'Group Totals'!AE124</f>
        <v>185</v>
      </c>
      <c r="AB153" s="38">
        <f>'Group Totals'!AF124/'Group Totals'!AE124</f>
        <v>0.69189189189189193</v>
      </c>
      <c r="AD153" s="69">
        <v>0.65</v>
      </c>
      <c r="AE153" s="386">
        <f>'Group Totals'!AN124</f>
        <v>11382.971</v>
      </c>
      <c r="AF153" s="7">
        <f>'Group Totals'!BN124</f>
        <v>88.929460937499996</v>
      </c>
      <c r="AH153" s="43">
        <v>130</v>
      </c>
      <c r="AI153" s="1352">
        <f>'Group Totals'!BO124</f>
        <v>160.68898005626124</v>
      </c>
      <c r="AK153" s="1361">
        <f t="shared" si="0"/>
        <v>153.97939606452482</v>
      </c>
      <c r="AL153" s="1352">
        <f>'Group Totals'!BA124</f>
        <v>14289.984375</v>
      </c>
      <c r="AN153" s="1363">
        <f t="shared" si="1"/>
        <v>13693.3046875</v>
      </c>
      <c r="AO153" s="7">
        <f>'Group Totals'!BC124</f>
        <v>533.796875</v>
      </c>
      <c r="AR153" s="7">
        <f>'Group Totals'!BD124</f>
        <v>369.32972972972971</v>
      </c>
      <c r="AU153" s="1361">
        <f>'Group Totals'!AP124</f>
        <v>0.27476332809131526</v>
      </c>
      <c r="AV153" s="1446">
        <v>0.28999999999999998</v>
      </c>
      <c r="AX153" s="1352">
        <f>'Group Totals'!I124</f>
        <v>15363040</v>
      </c>
      <c r="AY153" s="94">
        <f>'Group Totals'!K124</f>
        <v>68326</v>
      </c>
      <c r="AZ153" s="94">
        <f>'Group Totals'!W124</f>
        <v>29346</v>
      </c>
      <c r="BA153" s="94">
        <f>'Group Totals'!Q124</f>
        <v>38980</v>
      </c>
      <c r="BB153" s="94">
        <f>'Group Totals'!AC124</f>
        <v>84812</v>
      </c>
      <c r="BC153" s="94">
        <f>'Group Totals'!AD124</f>
        <v>28636</v>
      </c>
      <c r="BD153" s="7">
        <f>'Group Totals'!DD124</f>
        <v>293.24463519313304</v>
      </c>
      <c r="BF153" s="43">
        <v>272</v>
      </c>
      <c r="BG153" s="7">
        <f>'Group Totals'!DE124</f>
        <v>166.24330900243308</v>
      </c>
      <c r="BI153" s="43">
        <v>142</v>
      </c>
      <c r="BJ153" s="7">
        <f>'Group Totals'!DF124</f>
        <v>194.34437086092714</v>
      </c>
      <c r="BL153" s="43">
        <v>248</v>
      </c>
      <c r="BM153" s="7">
        <f>'Group Totals'!DG124</f>
        <v>475.36585365853659</v>
      </c>
      <c r="BO153" s="43">
        <v>326</v>
      </c>
      <c r="BP153" s="7">
        <f>'Group Totals'!DH124</f>
        <v>785.2962962962963</v>
      </c>
      <c r="BR153" s="43">
        <v>545</v>
      </c>
      <c r="BS153" s="7">
        <f>'Group Totals'!DI124</f>
        <v>987.44827586206895</v>
      </c>
      <c r="BU153" s="43">
        <v>719</v>
      </c>
      <c r="BV153" s="7">
        <f>'Group Totals'!DJ124</f>
        <v>109.09293680297398</v>
      </c>
      <c r="BX153" s="43">
        <v>118</v>
      </c>
      <c r="BY153" s="7">
        <f>'Group Totals'!DK124</f>
        <v>274.50704225352115</v>
      </c>
      <c r="CA153" s="43">
        <v>217</v>
      </c>
      <c r="CB153" s="7">
        <f>'Group Totals'!DL124</f>
        <v>460.93478260869563</v>
      </c>
      <c r="CD153" s="43">
        <v>314</v>
      </c>
      <c r="CE153" s="7">
        <f>'Group Totals'!DM124</f>
        <v>596.58333333333337</v>
      </c>
      <c r="CG153" s="43">
        <v>334</v>
      </c>
      <c r="CH153" s="1447">
        <f>'Group Totals'!F124</f>
        <v>0.97187320702170588</v>
      </c>
      <c r="CJ153" s="69">
        <v>0.97</v>
      </c>
      <c r="CK153" s="1447">
        <f>'Group Totals'!D124</f>
        <v>1.7921724611427357E-2</v>
      </c>
      <c r="CL153" s="1470">
        <v>1.4999999999999999E-2</v>
      </c>
      <c r="CM153" s="1470"/>
      <c r="CN153" s="69">
        <f>'Group Totals'!CX124</f>
        <v>9.1320254961614097E-2</v>
      </c>
      <c r="CO153" s="1363">
        <f t="shared" si="2"/>
        <v>120023.75</v>
      </c>
    </row>
    <row r="154" spans="1:93" x14ac:dyDescent="0.25">
      <c r="B154" s="1445">
        <f>'Group Totals'!A125</f>
        <v>44531</v>
      </c>
      <c r="C154" s="1352">
        <f>'Group Totals'!AK125</f>
        <v>1607770</v>
      </c>
      <c r="D154" s="38">
        <f>'Group Totals'!CZ125</f>
        <v>1.4007956917985176E-2</v>
      </c>
      <c r="E154" s="69">
        <f>'Group Totals'!CY125</f>
        <v>-0.12235829751767979</v>
      </c>
      <c r="F154" s="69">
        <f t="shared" si="3"/>
        <v>0.05</v>
      </c>
      <c r="G154" s="69">
        <f t="shared" si="4"/>
        <v>-0.05</v>
      </c>
      <c r="H154" s="38">
        <f>'Group Totals'!AK125/'Group Totals'!I125</f>
        <v>0.14321421159007441</v>
      </c>
      <c r="I154" s="69">
        <v>0.2</v>
      </c>
      <c r="J154" s="69">
        <v>0</v>
      </c>
      <c r="K154" s="1446">
        <f>'Group Totals'!AT125</f>
        <v>25.883347285723485</v>
      </c>
      <c r="L154" s="1352">
        <v>30</v>
      </c>
      <c r="M154" s="1352">
        <v>0</v>
      </c>
      <c r="N154" s="1361">
        <f>'Group Totals'!CS125</f>
        <v>116.21604820475456</v>
      </c>
      <c r="O154" s="1352">
        <v>135</v>
      </c>
      <c r="P154" s="1352">
        <v>0</v>
      </c>
      <c r="Q154" s="337">
        <f>'Group Totals'!DC125</f>
        <v>4.4899930029087081</v>
      </c>
      <c r="S154" s="43">
        <v>4.5999999999999996</v>
      </c>
      <c r="T154" s="1352">
        <f>'Group Totals'!AV125</f>
        <v>12273.053435114503</v>
      </c>
      <c r="U154" s="1352">
        <v>14600</v>
      </c>
      <c r="W154" s="1352">
        <f>'Group Totals'!AW125</f>
        <v>8417.6439790575914</v>
      </c>
      <c r="X154" s="1352">
        <v>8500</v>
      </c>
      <c r="Z154" s="43">
        <f>'Group Totals'!AF125</f>
        <v>131</v>
      </c>
      <c r="AA154" s="43">
        <f>'Group Totals'!AE125</f>
        <v>191</v>
      </c>
      <c r="AB154" s="38">
        <f>'Group Totals'!AF125/'Group Totals'!AE125</f>
        <v>0.68586387434554974</v>
      </c>
      <c r="AD154" s="69">
        <v>0.65</v>
      </c>
      <c r="AE154" s="386">
        <f>'Group Totals'!AN125</f>
        <v>13834.32</v>
      </c>
      <c r="AF154" s="7">
        <f>'Group Totals'!BN125</f>
        <v>105.6054961832061</v>
      </c>
      <c r="AH154" s="43">
        <v>130</v>
      </c>
      <c r="AI154" s="1352">
        <f>'Group Totals'!BO125</f>
        <v>101.99605040218819</v>
      </c>
      <c r="AK154" s="1361">
        <f t="shared" si="0"/>
        <v>116.21604820475456</v>
      </c>
      <c r="AL154" s="1352">
        <f>'Group Totals'!BA125</f>
        <v>10771.343511450381</v>
      </c>
      <c r="AN154" s="1363">
        <f t="shared" si="1"/>
        <v>12273.053435114503</v>
      </c>
      <c r="AO154" s="7">
        <f>'Group Totals'!BC125</f>
        <v>474.16793893129773</v>
      </c>
      <c r="AR154" s="7">
        <f>'Group Totals'!BD125</f>
        <v>325.21465968586386</v>
      </c>
      <c r="AU154" s="1361">
        <f>'Group Totals'!AP125</f>
        <v>0.30037420955913463</v>
      </c>
      <c r="AV154" s="1446">
        <v>0.28999999999999998</v>
      </c>
      <c r="AX154" s="1352">
        <f>'Group Totals'!I125</f>
        <v>11226330</v>
      </c>
      <c r="AY154" s="94">
        <f>'Group Totals'!K125</f>
        <v>62116</v>
      </c>
      <c r="AZ154" s="94">
        <f>'Group Totals'!W125</f>
        <v>31486</v>
      </c>
      <c r="BA154" s="94">
        <f>'Group Totals'!Q125</f>
        <v>30630</v>
      </c>
      <c r="BB154" s="94">
        <f>'Group Totals'!AC125</f>
        <v>64750</v>
      </c>
      <c r="BC154" s="94">
        <f>'Group Totals'!AD125</f>
        <v>17991</v>
      </c>
      <c r="BD154" s="7">
        <f>'Group Totals'!DD125</f>
        <v>301.53398058252429</v>
      </c>
      <c r="BF154" s="43">
        <v>272</v>
      </c>
      <c r="BG154" s="7">
        <f>'Group Totals'!DE125</f>
        <v>196.56962025316454</v>
      </c>
      <c r="BI154" s="43">
        <v>142</v>
      </c>
      <c r="BJ154" s="7">
        <f>'Group Totals'!DF125</f>
        <v>233.22962962962964</v>
      </c>
      <c r="BL154" s="43">
        <v>248</v>
      </c>
      <c r="BM154" s="7">
        <f>'Group Totals'!DG125</f>
        <v>431.40845070422534</v>
      </c>
      <c r="BO154" s="43">
        <v>326</v>
      </c>
      <c r="BP154" s="7">
        <f>'Group Totals'!DH125</f>
        <v>674.47916666666663</v>
      </c>
      <c r="BR154" s="43">
        <v>545</v>
      </c>
      <c r="BS154" s="7">
        <f>'Group Totals'!DI125</f>
        <v>691.96153846153845</v>
      </c>
      <c r="BU154" s="43">
        <v>719</v>
      </c>
      <c r="BV154" s="7">
        <f>'Group Totals'!DJ125</f>
        <v>141.19282511210761</v>
      </c>
      <c r="BX154" s="43">
        <v>118</v>
      </c>
      <c r="BY154" s="7">
        <f>'Group Totals'!DK125</f>
        <v>329.35483870967744</v>
      </c>
      <c r="CA154" s="43">
        <v>217</v>
      </c>
      <c r="CB154" s="7">
        <f>'Group Totals'!DL125</f>
        <v>459.21985815602835</v>
      </c>
      <c r="CD154" s="43">
        <v>314</v>
      </c>
      <c r="CE154" s="7">
        <f>'Group Totals'!DM125</f>
        <v>499.75</v>
      </c>
      <c r="CG154" s="43">
        <v>334</v>
      </c>
      <c r="CH154" s="1447">
        <f>'Group Totals'!F125</f>
        <v>0.97548823234852278</v>
      </c>
      <c r="CJ154" s="69">
        <v>0.97</v>
      </c>
      <c r="CK154" s="1447">
        <f>'Group Totals'!D125</f>
        <v>2.0405608412618927E-2</v>
      </c>
      <c r="CL154" s="1470">
        <v>1.4999999999999999E-2</v>
      </c>
      <c r="CM154" s="1470"/>
      <c r="CN154" s="69">
        <f>'Group Totals'!CX125</f>
        <v>0.11024160555784099</v>
      </c>
      <c r="CO154" s="1363">
        <f t="shared" si="2"/>
        <v>85697.175572519089</v>
      </c>
    </row>
    <row r="155" spans="1:93" x14ac:dyDescent="0.25">
      <c r="B155" s="1445">
        <f>'Group Totals'!A126</f>
        <v>44562</v>
      </c>
      <c r="C155" s="1352">
        <f>'Group Totals'!AK126</f>
        <v>1319071</v>
      </c>
      <c r="D155" s="38">
        <f>'Group Totals'!CZ126</f>
        <v>-1.8283676497739987E-2</v>
      </c>
      <c r="E155" s="69">
        <f>'Group Totals'!CY126</f>
        <v>2.6373864636551003E-2</v>
      </c>
      <c r="F155" s="69">
        <f t="shared" si="3"/>
        <v>0.05</v>
      </c>
      <c r="G155" s="69">
        <f t="shared" si="4"/>
        <v>-0.05</v>
      </c>
      <c r="H155" s="38">
        <f>'Group Totals'!AK126/'Group Totals'!I126</f>
        <v>0.13552400531093997</v>
      </c>
      <c r="I155" s="69">
        <v>0.2</v>
      </c>
      <c r="J155" s="69">
        <v>0</v>
      </c>
      <c r="K155" s="1446">
        <f>'Group Totals'!AT126</f>
        <v>30.846803236518404</v>
      </c>
      <c r="L155" s="1352">
        <v>30</v>
      </c>
      <c r="M155" s="1352">
        <v>0</v>
      </c>
      <c r="N155" s="1361">
        <f>'Group Totals'!CS126</f>
        <v>121.81325195894995</v>
      </c>
      <c r="O155" s="1352">
        <v>135</v>
      </c>
      <c r="P155" s="1352">
        <v>0</v>
      </c>
      <c r="Q155" s="337">
        <f>'Group Totals'!DC126</f>
        <v>3.9489749075437315</v>
      </c>
      <c r="S155" s="43">
        <v>4.5999999999999996</v>
      </c>
      <c r="T155" s="1352">
        <f>'Group Totals'!AV126</f>
        <v>9489.7194244604325</v>
      </c>
      <c r="U155" s="1352">
        <v>14600</v>
      </c>
      <c r="W155" s="1352">
        <f>'Group Totals'!AW126</f>
        <v>6595.3549999999996</v>
      </c>
      <c r="X155" s="1352">
        <v>8500</v>
      </c>
      <c r="Z155" s="43">
        <f>'Group Totals'!AF126</f>
        <v>139</v>
      </c>
      <c r="AA155" s="43">
        <f>'Group Totals'!AE126</f>
        <v>200</v>
      </c>
      <c r="AB155" s="38">
        <f>'Group Totals'!AF126/'Group Totals'!AE126</f>
        <v>0.69499999999999995</v>
      </c>
      <c r="AD155" s="69">
        <v>0.65</v>
      </c>
      <c r="AE155" s="386">
        <f>'Group Totals'!AN126</f>
        <v>10828.633</v>
      </c>
      <c r="AF155" s="7">
        <f>'Group Totals'!BN126</f>
        <v>77.903834532374105</v>
      </c>
      <c r="AH155" s="43">
        <v>130</v>
      </c>
      <c r="AI155" s="1352">
        <f>'Group Totals'!BO126</f>
        <v>125.02593817705338</v>
      </c>
      <c r="AK155" s="1361">
        <f t="shared" si="0"/>
        <v>121.81325195894995</v>
      </c>
      <c r="AL155" s="1352">
        <f>'Group Totals'!BA126</f>
        <v>9740</v>
      </c>
      <c r="AN155" s="1363">
        <f t="shared" si="1"/>
        <v>9489.7194244604325</v>
      </c>
      <c r="AO155" s="7">
        <f>'Group Totals'!BC126</f>
        <v>307.64028776978415</v>
      </c>
      <c r="AR155" s="7">
        <f>'Group Totals'!BD126</f>
        <v>213.81</v>
      </c>
      <c r="AU155" s="1361">
        <f>'Group Totals'!AP126</f>
        <v>0.49196983864470145</v>
      </c>
      <c r="AV155" s="1446">
        <v>0.28999999999999998</v>
      </c>
      <c r="AX155" s="1352">
        <f>'Group Totals'!I126</f>
        <v>9733117</v>
      </c>
      <c r="AY155" s="94">
        <f>'Group Totals'!K126</f>
        <v>42762</v>
      </c>
      <c r="AZ155" s="94">
        <f>'Group Totals'!W126</f>
        <v>23494</v>
      </c>
      <c r="BA155" s="94">
        <f>'Group Totals'!Q126</f>
        <v>19268</v>
      </c>
      <c r="BB155" s="94">
        <f>'Group Totals'!AC126</f>
        <v>56660</v>
      </c>
      <c r="BC155" s="94">
        <f>'Group Totals'!AD126</f>
        <v>21366</v>
      </c>
      <c r="BD155" s="7">
        <f>'Group Totals'!DD126</f>
        <v>223.88481675392671</v>
      </c>
      <c r="BF155" s="43">
        <v>272</v>
      </c>
      <c r="BG155" s="7">
        <f>'Group Totals'!DE126</f>
        <v>137.94193548387096</v>
      </c>
      <c r="BI155" s="43">
        <v>142</v>
      </c>
      <c r="BJ155" s="7">
        <f>'Group Totals'!DF126</f>
        <v>179.34351145038167</v>
      </c>
      <c r="BL155" s="43">
        <v>248</v>
      </c>
      <c r="BM155" s="7">
        <f>'Group Totals'!DG126</f>
        <v>321.13333333333333</v>
      </c>
      <c r="BO155" s="43">
        <v>326</v>
      </c>
      <c r="BP155" s="7">
        <f>'Group Totals'!DH126</f>
        <v>629.55555555555554</v>
      </c>
      <c r="BR155" s="43">
        <v>545</v>
      </c>
      <c r="BS155" s="7">
        <f>'Group Totals'!DI126</f>
        <v>928.95652173913038</v>
      </c>
      <c r="BU155" s="43">
        <v>719</v>
      </c>
      <c r="BV155" s="7">
        <f>'Group Totals'!DJ126</f>
        <v>106.7909090909091</v>
      </c>
      <c r="BX155" s="43">
        <v>118</v>
      </c>
      <c r="BY155" s="7">
        <f>'Group Totals'!DK126</f>
        <v>214.0888888888889</v>
      </c>
      <c r="CA155" s="43">
        <v>217</v>
      </c>
      <c r="CB155" s="7">
        <f>'Group Totals'!DL126</f>
        <v>456.93548387096774</v>
      </c>
      <c r="CD155" s="43">
        <v>314</v>
      </c>
      <c r="CE155" s="7">
        <f>'Group Totals'!DM126</f>
        <v>521.1219512195122</v>
      </c>
      <c r="CG155" s="43">
        <v>334</v>
      </c>
      <c r="CH155" s="1447">
        <f>'Group Totals'!F126</f>
        <v>0.9760021068109247</v>
      </c>
      <c r="CJ155" s="69">
        <v>0.97</v>
      </c>
      <c r="CK155" s="1447">
        <f>'Group Totals'!D126</f>
        <v>2.0607244357148342E-2</v>
      </c>
      <c r="CL155" s="1470">
        <v>1.4999999999999999E-2</v>
      </c>
      <c r="CM155" s="1470"/>
      <c r="CN155" s="69">
        <f>'Group Totals'!CX126</f>
        <v>0.13542547348148271</v>
      </c>
      <c r="CO155" s="1363">
        <f t="shared" si="2"/>
        <v>70022.424460431648</v>
      </c>
    </row>
    <row r="156" spans="1:93" x14ac:dyDescent="0.25">
      <c r="B156" s="1445">
        <f>'Group Totals'!A127</f>
        <v>44593</v>
      </c>
      <c r="C156" s="1352">
        <f>'Group Totals'!AK127</f>
        <v>1803505</v>
      </c>
      <c r="D156" s="38">
        <f>'Group Totals'!CZ127</f>
        <v>-0.10562588867706502</v>
      </c>
      <c r="E156" s="69">
        <f>'Group Totals'!CY127</f>
        <v>-0.1872531542745931</v>
      </c>
      <c r="F156" s="69">
        <f t="shared" si="3"/>
        <v>0.05</v>
      </c>
      <c r="G156" s="69">
        <f t="shared" si="4"/>
        <v>-0.05</v>
      </c>
      <c r="H156" s="38">
        <f>'Group Totals'!AK127/'Group Totals'!I127</f>
        <v>0.17330096341039208</v>
      </c>
      <c r="I156" s="69">
        <v>0.2</v>
      </c>
      <c r="J156" s="69">
        <v>0</v>
      </c>
      <c r="K156" s="1446">
        <f>'Group Totals'!AT127</f>
        <v>34.56049747048904</v>
      </c>
      <c r="L156" s="1352">
        <v>30</v>
      </c>
      <c r="M156" s="1352">
        <v>0</v>
      </c>
      <c r="N156" s="1361">
        <f>'Group Totals'!CS127</f>
        <v>144.87147562053178</v>
      </c>
      <c r="O156" s="1352">
        <v>135</v>
      </c>
      <c r="P156" s="1352">
        <v>0</v>
      </c>
      <c r="Q156" s="337">
        <f>'Group Totals'!DC127</f>
        <v>4.191822636356334</v>
      </c>
      <c r="S156" s="43">
        <v>4.5999999999999996</v>
      </c>
      <c r="T156" s="1352">
        <f>'Group Totals'!AV127</f>
        <v>13359.296296296296</v>
      </c>
      <c r="U156" s="1352">
        <v>14600</v>
      </c>
      <c r="W156" s="1352">
        <f>'Group Totals'!AW127</f>
        <v>9062.8391959798992</v>
      </c>
      <c r="X156" s="1352">
        <v>8500</v>
      </c>
      <c r="Z156" s="43">
        <f>'Group Totals'!AF127</f>
        <v>135</v>
      </c>
      <c r="AA156" s="43">
        <f>'Group Totals'!AE127</f>
        <v>199</v>
      </c>
      <c r="AB156" s="38">
        <f>'Group Totals'!AF127/'Group Totals'!AE127</f>
        <v>0.67839195979899503</v>
      </c>
      <c r="AD156" s="69">
        <v>0.65</v>
      </c>
      <c r="AE156" s="386">
        <f>'Group Totals'!AN127</f>
        <v>12449</v>
      </c>
      <c r="AF156" s="7">
        <f>'Group Totals'!BN127</f>
        <v>92.214814814814815</v>
      </c>
      <c r="AH156" s="43">
        <v>130</v>
      </c>
      <c r="AI156" s="1352">
        <f>'Group Totals'!BO127</f>
        <v>117.74383484617238</v>
      </c>
      <c r="AK156" s="1361">
        <f t="shared" si="0"/>
        <v>144.87147562053178</v>
      </c>
      <c r="AL156" s="1352">
        <f>'Group Totals'!BA127</f>
        <v>10857.725925925926</v>
      </c>
      <c r="AN156" s="1363">
        <f t="shared" si="1"/>
        <v>13359.296296296296</v>
      </c>
      <c r="AO156" s="7">
        <f>'Group Totals'!BC127</f>
        <v>386.54814814814813</v>
      </c>
      <c r="AR156" s="7">
        <f>'Group Totals'!BD127</f>
        <v>262.23115577889445</v>
      </c>
      <c r="AU156" s="1361">
        <f>'Group Totals'!AP127</f>
        <v>0.7607444377607675</v>
      </c>
      <c r="AV156" s="1446">
        <v>0.28999999999999998</v>
      </c>
      <c r="AX156" s="1352">
        <f>'Group Totals'!I127</f>
        <v>10406780</v>
      </c>
      <c r="AY156" s="94">
        <f>'Group Totals'!K127</f>
        <v>52184</v>
      </c>
      <c r="AZ156" s="94">
        <f>'Group Totals'!W127</f>
        <v>30389</v>
      </c>
      <c r="BA156" s="94">
        <f>'Group Totals'!Q127</f>
        <v>21795</v>
      </c>
      <c r="BB156" s="94">
        <f>'Group Totals'!AC127</f>
        <v>58263</v>
      </c>
      <c r="BC156" s="94">
        <f>'Group Totals'!AD127</f>
        <v>28277</v>
      </c>
      <c r="BD156" s="7">
        <f>'Group Totals'!DD127</f>
        <v>237.2</v>
      </c>
      <c r="BF156" s="43">
        <v>272</v>
      </c>
      <c r="BG156" s="7">
        <f>'Group Totals'!DE127</f>
        <v>141.42005420054201</v>
      </c>
      <c r="BI156" s="43">
        <v>142</v>
      </c>
      <c r="BJ156" s="7">
        <f>'Group Totals'!DF127</f>
        <v>212.51048951048952</v>
      </c>
      <c r="BL156" s="43">
        <v>248</v>
      </c>
      <c r="BM156" s="7">
        <f>'Group Totals'!DG127</f>
        <v>283.05194805194805</v>
      </c>
      <c r="BO156" s="43">
        <v>326</v>
      </c>
      <c r="BP156" s="7">
        <f>'Group Totals'!DH127</f>
        <v>582.63</v>
      </c>
      <c r="BR156" s="43">
        <v>545</v>
      </c>
      <c r="BS156" s="7">
        <f>'Group Totals'!DI127</f>
        <v>1009.8928571428571</v>
      </c>
      <c r="BU156" s="43">
        <v>719</v>
      </c>
      <c r="BV156" s="7">
        <f>'Group Totals'!DJ127</f>
        <v>116.43295019157088</v>
      </c>
      <c r="BX156" s="43">
        <v>118</v>
      </c>
      <c r="BY156" s="7">
        <f>'Group Totals'!DK127</f>
        <v>201.80555555555554</v>
      </c>
      <c r="CA156" s="43">
        <v>217</v>
      </c>
      <c r="CB156" s="7">
        <f>'Group Totals'!DL127</f>
        <v>385.84768211920527</v>
      </c>
      <c r="CD156" s="43">
        <v>314</v>
      </c>
      <c r="CE156" s="7">
        <f>'Group Totals'!DM127</f>
        <v>496.08771929824559</v>
      </c>
      <c r="CG156" s="43">
        <v>334</v>
      </c>
      <c r="CH156" s="1447">
        <f>'Group Totals'!F127</f>
        <v>0.97037037037037033</v>
      </c>
      <c r="CJ156" s="69">
        <v>0.97</v>
      </c>
      <c r="CK156" s="1447">
        <f>'Group Totals'!D127</f>
        <v>2.4397883597883599E-2</v>
      </c>
      <c r="CL156" s="1470">
        <v>1.4999999999999999E-2</v>
      </c>
      <c r="CM156" s="1470"/>
      <c r="CN156" s="69">
        <f>'Group Totals'!CX127</f>
        <v>0.14919180429319726</v>
      </c>
      <c r="CO156" s="1363">
        <f t="shared" si="2"/>
        <v>77087.259259259255</v>
      </c>
    </row>
    <row r="157" spans="1:93" x14ac:dyDescent="0.25">
      <c r="B157" s="1445">
        <f>'Group Totals'!A128</f>
        <v>44621</v>
      </c>
      <c r="C157" s="1352">
        <f>'Group Totals'!AK128</f>
        <v>1430112</v>
      </c>
      <c r="D157" s="38">
        <f>'Group Totals'!CZ128</f>
        <v>-2.8126241025082321E-2</v>
      </c>
      <c r="E157" s="69">
        <f>'Group Totals'!CY128</f>
        <v>0.12227923407397467</v>
      </c>
      <c r="F157" s="69">
        <f t="shared" si="3"/>
        <v>0.05</v>
      </c>
      <c r="G157" s="69">
        <f t="shared" si="4"/>
        <v>-0.05</v>
      </c>
      <c r="H157" s="38">
        <f>'Group Totals'!AK128/'Group Totals'!I128</f>
        <v>0.1341715490027425</v>
      </c>
      <c r="I157" s="69">
        <v>0.2</v>
      </c>
      <c r="J157" s="69">
        <v>0</v>
      </c>
      <c r="K157" s="1446">
        <f>'Group Totals'!AT128</f>
        <v>21.685449141748045</v>
      </c>
      <c r="L157" s="1352">
        <v>30</v>
      </c>
      <c r="M157" s="1352">
        <v>0</v>
      </c>
      <c r="N157" s="1361">
        <f>'Group Totals'!CS128</f>
        <v>100.81861120902362</v>
      </c>
      <c r="O157" s="1352">
        <v>135</v>
      </c>
      <c r="P157" s="1352">
        <v>0</v>
      </c>
      <c r="Q157" s="337">
        <f>'Group Totals'!DC128</f>
        <v>4.6491364117025027</v>
      </c>
      <c r="S157" s="43">
        <v>4.5999999999999996</v>
      </c>
      <c r="T157" s="1352">
        <f>'Group Totals'!AV128</f>
        <v>11172.75</v>
      </c>
      <c r="U157" s="1352">
        <v>14600</v>
      </c>
      <c r="W157" s="1352">
        <f>'Group Totals'!AW128</f>
        <v>7409.9067357512949</v>
      </c>
      <c r="X157" s="1352">
        <v>8500</v>
      </c>
      <c r="Z157" s="43">
        <f>'Group Totals'!AF128</f>
        <v>128</v>
      </c>
      <c r="AA157" s="43">
        <f>'Group Totals'!AE128</f>
        <v>193</v>
      </c>
      <c r="AB157" s="38">
        <f>'Group Totals'!AF128/'Group Totals'!AE128</f>
        <v>0.66321243523316065</v>
      </c>
      <c r="AD157" s="69">
        <v>0.65</v>
      </c>
      <c r="AE157" s="386">
        <f>'Group Totals'!AN128</f>
        <v>14185</v>
      </c>
      <c r="AF157" s="7">
        <f>'Group Totals'!BN128</f>
        <v>110.8203125</v>
      </c>
      <c r="AH157" s="43">
        <v>130</v>
      </c>
      <c r="AI157" s="1352">
        <f>'Group Totals'!BO128</f>
        <v>113.14663376806486</v>
      </c>
      <c r="AK157" s="1361">
        <f t="shared" si="0"/>
        <v>100.81861120902362</v>
      </c>
      <c r="AL157" s="1352">
        <f>'Group Totals'!BA128</f>
        <v>12538.9453125</v>
      </c>
      <c r="AN157" s="1363">
        <f t="shared" si="1"/>
        <v>11172.75</v>
      </c>
      <c r="AO157" s="7">
        <f>'Group Totals'!BC128</f>
        <v>515.21875</v>
      </c>
      <c r="AR157" s="7">
        <f>'Group Totals'!BD128</f>
        <v>341.69948186528495</v>
      </c>
      <c r="AU157" s="1361">
        <f>'Group Totals'!AP128</f>
        <v>-9.013182682680429E-2</v>
      </c>
      <c r="AV157" s="1446">
        <v>0.28999999999999998</v>
      </c>
      <c r="AX157" s="1352">
        <f>'Group Totals'!I128</f>
        <v>10658832</v>
      </c>
      <c r="AY157" s="94">
        <f>'Group Totals'!K128</f>
        <v>65948</v>
      </c>
      <c r="AZ157" s="94">
        <f>'Group Totals'!W128</f>
        <v>36422</v>
      </c>
      <c r="BA157" s="94">
        <f>'Group Totals'!Q128</f>
        <v>29526</v>
      </c>
      <c r="BB157" s="94">
        <f>'Group Totals'!AC128</f>
        <v>75368</v>
      </c>
      <c r="BC157" s="94">
        <f>'Group Totals'!AD128</f>
        <v>32072</v>
      </c>
      <c r="BD157" s="7">
        <f>'Group Totals'!DD128</f>
        <v>364.35359116022101</v>
      </c>
      <c r="BF157" s="43">
        <v>272</v>
      </c>
      <c r="BG157" s="7">
        <f>'Group Totals'!DE128</f>
        <v>192.83040935672514</v>
      </c>
      <c r="BI157" s="43">
        <v>142</v>
      </c>
      <c r="BJ157" s="7">
        <f>'Group Totals'!DF128</f>
        <v>316.71304347826089</v>
      </c>
      <c r="BL157" s="43">
        <v>248</v>
      </c>
      <c r="BM157" s="7">
        <f>'Group Totals'!DG128</f>
        <v>447.36363636363637</v>
      </c>
      <c r="BO157" s="43">
        <v>326</v>
      </c>
      <c r="BP157" s="7">
        <f>'Group Totals'!DH128</f>
        <v>785.08333333333337</v>
      </c>
      <c r="BR157" s="43">
        <v>545</v>
      </c>
      <c r="BS157" s="7">
        <f>'Group Totals'!DI128</f>
        <v>1034.5806451612902</v>
      </c>
      <c r="BU157" s="43">
        <v>719</v>
      </c>
      <c r="BV157" s="7">
        <f>'Group Totals'!DJ128</f>
        <v>149.2704918032787</v>
      </c>
      <c r="BX157" s="43">
        <v>118</v>
      </c>
      <c r="BY157" s="7">
        <f>'Group Totals'!DK128</f>
        <v>301.28571428571428</v>
      </c>
      <c r="CA157" s="43">
        <v>217</v>
      </c>
      <c r="CB157" s="7">
        <f>'Group Totals'!DL128</f>
        <v>509.24324324324323</v>
      </c>
      <c r="CD157" s="43">
        <v>314</v>
      </c>
      <c r="CE157" s="7">
        <f>'Group Totals'!DM128</f>
        <v>605.13207547169816</v>
      </c>
      <c r="CG157" s="43">
        <v>334</v>
      </c>
      <c r="CH157" s="1447">
        <f>'Group Totals'!F128</f>
        <v>0.97131349200770412</v>
      </c>
      <c r="CJ157" s="69">
        <v>0.97</v>
      </c>
      <c r="CK157" s="1447">
        <f>'Group Totals'!D128</f>
        <v>2.0406011443674349E-2</v>
      </c>
      <c r="CL157" s="1470">
        <v>1.4999999999999999E-2</v>
      </c>
      <c r="CM157" s="1470"/>
      <c r="CN157" s="69">
        <f>'Group Totals'!CX128</f>
        <v>0.15358900037725584</v>
      </c>
      <c r="CO157" s="1363">
        <f t="shared" si="2"/>
        <v>83272.125</v>
      </c>
    </row>
    <row r="158" spans="1:93" x14ac:dyDescent="0.25">
      <c r="B158" s="1445">
        <f>'Group Totals'!A129</f>
        <v>44652</v>
      </c>
      <c r="C158" s="1352">
        <f>'Group Totals'!AK129</f>
        <v>1580054</v>
      </c>
      <c r="D158" s="38">
        <f>'Group Totals'!CZ129</f>
        <v>-6.3051255476329837E-2</v>
      </c>
      <c r="E158" s="69">
        <f>'Group Totals'!CY129</f>
        <v>-8.9027969930141615E-2</v>
      </c>
      <c r="F158" s="69">
        <f t="shared" si="3"/>
        <v>0.05</v>
      </c>
      <c r="G158" s="69">
        <f t="shared" si="4"/>
        <v>-0.05</v>
      </c>
      <c r="H158" s="38">
        <f>'Group Totals'!AK129/'Group Totals'!I129</f>
        <v>0.17614302324674008</v>
      </c>
      <c r="I158" s="69">
        <v>0.2</v>
      </c>
      <c r="J158" s="69">
        <v>0</v>
      </c>
      <c r="K158" s="1446">
        <f>'Group Totals'!AT129</f>
        <v>26.925701237176646</v>
      </c>
      <c r="L158" s="1352">
        <v>30</v>
      </c>
      <c r="M158" s="1352">
        <v>0</v>
      </c>
      <c r="N158" s="1361">
        <f>'Group Totals'!CS129</f>
        <v>161.92395982783358</v>
      </c>
      <c r="O158" s="1352">
        <v>135</v>
      </c>
      <c r="P158" s="1352">
        <v>0</v>
      </c>
      <c r="Q158" s="337">
        <f>'Group Totals'!DC129</f>
        <v>6.0137323221971712</v>
      </c>
      <c r="S158" s="43">
        <v>4.5999999999999996</v>
      </c>
      <c r="T158" s="1352">
        <f>'Group Totals'!AV129</f>
        <v>13167.116666666667</v>
      </c>
      <c r="U158" s="1352">
        <v>14600</v>
      </c>
      <c r="W158" s="1352">
        <f>'Group Totals'!AW129</f>
        <v>8634.1748633879779</v>
      </c>
      <c r="X158" s="1352">
        <v>8500</v>
      </c>
      <c r="Z158" s="43">
        <f>'Group Totals'!AF129</f>
        <v>120</v>
      </c>
      <c r="AA158" s="43">
        <f>'Group Totals'!AE129</f>
        <v>183</v>
      </c>
      <c r="AB158" s="38">
        <f>'Group Totals'!AF129/'Group Totals'!AE129</f>
        <v>0.65573770491803274</v>
      </c>
      <c r="AD158" s="69">
        <v>0.65</v>
      </c>
      <c r="AE158" s="386">
        <f>'Group Totals'!AN129</f>
        <v>9758</v>
      </c>
      <c r="AF158" s="7">
        <f>'Group Totals'!BN129</f>
        <v>81.316666666666663</v>
      </c>
      <c r="AH158" s="43">
        <v>130</v>
      </c>
      <c r="AI158" s="1352">
        <f>'Group Totals'!BO129</f>
        <v>147.50819840131174</v>
      </c>
      <c r="AK158" s="1361">
        <f t="shared" si="0"/>
        <v>161.92395982783358</v>
      </c>
      <c r="AL158" s="1352">
        <f>'Group Totals'!BA129</f>
        <v>11994.875</v>
      </c>
      <c r="AN158" s="1363">
        <f t="shared" si="1"/>
        <v>13167.116666666667</v>
      </c>
      <c r="AO158" s="7">
        <f>'Group Totals'!BC129</f>
        <v>489.01666666666665</v>
      </c>
      <c r="AR158" s="7">
        <f>'Group Totals'!BD129</f>
        <v>320.66666666666669</v>
      </c>
      <c r="AU158" s="1361">
        <f>'Group Totals'!AP129</f>
        <v>7.0432505526577177E-2</v>
      </c>
      <c r="AV158" s="1446">
        <v>0.28999999999999998</v>
      </c>
      <c r="AX158" s="1352">
        <f>'Group Totals'!I129</f>
        <v>8970290</v>
      </c>
      <c r="AY158" s="94">
        <f>'Group Totals'!K129</f>
        <v>58682</v>
      </c>
      <c r="AZ158" s="94">
        <f>'Group Totals'!W129</f>
        <v>31089</v>
      </c>
      <c r="BA158" s="94">
        <f>'Group Totals'!Q129</f>
        <v>27593</v>
      </c>
      <c r="BB158" s="94">
        <f>'Group Totals'!AC129</f>
        <v>64025</v>
      </c>
      <c r="BC158" s="94">
        <f>'Group Totals'!AD129</f>
        <v>20194</v>
      </c>
      <c r="BD158" s="7">
        <f>'Group Totals'!DD129</f>
        <v>391.21333333333331</v>
      </c>
      <c r="BF158" s="43">
        <v>272</v>
      </c>
      <c r="BG158" s="7">
        <f>'Group Totals'!DE129</f>
        <v>225.7</v>
      </c>
      <c r="BI158" s="43">
        <v>142</v>
      </c>
      <c r="BJ158" s="7">
        <f>'Group Totals'!DF129</f>
        <v>320.50515463917526</v>
      </c>
      <c r="BL158" s="43">
        <v>248</v>
      </c>
      <c r="BM158" s="7">
        <f>'Group Totals'!DG129</f>
        <v>520.62264150943395</v>
      </c>
      <c r="BO158" s="43">
        <v>326</v>
      </c>
      <c r="BP158" s="7">
        <f>'Group Totals'!DH129</f>
        <v>673.9473684210526</v>
      </c>
      <c r="BR158" s="43">
        <v>545</v>
      </c>
      <c r="BS158" s="7">
        <f>'Group Totals'!DI129</f>
        <v>673.13333333333333</v>
      </c>
      <c r="BU158" s="43">
        <v>719</v>
      </c>
      <c r="BV158" s="7">
        <f>'Group Totals'!DJ129</f>
        <v>164.49206349206349</v>
      </c>
      <c r="BX158" s="43">
        <v>118</v>
      </c>
      <c r="BY158" s="7">
        <f>'Group Totals'!DK129</f>
        <v>388.63380281690144</v>
      </c>
      <c r="CA158" s="43">
        <v>217</v>
      </c>
      <c r="CB158" s="7">
        <f>'Group Totals'!DL129</f>
        <v>500.1953125</v>
      </c>
      <c r="CD158" s="43">
        <v>314</v>
      </c>
      <c r="CE158" s="7">
        <f>'Group Totals'!DM129</f>
        <v>412.12244897959181</v>
      </c>
      <c r="CG158" s="43">
        <v>334</v>
      </c>
      <c r="CH158" s="1447">
        <f>'Group Totals'!F129</f>
        <v>0.97006213354336224</v>
      </c>
      <c r="CJ158" s="69">
        <v>0.97</v>
      </c>
      <c r="CK158" s="1447">
        <f>'Group Totals'!D129</f>
        <v>1.8272512470464689E-2</v>
      </c>
      <c r="CL158" s="1470">
        <v>1.4999999999999999E-2</v>
      </c>
      <c r="CM158" s="1470"/>
      <c r="CN158" s="69">
        <f>'Group Totals'!CX129</f>
        <v>0.15157487196489056</v>
      </c>
      <c r="CO158" s="1363">
        <f t="shared" si="2"/>
        <v>74752.416666666672</v>
      </c>
    </row>
    <row r="159" spans="1:93" x14ac:dyDescent="0.25">
      <c r="B159" s="1445">
        <f>'Group Totals'!A130</f>
        <v>44682</v>
      </c>
      <c r="C159" s="1352">
        <f>'Group Totals'!AK130</f>
        <v>1636239</v>
      </c>
      <c r="D159" s="38">
        <f>'Group Totals'!CZ130</f>
        <v>-3.2771142420860877E-2</v>
      </c>
      <c r="E159" s="69">
        <f>'Group Totals'!CY130</f>
        <v>-0.11396379135321921</v>
      </c>
      <c r="F159" s="69">
        <f t="shared" si="3"/>
        <v>0.05</v>
      </c>
      <c r="G159" s="69">
        <f t="shared" si="4"/>
        <v>-0.05</v>
      </c>
      <c r="H159" s="38">
        <f>'Group Totals'!AK130/'Group Totals'!I130</f>
        <v>0.17343416908760664</v>
      </c>
      <c r="I159" s="69">
        <v>0.2</v>
      </c>
      <c r="J159" s="69">
        <v>0</v>
      </c>
      <c r="K159" s="1446">
        <f>'Group Totals'!AT130</f>
        <v>28.746293042867183</v>
      </c>
      <c r="L159" s="1352">
        <v>30</v>
      </c>
      <c r="M159" s="1352">
        <v>0</v>
      </c>
      <c r="N159" s="1361">
        <f>'Group Totals'!CS130</f>
        <v>143.74409206711763</v>
      </c>
      <c r="O159" s="1352">
        <v>135</v>
      </c>
      <c r="P159" s="1352">
        <v>0</v>
      </c>
      <c r="Q159" s="337">
        <f>'Group Totals'!DC130</f>
        <v>5.0004392515154175</v>
      </c>
      <c r="S159" s="43">
        <v>4.5999999999999996</v>
      </c>
      <c r="T159" s="1352">
        <f>'Group Totals'!AV130</f>
        <v>13866.43220338983</v>
      </c>
      <c r="U159" s="1352">
        <v>14600</v>
      </c>
      <c r="W159" s="1352">
        <f>'Group Totals'!AW130</f>
        <v>8749.9411764705874</v>
      </c>
      <c r="X159" s="1352">
        <v>8500</v>
      </c>
      <c r="Z159" s="43">
        <f>'Group Totals'!AF130</f>
        <v>118</v>
      </c>
      <c r="AA159" s="43">
        <f>'Group Totals'!AE130</f>
        <v>187</v>
      </c>
      <c r="AB159" s="38">
        <f>'Group Totals'!AF130/'Group Totals'!AE130</f>
        <v>0.63101604278074863</v>
      </c>
      <c r="AD159" s="69">
        <v>0.65</v>
      </c>
      <c r="AE159" s="386">
        <f>'Group Totals'!AN130</f>
        <v>11383</v>
      </c>
      <c r="AF159" s="7">
        <f>'Group Totals'!BN130</f>
        <v>96.466101694915253</v>
      </c>
      <c r="AH159" s="43">
        <v>130</v>
      </c>
      <c r="AI159" s="1352">
        <f>'Group Totals'!BO130</f>
        <v>127.36247035052271</v>
      </c>
      <c r="AK159" s="1361">
        <f t="shared" si="0"/>
        <v>143.74409206711763</v>
      </c>
      <c r="AL159" s="1352">
        <f>'Group Totals'!BA130</f>
        <v>12286.161016949152</v>
      </c>
      <c r="AN159" s="1363">
        <f t="shared" si="1"/>
        <v>13866.43220338983</v>
      </c>
      <c r="AO159" s="7">
        <f>'Group Totals'!BC130</f>
        <v>482.37288135593218</v>
      </c>
      <c r="AR159" s="7">
        <f>'Group Totals'!BD130</f>
        <v>304.38502673796791</v>
      </c>
      <c r="AU159" s="1361">
        <f>'Group Totals'!AP130</f>
        <v>0.48438938890556554</v>
      </c>
      <c r="AV159" s="1446">
        <v>0.28999999999999998</v>
      </c>
      <c r="AX159" s="1352">
        <f>'Group Totals'!I130</f>
        <v>9434352</v>
      </c>
      <c r="AY159" s="94">
        <f>'Group Totals'!K130</f>
        <v>56920</v>
      </c>
      <c r="AZ159" s="94">
        <f>'Group Totals'!W130</f>
        <v>31238</v>
      </c>
      <c r="BA159" s="94">
        <f>'Group Totals'!Q130</f>
        <v>25682</v>
      </c>
      <c r="BB159" s="94">
        <f>'Group Totals'!AC130</f>
        <v>74483</v>
      </c>
      <c r="BC159" s="94">
        <f>'Group Totals'!AD130</f>
        <v>19509</v>
      </c>
      <c r="BD159" s="7">
        <f>'Group Totals'!DD130</f>
        <v>268.49056603773585</v>
      </c>
      <c r="BF159" s="43">
        <v>272</v>
      </c>
      <c r="BG159" s="7">
        <f>'Group Totals'!DE130</f>
        <v>158.11111111111111</v>
      </c>
      <c r="BI159" s="43">
        <v>142</v>
      </c>
      <c r="BJ159" s="7">
        <f>'Group Totals'!DF130</f>
        <v>215.4344827586207</v>
      </c>
      <c r="BL159" s="43">
        <v>248</v>
      </c>
      <c r="BM159" s="7">
        <f>'Group Totals'!DG130</f>
        <v>383.31343283582089</v>
      </c>
      <c r="BO159" s="43">
        <v>326</v>
      </c>
      <c r="BP159" s="7">
        <f>'Group Totals'!DH130</f>
        <v>683.33027522935777</v>
      </c>
      <c r="BR159" s="43">
        <v>545</v>
      </c>
      <c r="BS159" s="7">
        <f>'Group Totals'!DI130</f>
        <v>750.34615384615381</v>
      </c>
      <c r="BU159" s="43">
        <v>719</v>
      </c>
      <c r="BV159" s="7">
        <f>'Group Totals'!DJ130</f>
        <v>116.55970149253731</v>
      </c>
      <c r="BX159" s="43">
        <v>118</v>
      </c>
      <c r="BY159" s="7">
        <f>'Group Totals'!DK130</f>
        <v>279.1521739130435</v>
      </c>
      <c r="CA159" s="43">
        <v>217</v>
      </c>
      <c r="CB159" s="7">
        <f>'Group Totals'!DL130</f>
        <v>539.731884057971</v>
      </c>
      <c r="CD159" s="43">
        <v>314</v>
      </c>
      <c r="CE159" s="7">
        <f>'Group Totals'!DM130</f>
        <v>375.17307692307691</v>
      </c>
      <c r="CG159" s="43">
        <v>334</v>
      </c>
      <c r="CH159" s="1447">
        <f>'Group Totals'!F130</f>
        <v>0.97159254404194773</v>
      </c>
      <c r="CJ159" s="69">
        <v>0.97</v>
      </c>
      <c r="CK159" s="1447">
        <f>'Group Totals'!D130</f>
        <v>2.0822009783547014E-2</v>
      </c>
      <c r="CL159" s="1470">
        <v>1.4999999999999999E-2</v>
      </c>
      <c r="CM159" s="1470"/>
      <c r="CN159" s="69">
        <f>'Group Totals'!CX130</f>
        <v>0.16562613953170224</v>
      </c>
      <c r="CO159" s="1363">
        <f t="shared" si="2"/>
        <v>79952.135593220344</v>
      </c>
    </row>
    <row r="160" spans="1:93" x14ac:dyDescent="0.25">
      <c r="B160" s="1445">
        <f>'Group Totals'!A131</f>
        <v>44713</v>
      </c>
      <c r="C160" s="1352">
        <f>'Group Totals'!AK131</f>
        <v>1693475</v>
      </c>
      <c r="D160" s="38">
        <f>'Group Totals'!CZ131</f>
        <v>-0.12756794211050293</v>
      </c>
      <c r="E160" s="69">
        <f>'Group Totals'!CY131</f>
        <v>-0.17667104622152674</v>
      </c>
      <c r="F160" s="69">
        <f t="shared" si="3"/>
        <v>0.05</v>
      </c>
      <c r="G160" s="69">
        <f t="shared" si="4"/>
        <v>-0.05</v>
      </c>
      <c r="H160" s="38">
        <f>'Group Totals'!AK131/'Group Totals'!I131</f>
        <v>0.18140160004250441</v>
      </c>
      <c r="I160" s="69">
        <v>0.2</v>
      </c>
      <c r="J160" s="69">
        <v>0</v>
      </c>
      <c r="K160" s="1446">
        <f>'Group Totals'!AT131</f>
        <v>28.765372333197444</v>
      </c>
      <c r="L160" s="1352">
        <v>30</v>
      </c>
      <c r="M160" s="1352">
        <v>0</v>
      </c>
      <c r="N160" s="1361">
        <f>'Group Totals'!CS131</f>
        <v>161.73001623531658</v>
      </c>
      <c r="O160" s="1352">
        <v>135</v>
      </c>
      <c r="P160" s="1352">
        <v>0</v>
      </c>
      <c r="Q160" s="337">
        <f>'Group Totals'!DC131</f>
        <v>5.6223856365199119</v>
      </c>
      <c r="S160" s="43">
        <v>4.5999999999999996</v>
      </c>
      <c r="T160" s="1352">
        <f>'Group Totals'!AV131</f>
        <v>15395.227272727272</v>
      </c>
      <c r="U160" s="1352">
        <v>14600</v>
      </c>
      <c r="W160" s="1352">
        <f>'Group Totals'!AW131</f>
        <v>9408.1944444444453</v>
      </c>
      <c r="X160" s="1352">
        <v>8500</v>
      </c>
      <c r="Z160" s="43">
        <f>'Group Totals'!AF131</f>
        <v>110</v>
      </c>
      <c r="AA160" s="43">
        <f>'Group Totals'!AE131</f>
        <v>180</v>
      </c>
      <c r="AB160" s="38">
        <f>'Group Totals'!AF131/'Group Totals'!AE131</f>
        <v>0.61111111111111116</v>
      </c>
      <c r="AD160" s="69">
        <v>0.65</v>
      </c>
      <c r="AE160" s="386">
        <f>'Group Totals'!AN131</f>
        <v>10471</v>
      </c>
      <c r="AF160" s="7">
        <f>'Group Totals'!BN131</f>
        <v>95.190909090909088</v>
      </c>
      <c r="AH160" s="43">
        <v>130</v>
      </c>
      <c r="AI160" s="1352">
        <f>'Group Totals'!BO131</f>
        <v>133.15700506159871</v>
      </c>
      <c r="AK160" s="1361">
        <f t="shared" si="0"/>
        <v>161.73001623531658</v>
      </c>
      <c r="AL160" s="1352">
        <f>'Group Totals'!BA131</f>
        <v>12675.336363636363</v>
      </c>
      <c r="AN160" s="1363">
        <f t="shared" si="1"/>
        <v>15395.227272727272</v>
      </c>
      <c r="AO160" s="7">
        <f>'Group Totals'!BC131</f>
        <v>535.20000000000005</v>
      </c>
      <c r="AR160" s="7">
        <f>'Group Totals'!BD131</f>
        <v>327.06666666666666</v>
      </c>
      <c r="AU160" s="1361">
        <f>'Group Totals'!AP131</f>
        <v>0.45911832057879698</v>
      </c>
      <c r="AV160" s="1446">
        <v>0.28999999999999998</v>
      </c>
      <c r="AX160" s="1352">
        <f>'Group Totals'!I131</f>
        <v>9335502</v>
      </c>
      <c r="AY160" s="94">
        <f>'Group Totals'!K131</f>
        <v>58872</v>
      </c>
      <c r="AZ160" s="94">
        <f>'Group Totals'!W131</f>
        <v>23416</v>
      </c>
      <c r="BA160" s="94">
        <f>'Group Totals'!Q131</f>
        <v>35456</v>
      </c>
      <c r="BB160" s="94">
        <f>'Group Totals'!AC131</f>
        <v>73221</v>
      </c>
      <c r="BC160" s="94">
        <f>'Group Totals'!AD131</f>
        <v>19549</v>
      </c>
      <c r="BD160" s="7">
        <f>'Group Totals'!DD131</f>
        <v>321.70491803278691</v>
      </c>
      <c r="BF160" s="43">
        <v>272</v>
      </c>
      <c r="BG160" s="7">
        <f>'Group Totals'!DE131</f>
        <v>184.55172413793105</v>
      </c>
      <c r="BI160" s="43">
        <v>142</v>
      </c>
      <c r="BJ160" s="7">
        <f>'Group Totals'!DF131</f>
        <v>182.9375</v>
      </c>
      <c r="BL160" s="43">
        <v>248</v>
      </c>
      <c r="BM160" s="7">
        <f>'Group Totals'!DG131</f>
        <v>644.65454545454543</v>
      </c>
      <c r="BO160" s="43">
        <v>326</v>
      </c>
      <c r="BP160" s="7">
        <f>'Group Totals'!DH131</f>
        <v>787.32258064516134</v>
      </c>
      <c r="BR160" s="43">
        <v>545</v>
      </c>
      <c r="BS160" s="7">
        <f>'Group Totals'!DI131</f>
        <v>698.17857142857144</v>
      </c>
      <c r="BU160" s="43">
        <v>719</v>
      </c>
      <c r="BV160" s="7">
        <f>'Group Totals'!DJ131</f>
        <v>101.80869565217391</v>
      </c>
      <c r="BX160" s="43">
        <v>118</v>
      </c>
      <c r="BY160" s="7">
        <f>'Group Totals'!DK131</f>
        <v>398.38202247191009</v>
      </c>
      <c r="CA160" s="43">
        <v>217</v>
      </c>
      <c r="CB160" s="7">
        <f>'Group Totals'!DL131</f>
        <v>491.41610738255031</v>
      </c>
      <c r="CD160" s="43">
        <v>314</v>
      </c>
      <c r="CE160" s="7">
        <f>'Group Totals'!DM131</f>
        <v>368.84905660377359</v>
      </c>
      <c r="CG160" s="43">
        <v>334</v>
      </c>
      <c r="CH160" s="1447">
        <f>'Group Totals'!F131</f>
        <v>0.96882984159427699</v>
      </c>
      <c r="CJ160" s="69">
        <v>0.97</v>
      </c>
      <c r="CK160" s="1447">
        <f>'Group Totals'!D131</f>
        <v>1.9247146993697836E-2</v>
      </c>
      <c r="CL160" s="1470">
        <v>1.4999999999999999E-2</v>
      </c>
      <c r="CM160" s="1470"/>
      <c r="CN160" s="69">
        <f>'Group Totals'!CX131</f>
        <v>0.16749750830421067</v>
      </c>
      <c r="CO160" s="1363">
        <f t="shared" si="2"/>
        <v>84868.2</v>
      </c>
    </row>
    <row r="161" spans="2:93" x14ac:dyDescent="0.25">
      <c r="B161" s="1445">
        <f>'Group Totals'!A132</f>
        <v>44743</v>
      </c>
      <c r="C161" s="1352">
        <f>'Group Totals'!AK132</f>
        <v>1769250</v>
      </c>
      <c r="D161" s="38">
        <f>'Group Totals'!CZ132</f>
        <v>-0.17829288459381165</v>
      </c>
      <c r="E161" s="69">
        <f>'Group Totals'!CY132</f>
        <v>-0.23933813762893885</v>
      </c>
      <c r="F161" s="69">
        <f t="shared" si="3"/>
        <v>0.05</v>
      </c>
      <c r="G161" s="69">
        <f t="shared" si="4"/>
        <v>-0.05</v>
      </c>
      <c r="H161" s="38">
        <f>'Group Totals'!AK132/'Group Totals'!I132</f>
        <v>0.20551811939740242</v>
      </c>
      <c r="I161" s="69">
        <v>0.2</v>
      </c>
      <c r="J161" s="69">
        <v>0</v>
      </c>
      <c r="K161" s="1446">
        <f>'Group Totals'!AT132</f>
        <v>36.826384697042236</v>
      </c>
      <c r="L161" s="1352">
        <v>30</v>
      </c>
      <c r="M161" s="1352">
        <v>0</v>
      </c>
      <c r="N161" s="1361">
        <f>'Group Totals'!CS132</f>
        <v>167.06798866855524</v>
      </c>
      <c r="O161" s="1352">
        <v>135</v>
      </c>
      <c r="P161" s="1352">
        <v>0</v>
      </c>
      <c r="Q161" s="337">
        <f>'Group Totals'!DC132</f>
        <v>4.536638338054769</v>
      </c>
      <c r="S161" s="43">
        <v>4.5999999999999996</v>
      </c>
      <c r="T161" s="1352">
        <f>'Group Totals'!AV132</f>
        <v>15252.155172413793</v>
      </c>
      <c r="U161" s="1352">
        <v>14600</v>
      </c>
      <c r="W161" s="1352">
        <f>'Group Totals'!AW132</f>
        <v>9461.2299465240649</v>
      </c>
      <c r="X161" s="1352">
        <v>8500</v>
      </c>
      <c r="Z161" s="43">
        <f>'Group Totals'!AF132</f>
        <v>116</v>
      </c>
      <c r="AA161" s="43">
        <f>'Group Totals'!AE132</f>
        <v>187</v>
      </c>
      <c r="AB161" s="38">
        <f>'Group Totals'!AF132/'Group Totals'!AE132</f>
        <v>0.6203208556149733</v>
      </c>
      <c r="AD161" s="69">
        <v>0.65</v>
      </c>
      <c r="AE161" s="386">
        <f>'Group Totals'!AN132</f>
        <v>10590</v>
      </c>
      <c r="AF161" s="7">
        <f>'Group Totals'!BN132</f>
        <v>91.293103448275858</v>
      </c>
      <c r="AH161" s="43">
        <v>130</v>
      </c>
      <c r="AI161" s="1352">
        <f>'Group Totals'!BO132</f>
        <v>127.08224740321057</v>
      </c>
      <c r="AK161" s="1361">
        <f t="shared" si="0"/>
        <v>167.06798866855524</v>
      </c>
      <c r="AL161" s="1352">
        <f>'Group Totals'!BA132</f>
        <v>11601.73275862069</v>
      </c>
      <c r="AN161" s="1363">
        <f t="shared" si="1"/>
        <v>15252.155172413793</v>
      </c>
      <c r="AO161" s="7">
        <f>'Group Totals'!BC132</f>
        <v>414.16379310344826</v>
      </c>
      <c r="AR161" s="7">
        <f>'Group Totals'!BD132</f>
        <v>256.91443850267382</v>
      </c>
      <c r="AU161" s="1361">
        <f>'Group Totals'!AP132</f>
        <v>0.32544870149255462</v>
      </c>
      <c r="AV161" s="1446">
        <v>0.28999999999999998</v>
      </c>
      <c r="AX161" s="1352">
        <f>'Group Totals'!I132</f>
        <v>8608730</v>
      </c>
      <c r="AY161" s="94">
        <f>'Group Totals'!K132</f>
        <v>48043</v>
      </c>
      <c r="AZ161" s="94">
        <f>'Group Totals'!W132</f>
        <v>19303</v>
      </c>
      <c r="BA161" s="94">
        <f>'Group Totals'!Q132</f>
        <v>28740</v>
      </c>
      <c r="BB161" s="94">
        <f>'Group Totals'!AC132</f>
        <v>62066</v>
      </c>
      <c r="BC161" s="94">
        <f>'Group Totals'!AD132</f>
        <v>13790</v>
      </c>
      <c r="BD161" s="7">
        <f>'Group Totals'!DD132</f>
        <v>266.90555555555557</v>
      </c>
      <c r="BF161" s="43">
        <v>272</v>
      </c>
      <c r="BG161" s="7">
        <f>'Group Totals'!DE132</f>
        <v>165.66551724137932</v>
      </c>
      <c r="BI161" s="43">
        <v>142</v>
      </c>
      <c r="BJ161" s="7">
        <f>'Group Totals'!DF132</f>
        <v>150.8046875</v>
      </c>
      <c r="BL161" s="43">
        <v>248</v>
      </c>
      <c r="BM161" s="7">
        <f>'Group Totals'!DG132</f>
        <v>552.69230769230774</v>
      </c>
      <c r="BO161" s="43">
        <v>326</v>
      </c>
      <c r="BP161" s="7">
        <f>'Group Totals'!DH132</f>
        <v>602.5825242718447</v>
      </c>
      <c r="BR161" s="43">
        <v>545</v>
      </c>
      <c r="BS161" s="7">
        <f>'Group Totals'!DI132</f>
        <v>530.38461538461536</v>
      </c>
      <c r="BU161" s="43">
        <v>719</v>
      </c>
      <c r="BV161" s="7">
        <f>'Group Totals'!DJ132</f>
        <v>91.051886792452834</v>
      </c>
      <c r="BX161" s="43">
        <v>118</v>
      </c>
      <c r="BY161" s="7">
        <f>'Group Totals'!DK132</f>
        <v>368.46153846153845</v>
      </c>
      <c r="CA161" s="43">
        <v>217</v>
      </c>
      <c r="CB161" s="7">
        <f>'Group Totals'!DL132</f>
        <v>390.35220125786162</v>
      </c>
      <c r="CD161" s="43">
        <v>314</v>
      </c>
      <c r="CE161" s="7">
        <f>'Group Totals'!DM132</f>
        <v>353.58974358974359</v>
      </c>
      <c r="CG161" s="43">
        <v>334</v>
      </c>
      <c r="CH161" s="1447">
        <f>'Group Totals'!F132</f>
        <v>0.96281303218962</v>
      </c>
      <c r="CJ161" s="69">
        <v>0.97</v>
      </c>
      <c r="CK161" s="1447">
        <f>'Group Totals'!D132</f>
        <v>2.42515610895521E-2</v>
      </c>
      <c r="CL161" s="1470">
        <v>1.4999999999999999E-2</v>
      </c>
      <c r="CM161" s="1470"/>
      <c r="CN161" s="69">
        <f>'Group Totals'!CX132</f>
        <v>0.17932877755840113</v>
      </c>
      <c r="CO161" s="1363">
        <f t="shared" si="2"/>
        <v>74213.18965517242</v>
      </c>
    </row>
    <row r="162" spans="2:93" x14ac:dyDescent="0.25">
      <c r="B162" s="1445">
        <f>'Group Totals'!A133</f>
        <v>44774</v>
      </c>
      <c r="C162" s="1352">
        <f>'Group Totals'!AK133</f>
        <v>2087019</v>
      </c>
      <c r="D162" s="38">
        <f>'Group Totals'!CZ133</f>
        <v>-0.22250846165156446</v>
      </c>
      <c r="E162" s="69">
        <f>'Group Totals'!CY133</f>
        <v>-0.24543523561596703</v>
      </c>
      <c r="F162" s="69">
        <f t="shared" si="3"/>
        <v>0.05</v>
      </c>
      <c r="G162" s="69">
        <f t="shared" si="4"/>
        <v>-0.05</v>
      </c>
      <c r="H162" s="38">
        <f>'Group Totals'!AK133/'Group Totals'!I133</f>
        <v>0.20176780633019217</v>
      </c>
      <c r="I162" s="69">
        <v>0.2</v>
      </c>
      <c r="J162" s="69">
        <v>0</v>
      </c>
      <c r="K162" s="1446">
        <f>'Group Totals'!AT133</f>
        <v>41.104898272703998</v>
      </c>
      <c r="L162" s="1352">
        <v>30</v>
      </c>
      <c r="M162" s="1352">
        <v>0</v>
      </c>
      <c r="N162" s="1361">
        <f>'Group Totals'!CS133</f>
        <v>135.47672833495619</v>
      </c>
      <c r="O162" s="1352">
        <v>135</v>
      </c>
      <c r="P162" s="1352">
        <v>0</v>
      </c>
      <c r="Q162" s="337">
        <f>'Group Totals'!DC133</f>
        <v>3.2958779617007465</v>
      </c>
      <c r="S162" s="43">
        <v>4.5999999999999996</v>
      </c>
      <c r="T162" s="1352">
        <f>'Group Totals'!AV133</f>
        <v>17837.76923076923</v>
      </c>
      <c r="U162" s="1352">
        <v>14600</v>
      </c>
      <c r="W162" s="1352">
        <f>'Group Totals'!AW133</f>
        <v>10926.80104712042</v>
      </c>
      <c r="X162" s="1352">
        <v>8500</v>
      </c>
      <c r="Z162" s="43">
        <f>'Group Totals'!AF133</f>
        <v>117</v>
      </c>
      <c r="AA162" s="43">
        <f>'Group Totals'!AE133</f>
        <v>191</v>
      </c>
      <c r="AB162" s="38">
        <f>'Group Totals'!AF133/'Group Totals'!AE133</f>
        <v>0.61256544502617805</v>
      </c>
      <c r="AD162" s="69">
        <v>0.65</v>
      </c>
      <c r="AE162" s="386">
        <f>'Group Totals'!AN133</f>
        <v>15405</v>
      </c>
      <c r="AF162" s="7">
        <f>'Group Totals'!BN133</f>
        <v>131.66666666666666</v>
      </c>
      <c r="AH162" s="43">
        <v>130</v>
      </c>
      <c r="AI162" s="1352">
        <f>'Group Totals'!BO133</f>
        <v>102.22596559558585</v>
      </c>
      <c r="AK162" s="1361">
        <f t="shared" si="0"/>
        <v>135.47672833495619</v>
      </c>
      <c r="AL162" s="1352">
        <f>'Group Totals'!BA133</f>
        <v>13459.752136752137</v>
      </c>
      <c r="AN162" s="1363">
        <f t="shared" si="1"/>
        <v>17837.76923076923</v>
      </c>
      <c r="AO162" s="7">
        <f>'Group Totals'!BC133</f>
        <v>433.95726495726495</v>
      </c>
      <c r="AR162" s="7">
        <f>'Group Totals'!BD133</f>
        <v>265.82722513089004</v>
      </c>
      <c r="AU162" s="1361">
        <f>'Group Totals'!AP133</f>
        <v>0.79520154699489076</v>
      </c>
      <c r="AV162" s="1446">
        <v>0.28999999999999998</v>
      </c>
      <c r="AX162" s="1352">
        <f>'Group Totals'!I133</f>
        <v>10343667</v>
      </c>
      <c r="AY162" s="94">
        <f>'Group Totals'!K133</f>
        <v>50773</v>
      </c>
      <c r="AZ162" s="94">
        <f>'Group Totals'!W133</f>
        <v>21795</v>
      </c>
      <c r="BA162" s="94">
        <f>'Group Totals'!Q133</f>
        <v>28978</v>
      </c>
      <c r="BB162" s="94">
        <f>'Group Totals'!AC133</f>
        <v>66539</v>
      </c>
      <c r="BC162" s="94">
        <f>'Group Totals'!AD133</f>
        <v>12866</v>
      </c>
      <c r="BD162" s="7">
        <f>'Group Totals'!DD133</f>
        <v>237.25700934579439</v>
      </c>
      <c r="BF162" s="43">
        <v>272</v>
      </c>
      <c r="BG162" s="7">
        <f>'Group Totals'!DE133</f>
        <v>133.26246719160105</v>
      </c>
      <c r="BI162" s="43">
        <v>142</v>
      </c>
      <c r="BJ162" s="7">
        <f>'Group Totals'!DF133</f>
        <v>154.57446808510639</v>
      </c>
      <c r="BL162" s="43">
        <v>248</v>
      </c>
      <c r="BM162" s="7">
        <f>'Group Totals'!DG133</f>
        <v>396.95890410958901</v>
      </c>
      <c r="BO162" s="43">
        <v>326</v>
      </c>
      <c r="BP162" s="7">
        <f>'Group Totals'!DH133</f>
        <v>604.9</v>
      </c>
      <c r="BR162" s="43">
        <v>545</v>
      </c>
      <c r="BS162" s="7">
        <f>'Group Totals'!DI133</f>
        <v>476.51851851851853</v>
      </c>
      <c r="BU162" s="43">
        <v>719</v>
      </c>
      <c r="BV162" s="7">
        <f>'Group Totals'!DJ133</f>
        <v>81.022304832713758</v>
      </c>
      <c r="BX162" s="43">
        <v>118</v>
      </c>
      <c r="BY162" s="7">
        <f>'Group Totals'!DK133</f>
        <v>258.73214285714283</v>
      </c>
      <c r="CA162" s="43">
        <v>217</v>
      </c>
      <c r="CB162" s="7">
        <f>'Group Totals'!DL133</f>
        <v>389.11695906432749</v>
      </c>
      <c r="CD162" s="43">
        <v>314</v>
      </c>
      <c r="CE162" s="7">
        <f>'Group Totals'!DM133</f>
        <v>329.89743589743591</v>
      </c>
      <c r="CG162" s="43">
        <v>334</v>
      </c>
      <c r="CH162" s="1447">
        <f>'Group Totals'!F133</f>
        <v>0.9621190756623148</v>
      </c>
      <c r="CJ162" s="69">
        <v>0.97</v>
      </c>
      <c r="CK162" s="1447">
        <f>'Group Totals'!D133</f>
        <v>2.6633599309898642E-2</v>
      </c>
      <c r="CL162" s="1470">
        <v>1.4999999999999999E-2</v>
      </c>
      <c r="CM162" s="1470"/>
      <c r="CN162" s="69">
        <f>'Group Totals'!CX133</f>
        <v>0.18025248181209924</v>
      </c>
      <c r="CO162" s="1363">
        <f t="shared" si="2"/>
        <v>88407.41025641025</v>
      </c>
    </row>
    <row r="163" spans="2:93" x14ac:dyDescent="0.25">
      <c r="B163" s="1445">
        <f>'Group Totals'!A134</f>
        <v>44805</v>
      </c>
      <c r="C163" s="1352">
        <f>'Group Totals'!AK134</f>
        <v>1836545</v>
      </c>
      <c r="D163" s="38">
        <f>'Group Totals'!CZ134</f>
        <v>-0.2299404125973552</v>
      </c>
      <c r="E163" s="69">
        <f>'Group Totals'!CY134</f>
        <v>-0.20327898309053138</v>
      </c>
      <c r="F163" s="69">
        <f t="shared" si="3"/>
        <v>0.05</v>
      </c>
      <c r="G163" s="69">
        <f t="shared" si="4"/>
        <v>-0.05</v>
      </c>
      <c r="H163" s="38">
        <f>'Group Totals'!AK134/'Group Totals'!I134</f>
        <v>0.18244278797935631</v>
      </c>
      <c r="I163" s="69">
        <v>0.2</v>
      </c>
      <c r="J163" s="69">
        <v>0</v>
      </c>
      <c r="K163" s="1446">
        <f>'Group Totals'!AT134</f>
        <v>28.700948600540716</v>
      </c>
      <c r="L163" s="1352">
        <v>30</v>
      </c>
      <c r="M163" s="1352">
        <v>0</v>
      </c>
      <c r="N163" s="1361">
        <f>'Group Totals'!CS134</f>
        <v>149.88533420386844</v>
      </c>
      <c r="O163" s="1352">
        <v>135</v>
      </c>
      <c r="P163" s="1352">
        <v>0</v>
      </c>
      <c r="Q163" s="337">
        <f>'Group Totals'!DC134</f>
        <v>5.2223129029625399</v>
      </c>
      <c r="S163" s="43">
        <v>4.5999999999999996</v>
      </c>
      <c r="T163" s="1352">
        <f>'Group Totals'!AV134</f>
        <v>14575.753968253968</v>
      </c>
      <c r="U163" s="1352">
        <v>14600</v>
      </c>
      <c r="W163" s="1352">
        <f>'Group Totals'!AW134</f>
        <v>9228.8693467336689</v>
      </c>
      <c r="X163" s="1352">
        <v>8500</v>
      </c>
      <c r="Z163" s="43">
        <f>'Group Totals'!AF134</f>
        <v>126</v>
      </c>
      <c r="AA163" s="43">
        <f>'Group Totals'!AE134</f>
        <v>199</v>
      </c>
      <c r="AB163" s="38">
        <f>'Group Totals'!AF134/'Group Totals'!AE134</f>
        <v>0.63316582914572861</v>
      </c>
      <c r="AD163" s="69">
        <v>0.65</v>
      </c>
      <c r="AE163" s="386">
        <f>'Group Totals'!AN134</f>
        <v>12253</v>
      </c>
      <c r="AF163" s="7">
        <f>'Group Totals'!BN134</f>
        <v>97.246031746031747</v>
      </c>
      <c r="AH163" s="43">
        <v>130</v>
      </c>
      <c r="AI163" s="1352">
        <f>'Group Totals'!BO134</f>
        <v>119.41679588672162</v>
      </c>
      <c r="AK163" s="1361">
        <f t="shared" si="0"/>
        <v>149.88533420386844</v>
      </c>
      <c r="AL163" s="1352">
        <f>'Group Totals'!BA134</f>
        <v>11612.809523809523</v>
      </c>
      <c r="AN163" s="1363">
        <f t="shared" si="1"/>
        <v>14575.753968253968</v>
      </c>
      <c r="AO163" s="7">
        <f>'Group Totals'!BC134</f>
        <v>507.84920634920633</v>
      </c>
      <c r="AR163" s="7">
        <f>'Group Totals'!BD134</f>
        <v>321.5527638190955</v>
      </c>
      <c r="AU163" s="1361">
        <f>'Group Totals'!AP134</f>
        <v>0.31005076682704152</v>
      </c>
      <c r="AV163" s="1446">
        <v>0.28999999999999998</v>
      </c>
      <c r="AX163" s="1352">
        <f>'Group Totals'!I134</f>
        <v>10066416</v>
      </c>
      <c r="AY163" s="94">
        <f>'Group Totals'!K134</f>
        <v>63989</v>
      </c>
      <c r="AZ163" s="94">
        <f>'Group Totals'!W134</f>
        <v>24158</v>
      </c>
      <c r="BA163" s="94">
        <f>'Group Totals'!Q134</f>
        <v>39831</v>
      </c>
      <c r="BB163" s="94">
        <f>'Group Totals'!AC134</f>
        <v>55611</v>
      </c>
      <c r="BC163" s="94">
        <f>'Group Totals'!AD134</f>
        <v>13565</v>
      </c>
      <c r="BD163" s="7">
        <f>'Group Totals'!DD134</f>
        <v>319.94499999999999</v>
      </c>
      <c r="BF163" s="43">
        <v>272</v>
      </c>
      <c r="BG163" s="7">
        <f>'Group Totals'!DE134</f>
        <v>181.78693181818181</v>
      </c>
      <c r="BI163" s="43">
        <v>142</v>
      </c>
      <c r="BJ163" s="7">
        <f>'Group Totals'!DF134</f>
        <v>175.05797101449275</v>
      </c>
      <c r="BL163" s="43">
        <v>248</v>
      </c>
      <c r="BM163" s="7">
        <f>'Group Totals'!DG134</f>
        <v>642.43548387096769</v>
      </c>
      <c r="BO163" s="43">
        <v>326</v>
      </c>
      <c r="BP163" s="7">
        <f>'Group Totals'!DH134</f>
        <v>505.55454545454546</v>
      </c>
      <c r="BR163" s="43">
        <v>545</v>
      </c>
      <c r="BS163" s="7">
        <f>'Group Totals'!DI134</f>
        <v>589.78260869565213</v>
      </c>
      <c r="BU163" s="43">
        <v>719</v>
      </c>
      <c r="BV163" s="7">
        <f>'Group Totals'!DJ134</f>
        <v>105.03478260869565</v>
      </c>
      <c r="BX163" s="43">
        <v>118</v>
      </c>
      <c r="BY163" s="7">
        <f>'Group Totals'!DK134</f>
        <v>326.48360655737707</v>
      </c>
      <c r="CA163" s="43">
        <v>217</v>
      </c>
      <c r="CB163" s="7">
        <f>'Group Totals'!DL134</f>
        <v>310.67597765363126</v>
      </c>
      <c r="CD163" s="43">
        <v>314</v>
      </c>
      <c r="CE163" s="7">
        <f>'Group Totals'!DM134</f>
        <v>366.62162162162161</v>
      </c>
      <c r="CG163" s="43">
        <v>334</v>
      </c>
      <c r="CH163" s="1447">
        <f>'Group Totals'!F134</f>
        <v>0.97200926939986987</v>
      </c>
      <c r="CJ163" s="69">
        <v>0.97</v>
      </c>
      <c r="CK163" s="1447">
        <f>'Group Totals'!D134</f>
        <v>2.5792422583051602E-2</v>
      </c>
      <c r="CL163" s="1470">
        <v>1.4999999999999999E-2</v>
      </c>
      <c r="CM163" s="1470"/>
      <c r="CN163" s="69">
        <f>'Group Totals'!CX134</f>
        <v>0.19124641659188471</v>
      </c>
      <c r="CO163" s="1363">
        <f t="shared" si="2"/>
        <v>79892.190476190473</v>
      </c>
    </row>
    <row r="164" spans="2:93" x14ac:dyDescent="0.25">
      <c r="B164" s="1445">
        <f>'Group Totals'!A135</f>
        <v>44835</v>
      </c>
      <c r="C164" s="1352">
        <f>'Group Totals'!AK135</f>
        <v>1830031</v>
      </c>
      <c r="D164" s="38">
        <f>'Group Totals'!CZ135</f>
        <v>-0.23084680100007038</v>
      </c>
      <c r="E164" s="69">
        <f>'Group Totals'!CY135</f>
        <v>-0.24187568407311133</v>
      </c>
      <c r="F164" s="69">
        <f t="shared" si="3"/>
        <v>0.05</v>
      </c>
      <c r="G164" s="69">
        <f t="shared" si="4"/>
        <v>-0.05</v>
      </c>
      <c r="H164" s="38">
        <f>'Group Totals'!AK135/'Group Totals'!I135</f>
        <v>0.18808620492251288</v>
      </c>
      <c r="I164" s="69">
        <v>0.2</v>
      </c>
      <c r="J164" s="69">
        <v>0</v>
      </c>
      <c r="K164" s="1446">
        <f>'Group Totals'!AT135</f>
        <v>34.433382881442036</v>
      </c>
      <c r="L164" s="1352">
        <v>30</v>
      </c>
      <c r="M164" s="1352">
        <v>0</v>
      </c>
      <c r="N164" s="1361">
        <f>'Group Totals'!CS135</f>
        <v>135.27727675931402</v>
      </c>
      <c r="O164" s="1352">
        <v>135</v>
      </c>
      <c r="P164" s="1352">
        <v>0</v>
      </c>
      <c r="Q164" s="337">
        <f>'Group Totals'!DC135</f>
        <v>3.9286664695446483</v>
      </c>
      <c r="S164" s="43">
        <v>4.5999999999999996</v>
      </c>
      <c r="T164" s="1352">
        <f>'Group Totals'!AV135</f>
        <v>14878.300813008131</v>
      </c>
      <c r="U164" s="1352">
        <v>14600</v>
      </c>
      <c r="W164" s="1352">
        <f>'Group Totals'!AW135</f>
        <v>9196.13567839196</v>
      </c>
      <c r="X164" s="1352">
        <v>8500</v>
      </c>
      <c r="Z164" s="43">
        <f>'Group Totals'!AF135</f>
        <v>123</v>
      </c>
      <c r="AA164" s="43">
        <f>'Group Totals'!AE135</f>
        <v>199</v>
      </c>
      <c r="AB164" s="38">
        <f>'Group Totals'!AF135/'Group Totals'!AE135</f>
        <v>0.61809045226130654</v>
      </c>
      <c r="AD164" s="69">
        <v>0.65</v>
      </c>
      <c r="AE164" s="386">
        <f>'Group Totals'!AN135</f>
        <v>13528</v>
      </c>
      <c r="AF164" s="7">
        <f>'Group Totals'!BN135</f>
        <v>109.98373983739837</v>
      </c>
      <c r="AH164" s="43">
        <v>130</v>
      </c>
      <c r="AI164" s="1352">
        <f>'Group Totals'!BO135</f>
        <v>102.55699290360734</v>
      </c>
      <c r="AK164" s="1361">
        <f t="shared" si="0"/>
        <v>135.27727675931402</v>
      </c>
      <c r="AL164" s="1352">
        <f>'Group Totals'!BA135</f>
        <v>11279.60162601626</v>
      </c>
      <c r="AN164" s="1363">
        <f t="shared" si="1"/>
        <v>14878.300813008131</v>
      </c>
      <c r="AO164" s="7">
        <f>'Group Totals'!BC135</f>
        <v>432.08943089430892</v>
      </c>
      <c r="AR164" s="7">
        <f>'Group Totals'!BD135</f>
        <v>267.07035175879395</v>
      </c>
      <c r="AU164" s="1361">
        <f>'Group Totals'!AP135</f>
        <v>0.54169964971336348</v>
      </c>
      <c r="AV164" s="1446">
        <v>0.28999999999999998</v>
      </c>
      <c r="AX164" s="1352">
        <f>'Group Totals'!I135</f>
        <v>9729746</v>
      </c>
      <c r="AY164" s="94">
        <f>'Group Totals'!K135</f>
        <v>53147</v>
      </c>
      <c r="AZ164" s="94">
        <f>'Group Totals'!W135</f>
        <v>19975</v>
      </c>
      <c r="BA164" s="94">
        <f>'Group Totals'!Q135</f>
        <v>33172</v>
      </c>
      <c r="BB164" s="94">
        <f>'Group Totals'!AC135</f>
        <v>62739</v>
      </c>
      <c r="BC164" s="94">
        <f>'Group Totals'!AD135</f>
        <v>12484</v>
      </c>
      <c r="BD164" s="7">
        <f>'Group Totals'!DD135</f>
        <v>241.57727272727271</v>
      </c>
      <c r="BF164" s="43">
        <v>272</v>
      </c>
      <c r="BG164" s="7">
        <f>'Group Totals'!DE135</f>
        <v>151.41595441595442</v>
      </c>
      <c r="BI164" s="43">
        <v>142</v>
      </c>
      <c r="BJ164" s="7">
        <f>'Group Totals'!DF135</f>
        <v>151.32575757575756</v>
      </c>
      <c r="BL164" s="43">
        <v>248</v>
      </c>
      <c r="BM164" s="7">
        <f>'Group Totals'!DG135</f>
        <v>376.95454545454544</v>
      </c>
      <c r="BO164" s="43">
        <v>326</v>
      </c>
      <c r="BP164" s="7">
        <f>'Group Totals'!DH135</f>
        <v>689.43956043956041</v>
      </c>
      <c r="BR164" s="43">
        <v>545</v>
      </c>
      <c r="BS164" s="7">
        <f>'Group Totals'!DI135</f>
        <v>693.55555555555554</v>
      </c>
      <c r="BU164" s="43">
        <v>719</v>
      </c>
      <c r="BV164" s="7">
        <f>'Group Totals'!DJ135</f>
        <v>87.227074235807862</v>
      </c>
      <c r="BX164" s="43">
        <v>118</v>
      </c>
      <c r="BY164" s="7">
        <f>'Group Totals'!DK135</f>
        <v>271.90163934426232</v>
      </c>
      <c r="CA164" s="43">
        <v>217</v>
      </c>
      <c r="CB164" s="7">
        <f>'Group Totals'!DL135</f>
        <v>471.72180451127821</v>
      </c>
      <c r="CD164" s="43">
        <v>314</v>
      </c>
      <c r="CE164" s="7">
        <f>'Group Totals'!DM135</f>
        <v>462.37037037037038</v>
      </c>
      <c r="CG164" s="43">
        <v>334</v>
      </c>
      <c r="CH164" s="1447">
        <f>'Group Totals'!F135</f>
        <v>0.97133160956690368</v>
      </c>
      <c r="CJ164" s="69">
        <v>0.97</v>
      </c>
      <c r="CK164" s="1447">
        <f>'Group Totals'!D135</f>
        <v>2.5436328377504848E-2</v>
      </c>
      <c r="CL164" s="1470">
        <v>1.4999999999999999E-2</v>
      </c>
      <c r="CM164" s="1470"/>
      <c r="CN164" s="69">
        <f>'Group Totals'!CX135</f>
        <v>0.18888010280350295</v>
      </c>
      <c r="CO164" s="1363">
        <f t="shared" si="2"/>
        <v>79103.626016260168</v>
      </c>
    </row>
    <row r="165" spans="2:93" x14ac:dyDescent="0.25">
      <c r="B165" s="1445">
        <f>'Group Totals'!A136</f>
        <v>44866</v>
      </c>
      <c r="C165" s="1352">
        <f>'Group Totals'!AK136</f>
        <v>1946725</v>
      </c>
      <c r="D165" s="38">
        <f>'Group Totals'!CZ136</f>
        <v>-0.24134960872399325</v>
      </c>
      <c r="E165" s="69">
        <f>'Group Totals'!CY136</f>
        <v>-0.2767709871707611</v>
      </c>
      <c r="F165" s="69">
        <f t="shared" si="3"/>
        <v>0.05</v>
      </c>
      <c r="G165" s="69">
        <f t="shared" si="4"/>
        <v>-0.05</v>
      </c>
      <c r="H165" s="38">
        <f>'Group Totals'!AK136/'Group Totals'!I136</f>
        <v>0.26207827136916134</v>
      </c>
      <c r="I165" s="69">
        <v>0.2</v>
      </c>
      <c r="J165" s="69">
        <v>0</v>
      </c>
      <c r="K165" s="1446">
        <f>'Group Totals'!AT136</f>
        <v>54.126814213423792</v>
      </c>
      <c r="L165" s="1352">
        <v>30</v>
      </c>
      <c r="M165" s="1352">
        <v>0</v>
      </c>
      <c r="N165" s="1361">
        <f>'Group Totals'!CS136</f>
        <v>168.41638550047583</v>
      </c>
      <c r="O165" s="1352">
        <v>135</v>
      </c>
      <c r="P165" s="1352">
        <v>0</v>
      </c>
      <c r="Q165" s="337">
        <f>'Group Totals'!DC136</f>
        <v>3.1115148369236092</v>
      </c>
      <c r="S165" s="43">
        <v>4.5999999999999996</v>
      </c>
      <c r="T165" s="1352">
        <f>'Group Totals'!AV136</f>
        <v>19274.504950495051</v>
      </c>
      <c r="U165" s="1352">
        <v>14600</v>
      </c>
      <c r="W165" s="1352">
        <f>'Group Totals'!AW136</f>
        <v>11519.082840236686</v>
      </c>
      <c r="X165" s="1352">
        <v>8500</v>
      </c>
      <c r="Z165" s="43">
        <f>'Group Totals'!AF136</f>
        <v>101</v>
      </c>
      <c r="AA165" s="43">
        <f>'Group Totals'!AE136</f>
        <v>169</v>
      </c>
      <c r="AB165" s="38">
        <f>'Group Totals'!AF136/'Group Totals'!AE136</f>
        <v>0.59763313609467461</v>
      </c>
      <c r="AD165" s="69">
        <v>0.65</v>
      </c>
      <c r="AE165" s="386">
        <f>'Group Totals'!AN136</f>
        <v>11559</v>
      </c>
      <c r="AF165" s="7">
        <f>'Group Totals'!BN136</f>
        <v>114.44554455445545</v>
      </c>
      <c r="AH165" s="43">
        <v>130</v>
      </c>
      <c r="AI165" s="1352">
        <f>'Group Totals'!BO136</f>
        <v>121.80361622977766</v>
      </c>
      <c r="AK165" s="1361">
        <f t="shared" si="0"/>
        <v>168.41638550047583</v>
      </c>
      <c r="AL165" s="1352">
        <f>'Group Totals'!BA136</f>
        <v>13939.881188118812</v>
      </c>
      <c r="AN165" s="1363">
        <f t="shared" si="1"/>
        <v>19274.504950495051</v>
      </c>
      <c r="AO165" s="7">
        <f>'Group Totals'!BC136</f>
        <v>356.0990099009901</v>
      </c>
      <c r="AR165" s="7">
        <f>'Group Totals'!BD136</f>
        <v>212.81656804733728</v>
      </c>
      <c r="AU165" s="1361">
        <f>'Group Totals'!AP136</f>
        <v>0.31750010669048279</v>
      </c>
      <c r="AV165" s="1446">
        <v>0.28999999999999998</v>
      </c>
      <c r="AX165" s="1352">
        <f>'Group Totals'!I136</f>
        <v>7428029</v>
      </c>
      <c r="AY165" s="94">
        <f>'Group Totals'!K136</f>
        <v>35966</v>
      </c>
      <c r="AZ165" s="94">
        <f>'Group Totals'!W136</f>
        <v>14889</v>
      </c>
      <c r="BA165" s="94">
        <f>'Group Totals'!Q136</f>
        <v>21077</v>
      </c>
      <c r="BB165" s="94">
        <f>'Group Totals'!AC136</f>
        <v>60004</v>
      </c>
      <c r="BC165" s="94">
        <f>'Group Totals'!AD136</f>
        <v>8667</v>
      </c>
      <c r="BD165" s="7">
        <f>'Group Totals'!DD136</f>
        <v>197.61538461538461</v>
      </c>
      <c r="BF165" s="43">
        <v>272</v>
      </c>
      <c r="BG165" s="7">
        <f>'Group Totals'!DE136</f>
        <v>128.44999999999999</v>
      </c>
      <c r="BI165" s="43">
        <v>142</v>
      </c>
      <c r="BJ165" s="7">
        <f>'Group Totals'!DF136</f>
        <v>117.23622047244095</v>
      </c>
      <c r="BL165" s="43">
        <v>248</v>
      </c>
      <c r="BM165" s="7">
        <f>'Group Totals'!DG136</f>
        <v>383.21818181818179</v>
      </c>
      <c r="BO165" s="43">
        <v>326</v>
      </c>
      <c r="BP165" s="7">
        <f>'Group Totals'!DH136</f>
        <v>666.71111111111111</v>
      </c>
      <c r="BR165" s="43">
        <v>545</v>
      </c>
      <c r="BS165" s="7">
        <f>'Group Totals'!DI136</f>
        <v>393.95454545454544</v>
      </c>
      <c r="BU165" s="43">
        <v>719</v>
      </c>
      <c r="BV165" s="7">
        <f>'Group Totals'!DJ136</f>
        <v>74.444999999999993</v>
      </c>
      <c r="BX165" s="43">
        <v>118</v>
      </c>
      <c r="BY165" s="7">
        <f>'Group Totals'!DK136</f>
        <v>263.46249999999998</v>
      </c>
      <c r="CA165" s="43">
        <v>217</v>
      </c>
      <c r="CB165" s="7">
        <f>'Group Totals'!DL136</f>
        <v>413.82068965517243</v>
      </c>
      <c r="CD165" s="43">
        <v>314</v>
      </c>
      <c r="CE165" s="7">
        <f>'Group Totals'!DM136</f>
        <v>254.91176470588235</v>
      </c>
      <c r="CG165" s="43">
        <v>334</v>
      </c>
      <c r="CH165" s="1447">
        <f>'Group Totals'!F136</f>
        <v>0.96972537656859192</v>
      </c>
      <c r="CJ165" s="69">
        <v>0.97</v>
      </c>
      <c r="CK165" s="1447">
        <f>'Group Totals'!D136</f>
        <v>3.5590259283720733E-2</v>
      </c>
      <c r="CL165" s="1470">
        <v>1.4999999999999999E-2</v>
      </c>
      <c r="CM165" s="1470"/>
      <c r="CN165" s="69">
        <f>'Group Totals'!CX136</f>
        <v>0.21134126630245872</v>
      </c>
      <c r="CO165" s="1363">
        <f t="shared" si="2"/>
        <v>73544.841584158421</v>
      </c>
    </row>
    <row r="166" spans="2:93" x14ac:dyDescent="0.25">
      <c r="B166" s="1445">
        <f>'Group Totals'!A137</f>
        <v>44896</v>
      </c>
      <c r="C166" s="1352">
        <f>'Group Totals'!AK137</f>
        <v>1327616</v>
      </c>
      <c r="D166" s="38">
        <f>'Group Totals'!CZ137</f>
        <v>-0.28933118510954925</v>
      </c>
      <c r="E166" s="69">
        <f>'Group Totals'!CY137</f>
        <v>-0.37316287239683765</v>
      </c>
      <c r="F166" s="69">
        <f t="shared" si="3"/>
        <v>0.05</v>
      </c>
      <c r="G166" s="69">
        <f t="shared" si="4"/>
        <v>-0.05</v>
      </c>
      <c r="H166" s="38">
        <f>'Group Totals'!AK137/'Group Totals'!I137</f>
        <v>0.32344100439938783</v>
      </c>
      <c r="I166" s="69">
        <v>0.2</v>
      </c>
      <c r="J166" s="69">
        <v>0</v>
      </c>
      <c r="K166" s="1446">
        <f>'Group Totals'!AT137</f>
        <v>66.284687203554839</v>
      </c>
      <c r="L166" s="1352">
        <v>30</v>
      </c>
      <c r="M166" s="1352">
        <v>0</v>
      </c>
      <c r="N166" s="1361">
        <f>'Group Totals'!CS137</f>
        <v>225.09596473380807</v>
      </c>
      <c r="O166" s="1352">
        <v>135</v>
      </c>
      <c r="P166" s="1352">
        <v>0</v>
      </c>
      <c r="Q166" s="337">
        <f>'Group Totals'!DC137</f>
        <v>3.3958969142082061</v>
      </c>
      <c r="S166" s="43">
        <v>4.5999999999999996</v>
      </c>
      <c r="T166" s="1352">
        <f>'Group Totals'!AV137</f>
        <v>14589.186813186812</v>
      </c>
      <c r="U166" s="1352">
        <v>14600</v>
      </c>
      <c r="W166" s="1352">
        <f>'Group Totals'!AW137</f>
        <v>8677.2287581699347</v>
      </c>
      <c r="X166" s="1352">
        <v>8500</v>
      </c>
      <c r="Z166" s="43">
        <f>'Group Totals'!AF137</f>
        <v>91</v>
      </c>
      <c r="AA166" s="43">
        <f>'Group Totals'!AE137</f>
        <v>153</v>
      </c>
      <c r="AB166" s="38">
        <f>'Group Totals'!AF137/'Group Totals'!AE137</f>
        <v>0.59477124183006536</v>
      </c>
      <c r="AD166" s="69">
        <v>0.65</v>
      </c>
      <c r="AE166" s="386">
        <f>'Group Totals'!AN137</f>
        <v>5898</v>
      </c>
      <c r="AF166" s="7">
        <f>'Group Totals'!BN137</f>
        <v>64.813186813186817</v>
      </c>
      <c r="AH166" s="43">
        <v>130</v>
      </c>
      <c r="AI166" s="1352">
        <f>'Group Totals'!BO137</f>
        <v>141.09850796880298</v>
      </c>
      <c r="AK166" s="1361">
        <f t="shared" si="0"/>
        <v>225.09596473380807</v>
      </c>
      <c r="AL166" s="1352">
        <f>'Group Totals'!BA137</f>
        <v>9145.0439560439554</v>
      </c>
      <c r="AN166" s="1363">
        <f t="shared" si="1"/>
        <v>14589.186813186812</v>
      </c>
      <c r="AO166" s="7">
        <f>'Group Totals'!BC137</f>
        <v>220.09890109890111</v>
      </c>
      <c r="AR166" s="7">
        <f>'Group Totals'!BD137</f>
        <v>130.90849673202615</v>
      </c>
      <c r="AU166" s="1361">
        <f>'Group Totals'!AP137</f>
        <v>0.99491748650680623</v>
      </c>
      <c r="AV166" s="1446">
        <v>0.28999999999999998</v>
      </c>
      <c r="AX166" s="1352">
        <f>'Group Totals'!I137</f>
        <v>4104662</v>
      </c>
      <c r="AY166" s="94">
        <f>'Group Totals'!K137</f>
        <v>20029</v>
      </c>
      <c r="AZ166" s="94">
        <f>'Group Totals'!W137</f>
        <v>9042</v>
      </c>
      <c r="BA166" s="94">
        <f>'Group Totals'!Q137</f>
        <v>10987</v>
      </c>
      <c r="BB166" s="94">
        <f>'Group Totals'!AC137</f>
        <v>41200</v>
      </c>
      <c r="BC166" s="94">
        <f>'Group Totals'!AD137</f>
        <v>11704</v>
      </c>
      <c r="BD166" s="7">
        <f>'Group Totals'!DD137</f>
        <v>178.83035714285714</v>
      </c>
      <c r="BF166" s="43">
        <v>272</v>
      </c>
      <c r="BG166" s="7">
        <f>'Group Totals'!DE137</f>
        <v>129.21935483870968</v>
      </c>
      <c r="BI166" s="43">
        <v>142</v>
      </c>
      <c r="BJ166" s="7">
        <f>'Group Totals'!DF137</f>
        <v>123.86301369863014</v>
      </c>
      <c r="BL166" s="43">
        <v>248</v>
      </c>
      <c r="BM166" s="7">
        <f>'Group Totals'!DG137</f>
        <v>281.71794871794873</v>
      </c>
      <c r="BO166" s="43">
        <v>326</v>
      </c>
      <c r="BP166" s="7">
        <f>'Group Totals'!DH137</f>
        <v>549.33333333333337</v>
      </c>
      <c r="BR166" s="43">
        <v>545</v>
      </c>
      <c r="BS166" s="7">
        <f>'Group Totals'!DI137</f>
        <v>731.5</v>
      </c>
      <c r="BU166" s="43">
        <v>719</v>
      </c>
      <c r="BV166" s="7">
        <f>'Group Totals'!DJ137</f>
        <v>87.786407766990294</v>
      </c>
      <c r="BX166" s="43">
        <v>118</v>
      </c>
      <c r="BY166" s="7">
        <f>'Group Totals'!DK137</f>
        <v>211.28846153846155</v>
      </c>
      <c r="CA166" s="43">
        <v>217</v>
      </c>
      <c r="CB166" s="7">
        <f>'Group Totals'!DL137</f>
        <v>443.01075268817203</v>
      </c>
      <c r="CD166" s="43">
        <v>314</v>
      </c>
      <c r="CE166" s="7">
        <f>'Group Totals'!DM137</f>
        <v>532</v>
      </c>
      <c r="CG166" s="43">
        <v>334</v>
      </c>
      <c r="CH166" s="1447">
        <f>'Group Totals'!F137</f>
        <v>0.97536659327877706</v>
      </c>
      <c r="CJ166" s="69">
        <v>0.97</v>
      </c>
      <c r="CK166" s="1447">
        <f>'Group Totals'!D137</f>
        <v>2.1330951688613799E-2</v>
      </c>
      <c r="CL166" s="1470">
        <v>1.4999999999999999E-2</v>
      </c>
      <c r="CM166" s="1470"/>
      <c r="CN166" s="69">
        <f>'Group Totals'!CX137</f>
        <v>0.2640008292558374</v>
      </c>
      <c r="CO166" s="1363">
        <f t="shared" si="2"/>
        <v>45106.175824175822</v>
      </c>
    </row>
    <row r="167" spans="2:93" x14ac:dyDescent="0.25">
      <c r="B167" s="1445">
        <f>'Group Totals'!A138</f>
        <v>44927</v>
      </c>
      <c r="C167" s="1352">
        <f>'Group Totals'!AK138</f>
        <v>1141783</v>
      </c>
      <c r="D167" s="38">
        <f>'Group Totals'!CZ138</f>
        <v>-0.36132431969754475</v>
      </c>
      <c r="E167" s="69">
        <f>'Group Totals'!CY138</f>
        <v>-0.49172128153948691</v>
      </c>
      <c r="F167" s="69">
        <f t="shared" si="3"/>
        <v>0.05</v>
      </c>
      <c r="G167" s="69">
        <f t="shared" si="4"/>
        <v>-0.05</v>
      </c>
      <c r="H167" s="38">
        <f>'Group Totals'!AK138/'Group Totals'!I138</f>
        <v>0.39042150284083915</v>
      </c>
      <c r="I167" s="69">
        <v>0.2</v>
      </c>
      <c r="J167" s="69">
        <v>0</v>
      </c>
      <c r="K167" s="1446">
        <f>'Group Totals'!AT138</f>
        <v>65.72169458354918</v>
      </c>
      <c r="L167" s="1352">
        <v>30</v>
      </c>
      <c r="M167" s="1352">
        <v>0</v>
      </c>
      <c r="N167" s="1361">
        <f>'Group Totals'!CS138</f>
        <v>259.49613636363637</v>
      </c>
      <c r="O167" s="1352">
        <v>135</v>
      </c>
      <c r="P167" s="1352">
        <v>0</v>
      </c>
      <c r="Q167" s="337">
        <f>'Group Totals'!DC138</f>
        <v>3.9484090909090908</v>
      </c>
      <c r="S167" s="43">
        <v>4.5999999999999996</v>
      </c>
      <c r="T167" s="1352">
        <f>'Group Totals'!AV138</f>
        <v>13123.942528735632</v>
      </c>
      <c r="U167" s="1352">
        <v>14600</v>
      </c>
      <c r="W167" s="1352">
        <f>'Group Totals'!AW138</f>
        <v>7767.2312925170072</v>
      </c>
      <c r="X167" s="1352">
        <v>8500</v>
      </c>
      <c r="Z167" s="43">
        <f>'Group Totals'!AF138</f>
        <v>87</v>
      </c>
      <c r="AA167" s="43">
        <f>'Group Totals'!AE138</f>
        <v>147</v>
      </c>
      <c r="AB167" s="38">
        <f>'Group Totals'!AF138/'Group Totals'!AE138</f>
        <v>0.59183673469387754</v>
      </c>
      <c r="AD167" s="69">
        <v>0.65</v>
      </c>
      <c r="AE167" s="386">
        <f>'Group Totals'!AN138</f>
        <v>4400</v>
      </c>
      <c r="AF167" s="7">
        <f>'Group Totals'!BN138</f>
        <v>50.574712643678161</v>
      </c>
      <c r="AH167" s="43">
        <v>130</v>
      </c>
      <c r="AI167" s="1352">
        <f>'Group Totals'!BO138</f>
        <v>131.89636363636365</v>
      </c>
      <c r="AK167" s="1361">
        <f t="shared" si="0"/>
        <v>259.49613636363637</v>
      </c>
      <c r="AL167" s="1352">
        <f>'Group Totals'!BA138</f>
        <v>6670.6206896551721</v>
      </c>
      <c r="AN167" s="1363">
        <f t="shared" si="1"/>
        <v>13123.942528735632</v>
      </c>
      <c r="AO167" s="7">
        <f>'Group Totals'!BC138</f>
        <v>199.68965517241378</v>
      </c>
      <c r="AR167" s="7">
        <f>'Group Totals'!BD138</f>
        <v>118.18367346938776</v>
      </c>
      <c r="AU167" s="1361">
        <f>'Group Totals'!AP138</f>
        <v>-0.28678524240824377</v>
      </c>
      <c r="AV167" s="1446">
        <v>0.28999999999999998</v>
      </c>
      <c r="AX167" s="1352">
        <f>'Group Totals'!I138</f>
        <v>2924488</v>
      </c>
      <c r="AY167" s="94">
        <f>'Group Totals'!K138</f>
        <v>17373</v>
      </c>
      <c r="AZ167" s="94">
        <f>'Group Totals'!W138</f>
        <v>8989</v>
      </c>
      <c r="BA167" s="94">
        <f>'Group Totals'!Q138</f>
        <v>8384</v>
      </c>
      <c r="BB167" s="94">
        <f>'Group Totals'!AC138</f>
        <v>18898</v>
      </c>
      <c r="BC167" s="94">
        <f>'Group Totals'!AD138</f>
        <v>6174</v>
      </c>
      <c r="BD167" s="7">
        <f>'Group Totals'!DD138</f>
        <v>172.009900990099</v>
      </c>
      <c r="BF167" s="43">
        <v>272</v>
      </c>
      <c r="BG167" s="7">
        <f>'Group Totals'!DE138</f>
        <v>142.40163934426229</v>
      </c>
      <c r="BI167" s="43">
        <v>142</v>
      </c>
      <c r="BJ167" s="7">
        <f>'Group Totals'!DF138</f>
        <v>130.27536231884059</v>
      </c>
      <c r="BL167" s="43">
        <v>248</v>
      </c>
      <c r="BM167" s="7">
        <f>'Group Totals'!DG138</f>
        <v>262</v>
      </c>
      <c r="BO167" s="43">
        <v>326</v>
      </c>
      <c r="BP167" s="7">
        <f>'Group Totals'!DH138</f>
        <v>377.96</v>
      </c>
      <c r="BR167" s="43">
        <v>545</v>
      </c>
      <c r="BS167" s="7">
        <f>'Group Totals'!DI138</f>
        <v>514.5</v>
      </c>
      <c r="BU167" s="43">
        <v>719</v>
      </c>
      <c r="BV167" s="7">
        <f>'Group Totals'!DJ138</f>
        <v>102.14772727272727</v>
      </c>
      <c r="BX167" s="43">
        <v>118</v>
      </c>
      <c r="BY167" s="7">
        <f>'Group Totals'!DK138</f>
        <v>246.58823529411765</v>
      </c>
      <c r="CA167" s="43">
        <v>217</v>
      </c>
      <c r="CB167" s="7">
        <f>'Group Totals'!DL138</f>
        <v>356.56603773584908</v>
      </c>
      <c r="CD167" s="43">
        <v>314</v>
      </c>
      <c r="CE167" s="7">
        <f>'Group Totals'!DM138</f>
        <v>474.92307692307691</v>
      </c>
      <c r="CG167" s="43">
        <v>334</v>
      </c>
      <c r="CH167" s="1447">
        <f>'Group Totals'!F138</f>
        <v>0.96591399761245589</v>
      </c>
      <c r="CJ167" s="69">
        <v>0.97</v>
      </c>
      <c r="CK167" s="1447">
        <f>'Group Totals'!D138</f>
        <v>2.2351476975438773E-2</v>
      </c>
      <c r="CL167" s="1470">
        <v>1.4999999999999999E-2</v>
      </c>
      <c r="CM167" s="1470"/>
      <c r="CN167" s="69">
        <f>'Group Totals'!CX138</f>
        <v>0.35306832681534894</v>
      </c>
      <c r="CO167" s="1363">
        <f t="shared" si="2"/>
        <v>33614.80459770115</v>
      </c>
    </row>
    <row r="168" spans="2:93" x14ac:dyDescent="0.25">
      <c r="B168" s="1445">
        <f>'Group Totals'!A139</f>
        <v>44958</v>
      </c>
      <c r="C168" s="1352">
        <f>'Group Totals'!AK139</f>
        <v>1209964</v>
      </c>
      <c r="D168" s="38">
        <f>'Group Totals'!CZ139</f>
        <v>-0.36421929556828181</v>
      </c>
      <c r="E168" s="69">
        <f>'Group Totals'!CY139</f>
        <v>-0.23408878280676115</v>
      </c>
      <c r="F168" s="69">
        <f t="shared" si="3"/>
        <v>0.05</v>
      </c>
      <c r="G168" s="69">
        <f t="shared" si="4"/>
        <v>-0.05</v>
      </c>
      <c r="H168" s="38">
        <f>'Group Totals'!AK139/'Group Totals'!I139</f>
        <v>0.27238239483925808</v>
      </c>
      <c r="I168" s="69">
        <v>0.2</v>
      </c>
      <c r="J168" s="69">
        <v>0</v>
      </c>
      <c r="K168" s="1446">
        <f>'Group Totals'!AT139</f>
        <v>43.687319468515312</v>
      </c>
      <c r="L168" s="1352">
        <v>30</v>
      </c>
      <c r="M168" s="1352">
        <v>0</v>
      </c>
      <c r="N168" s="1361">
        <f>'Group Totals'!CS139</f>
        <v>161.63024312049157</v>
      </c>
      <c r="O168" s="1352">
        <v>135</v>
      </c>
      <c r="P168" s="1352">
        <v>0</v>
      </c>
      <c r="Q168" s="337">
        <f>'Group Totals'!DC139</f>
        <v>3.699706118087096</v>
      </c>
      <c r="S168" s="43">
        <f>S167</f>
        <v>4.5999999999999996</v>
      </c>
      <c r="T168" s="1352">
        <f>'Group Totals'!AV139</f>
        <v>13749.59090909091</v>
      </c>
      <c r="U168" s="1352">
        <f>U167</f>
        <v>14600</v>
      </c>
      <c r="W168" s="1352">
        <f>'Group Totals'!AW139</f>
        <v>8520.8732394366198</v>
      </c>
      <c r="X168" s="1352">
        <f>X167</f>
        <v>8500</v>
      </c>
      <c r="Z168" s="43">
        <f>'Group Totals'!AF139</f>
        <v>88</v>
      </c>
      <c r="AA168" s="43">
        <f>'Group Totals'!AE139</f>
        <v>142</v>
      </c>
      <c r="AB168" s="38">
        <f>'Group Totals'!AF139/'Group Totals'!AE139</f>
        <v>0.61971830985915488</v>
      </c>
      <c r="AD168" s="69">
        <f>AD167</f>
        <v>0.65</v>
      </c>
      <c r="AE168" s="386">
        <f>'Group Totals'!AN139</f>
        <v>7486</v>
      </c>
      <c r="AF168" s="7">
        <f>'Group Totals'!BN139</f>
        <v>85.068181818181813</v>
      </c>
      <c r="AH168" s="43">
        <f>AH167</f>
        <v>130</v>
      </c>
      <c r="AI168" s="1352">
        <f>'Group Totals'!BO139</f>
        <v>123.79441624365482</v>
      </c>
      <c r="AK168" s="1361">
        <f t="shared" si="0"/>
        <v>161.63024312049157</v>
      </c>
      <c r="AL168" s="1352">
        <f>'Group Totals'!BA139</f>
        <v>10530.96590909091</v>
      </c>
      <c r="AN168" s="1363">
        <f t="shared" si="1"/>
        <v>13749.59090909091</v>
      </c>
      <c r="AO168" s="7">
        <f>'Group Totals'!BC139</f>
        <v>314.72727272727275</v>
      </c>
      <c r="AR168" s="7">
        <f>'Group Totals'!BD139</f>
        <v>195.04225352112675</v>
      </c>
      <c r="AU168" s="1361">
        <f>'Group Totals'!AP139</f>
        <v>0.51796966875514383</v>
      </c>
      <c r="AV168" s="1446">
        <f>AV167</f>
        <v>0.28999999999999998</v>
      </c>
      <c r="AX168" s="1352">
        <f>'Group Totals'!I139</f>
        <v>4442152</v>
      </c>
      <c r="AY168" s="94">
        <f>'Group Totals'!K139</f>
        <v>27696</v>
      </c>
      <c r="AZ168" s="94">
        <f>'Group Totals'!W139</f>
        <v>16350</v>
      </c>
      <c r="BA168" s="94">
        <f>'Group Totals'!Q139</f>
        <v>11346</v>
      </c>
      <c r="BB168" s="94">
        <f>'Group Totals'!AC139</f>
        <v>26205</v>
      </c>
      <c r="BC168" s="94">
        <f>'Group Totals'!AD139</f>
        <v>9476</v>
      </c>
      <c r="BD168" s="7">
        <f>'Group Totals'!DD139</f>
        <v>170.96296296296296</v>
      </c>
      <c r="BF168" s="43">
        <f>BF167</f>
        <v>272</v>
      </c>
      <c r="BG168" s="7">
        <f>'Group Totals'!DE139</f>
        <v>116.86075949367088</v>
      </c>
      <c r="BI168" s="43">
        <f>BI167</f>
        <v>142</v>
      </c>
      <c r="BJ168" s="7">
        <f>'Group Totals'!DF139</f>
        <v>130.80000000000001</v>
      </c>
      <c r="BL168" s="43">
        <f>BL167</f>
        <v>248</v>
      </c>
      <c r="BM168" s="7">
        <f>'Group Totals'!DG139</f>
        <v>306.64864864864865</v>
      </c>
      <c r="BO168" s="43">
        <f>BO167</f>
        <v>326</v>
      </c>
      <c r="BP168" s="7">
        <f>'Group Totals'!DH139</f>
        <v>374.35714285714283</v>
      </c>
      <c r="BR168" s="43">
        <f>BR167</f>
        <v>545</v>
      </c>
      <c r="BS168" s="7">
        <f>'Group Totals'!DI139</f>
        <v>364.46153846153845</v>
      </c>
      <c r="BU168" s="43">
        <f>BU167</f>
        <v>719</v>
      </c>
      <c r="BV168" s="7">
        <f>'Group Totals'!DJ139</f>
        <v>87.433155080213908</v>
      </c>
      <c r="BX168" s="43">
        <f>BX167</f>
        <v>118</v>
      </c>
      <c r="BY168" s="7">
        <f>'Group Totals'!DK139</f>
        <v>226.92</v>
      </c>
      <c r="CA168" s="43">
        <f>CA167</f>
        <v>217</v>
      </c>
      <c r="CB168" s="7">
        <f>'Group Totals'!DL139</f>
        <v>297.78409090909093</v>
      </c>
      <c r="CD168" s="43">
        <f>CD167</f>
        <v>314</v>
      </c>
      <c r="CE168" s="7">
        <f>'Group Totals'!DM139</f>
        <v>270.74285714285713</v>
      </c>
      <c r="CG168" s="43">
        <f>CG167</f>
        <v>334</v>
      </c>
      <c r="CH168" s="1447">
        <f>'Group Totals'!F139</f>
        <v>0.96468253265049353</v>
      </c>
      <c r="CJ168" s="69">
        <f>CJ167</f>
        <v>0.97</v>
      </c>
      <c r="CK168" s="1447">
        <f>'Group Totals'!D139</f>
        <v>1.846502808739877E-2</v>
      </c>
      <c r="CL168" s="1470">
        <f>CL167</f>
        <v>1.4999999999999999E-2</v>
      </c>
      <c r="CM168" s="1470"/>
      <c r="CN168" s="69">
        <f>'Group Totals'!CX139</f>
        <v>0.38497147054449443</v>
      </c>
      <c r="CO168" s="1363">
        <f t="shared" si="2"/>
        <v>50479</v>
      </c>
    </row>
    <row r="169" spans="2:93" x14ac:dyDescent="0.25">
      <c r="B169" s="1445">
        <f>'Group Totals'!A140</f>
        <v>44986</v>
      </c>
      <c r="C169" s="1352">
        <f>'Group Totals'!AK140</f>
        <v>988498</v>
      </c>
      <c r="D169" s="38">
        <f>'Group Totals'!CZ140</f>
        <v>-0.24536523518484421</v>
      </c>
      <c r="E169" s="69">
        <f>'Group Totals'!CY140</f>
        <v>2.5390036196330179E-2</v>
      </c>
      <c r="F169" s="69">
        <f t="shared" si="3"/>
        <v>0.05</v>
      </c>
      <c r="G169" s="69">
        <f t="shared" si="4"/>
        <v>-0.05</v>
      </c>
      <c r="H169" s="38">
        <f>'Group Totals'!AK140/'Group Totals'!I140</f>
        <v>0.19295130004739369</v>
      </c>
      <c r="I169" s="69">
        <v>0.2</v>
      </c>
      <c r="J169" s="69">
        <v>0</v>
      </c>
      <c r="K169" s="1446">
        <f>'Group Totals'!AT140</f>
        <v>32.246949827102497</v>
      </c>
      <c r="L169" s="1352">
        <v>30</v>
      </c>
      <c r="M169" s="1352">
        <v>0</v>
      </c>
      <c r="N169" s="1361">
        <f>'Group Totals'!CS140</f>
        <v>119.54262909662596</v>
      </c>
      <c r="O169" s="1352">
        <v>135</v>
      </c>
      <c r="P169" s="1352">
        <v>0</v>
      </c>
      <c r="Q169" s="337">
        <f>'Group Totals'!DC140</f>
        <v>3.7070988027572862</v>
      </c>
      <c r="S169" s="43">
        <f>S168</f>
        <v>4.5999999999999996</v>
      </c>
      <c r="T169" s="1352">
        <f>'Group Totals'!AV140</f>
        <v>13358.081081081082</v>
      </c>
      <c r="U169" s="1352">
        <f>U168</f>
        <v>14600</v>
      </c>
      <c r="W169" s="1352">
        <f>'Group Totals'!AW140</f>
        <v>7215.3138686131388</v>
      </c>
      <c r="X169" s="1352">
        <f>X168</f>
        <v>8500</v>
      </c>
      <c r="Z169" s="43">
        <f>'Group Totals'!AF140</f>
        <v>74</v>
      </c>
      <c r="AA169" s="43">
        <f>'Group Totals'!AE140</f>
        <v>137</v>
      </c>
      <c r="AB169" s="38">
        <f>'Group Totals'!AF140/'Group Totals'!AE140</f>
        <v>0.54014598540145986</v>
      </c>
      <c r="AD169" s="69">
        <f>AD168</f>
        <v>0.65</v>
      </c>
      <c r="AE169" s="386">
        <f>'Group Totals'!AN140</f>
        <v>8269</v>
      </c>
      <c r="AF169" s="7">
        <f>'Group Totals'!BN140</f>
        <v>111.74324324324324</v>
      </c>
      <c r="AH169" s="43">
        <f>AH168</f>
        <v>130</v>
      </c>
      <c r="AI169" s="1352">
        <f>'Group Totals'!BO140</f>
        <v>122.57782077639376</v>
      </c>
      <c r="AK169" s="1361">
        <f t="shared" ref="AK169" si="5">N169</f>
        <v>119.54262909662596</v>
      </c>
      <c r="AL169" s="1352">
        <f>'Group Totals'!BA140</f>
        <v>13697.243243243243</v>
      </c>
      <c r="AN169" s="1363">
        <f t="shared" ref="AN169" si="6">T169</f>
        <v>13358.081081081082</v>
      </c>
      <c r="AO169" s="7">
        <f>'Group Totals'!BC140</f>
        <v>414.24324324324323</v>
      </c>
      <c r="AR169" s="7">
        <f>'Group Totals'!BD140</f>
        <v>223.75182481751824</v>
      </c>
      <c r="AU169" s="1361">
        <f>'Group Totals'!AP140</f>
        <v>0.16648305187306608</v>
      </c>
      <c r="AV169" s="1446">
        <f>AV168</f>
        <v>0.28999999999999998</v>
      </c>
      <c r="AX169" s="1352">
        <f>'Group Totals'!I140</f>
        <v>5123044</v>
      </c>
      <c r="AY169" s="94">
        <f>'Group Totals'!K140</f>
        <v>30654</v>
      </c>
      <c r="AZ169" s="94">
        <f>'Group Totals'!W140</f>
        <v>20663</v>
      </c>
      <c r="BA169" s="94">
        <f>'Group Totals'!Q140</f>
        <v>9991</v>
      </c>
      <c r="BB169" s="94">
        <f>'Group Totals'!AC140</f>
        <v>35024</v>
      </c>
      <c r="BC169" s="94">
        <f>'Group Totals'!AD140</f>
        <v>14175</v>
      </c>
      <c r="BD169" s="7">
        <f>'Group Totals'!DD140</f>
        <v>181.38461538461539</v>
      </c>
      <c r="BF169" s="43">
        <f>BF168</f>
        <v>272</v>
      </c>
      <c r="BG169" s="7">
        <f>'Group Totals'!DE140</f>
        <v>125.6311475409836</v>
      </c>
      <c r="BI169" s="43">
        <f>BI168</f>
        <v>142</v>
      </c>
      <c r="BJ169" s="7">
        <f>'Group Totals'!DF140</f>
        <v>158.94615384615383</v>
      </c>
      <c r="BL169" s="43">
        <f>BL168</f>
        <v>248</v>
      </c>
      <c r="BM169" s="7">
        <f>'Group Totals'!DG140</f>
        <v>256.17948717948718</v>
      </c>
      <c r="BO169" s="43">
        <f>BO168</f>
        <v>326</v>
      </c>
      <c r="BP169" s="7">
        <f>'Group Totals'!DH140</f>
        <v>522.74626865671644</v>
      </c>
      <c r="BR169" s="43">
        <f>BR168</f>
        <v>545</v>
      </c>
      <c r="BS169" s="7">
        <f>'Group Totals'!DI140</f>
        <v>746.0526315789474</v>
      </c>
      <c r="BU169" s="43">
        <f>BU168</f>
        <v>719</v>
      </c>
      <c r="BV169" s="7">
        <f>'Group Totals'!DJ140</f>
        <v>104.88832487309645</v>
      </c>
      <c r="BX169" s="43">
        <f>BX168</f>
        <v>118</v>
      </c>
      <c r="BY169" s="7">
        <f>'Group Totals'!DK140</f>
        <v>212.57446808510639</v>
      </c>
      <c r="CA169" s="43">
        <f>CA168</f>
        <v>217</v>
      </c>
      <c r="CB169" s="7">
        <f>'Group Totals'!DL140</f>
        <v>384.87912087912088</v>
      </c>
      <c r="CD169" s="43">
        <f>CD168</f>
        <v>314</v>
      </c>
      <c r="CE169" s="7">
        <f>'Group Totals'!DM140</f>
        <v>457.25806451612902</v>
      </c>
      <c r="CG169" s="43">
        <f>CG168</f>
        <v>334</v>
      </c>
      <c r="CH169" s="1447">
        <f>'Group Totals'!F140</f>
        <v>0.96936565705176403</v>
      </c>
      <c r="CJ169" s="69">
        <f>CJ168</f>
        <v>0.97</v>
      </c>
      <c r="CK169" s="1447">
        <f>'Group Totals'!D140</f>
        <v>1.5144223538965922E-2</v>
      </c>
      <c r="CL169" s="1470">
        <f>CL168</f>
        <v>1.4999999999999999E-2</v>
      </c>
      <c r="CM169" s="1470"/>
      <c r="CN169" s="69">
        <f>'Group Totals'!CX140</f>
        <v>0.29459216101864549</v>
      </c>
      <c r="CO169" s="1363">
        <f t="shared" si="2"/>
        <v>69230.32432432432</v>
      </c>
    </row>
    <row r="170" spans="2:93" x14ac:dyDescent="0.25">
      <c r="B170" s="1445">
        <f>'Group Totals'!A141</f>
        <v>45017</v>
      </c>
      <c r="C170" s="1352">
        <f>'Group Totals'!AK141</f>
        <v>1283037</v>
      </c>
      <c r="D170" s="38">
        <f>'Group Totals'!CZ141</f>
        <v>-0.21332362870131516</v>
      </c>
      <c r="E170" s="69">
        <f>'Group Totals'!CY141</f>
        <v>-0.37765473637938729</v>
      </c>
      <c r="F170" s="69">
        <f t="shared" si="3"/>
        <v>0.05</v>
      </c>
      <c r="G170" s="69">
        <f t="shared" si="4"/>
        <v>-0.05</v>
      </c>
      <c r="H170" s="38">
        <f>'Group Totals'!AK141/'Group Totals'!I141</f>
        <v>0.30528118846370184</v>
      </c>
      <c r="I170" s="69">
        <v>0.2</v>
      </c>
      <c r="J170" s="69">
        <v>0</v>
      </c>
      <c r="K170" s="1446">
        <f>'Group Totals'!AT141</f>
        <v>53.37980529206191</v>
      </c>
      <c r="L170" s="1352">
        <v>30</v>
      </c>
      <c r="M170" s="1352">
        <v>0</v>
      </c>
      <c r="N170" s="1361">
        <f>'Group Totals'!CS141</f>
        <v>207.51043182920912</v>
      </c>
      <c r="O170" s="1352">
        <v>135</v>
      </c>
      <c r="P170" s="1352">
        <v>0</v>
      </c>
      <c r="Q170" s="337">
        <f>'Group Totals'!DC141</f>
        <v>3.8874332848131976</v>
      </c>
      <c r="S170" s="43">
        <f>S169</f>
        <v>4.5999999999999996</v>
      </c>
      <c r="T170" s="1352">
        <f>'Group Totals'!AV141</f>
        <v>16449.192307692309</v>
      </c>
      <c r="U170" s="1352">
        <f>U169</f>
        <v>14600</v>
      </c>
      <c r="W170" s="1352">
        <f>'Group Totals'!AW141</f>
        <v>9434.0955882352937</v>
      </c>
      <c r="X170" s="1352">
        <f>X169</f>
        <v>8500</v>
      </c>
      <c r="Z170" s="43">
        <f>'Group Totals'!AF141</f>
        <v>78</v>
      </c>
      <c r="AA170" s="43">
        <f>'Group Totals'!AE141</f>
        <v>136</v>
      </c>
      <c r="AB170" s="38">
        <f>'Group Totals'!AF141/'Group Totals'!AE141</f>
        <v>0.57352941176470584</v>
      </c>
      <c r="AD170" s="69">
        <f>AD169</f>
        <v>0.65</v>
      </c>
      <c r="AE170" s="386">
        <f>'Group Totals'!AN141</f>
        <v>6183</v>
      </c>
      <c r="AF170" s="7">
        <f>'Group Totals'!BN141</f>
        <v>79.269230769230774</v>
      </c>
      <c r="AH170" s="43">
        <f>AH169</f>
        <v>130</v>
      </c>
      <c r="AI170" s="1352">
        <f>'Group Totals'!BO141</f>
        <v>129.14313440077632</v>
      </c>
      <c r="AK170" s="1361">
        <f t="shared" ref="AK170" si="7">N170</f>
        <v>207.51043182920912</v>
      </c>
      <c r="AL170" s="1352">
        <f>'Group Totals'!BA141</f>
        <v>10237.076923076924</v>
      </c>
      <c r="AN170" s="1363">
        <f t="shared" ref="AN170" si="8">T170</f>
        <v>16449.192307692309</v>
      </c>
      <c r="AO170" s="7">
        <f>'Group Totals'!BC141</f>
        <v>308.15384615384613</v>
      </c>
      <c r="AR170" s="7">
        <f>'Group Totals'!BD141</f>
        <v>176.73529411764707</v>
      </c>
      <c r="AU170" s="1361">
        <f>'Group Totals'!AP141</f>
        <v>0.55217897384698411</v>
      </c>
      <c r="AV170" s="1446">
        <f>AV169</f>
        <v>0.28999999999999998</v>
      </c>
      <c r="AX170" s="1352">
        <f>'Group Totals'!I141</f>
        <v>4202804</v>
      </c>
      <c r="AY170" s="94">
        <f>'Group Totals'!K141</f>
        <v>24036</v>
      </c>
      <c r="AZ170" s="94">
        <f>'Group Totals'!W141</f>
        <v>14493</v>
      </c>
      <c r="BA170" s="94">
        <f>'Group Totals'!Q141</f>
        <v>9543</v>
      </c>
      <c r="BB170" s="94">
        <f>'Group Totals'!AC141</f>
        <v>25705</v>
      </c>
      <c r="BC170" s="94">
        <f>'Group Totals'!AD141</f>
        <v>12422</v>
      </c>
      <c r="BD170" s="7">
        <f>'Group Totals'!DD141</f>
        <v>189.25984251968504</v>
      </c>
      <c r="BF170" s="43">
        <f>BF169</f>
        <v>272</v>
      </c>
      <c r="BG170" s="7">
        <f>'Group Totals'!DE141</f>
        <v>129.2258064516129</v>
      </c>
      <c r="BI170" s="43">
        <f>BI169</f>
        <v>142</v>
      </c>
      <c r="BJ170" s="7">
        <f>'Group Totals'!DF141</f>
        <v>147.88775510204081</v>
      </c>
      <c r="BL170" s="43">
        <f>BL169</f>
        <v>248</v>
      </c>
      <c r="BM170" s="7">
        <f>'Group Totals'!DG141</f>
        <v>329.06896551724139</v>
      </c>
      <c r="BO170" s="43">
        <f>BO169</f>
        <v>326</v>
      </c>
      <c r="BP170" s="7">
        <f>'Group Totals'!DH141</f>
        <v>450.96491228070175</v>
      </c>
      <c r="BR170" s="43">
        <f>BR169</f>
        <v>545</v>
      </c>
      <c r="BS170" s="7">
        <f>'Group Totals'!DI141</f>
        <v>591.52380952380952</v>
      </c>
      <c r="BU170" s="43">
        <f>BU169</f>
        <v>719</v>
      </c>
      <c r="BV170" s="7">
        <f>'Group Totals'!DJ141</f>
        <v>98.591836734693871</v>
      </c>
      <c r="BX170" s="43">
        <f>BX169</f>
        <v>118</v>
      </c>
      <c r="BY170" s="7">
        <f>'Group Totals'!DK141</f>
        <v>244.69230769230768</v>
      </c>
      <c r="CA170" s="43">
        <f>CA169</f>
        <v>217</v>
      </c>
      <c r="CB170" s="7">
        <f>'Group Totals'!DL141</f>
        <v>325.37974683544303</v>
      </c>
      <c r="CD170" s="43">
        <f>CD169</f>
        <v>314</v>
      </c>
      <c r="CE170" s="7">
        <f>'Group Totals'!DM141</f>
        <v>376.42424242424244</v>
      </c>
      <c r="CG170" s="43">
        <f>CG169</f>
        <v>334</v>
      </c>
      <c r="CH170" s="1447">
        <f>'Group Totals'!F141</f>
        <v>0</v>
      </c>
      <c r="CJ170" s="69">
        <f>CJ169</f>
        <v>0.97</v>
      </c>
      <c r="CK170" s="1447">
        <f>'Group Totals'!D141</f>
        <v>0</v>
      </c>
      <c r="CL170" s="1470">
        <f>CL169</f>
        <v>1.4999999999999999E-2</v>
      </c>
      <c r="CM170" s="1470"/>
      <c r="CN170" s="69">
        <f>'Group Totals'!CX141</f>
        <v>0.24260931144683323</v>
      </c>
      <c r="CO170" s="1363">
        <f t="shared" ref="CO170" si="9">AX170/Z170</f>
        <v>53882.102564102563</v>
      </c>
    </row>
    <row r="171" spans="2:93" x14ac:dyDescent="0.25">
      <c r="B171" s="1445">
        <f>'Group Totals'!A142</f>
        <v>45047</v>
      </c>
      <c r="C171" s="1352"/>
      <c r="D171" s="1352"/>
      <c r="E171" s="69"/>
      <c r="F171" s="69"/>
      <c r="G171" s="69"/>
      <c r="H171" s="38"/>
      <c r="I171" s="69"/>
      <c r="J171" s="69"/>
      <c r="K171" s="1446"/>
      <c r="L171" s="1352"/>
      <c r="M171" s="1352"/>
      <c r="N171" s="1361"/>
      <c r="O171" s="1352"/>
      <c r="P171" s="1352"/>
      <c r="Q171" s="337"/>
      <c r="T171" s="1352"/>
      <c r="U171" s="1352"/>
      <c r="W171" s="1352"/>
      <c r="X171" s="1352"/>
      <c r="AB171" s="38"/>
      <c r="AC171" s="69"/>
      <c r="AE171" s="386"/>
      <c r="AF171" s="7"/>
      <c r="AI171" s="1352"/>
      <c r="AL171" s="1352"/>
      <c r="AO171" s="7"/>
      <c r="AR171" s="7"/>
      <c r="AU171" s="1361"/>
      <c r="AX171" s="1352"/>
      <c r="AY171" s="94"/>
      <c r="AZ171" s="94"/>
      <c r="BA171" s="94"/>
      <c r="BB171" s="94"/>
      <c r="BC171" s="94"/>
      <c r="BD171" s="7"/>
      <c r="BG171" s="7"/>
      <c r="BJ171" s="7"/>
      <c r="BM171" s="7"/>
      <c r="BP171" s="7"/>
      <c r="BS171" s="7"/>
      <c r="BV171" s="7"/>
      <c r="BY171" s="7"/>
      <c r="CB171" s="7"/>
      <c r="CE171" s="7"/>
      <c r="CH171" s="1447"/>
      <c r="CK171" s="1447"/>
    </row>
    <row r="172" spans="2:93" x14ac:dyDescent="0.25">
      <c r="B172" s="1445">
        <f>'Group Totals'!A143</f>
        <v>45078</v>
      </c>
      <c r="C172" s="1352"/>
      <c r="D172" s="1352"/>
      <c r="E172" s="69"/>
      <c r="F172" s="69"/>
      <c r="G172" s="69"/>
      <c r="H172" s="38"/>
      <c r="I172" s="69"/>
      <c r="J172" s="69"/>
      <c r="K172" s="1446"/>
      <c r="L172" s="1352"/>
      <c r="M172" s="1352"/>
      <c r="N172" s="1361"/>
      <c r="O172" s="1352"/>
      <c r="P172" s="1352"/>
      <c r="Q172" s="337"/>
      <c r="T172" s="1352"/>
      <c r="U172" s="1352"/>
      <c r="W172" s="1352"/>
      <c r="X172" s="1352"/>
      <c r="AB172" s="38"/>
      <c r="AC172" s="69"/>
      <c r="AE172" s="386"/>
      <c r="AF172" s="7"/>
      <c r="AI172" s="1352"/>
      <c r="AL172" s="1352"/>
      <c r="AO172" s="7"/>
      <c r="AR172" s="7"/>
      <c r="AU172" s="1361"/>
      <c r="AX172" s="1352"/>
      <c r="AY172" s="94"/>
      <c r="AZ172" s="94"/>
      <c r="BA172" s="94"/>
      <c r="BB172" s="94"/>
      <c r="BC172" s="94"/>
      <c r="BD172" s="7"/>
      <c r="BG172" s="7"/>
      <c r="BJ172" s="7"/>
      <c r="BM172" s="7"/>
      <c r="BP172" s="7"/>
      <c r="BS172" s="7"/>
      <c r="BV172" s="7"/>
      <c r="BY172" s="7"/>
      <c r="CB172" s="7"/>
      <c r="CE172" s="7"/>
      <c r="CH172" s="1447"/>
      <c r="CK172" s="1447"/>
    </row>
    <row r="173" spans="2:93" x14ac:dyDescent="0.25">
      <c r="B173" s="1445">
        <f>'Group Totals'!A144</f>
        <v>45108</v>
      </c>
      <c r="C173" s="1352"/>
      <c r="D173" s="1352"/>
      <c r="E173" s="69"/>
      <c r="F173" s="69"/>
      <c r="G173" s="69"/>
      <c r="H173" s="38"/>
      <c r="I173" s="69"/>
      <c r="J173" s="69"/>
      <c r="K173" s="1446"/>
      <c r="L173" s="1352"/>
      <c r="M173" s="1352"/>
      <c r="N173" s="1361"/>
      <c r="O173" s="1352"/>
      <c r="P173" s="1352"/>
      <c r="Q173" s="337"/>
      <c r="T173" s="1352"/>
      <c r="U173" s="1352"/>
      <c r="W173" s="1352"/>
      <c r="X173" s="1352"/>
      <c r="AB173" s="38"/>
      <c r="AC173" s="69"/>
      <c r="AE173" s="386"/>
      <c r="AF173" s="7"/>
      <c r="AI173" s="1352"/>
      <c r="AL173" s="1352"/>
      <c r="AO173" s="7"/>
      <c r="AR173" s="7"/>
      <c r="AU173" s="1361"/>
      <c r="AX173" s="1352"/>
      <c r="AY173" s="94"/>
      <c r="AZ173" s="94"/>
      <c r="BA173" s="94"/>
      <c r="BB173" s="94"/>
      <c r="BC173" s="94"/>
      <c r="BD173" s="7"/>
      <c r="BG173" s="7"/>
      <c r="BJ173" s="7"/>
      <c r="BM173" s="7"/>
      <c r="BP173" s="7"/>
      <c r="BS173" s="7"/>
      <c r="BV173" s="7"/>
      <c r="BY173" s="7"/>
      <c r="CB173" s="7"/>
      <c r="CE173" s="7"/>
      <c r="CH173" s="1447"/>
      <c r="CK173" s="1447"/>
    </row>
    <row r="174" spans="2:93" x14ac:dyDescent="0.25">
      <c r="B174" s="1445">
        <f>'Group Totals'!A145</f>
        <v>45139</v>
      </c>
      <c r="C174" s="1352"/>
      <c r="D174" s="1352"/>
      <c r="E174" s="69"/>
      <c r="F174" s="69"/>
      <c r="G174" s="69"/>
      <c r="H174" s="38"/>
      <c r="I174" s="69"/>
      <c r="J174" s="69"/>
      <c r="K174" s="1446"/>
      <c r="L174" s="1352"/>
      <c r="M174" s="1352"/>
      <c r="N174" s="1361"/>
      <c r="O174" s="1352"/>
      <c r="P174" s="1352"/>
      <c r="Q174" s="337"/>
      <c r="T174" s="1352"/>
      <c r="U174" s="1352"/>
      <c r="W174" s="1352"/>
      <c r="X174" s="1352"/>
      <c r="AB174" s="38"/>
      <c r="AC174" s="69"/>
      <c r="AE174" s="386"/>
      <c r="AF174" s="7"/>
      <c r="AI174" s="1352"/>
      <c r="AL174" s="1352"/>
      <c r="AO174" s="7"/>
      <c r="AR174" s="7"/>
      <c r="AU174" s="1361"/>
      <c r="AX174" s="1352"/>
      <c r="AY174" s="94"/>
      <c r="AZ174" s="94"/>
      <c r="BA174" s="94"/>
      <c r="BB174" s="94"/>
      <c r="BC174" s="94"/>
      <c r="BD174" s="7"/>
      <c r="BG174" s="7"/>
      <c r="BJ174" s="7"/>
      <c r="BM174" s="7"/>
      <c r="BP174" s="7"/>
      <c r="BS174" s="7"/>
      <c r="BV174" s="7"/>
      <c r="BY174" s="7"/>
      <c r="CB174" s="7"/>
      <c r="CE174" s="7"/>
      <c r="CH174" s="1447"/>
      <c r="CK174" s="1447"/>
    </row>
    <row r="175" spans="2:93" x14ac:dyDescent="0.25">
      <c r="B175" s="1445">
        <f>'Group Totals'!A146</f>
        <v>45170</v>
      </c>
      <c r="C175" s="1352"/>
      <c r="D175" s="1352"/>
      <c r="E175" s="69"/>
      <c r="F175" s="69"/>
      <c r="G175" s="69"/>
      <c r="H175" s="38"/>
      <c r="I175" s="69"/>
      <c r="J175" s="69"/>
      <c r="K175" s="1446"/>
      <c r="L175" s="1352"/>
      <c r="M175" s="1352"/>
      <c r="N175" s="1361"/>
      <c r="O175" s="1352"/>
      <c r="P175" s="1352"/>
      <c r="Q175" s="337"/>
      <c r="T175" s="1352"/>
      <c r="U175" s="1352"/>
      <c r="W175" s="1352"/>
      <c r="X175" s="1352"/>
      <c r="AB175" s="38"/>
      <c r="AC175" s="69"/>
      <c r="AE175" s="386"/>
      <c r="AF175" s="7"/>
      <c r="AI175" s="1352"/>
      <c r="AL175" s="1352"/>
      <c r="AO175" s="7"/>
      <c r="AR175" s="7"/>
      <c r="AU175" s="1361"/>
      <c r="AX175" s="1352"/>
      <c r="AY175" s="94"/>
      <c r="AZ175" s="94"/>
      <c r="BA175" s="94"/>
      <c r="BB175" s="94"/>
      <c r="BC175" s="94"/>
      <c r="BD175" s="7"/>
      <c r="BG175" s="7"/>
      <c r="BJ175" s="7"/>
      <c r="BM175" s="7"/>
      <c r="BP175" s="7"/>
      <c r="BS175" s="7"/>
      <c r="BV175" s="7"/>
      <c r="BY175" s="7"/>
      <c r="CB175" s="7"/>
      <c r="CE175" s="7"/>
      <c r="CH175" s="1447"/>
      <c r="CK175" s="1447"/>
    </row>
    <row r="176" spans="2:93" x14ac:dyDescent="0.25">
      <c r="B176" s="1445">
        <f>'Group Totals'!A147</f>
        <v>45200</v>
      </c>
      <c r="C176" s="1352"/>
      <c r="D176" s="1352"/>
      <c r="E176" s="69"/>
      <c r="F176" s="69"/>
      <c r="G176" s="69"/>
      <c r="H176" s="38"/>
      <c r="I176" s="69"/>
      <c r="J176" s="69"/>
      <c r="K176" s="1446"/>
      <c r="L176" s="1352"/>
      <c r="M176" s="1352"/>
      <c r="N176" s="1361"/>
      <c r="O176" s="1352"/>
      <c r="P176" s="1352"/>
      <c r="Q176" s="337"/>
      <c r="T176" s="1352"/>
      <c r="U176" s="1352"/>
      <c r="W176" s="1352"/>
      <c r="X176" s="1352"/>
      <c r="AB176" s="38"/>
      <c r="AC176" s="69"/>
      <c r="AE176" s="386"/>
      <c r="AF176" s="7"/>
      <c r="AI176" s="1352"/>
      <c r="AL176" s="1352"/>
      <c r="AO176" s="7"/>
      <c r="AR176" s="7"/>
      <c r="AU176" s="1361"/>
      <c r="AX176" s="1352"/>
      <c r="AY176" s="94"/>
      <c r="AZ176" s="94"/>
      <c r="BA176" s="94"/>
      <c r="BB176" s="94"/>
      <c r="BC176" s="94"/>
      <c r="BD176" s="7"/>
      <c r="BG176" s="7"/>
      <c r="BJ176" s="7"/>
      <c r="BM176" s="7"/>
      <c r="BP176" s="7"/>
      <c r="BS176" s="7"/>
      <c r="BV176" s="7"/>
      <c r="BY176" s="7"/>
      <c r="CB176" s="7"/>
      <c r="CE176" s="7"/>
      <c r="CH176" s="1447"/>
      <c r="CK176" s="1447"/>
    </row>
    <row r="177" spans="2:89" x14ac:dyDescent="0.25">
      <c r="B177" s="1445">
        <f>'Group Totals'!A148</f>
        <v>45231</v>
      </c>
      <c r="C177" s="1352"/>
      <c r="D177" s="1352"/>
      <c r="E177" s="69"/>
      <c r="F177" s="69"/>
      <c r="G177" s="69"/>
      <c r="H177" s="38"/>
      <c r="I177" s="69"/>
      <c r="J177" s="69"/>
      <c r="K177" s="1446"/>
      <c r="L177" s="1352"/>
      <c r="M177" s="1352"/>
      <c r="N177" s="1361"/>
      <c r="O177" s="1352"/>
      <c r="P177" s="1352"/>
      <c r="Q177" s="337"/>
      <c r="T177" s="1352"/>
      <c r="U177" s="1352"/>
      <c r="W177" s="1352"/>
      <c r="X177" s="1352"/>
      <c r="AB177" s="38"/>
      <c r="AC177" s="69"/>
      <c r="AE177" s="386"/>
      <c r="AF177" s="7"/>
      <c r="AI177" s="1352"/>
      <c r="AL177" s="1352"/>
      <c r="AO177" s="7"/>
      <c r="AR177" s="7"/>
      <c r="AU177" s="1361"/>
      <c r="AX177" s="1352"/>
      <c r="AY177" s="94"/>
      <c r="AZ177" s="94"/>
      <c r="BA177" s="94"/>
      <c r="BB177" s="94"/>
      <c r="BC177" s="94"/>
      <c r="BD177" s="7"/>
      <c r="BG177" s="7"/>
      <c r="BJ177" s="7"/>
      <c r="BM177" s="7"/>
      <c r="BP177" s="7"/>
      <c r="BS177" s="7"/>
      <c r="BV177" s="7"/>
      <c r="BY177" s="7"/>
      <c r="CB177" s="7"/>
      <c r="CE177" s="7"/>
      <c r="CH177" s="1447"/>
      <c r="CK177" s="1447"/>
    </row>
    <row r="178" spans="2:89" x14ac:dyDescent="0.25">
      <c r="B178" s="1445">
        <f>'Group Totals'!A149</f>
        <v>45261</v>
      </c>
      <c r="C178" s="1352"/>
      <c r="D178" s="1352"/>
      <c r="E178" s="69"/>
      <c r="F178" s="69"/>
      <c r="G178" s="69"/>
      <c r="H178" s="38"/>
      <c r="I178" s="69"/>
      <c r="J178" s="69"/>
      <c r="K178" s="1446"/>
      <c r="L178" s="1352"/>
      <c r="M178" s="1352"/>
      <c r="N178" s="1361"/>
      <c r="O178" s="1352"/>
      <c r="P178" s="1352"/>
      <c r="Q178" s="337"/>
      <c r="T178" s="1352"/>
      <c r="U178" s="1352"/>
      <c r="W178" s="1352"/>
      <c r="X178" s="1352"/>
      <c r="AB178" s="38"/>
      <c r="AC178" s="69"/>
      <c r="AE178" s="386"/>
      <c r="AF178" s="7"/>
      <c r="AI178" s="1352"/>
      <c r="AL178" s="1352"/>
      <c r="AO178" s="7"/>
      <c r="AR178" s="7"/>
      <c r="AU178" s="1361"/>
      <c r="AX178" s="1352"/>
      <c r="AY178" s="94"/>
      <c r="AZ178" s="94"/>
      <c r="BA178" s="94"/>
      <c r="BB178" s="94"/>
      <c r="BC178" s="94"/>
      <c r="BD178" s="7"/>
      <c r="BG178" s="7"/>
      <c r="BJ178" s="7"/>
      <c r="BM178" s="7"/>
      <c r="BP178" s="7"/>
      <c r="BS178" s="7"/>
      <c r="BV178" s="7"/>
      <c r="BY178" s="7"/>
      <c r="CB178" s="7"/>
      <c r="CE178" s="7"/>
      <c r="CH178" s="1447"/>
      <c r="CK178" s="1447"/>
    </row>
    <row r="179" spans="2:89" x14ac:dyDescent="0.25">
      <c r="B179" s="1445">
        <f>'Group Totals'!A150</f>
        <v>45292</v>
      </c>
      <c r="C179" s="1352"/>
      <c r="D179" s="1352"/>
      <c r="E179" s="69"/>
      <c r="F179" s="69"/>
      <c r="G179" s="69"/>
      <c r="H179" s="38"/>
      <c r="I179" s="69"/>
      <c r="J179" s="69"/>
      <c r="K179" s="1446"/>
      <c r="L179" s="1352"/>
      <c r="M179" s="1352"/>
      <c r="N179" s="1361"/>
      <c r="O179" s="1352"/>
      <c r="P179" s="1352"/>
      <c r="Q179" s="337"/>
      <c r="T179" s="1352"/>
      <c r="U179" s="1352"/>
      <c r="W179" s="1352"/>
      <c r="X179" s="1352"/>
      <c r="AB179" s="38"/>
      <c r="AC179" s="69"/>
      <c r="AE179" s="386"/>
      <c r="AF179" s="7"/>
      <c r="AI179" s="1352"/>
      <c r="AL179" s="1352"/>
      <c r="AO179" s="7"/>
      <c r="AR179" s="7"/>
      <c r="AU179" s="1361"/>
      <c r="AX179" s="1352"/>
      <c r="AY179" s="94"/>
      <c r="AZ179" s="94"/>
      <c r="BA179" s="94"/>
      <c r="BB179" s="94"/>
      <c r="BC179" s="94"/>
      <c r="BD179" s="7"/>
      <c r="BG179" s="7"/>
      <c r="BJ179" s="7"/>
      <c r="BM179" s="7"/>
      <c r="BP179" s="7"/>
      <c r="BS179" s="7"/>
      <c r="BV179" s="7"/>
      <c r="BY179" s="7"/>
      <c r="CB179" s="7"/>
      <c r="CE179" s="7"/>
      <c r="CH179" s="1447"/>
      <c r="CK179" s="1447"/>
    </row>
    <row r="180" spans="2:89" x14ac:dyDescent="0.25">
      <c r="B180" s="1445">
        <f>'Group Totals'!A151</f>
        <v>45323</v>
      </c>
      <c r="C180" s="1352"/>
      <c r="D180" s="1352"/>
      <c r="E180" s="69"/>
      <c r="F180" s="69"/>
      <c r="G180" s="69"/>
      <c r="H180" s="38"/>
      <c r="I180" s="69"/>
      <c r="J180" s="69"/>
      <c r="K180" s="1446"/>
      <c r="L180" s="1352"/>
      <c r="M180" s="1352"/>
      <c r="N180" s="1361"/>
      <c r="O180" s="1352"/>
      <c r="P180" s="1352"/>
      <c r="Q180" s="337"/>
      <c r="T180" s="1352"/>
      <c r="U180" s="1352"/>
      <c r="W180" s="1352"/>
      <c r="X180" s="1352"/>
      <c r="AB180" s="38"/>
      <c r="AC180" s="69"/>
      <c r="AE180" s="386"/>
      <c r="AF180" s="7"/>
      <c r="AI180" s="1352"/>
      <c r="AL180" s="1352"/>
      <c r="AO180" s="7"/>
      <c r="AR180" s="7"/>
      <c r="AU180" s="1361"/>
      <c r="AX180" s="1352"/>
      <c r="AY180" s="94"/>
      <c r="AZ180" s="94"/>
      <c r="BA180" s="94"/>
      <c r="BB180" s="94"/>
      <c r="BC180" s="94"/>
      <c r="BD180" s="7"/>
      <c r="BG180" s="7"/>
      <c r="BJ180" s="7"/>
      <c r="BM180" s="7"/>
      <c r="BP180" s="7"/>
      <c r="BS180" s="7"/>
      <c r="BV180" s="7"/>
      <c r="BY180" s="7"/>
      <c r="CB180" s="7"/>
      <c r="CE180" s="7"/>
      <c r="CH180" s="1447"/>
      <c r="CK180" s="1447"/>
    </row>
    <row r="181" spans="2:89" x14ac:dyDescent="0.25">
      <c r="B181" s="1445">
        <f>'Group Totals'!A152</f>
        <v>45352</v>
      </c>
      <c r="C181" s="1352"/>
      <c r="D181" s="1352"/>
      <c r="E181" s="69"/>
      <c r="F181" s="69"/>
      <c r="G181" s="69"/>
      <c r="H181" s="38"/>
      <c r="I181" s="69"/>
      <c r="J181" s="69"/>
      <c r="K181" s="1446"/>
      <c r="L181" s="1352"/>
      <c r="M181" s="1352"/>
      <c r="N181" s="1361"/>
      <c r="O181" s="1352"/>
      <c r="P181" s="1352"/>
      <c r="Q181" s="337"/>
      <c r="T181" s="1352"/>
      <c r="U181" s="1352"/>
      <c r="W181" s="1352"/>
      <c r="X181" s="1352"/>
      <c r="AB181" s="38"/>
      <c r="AC181" s="69"/>
      <c r="AE181" s="386"/>
      <c r="AF181" s="7"/>
      <c r="AI181" s="1352"/>
      <c r="AL181" s="1352"/>
      <c r="AO181" s="7"/>
      <c r="AR181" s="7"/>
      <c r="AU181" s="1361"/>
      <c r="AX181" s="1352"/>
      <c r="AY181" s="94"/>
      <c r="AZ181" s="94"/>
      <c r="BA181" s="94"/>
      <c r="BB181" s="94"/>
      <c r="BC181" s="94"/>
      <c r="BD181" s="7"/>
      <c r="BG181" s="7"/>
      <c r="BJ181" s="7"/>
      <c r="BM181" s="7"/>
      <c r="BP181" s="7"/>
      <c r="BS181" s="7"/>
      <c r="BV181" s="7"/>
      <c r="BY181" s="7"/>
      <c r="CB181" s="7"/>
      <c r="CE181" s="7"/>
      <c r="CH181" s="1447"/>
      <c r="CK181" s="1447"/>
    </row>
    <row r="182" spans="2:89" x14ac:dyDescent="0.25">
      <c r="B182" s="1445">
        <f>'Group Totals'!A153</f>
        <v>45383</v>
      </c>
      <c r="C182" s="1352"/>
      <c r="D182" s="1352"/>
      <c r="E182" s="69"/>
      <c r="F182" s="69"/>
      <c r="G182" s="69"/>
      <c r="H182" s="38"/>
      <c r="I182" s="69"/>
      <c r="J182" s="69"/>
      <c r="K182" s="1446"/>
      <c r="L182" s="1352"/>
      <c r="M182" s="1352"/>
      <c r="N182" s="1361"/>
      <c r="O182" s="1352"/>
      <c r="P182" s="1352"/>
      <c r="Q182" s="337"/>
      <c r="T182" s="1352"/>
      <c r="U182" s="1352"/>
      <c r="W182" s="1352"/>
      <c r="X182" s="1352"/>
      <c r="AB182" s="38"/>
      <c r="AC182" s="69"/>
      <c r="AE182" s="386"/>
      <c r="AF182" s="7"/>
      <c r="AI182" s="1352"/>
      <c r="AL182" s="1352"/>
      <c r="AO182" s="7"/>
      <c r="AR182" s="7"/>
      <c r="AU182" s="1361"/>
      <c r="AX182" s="1352"/>
      <c r="AY182" s="94"/>
      <c r="AZ182" s="94"/>
      <c r="BA182" s="94"/>
      <c r="BB182" s="94"/>
      <c r="BC182" s="94"/>
      <c r="BD182" s="7"/>
      <c r="BG182" s="7"/>
      <c r="BJ182" s="7"/>
      <c r="BM182" s="7"/>
      <c r="BP182" s="7"/>
      <c r="BS182" s="7"/>
      <c r="BV182" s="7"/>
      <c r="BY182" s="7"/>
      <c r="CB182" s="7"/>
      <c r="CE182" s="7"/>
      <c r="CH182" s="1447"/>
      <c r="CK182" s="1447"/>
    </row>
    <row r="183" spans="2:89" s="191" customFormat="1" x14ac:dyDescent="0.25"/>
    <row r="193" spans="3:27" x14ac:dyDescent="0.25">
      <c r="C193" s="43" t="s">
        <v>22</v>
      </c>
      <c r="D193" s="43" t="s">
        <v>1006</v>
      </c>
      <c r="E193" s="43" t="s">
        <v>1147</v>
      </c>
      <c r="F193" s="43" t="s">
        <v>1125</v>
      </c>
      <c r="G193" s="43" t="s">
        <v>1094</v>
      </c>
      <c r="H193" s="43" t="s">
        <v>1141</v>
      </c>
      <c r="I193" s="43" t="s">
        <v>1096</v>
      </c>
      <c r="J193" s="43" t="s">
        <v>1097</v>
      </c>
      <c r="K193" s="43" t="s">
        <v>889</v>
      </c>
      <c r="L193" s="43" t="s">
        <v>502</v>
      </c>
      <c r="M193" s="43" t="s">
        <v>1167</v>
      </c>
      <c r="N193" s="43" t="s">
        <v>1088</v>
      </c>
      <c r="O193" s="43" t="s">
        <v>1112</v>
      </c>
      <c r="P193" s="43" t="s">
        <v>1113</v>
      </c>
      <c r="Q193" s="43" t="s">
        <v>1090</v>
      </c>
      <c r="R193" s="43" t="s">
        <v>1064</v>
      </c>
      <c r="S193" s="43" t="s">
        <v>1066</v>
      </c>
      <c r="T193" s="43" t="s">
        <v>1078</v>
      </c>
      <c r="U193" s="43" t="s">
        <v>1072</v>
      </c>
      <c r="V193" s="43" t="s">
        <v>1084</v>
      </c>
      <c r="W193" s="43" t="s">
        <v>1085</v>
      </c>
      <c r="X193" s="43" t="s">
        <v>1152</v>
      </c>
      <c r="Y193" s="43" t="s">
        <v>1153</v>
      </c>
      <c r="Z193" s="43" t="s">
        <v>1061</v>
      </c>
      <c r="AA193" s="43" t="s">
        <v>1059</v>
      </c>
    </row>
    <row r="194" spans="3:27" x14ac:dyDescent="0.25">
      <c r="C194" s="1445">
        <v>43191</v>
      </c>
      <c r="D194" s="1363">
        <v>848121</v>
      </c>
      <c r="E194" s="69">
        <v>5.52033023589793E-2</v>
      </c>
      <c r="F194" s="69">
        <v>0.19827026950399068</v>
      </c>
      <c r="G194" s="1361">
        <v>25.587431364267182</v>
      </c>
      <c r="H194" s="1361">
        <v>102.56019261151982</v>
      </c>
      <c r="I194" s="1363">
        <v>11159.486842105263</v>
      </c>
      <c r="J194" s="1363">
        <v>7374.9652173913046</v>
      </c>
      <c r="K194" s="43">
        <v>76</v>
      </c>
      <c r="L194" s="43">
        <v>115</v>
      </c>
      <c r="M194" s="69">
        <v>0.66086956521739126</v>
      </c>
      <c r="N194" s="386">
        <v>8269.494999999999</v>
      </c>
      <c r="O194" s="7">
        <v>108.80914473684209</v>
      </c>
      <c r="P194" s="1363">
        <v>108.22185393424871</v>
      </c>
      <c r="Q194" s="1361">
        <v>0.39321110231407108</v>
      </c>
      <c r="R194" s="1363">
        <v>4277600.4800000004</v>
      </c>
      <c r="S194" s="209">
        <v>33146</v>
      </c>
      <c r="T194" s="209">
        <v>20901</v>
      </c>
      <c r="U194" s="209">
        <v>12245</v>
      </c>
      <c r="V194" s="209">
        <v>43329</v>
      </c>
      <c r="W194" s="209">
        <v>20420</v>
      </c>
      <c r="X194" s="7">
        <v>162.48039215686273</v>
      </c>
      <c r="Y194" s="7">
        <v>80.647201946472023</v>
      </c>
      <c r="Z194" s="1544">
        <v>0.97034353488653202</v>
      </c>
      <c r="AA194" s="1544">
        <v>2.0427280693802313E-2</v>
      </c>
    </row>
    <row r="195" spans="3:27" x14ac:dyDescent="0.25">
      <c r="C195" s="1445">
        <v>43221</v>
      </c>
      <c r="D195" s="1363">
        <v>923966</v>
      </c>
      <c r="E195" s="69">
        <v>5.0000974061816805E-3</v>
      </c>
      <c r="F195" s="69">
        <v>0.19932896369038625</v>
      </c>
      <c r="G195" s="1361">
        <v>26.424698278327519</v>
      </c>
      <c r="H195" s="1361">
        <v>107.74038183476962</v>
      </c>
      <c r="I195" s="1363">
        <v>12157.447368421053</v>
      </c>
      <c r="J195" s="1363">
        <v>7573.4918032786882</v>
      </c>
      <c r="K195" s="43">
        <v>76</v>
      </c>
      <c r="L195" s="43">
        <v>122</v>
      </c>
      <c r="M195" s="69">
        <v>0.62295081967213117</v>
      </c>
      <c r="N195" s="386">
        <v>8575.8559999999998</v>
      </c>
      <c r="O195" s="7">
        <v>112.84021052631579</v>
      </c>
      <c r="P195" s="1363">
        <v>108.27909423852267</v>
      </c>
      <c r="Q195" s="1361">
        <v>0.88040198537658998</v>
      </c>
      <c r="R195" s="1363">
        <v>4635382.55</v>
      </c>
      <c r="S195" s="209">
        <v>34966</v>
      </c>
      <c r="T195" s="209">
        <v>23076</v>
      </c>
      <c r="U195" s="209">
        <v>11890</v>
      </c>
      <c r="V195" s="209">
        <v>36292</v>
      </c>
      <c r="W195" s="209">
        <v>15988</v>
      </c>
      <c r="X195" s="7">
        <v>168.10576923076923</v>
      </c>
      <c r="Y195" s="7">
        <v>86.123152709359601</v>
      </c>
      <c r="Z195" s="1544">
        <v>0.94266367783170235</v>
      </c>
      <c r="AA195" s="1544">
        <v>1.8405070676532208E-2</v>
      </c>
    </row>
    <row r="196" spans="3:27" x14ac:dyDescent="0.25">
      <c r="C196" s="1445">
        <v>43252</v>
      </c>
      <c r="D196" s="1363">
        <v>1042669</v>
      </c>
      <c r="E196" s="69">
        <v>-0.10303941135681605</v>
      </c>
      <c r="F196" s="69">
        <v>0.22206684771634014</v>
      </c>
      <c r="G196" s="1361">
        <v>36.66077142153933</v>
      </c>
      <c r="H196" s="1361">
        <v>127.78495409066177</v>
      </c>
      <c r="I196" s="1363">
        <v>13719.328947368422</v>
      </c>
      <c r="J196" s="1363">
        <v>8617.0991735537191</v>
      </c>
      <c r="K196" s="43">
        <v>76</v>
      </c>
      <c r="L196" s="43">
        <v>121</v>
      </c>
      <c r="M196" s="69">
        <v>0.62809917355371903</v>
      </c>
      <c r="N196" s="386">
        <v>8159.5599999999986</v>
      </c>
      <c r="O196" s="7">
        <v>107.36263157894734</v>
      </c>
      <c r="P196" s="1363">
        <v>114.61806764090223</v>
      </c>
      <c r="Q196" s="1361">
        <v>0.44704341776402479</v>
      </c>
      <c r="R196" s="1363">
        <v>4695293.38</v>
      </c>
      <c r="S196" s="209">
        <v>28441</v>
      </c>
      <c r="T196" s="209">
        <v>16145</v>
      </c>
      <c r="U196" s="209">
        <v>12296</v>
      </c>
      <c r="V196" s="209">
        <v>31555</v>
      </c>
      <c r="W196" s="209">
        <v>11828</v>
      </c>
      <c r="X196" s="7">
        <v>157.13259668508286</v>
      </c>
      <c r="Y196" s="7">
        <v>80.115492957746483</v>
      </c>
      <c r="Z196" s="1544">
        <v>0.9741370613593906</v>
      </c>
      <c r="AA196" s="1544">
        <v>2.1554821094984911E-2</v>
      </c>
    </row>
    <row r="197" spans="3:27" x14ac:dyDescent="0.25">
      <c r="C197" s="1445">
        <v>43282</v>
      </c>
      <c r="D197" s="1363">
        <v>982769</v>
      </c>
      <c r="E197" s="69">
        <v>1.6995855587630393E-2</v>
      </c>
      <c r="F197" s="69">
        <v>0.18996509435921666</v>
      </c>
      <c r="G197" s="1361">
        <v>28.225888908036072</v>
      </c>
      <c r="H197" s="1361">
        <v>117.61562580296319</v>
      </c>
      <c r="I197" s="1363">
        <v>12763.233766233767</v>
      </c>
      <c r="J197" s="1363">
        <v>8122.0578512396696</v>
      </c>
      <c r="K197" s="43">
        <v>77</v>
      </c>
      <c r="L197" s="43">
        <v>121</v>
      </c>
      <c r="M197" s="69">
        <v>0.63636363636363635</v>
      </c>
      <c r="N197" s="386">
        <v>8355.7690000000002</v>
      </c>
      <c r="O197" s="7">
        <v>108.51648051948052</v>
      </c>
      <c r="P197" s="1363">
        <v>119.61460399395914</v>
      </c>
      <c r="Q197" s="1361">
        <v>0.46118438680061646</v>
      </c>
      <c r="R197" s="1363">
        <v>5173418.8499999996</v>
      </c>
      <c r="S197" s="209">
        <v>34818</v>
      </c>
      <c r="T197" s="209">
        <v>20668</v>
      </c>
      <c r="U197" s="209">
        <v>14150</v>
      </c>
      <c r="V197" s="209">
        <v>48803</v>
      </c>
      <c r="W197" s="209">
        <v>15815</v>
      </c>
      <c r="X197" s="7">
        <v>166.59330143540669</v>
      </c>
      <c r="Y197" s="7">
        <v>80.784222737819022</v>
      </c>
      <c r="Z197" s="1544">
        <v>0.92376299160601094</v>
      </c>
      <c r="AA197" s="1544">
        <v>2.4609650152617984E-2</v>
      </c>
    </row>
    <row r="198" spans="3:27" x14ac:dyDescent="0.25">
      <c r="C198" s="1445">
        <v>43313</v>
      </c>
      <c r="D198" s="1363">
        <v>1146219</v>
      </c>
      <c r="E198" s="69">
        <v>1.2673843305685883E-2</v>
      </c>
      <c r="F198" s="69">
        <v>0.19001175866834499</v>
      </c>
      <c r="G198" s="1361">
        <v>34.969156141314294</v>
      </c>
      <c r="H198" s="1361">
        <v>119.28090478821331</v>
      </c>
      <c r="I198" s="1363">
        <v>13809.867469879518</v>
      </c>
      <c r="J198" s="1363">
        <v>9096.9761904761908</v>
      </c>
      <c r="K198" s="43">
        <v>83</v>
      </c>
      <c r="L198" s="43">
        <v>126</v>
      </c>
      <c r="M198" s="69">
        <v>0.65873015873015872</v>
      </c>
      <c r="N198" s="386">
        <v>9609.4089999999997</v>
      </c>
      <c r="O198" s="7">
        <v>115.77601204819277</v>
      </c>
      <c r="P198" s="1363">
        <v>120.79265228485956</v>
      </c>
      <c r="Q198" s="1361">
        <v>0.4972184800198165</v>
      </c>
      <c r="R198" s="1363">
        <v>6032358.25</v>
      </c>
      <c r="S198" s="209">
        <v>32778</v>
      </c>
      <c r="T198" s="209">
        <v>19075</v>
      </c>
      <c r="U198" s="209">
        <v>13703</v>
      </c>
      <c r="V198" s="209">
        <v>47529</v>
      </c>
      <c r="W198" s="209">
        <v>13214</v>
      </c>
      <c r="X198" s="7">
        <v>151.05069124423963</v>
      </c>
      <c r="Y198" s="7">
        <v>74.49545454545455</v>
      </c>
      <c r="Z198" s="1544">
        <v>0.93020170230037347</v>
      </c>
      <c r="AA198" s="1544">
        <v>2.3027611646313076E-2</v>
      </c>
    </row>
    <row r="199" spans="3:27" x14ac:dyDescent="0.25">
      <c r="C199" s="1445">
        <v>43344</v>
      </c>
      <c r="D199" s="1363">
        <v>1012121</v>
      </c>
      <c r="E199" s="69">
        <v>2.4680843495985094E-2</v>
      </c>
      <c r="F199" s="69">
        <v>0.18238585036069913</v>
      </c>
      <c r="G199" s="1361">
        <v>28.975694245634127</v>
      </c>
      <c r="H199" s="1361">
        <v>117.43492452169265</v>
      </c>
      <c r="I199" s="1363">
        <v>11907.305882352941</v>
      </c>
      <c r="J199" s="1363">
        <v>7907.1953125</v>
      </c>
      <c r="K199" s="43">
        <v>85</v>
      </c>
      <c r="L199" s="43">
        <v>128</v>
      </c>
      <c r="M199" s="69">
        <v>0.6640625</v>
      </c>
      <c r="N199" s="386">
        <v>8618.5689999999995</v>
      </c>
      <c r="O199" s="7">
        <v>101.39492941176471</v>
      </c>
      <c r="P199" s="1363">
        <v>120.33331751477537</v>
      </c>
      <c r="Q199" s="1361">
        <v>0.47706578585457166</v>
      </c>
      <c r="R199" s="1363">
        <v>5549339.4800000004</v>
      </c>
      <c r="S199" s="209">
        <v>34930</v>
      </c>
      <c r="T199" s="209">
        <v>19388</v>
      </c>
      <c r="U199" s="209">
        <v>15542</v>
      </c>
      <c r="V199" s="209">
        <v>46660</v>
      </c>
      <c r="W199" s="209">
        <v>18050</v>
      </c>
      <c r="X199" s="7">
        <v>195.13966480446928</v>
      </c>
      <c r="Y199" s="7">
        <v>95.698630136986296</v>
      </c>
      <c r="Z199" s="1544">
        <v>0.96874256571602579</v>
      </c>
      <c r="AA199" s="1544">
        <v>2.6857302344463613E-2</v>
      </c>
    </row>
    <row r="200" spans="3:27" x14ac:dyDescent="0.25">
      <c r="C200" s="1445">
        <v>43374</v>
      </c>
      <c r="D200" s="1363">
        <v>1072382</v>
      </c>
      <c r="E200" s="69">
        <v>2.1046856437352046E-2</v>
      </c>
      <c r="F200" s="69">
        <v>0.18910627839079719</v>
      </c>
      <c r="G200" s="1361">
        <v>25.099049758928988</v>
      </c>
      <c r="H200" s="1361">
        <v>113.34906336946845</v>
      </c>
      <c r="I200" s="1363">
        <v>12920.265060240963</v>
      </c>
      <c r="J200" s="1363">
        <v>8443.9527559055114</v>
      </c>
      <c r="K200" s="43">
        <v>83</v>
      </c>
      <c r="L200" s="43">
        <v>127</v>
      </c>
      <c r="M200" s="69">
        <v>0.65354330708661412</v>
      </c>
      <c r="N200" s="386">
        <v>9460.8809999999994</v>
      </c>
      <c r="O200" s="7">
        <v>113.98651807228914</v>
      </c>
      <c r="P200" s="1363">
        <v>115.73470483351397</v>
      </c>
      <c r="Q200" s="1361">
        <v>0.62858966296696117</v>
      </c>
      <c r="R200" s="1363">
        <v>5670790.04</v>
      </c>
      <c r="S200" s="209">
        <v>42726</v>
      </c>
      <c r="T200" s="209">
        <v>22739</v>
      </c>
      <c r="U200" s="209">
        <v>19987</v>
      </c>
      <c r="V200" s="209">
        <v>56609</v>
      </c>
      <c r="W200" s="209">
        <v>20984</v>
      </c>
      <c r="X200" s="7">
        <v>214.7035175879397</v>
      </c>
      <c r="Y200" s="7">
        <v>98.902777777777771</v>
      </c>
      <c r="Z200" s="1544">
        <v>0.97299999999999998</v>
      </c>
      <c r="AA200" s="1544">
        <v>2.2244893172916815E-2</v>
      </c>
    </row>
    <row r="201" spans="3:27" x14ac:dyDescent="0.25">
      <c r="C201" s="1445">
        <v>43405</v>
      </c>
      <c r="D201" s="1363">
        <v>1121489</v>
      </c>
      <c r="E201" s="69">
        <v>5.5142520345718538E-2</v>
      </c>
      <c r="F201" s="69">
        <v>0.17349877106977404</v>
      </c>
      <c r="G201" s="1361">
        <v>24.821588243105662</v>
      </c>
      <c r="H201" s="1361">
        <v>115.0397098611591</v>
      </c>
      <c r="I201" s="1363">
        <v>12744.193181818182</v>
      </c>
      <c r="J201" s="1363">
        <v>8693.7131782945744</v>
      </c>
      <c r="K201" s="43">
        <v>88</v>
      </c>
      <c r="L201" s="43">
        <v>129</v>
      </c>
      <c r="M201" s="69">
        <v>0.68217054263565891</v>
      </c>
      <c r="N201" s="386">
        <v>9748.7119999999995</v>
      </c>
      <c r="O201" s="7">
        <v>110.78081818181818</v>
      </c>
      <c r="P201" s="1363">
        <v>121.38328940274363</v>
      </c>
      <c r="Q201" s="1361">
        <v>0.45996576528584071</v>
      </c>
      <c r="R201" s="1363">
        <v>6463959.3300000001</v>
      </c>
      <c r="S201" s="209">
        <v>45182</v>
      </c>
      <c r="T201" s="209">
        <v>27348</v>
      </c>
      <c r="U201" s="209">
        <v>17834</v>
      </c>
      <c r="V201" s="209">
        <v>44085</v>
      </c>
      <c r="W201" s="209">
        <v>20087</v>
      </c>
      <c r="X201" s="7">
        <v>218.27053140096618</v>
      </c>
      <c r="Y201" s="7">
        <v>116.44845360824742</v>
      </c>
      <c r="Z201" s="1544">
        <v>0.9778280746578013</v>
      </c>
      <c r="AA201" s="1544">
        <v>2.1127049600853702E-2</v>
      </c>
    </row>
    <row r="202" spans="3:27" x14ac:dyDescent="0.25">
      <c r="C202" s="1445">
        <v>43435</v>
      </c>
      <c r="D202" s="1363">
        <v>920013</v>
      </c>
      <c r="E202" s="69">
        <v>-0.24571074539164128</v>
      </c>
      <c r="F202" s="69">
        <v>0.26619473245045677</v>
      </c>
      <c r="G202" s="1361">
        <v>33.303638009049777</v>
      </c>
      <c r="H202" s="1361">
        <v>151.03258038636542</v>
      </c>
      <c r="I202" s="1363">
        <v>10110.032967032967</v>
      </c>
      <c r="J202" s="1363">
        <v>6814.9111111111115</v>
      </c>
      <c r="K202" s="43">
        <v>91</v>
      </c>
      <c r="L202" s="43">
        <v>135</v>
      </c>
      <c r="M202" s="69">
        <v>0.67407407407407405</v>
      </c>
      <c r="N202" s="386">
        <v>6091.4870000000001</v>
      </c>
      <c r="O202" s="7">
        <v>66.93941758241759</v>
      </c>
      <c r="P202" s="1363">
        <v>113.9222524812086</v>
      </c>
      <c r="Q202" s="1361">
        <v>0.39595906944624709</v>
      </c>
      <c r="R202" s="1363">
        <v>3456165.31</v>
      </c>
      <c r="S202" s="209">
        <v>27625</v>
      </c>
      <c r="T202" s="209">
        <v>14857</v>
      </c>
      <c r="U202" s="209">
        <v>12768</v>
      </c>
      <c r="V202" s="209">
        <v>29618</v>
      </c>
      <c r="W202" s="209">
        <v>14973</v>
      </c>
      <c r="X202" s="7">
        <v>194.54225352112675</v>
      </c>
      <c r="Y202" s="7">
        <v>114.6265560165975</v>
      </c>
      <c r="Z202" s="1544">
        <v>0.97612568406642641</v>
      </c>
      <c r="AA202" s="1544">
        <v>2.0957937452127574E-2</v>
      </c>
    </row>
    <row r="203" spans="3:27" x14ac:dyDescent="0.25">
      <c r="C203" s="1445">
        <v>43466</v>
      </c>
      <c r="D203" s="1363">
        <v>821898</v>
      </c>
      <c r="E203" s="69">
        <v>1.6710419054432268E-2</v>
      </c>
      <c r="F203" s="69">
        <v>0.18633086210339814</v>
      </c>
      <c r="G203" s="1361">
        <v>26.958081868276043</v>
      </c>
      <c r="H203" s="1361">
        <v>109.36540896362085</v>
      </c>
      <c r="I203" s="1363">
        <v>10146.888888888889</v>
      </c>
      <c r="J203" s="1363">
        <v>6322.292307692308</v>
      </c>
      <c r="K203" s="43">
        <v>81</v>
      </c>
      <c r="L203" s="43">
        <v>130</v>
      </c>
      <c r="M203" s="69">
        <v>0.62307692307692308</v>
      </c>
      <c r="N203" s="386">
        <v>7515.1549999999997</v>
      </c>
      <c r="O203" s="7">
        <v>92.779691358024692</v>
      </c>
      <c r="P203" s="1363">
        <v>111.19295077746231</v>
      </c>
      <c r="Q203" s="1361">
        <v>-0.35083064942974512</v>
      </c>
      <c r="R203" s="1363">
        <v>4410960.1100000003</v>
      </c>
      <c r="S203" s="209">
        <v>30488</v>
      </c>
      <c r="T203" s="209">
        <v>18623</v>
      </c>
      <c r="U203" s="209">
        <v>11865</v>
      </c>
      <c r="V203" s="209">
        <v>32500</v>
      </c>
      <c r="W203" s="209">
        <v>18112</v>
      </c>
      <c r="X203" s="7">
        <v>206</v>
      </c>
      <c r="Y203" s="7">
        <v>120.50592885375494</v>
      </c>
      <c r="Z203" s="1544">
        <v>0.97719084245271792</v>
      </c>
      <c r="AA203" s="1544">
        <v>3.4747829189960749E-2</v>
      </c>
    </row>
    <row r="204" spans="3:27" x14ac:dyDescent="0.25">
      <c r="C204" s="1445">
        <v>43497</v>
      </c>
      <c r="D204" s="1363">
        <v>1037261</v>
      </c>
      <c r="E204" s="69">
        <v>-9.8125466975041764E-2</v>
      </c>
      <c r="F204" s="69">
        <v>0.21793759619303141</v>
      </c>
      <c r="G204" s="1361">
        <v>27.092435877344197</v>
      </c>
      <c r="H204" s="1361">
        <v>127.4788207354009</v>
      </c>
      <c r="I204" s="1363">
        <v>11787.056818181818</v>
      </c>
      <c r="J204" s="1363">
        <v>8103.6015625</v>
      </c>
      <c r="K204" s="43">
        <v>88</v>
      </c>
      <c r="L204" s="43">
        <v>128</v>
      </c>
      <c r="M204" s="69">
        <v>0.6875</v>
      </c>
      <c r="N204" s="386">
        <v>8136.732</v>
      </c>
      <c r="O204" s="7">
        <v>92.462863636363636</v>
      </c>
      <c r="P204" s="1363">
        <v>114.96990192131204</v>
      </c>
      <c r="Q204" s="1361">
        <v>0.39088628990920865</v>
      </c>
      <c r="R204" s="1363">
        <v>4759440.4000000004</v>
      </c>
      <c r="S204" s="209">
        <v>38286</v>
      </c>
      <c r="T204" s="209">
        <v>22506</v>
      </c>
      <c r="U204" s="209">
        <v>15780</v>
      </c>
      <c r="V204" s="209">
        <v>33054</v>
      </c>
      <c r="W204" s="209">
        <v>16132</v>
      </c>
      <c r="X204" s="7">
        <v>221.30635838150289</v>
      </c>
      <c r="Y204" s="7">
        <v>127.19601328903654</v>
      </c>
      <c r="Z204" s="1544">
        <v>0.97499999999999998</v>
      </c>
      <c r="AA204" s="1544">
        <v>2.6055958761829045E-2</v>
      </c>
    </row>
    <row r="205" spans="3:27" x14ac:dyDescent="0.25">
      <c r="C205" s="1445">
        <v>43525</v>
      </c>
      <c r="D205" s="1363">
        <v>1048183</v>
      </c>
      <c r="E205" s="69">
        <v>-5.6638010729042509E-2</v>
      </c>
      <c r="F205" s="69">
        <v>0.18913531600521877</v>
      </c>
      <c r="G205" s="1361">
        <v>29.984924335612323</v>
      </c>
      <c r="H205" s="1361">
        <v>122.67851259546741</v>
      </c>
      <c r="I205" s="1363">
        <v>13102.2875</v>
      </c>
      <c r="J205" s="1363">
        <v>8318.9126984126979</v>
      </c>
      <c r="K205" s="43">
        <v>80</v>
      </c>
      <c r="L205" s="43">
        <v>126</v>
      </c>
      <c r="M205" s="69">
        <v>0.63492063492063489</v>
      </c>
      <c r="N205" s="386">
        <v>8544.1450000000004</v>
      </c>
      <c r="O205" s="7">
        <v>106.80181250000001</v>
      </c>
      <c r="P205" s="1363">
        <v>115.73024568286235</v>
      </c>
      <c r="Q205" s="1361">
        <v>0.45785130156818232</v>
      </c>
      <c r="R205" s="1363">
        <v>5541973.9800000004</v>
      </c>
      <c r="S205" s="209">
        <v>34957</v>
      </c>
      <c r="T205" s="209">
        <v>23577</v>
      </c>
      <c r="U205" s="209">
        <v>11380</v>
      </c>
      <c r="V205" s="209">
        <v>40036</v>
      </c>
      <c r="W205" s="209">
        <v>17603</v>
      </c>
      <c r="X205" s="7">
        <v>189.98369565217391</v>
      </c>
      <c r="Y205" s="7">
        <v>100.45114942528735</v>
      </c>
      <c r="Z205" s="1544">
        <v>0.9729379255116305</v>
      </c>
      <c r="AA205" s="1544">
        <v>2.7011567306470065E-2</v>
      </c>
    </row>
    <row r="206" spans="3:27" x14ac:dyDescent="0.25">
      <c r="C206" s="1445">
        <v>43556</v>
      </c>
      <c r="D206" s="1363">
        <v>988237</v>
      </c>
      <c r="E206" s="69">
        <v>-0.27328869491832419</v>
      </c>
      <c r="F206" s="69">
        <v>0.26619807216402641</v>
      </c>
      <c r="G206" s="1361">
        <v>33.395410921870777</v>
      </c>
      <c r="H206" s="1361">
        <v>156.48157340907252</v>
      </c>
      <c r="I206" s="1363">
        <v>12200.456790123457</v>
      </c>
      <c r="J206" s="1363">
        <v>7781.3937007874019</v>
      </c>
      <c r="K206" s="43">
        <v>81</v>
      </c>
      <c r="L206" s="43">
        <v>127</v>
      </c>
      <c r="M206" s="69">
        <v>0.63779527559055116</v>
      </c>
      <c r="N206" s="386">
        <v>6315.357</v>
      </c>
      <c r="O206" s="7">
        <v>77.967370370370375</v>
      </c>
      <c r="P206" s="1363">
        <v>113.71692843334114</v>
      </c>
      <c r="Q206" s="1361">
        <v>0.33320652360405517</v>
      </c>
      <c r="R206" s="1363">
        <v>3712412.31</v>
      </c>
      <c r="S206" s="209">
        <v>29592</v>
      </c>
      <c r="T206" s="209">
        <v>17632</v>
      </c>
      <c r="U206" s="209">
        <v>11960</v>
      </c>
      <c r="V206" s="209">
        <v>31642</v>
      </c>
      <c r="W206" s="209">
        <v>15554</v>
      </c>
      <c r="X206" s="7">
        <v>171.05202312138729</v>
      </c>
      <c r="Y206" s="7">
        <v>89.945288753799389</v>
      </c>
      <c r="Z206" s="1544">
        <v>0.97643551481898483</v>
      </c>
      <c r="AA206" s="1544">
        <v>2.6482294920790982E-2</v>
      </c>
    </row>
    <row r="207" spans="3:27" x14ac:dyDescent="0.25">
      <c r="C207" s="1445">
        <v>43586</v>
      </c>
      <c r="D207" s="1363">
        <v>1147953</v>
      </c>
      <c r="E207" s="69">
        <v>-9.7548418794149216E-2</v>
      </c>
      <c r="F207" s="69">
        <v>0.2061889785743691</v>
      </c>
      <c r="G207" s="1361">
        <v>30.385203811540496</v>
      </c>
      <c r="H207" s="1361">
        <v>126.31861455817813</v>
      </c>
      <c r="I207" s="1363">
        <v>13999.426829268292</v>
      </c>
      <c r="J207" s="1363">
        <v>8763</v>
      </c>
      <c r="K207" s="43">
        <v>82</v>
      </c>
      <c r="L207" s="43">
        <v>131</v>
      </c>
      <c r="M207" s="69">
        <v>0.62595419847328249</v>
      </c>
      <c r="N207" s="386">
        <v>9087.7580000000016</v>
      </c>
      <c r="O207" s="7">
        <v>110.82631707317076</v>
      </c>
      <c r="P207" s="1363">
        <v>113.99643344376025</v>
      </c>
      <c r="Q207" s="1361">
        <v>0.46529130460646312</v>
      </c>
      <c r="R207" s="1363">
        <v>5567479.9299999997</v>
      </c>
      <c r="S207" s="209">
        <v>37780</v>
      </c>
      <c r="T207" s="209">
        <v>25155</v>
      </c>
      <c r="U207" s="209">
        <v>12625</v>
      </c>
      <c r="V207" s="209">
        <v>42571</v>
      </c>
      <c r="W207" s="209">
        <v>18571</v>
      </c>
      <c r="X207" s="7">
        <v>192.75510204081633</v>
      </c>
      <c r="Y207" s="7">
        <v>97.120822622107966</v>
      </c>
      <c r="Z207" s="1544">
        <v>0.93319463723128226</v>
      </c>
      <c r="AA207" s="1544">
        <v>2.8736564121571533E-2</v>
      </c>
    </row>
    <row r="208" spans="3:27" x14ac:dyDescent="0.25">
      <c r="C208" s="1445">
        <v>43617</v>
      </c>
      <c r="D208" s="1363">
        <v>1041480</v>
      </c>
      <c r="E208" s="69">
        <v>-0.14891884625724927</v>
      </c>
      <c r="F208" s="69">
        <v>0.23121956092265003</v>
      </c>
      <c r="G208" s="1361">
        <v>31.863183014134492</v>
      </c>
      <c r="H208" s="1361">
        <v>132.63765257284416</v>
      </c>
      <c r="I208" s="1363">
        <v>12398.571428571429</v>
      </c>
      <c r="J208" s="1363">
        <v>7950.2290076335876</v>
      </c>
      <c r="K208" s="43">
        <v>84</v>
      </c>
      <c r="L208" s="43">
        <v>131</v>
      </c>
      <c r="M208" s="69">
        <v>0.64122137404580148</v>
      </c>
      <c r="N208" s="386">
        <v>7852.0690000000004</v>
      </c>
      <c r="O208" s="7">
        <v>93.477011904761909</v>
      </c>
      <c r="P208" s="1363">
        <v>112.88540638142634</v>
      </c>
      <c r="Q208" s="1361">
        <v>0.36012333388315726</v>
      </c>
      <c r="R208" s="1363">
        <v>4504290.1900000004</v>
      </c>
      <c r="S208" s="209">
        <v>32686</v>
      </c>
      <c r="T208" s="209">
        <v>19784</v>
      </c>
      <c r="U208" s="209">
        <v>12902</v>
      </c>
      <c r="V208" s="209">
        <v>42661</v>
      </c>
      <c r="W208" s="209">
        <v>15706</v>
      </c>
      <c r="X208" s="7">
        <v>187.85057471264369</v>
      </c>
      <c r="Y208" s="7">
        <v>93.388571428571424</v>
      </c>
      <c r="Z208" s="1544">
        <v>0.97637223883053137</v>
      </c>
      <c r="AA208" s="1544">
        <v>2.3326293848221387E-2</v>
      </c>
    </row>
    <row r="209" spans="3:27" x14ac:dyDescent="0.25">
      <c r="C209" s="1445">
        <v>43647</v>
      </c>
      <c r="D209" s="1363">
        <v>1287992</v>
      </c>
      <c r="E209" s="69">
        <v>-0.2574643320765968</v>
      </c>
      <c r="F209" s="69">
        <v>0.25692656119357554</v>
      </c>
      <c r="G209" s="1361">
        <v>35.70119466696233</v>
      </c>
      <c r="H209" s="1361">
        <v>157.47469660562894</v>
      </c>
      <c r="I209" s="1363">
        <v>16303.696202531646</v>
      </c>
      <c r="J209" s="1363">
        <v>9684.1503759398493</v>
      </c>
      <c r="K209" s="43">
        <v>79</v>
      </c>
      <c r="L209" s="43">
        <v>133</v>
      </c>
      <c r="M209" s="69">
        <v>0.59398496240601506</v>
      </c>
      <c r="N209" s="386">
        <v>8179.0410000000002</v>
      </c>
      <c r="O209" s="7">
        <v>103.53216455696203</v>
      </c>
      <c r="P209" s="1363">
        <v>116.93057902509597</v>
      </c>
      <c r="Q209" s="1361">
        <v>2.6131867622562552</v>
      </c>
      <c r="R209" s="1363">
        <v>5013074.53</v>
      </c>
      <c r="S209" s="209">
        <v>36077</v>
      </c>
      <c r="T209" s="209">
        <v>20600</v>
      </c>
      <c r="U209" s="209">
        <v>15477</v>
      </c>
      <c r="V209" s="209">
        <v>62701</v>
      </c>
      <c r="W209" s="209">
        <v>22787</v>
      </c>
      <c r="X209" s="7">
        <v>191.89893617021278</v>
      </c>
      <c r="Y209" s="7">
        <v>103.37249283667622</v>
      </c>
      <c r="Z209" s="1544">
        <v>0.9769530967773179</v>
      </c>
      <c r="AA209" s="1544">
        <v>2.1149608968305852E-2</v>
      </c>
    </row>
    <row r="210" spans="3:27" x14ac:dyDescent="0.25">
      <c r="C210" s="1445">
        <v>43678</v>
      </c>
      <c r="D210" s="1363">
        <v>1105068</v>
      </c>
      <c r="E210" s="69">
        <v>7.9639443002602617E-2</v>
      </c>
      <c r="F210" s="69">
        <v>0.20055165079304868</v>
      </c>
      <c r="G210" s="1361">
        <v>28.378007755322155</v>
      </c>
      <c r="H210" s="1361">
        <v>129.3405570758801</v>
      </c>
      <c r="I210" s="1363">
        <v>13813.35</v>
      </c>
      <c r="J210" s="1363">
        <v>8371.7272727272721</v>
      </c>
      <c r="K210" s="43">
        <v>80</v>
      </c>
      <c r="L210" s="43">
        <v>132</v>
      </c>
      <c r="M210" s="69">
        <v>0.60606060606060608</v>
      </c>
      <c r="N210" s="386">
        <v>8543.8629999999994</v>
      </c>
      <c r="O210" s="7">
        <v>106.79828749999999</v>
      </c>
      <c r="P210" s="1363">
        <v>139.64116699904952</v>
      </c>
      <c r="Q210" s="1361">
        <v>-2.2213585097993208E-2</v>
      </c>
      <c r="R210" s="1363">
        <v>5510141.6299999999</v>
      </c>
      <c r="S210" s="209">
        <v>38941</v>
      </c>
      <c r="T210" s="209">
        <v>22383</v>
      </c>
      <c r="U210" s="209">
        <v>16558</v>
      </c>
      <c r="V210" s="209">
        <v>47148</v>
      </c>
      <c r="W210" s="209">
        <v>16384</v>
      </c>
      <c r="X210" s="7">
        <v>184.55450236966826</v>
      </c>
      <c r="Y210" s="7">
        <v>108.16944444444445</v>
      </c>
      <c r="Z210" s="1544">
        <v>0.97461737010179716</v>
      </c>
      <c r="AA210" s="1544">
        <v>1.9379532170484545E-2</v>
      </c>
    </row>
    <row r="211" spans="3:27" x14ac:dyDescent="0.25">
      <c r="C211" s="1445">
        <v>43709</v>
      </c>
      <c r="D211" s="1363">
        <v>1082205</v>
      </c>
      <c r="E211" s="69">
        <v>-4.1455177161443535E-2</v>
      </c>
      <c r="F211" s="69">
        <v>0.19808884356706724</v>
      </c>
      <c r="G211" s="1361">
        <v>28.514346691961109</v>
      </c>
      <c r="H211" s="1361">
        <v>140.0691049260557</v>
      </c>
      <c r="I211" s="1363">
        <v>14429.4</v>
      </c>
      <c r="J211" s="1363">
        <v>8454.7265625</v>
      </c>
      <c r="K211" s="43">
        <v>75</v>
      </c>
      <c r="L211" s="43">
        <v>128</v>
      </c>
      <c r="M211" s="69">
        <v>0.5859375</v>
      </c>
      <c r="N211" s="386">
        <v>7726.2220000000007</v>
      </c>
      <c r="O211" s="7">
        <v>103.01629333333334</v>
      </c>
      <c r="P211" s="1363">
        <v>134.26251536650125</v>
      </c>
      <c r="Q211" s="1361">
        <v>0.45198532756747484</v>
      </c>
      <c r="R211" s="1363">
        <v>5463230.4400000004</v>
      </c>
      <c r="S211" s="209">
        <v>37953</v>
      </c>
      <c r="T211" s="209">
        <v>18712</v>
      </c>
      <c r="U211" s="209">
        <v>19241</v>
      </c>
      <c r="V211" s="209">
        <v>52455</v>
      </c>
      <c r="W211" s="209">
        <v>20194</v>
      </c>
      <c r="X211" s="7">
        <v>224.57396449704143</v>
      </c>
      <c r="Y211" s="7">
        <v>116.42024539877301</v>
      </c>
      <c r="Z211" s="1544">
        <v>0.95104784433374834</v>
      </c>
      <c r="AA211" s="1544">
        <v>1.9389788293897883E-2</v>
      </c>
    </row>
    <row r="212" spans="3:27" x14ac:dyDescent="0.25">
      <c r="C212" s="1445">
        <v>43739</v>
      </c>
      <c r="D212" s="1363">
        <v>1120670</v>
      </c>
      <c r="E212" s="69">
        <v>1.3563314802755855E-4</v>
      </c>
      <c r="F212" s="69">
        <v>0.20395006360029141</v>
      </c>
      <c r="G212" s="1361">
        <v>31.034893381334811</v>
      </c>
      <c r="H212" s="1361">
        <v>140.60317327286327</v>
      </c>
      <c r="I212" s="1363">
        <v>14554.155844155845</v>
      </c>
      <c r="J212" s="1363">
        <v>8755.234375</v>
      </c>
      <c r="K212" s="43">
        <v>77</v>
      </c>
      <c r="L212" s="43">
        <v>128</v>
      </c>
      <c r="M212" s="69">
        <v>0.6015625</v>
      </c>
      <c r="N212" s="386">
        <v>7970.4460000000008</v>
      </c>
      <c r="O212" s="7">
        <v>103.51228571428572</v>
      </c>
      <c r="P212" s="1363">
        <v>140.62224372387692</v>
      </c>
      <c r="Q212" s="1361">
        <v>0.27680588106761422</v>
      </c>
      <c r="R212" s="1363">
        <v>5494825.4500000002</v>
      </c>
      <c r="S212" s="209">
        <v>36110</v>
      </c>
      <c r="T212" s="209">
        <v>20819</v>
      </c>
      <c r="U212" s="209">
        <v>15291</v>
      </c>
      <c r="V212" s="209">
        <v>55404</v>
      </c>
      <c r="W212" s="209">
        <v>16317</v>
      </c>
      <c r="X212" s="7">
        <v>190.05263157894737</v>
      </c>
      <c r="Y212" s="7">
        <v>107.15133531157269</v>
      </c>
      <c r="Z212" s="1544">
        <v>0.97488389459411418</v>
      </c>
      <c r="AA212" s="1544">
        <v>1.4892860318307104E-2</v>
      </c>
    </row>
    <row r="213" spans="3:27" x14ac:dyDescent="0.25">
      <c r="C213" s="1445">
        <v>43770</v>
      </c>
      <c r="D213" s="1363">
        <v>1107174</v>
      </c>
      <c r="E213" s="69">
        <v>-1.0585508691497436E-3</v>
      </c>
      <c r="F213" s="69">
        <v>0.20187975507435685</v>
      </c>
      <c r="G213" s="1361">
        <v>32.25091756481212</v>
      </c>
      <c r="H213" s="1361">
        <v>145.19962466484418</v>
      </c>
      <c r="I213" s="1363">
        <v>14378.883116883117</v>
      </c>
      <c r="J213" s="1363">
        <v>8649.796875</v>
      </c>
      <c r="K213" s="43">
        <v>77</v>
      </c>
      <c r="L213" s="43">
        <v>128</v>
      </c>
      <c r="M213" s="69">
        <v>0.6015625</v>
      </c>
      <c r="N213" s="386">
        <v>7625.1850000000004</v>
      </c>
      <c r="O213" s="7">
        <v>99.02837662337663</v>
      </c>
      <c r="P213" s="1363">
        <v>145.04592347595499</v>
      </c>
      <c r="Q213" s="1361">
        <v>1.079440223524209E-2</v>
      </c>
      <c r="R213" s="1363">
        <v>5484324.0700000003</v>
      </c>
      <c r="S213" s="209">
        <v>34330</v>
      </c>
      <c r="T213" s="209">
        <v>19078</v>
      </c>
      <c r="U213" s="209">
        <v>15252</v>
      </c>
      <c r="V213" s="209">
        <v>44484</v>
      </c>
      <c r="W213" s="209">
        <v>14217</v>
      </c>
      <c r="X213" s="7">
        <v>189.66850828729281</v>
      </c>
      <c r="Y213" s="7">
        <v>113.67549668874172</v>
      </c>
      <c r="Z213" s="1544">
        <v>0.97738420575442142</v>
      </c>
      <c r="AA213" s="1544">
        <v>1.3026063603915852E-2</v>
      </c>
    </row>
    <row r="214" spans="3:27" x14ac:dyDescent="0.25">
      <c r="C214" s="1445">
        <v>43800</v>
      </c>
      <c r="D214" s="1363">
        <v>974002</v>
      </c>
      <c r="E214" s="69">
        <v>-0.20047700107391975</v>
      </c>
      <c r="F214" s="69">
        <v>0.25413808621441009</v>
      </c>
      <c r="G214" s="1361">
        <v>31.961737874909758</v>
      </c>
      <c r="H214" s="1361">
        <v>178.05360389625821</v>
      </c>
      <c r="I214" s="1363">
        <v>13342.493150684932</v>
      </c>
      <c r="J214" s="1363">
        <v>7854.8548387096771</v>
      </c>
      <c r="K214" s="43">
        <v>73</v>
      </c>
      <c r="L214" s="43">
        <v>124</v>
      </c>
      <c r="M214" s="69">
        <v>0.58870967741935487</v>
      </c>
      <c r="N214" s="386">
        <v>5470.2740000000003</v>
      </c>
      <c r="O214" s="7">
        <v>74.935260273972602</v>
      </c>
      <c r="P214" s="1363">
        <v>142.35795135673277</v>
      </c>
      <c r="Q214" s="1361">
        <v>0.23279418370855165</v>
      </c>
      <c r="R214" s="1363">
        <v>3832569.98</v>
      </c>
      <c r="S214" s="209">
        <v>30474</v>
      </c>
      <c r="T214" s="209">
        <v>16236</v>
      </c>
      <c r="U214" s="209">
        <v>14238</v>
      </c>
      <c r="V214" s="209">
        <v>42262</v>
      </c>
      <c r="W214" s="209">
        <v>12514</v>
      </c>
      <c r="X214" s="7">
        <v>236.23255813953489</v>
      </c>
      <c r="Y214" s="7">
        <v>136.04464285714286</v>
      </c>
      <c r="Z214" s="1544">
        <v>0.97529942868055419</v>
      </c>
      <c r="AA214" s="1544">
        <v>1.4672883810493817E-2</v>
      </c>
    </row>
    <row r="215" spans="3:27" x14ac:dyDescent="0.25">
      <c r="C215" s="1445">
        <v>43831</v>
      </c>
      <c r="D215" s="1363">
        <v>1071165</v>
      </c>
      <c r="E215" s="69">
        <v>-1.6932031946525483E-2</v>
      </c>
      <c r="F215" s="69">
        <v>0.20523853215702573</v>
      </c>
      <c r="G215" s="1361">
        <v>27.425685536523542</v>
      </c>
      <c r="H215" s="1361">
        <v>138.44420950322856</v>
      </c>
      <c r="I215" s="1363">
        <v>15752.426470588236</v>
      </c>
      <c r="J215" s="1363">
        <v>8501.3095238095229</v>
      </c>
      <c r="K215" s="43">
        <v>68</v>
      </c>
      <c r="L215" s="43">
        <v>126</v>
      </c>
      <c r="M215" s="69">
        <v>0.53968253968253965</v>
      </c>
      <c r="N215" s="386">
        <v>7737.16</v>
      </c>
      <c r="O215" s="7">
        <v>113.78176470588235</v>
      </c>
      <c r="P215" s="1363">
        <v>136.10006772510843</v>
      </c>
      <c r="Q215" s="1361">
        <v>0.21045684252311925</v>
      </c>
      <c r="R215" s="1363">
        <v>5219122.3</v>
      </c>
      <c r="S215" s="209">
        <v>39057</v>
      </c>
      <c r="T215" s="209">
        <v>20816</v>
      </c>
      <c r="U215" s="209">
        <v>18241</v>
      </c>
      <c r="V215" s="209">
        <v>50058</v>
      </c>
      <c r="W215" s="209">
        <v>16445</v>
      </c>
      <c r="X215" s="7">
        <v>258.65562913907286</v>
      </c>
      <c r="Y215" s="7">
        <v>133.30034129692834</v>
      </c>
      <c r="Z215" s="1544">
        <v>0.97824330403309201</v>
      </c>
      <c r="AA215" s="1544">
        <v>1.4122285418821096E-2</v>
      </c>
    </row>
    <row r="216" spans="3:27" x14ac:dyDescent="0.25">
      <c r="C216" s="1445">
        <v>43862</v>
      </c>
      <c r="D216" s="1363">
        <v>1058618</v>
      </c>
      <c r="E216" s="69">
        <v>-2.9436491727894309E-2</v>
      </c>
      <c r="F216" s="69">
        <v>0.21179179526374056</v>
      </c>
      <c r="G216" s="1361">
        <v>31.585451724549468</v>
      </c>
      <c r="H216" s="1361">
        <v>148.59298062400691</v>
      </c>
      <c r="I216" s="1363">
        <v>16286.430769230768</v>
      </c>
      <c r="J216" s="1363">
        <v>8748.9090909090901</v>
      </c>
      <c r="K216" s="43">
        <v>65</v>
      </c>
      <c r="L216" s="43">
        <v>121</v>
      </c>
      <c r="M216" s="69">
        <v>0.53719008264462809</v>
      </c>
      <c r="N216" s="386">
        <v>7124.28</v>
      </c>
      <c r="O216" s="7">
        <v>109.60430769230769</v>
      </c>
      <c r="P216" s="1363">
        <v>144.21892457904519</v>
      </c>
      <c r="Q216" s="1361">
        <v>9.5750831001575859E-2</v>
      </c>
      <c r="R216" s="1363">
        <v>4998390.04</v>
      </c>
      <c r="S216" s="209">
        <v>33516</v>
      </c>
      <c r="T216" s="209">
        <v>18454</v>
      </c>
      <c r="U216" s="209">
        <v>15062</v>
      </c>
      <c r="V216" s="209">
        <v>46023</v>
      </c>
      <c r="W216" s="209">
        <v>13516</v>
      </c>
      <c r="X216" s="7">
        <v>193.73410404624278</v>
      </c>
      <c r="Y216" s="7">
        <v>110.61386138613861</v>
      </c>
      <c r="Z216" s="1544">
        <v>0.97413117563813623</v>
      </c>
      <c r="AA216" s="1544">
        <v>1.5842025263378585E-2</v>
      </c>
    </row>
    <row r="217" spans="3:27" x14ac:dyDescent="0.25">
      <c r="C217" s="1445">
        <v>43891</v>
      </c>
      <c r="D217" s="1363">
        <v>1101807</v>
      </c>
      <c r="E217" s="69">
        <v>-0.26404442883372492</v>
      </c>
      <c r="F217" s="69">
        <v>0.28592993110710258</v>
      </c>
      <c r="G217" s="1361">
        <v>35.854441913439636</v>
      </c>
      <c r="H217" s="1361">
        <v>193.28001004811094</v>
      </c>
      <c r="I217" s="1363">
        <v>17215.734375</v>
      </c>
      <c r="J217" s="1363">
        <v>9258.8823529411766</v>
      </c>
      <c r="K217" s="43">
        <v>64</v>
      </c>
      <c r="L217" s="43">
        <v>119</v>
      </c>
      <c r="M217" s="69">
        <v>0.53781512605042014</v>
      </c>
      <c r="N217" s="386">
        <v>5700.5740000000005</v>
      </c>
      <c r="O217" s="7">
        <v>89.071468750000008</v>
      </c>
      <c r="P217" s="1363">
        <v>142.24550018998085</v>
      </c>
      <c r="Q217" s="1361">
        <v>0.75522599285345793</v>
      </c>
      <c r="R217" s="1363">
        <v>3853416.1</v>
      </c>
      <c r="S217" s="209">
        <v>30730</v>
      </c>
      <c r="T217" s="209">
        <v>14246</v>
      </c>
      <c r="U217" s="209">
        <v>16484</v>
      </c>
      <c r="V217" s="209">
        <v>54126</v>
      </c>
      <c r="W217" s="209">
        <v>21103</v>
      </c>
      <c r="X217" s="7">
        <v>199.54545454545453</v>
      </c>
      <c r="Y217" s="7">
        <v>109.35943060498221</v>
      </c>
      <c r="Z217" s="1544">
        <v>0.97694650645505499</v>
      </c>
      <c r="AA217" s="1544">
        <v>1.3826893307483054E-2</v>
      </c>
    </row>
    <row r="218" spans="3:27" x14ac:dyDescent="0.25">
      <c r="C218" s="1445">
        <v>43922</v>
      </c>
      <c r="D218" s="1363">
        <v>1024467</v>
      </c>
      <c r="E218" s="69">
        <v>-0.53897197274289943</v>
      </c>
      <c r="F218" s="69">
        <v>0.44317548887983893</v>
      </c>
      <c r="G218" s="1361">
        <v>122.1057210965435</v>
      </c>
      <c r="H218" s="1361">
        <v>341.91205918790183</v>
      </c>
      <c r="I218" s="1363">
        <v>16523.66129032258</v>
      </c>
      <c r="J218" s="1363">
        <v>8756.1282051282051</v>
      </c>
      <c r="K218" s="43">
        <v>62</v>
      </c>
      <c r="L218" s="43">
        <v>117</v>
      </c>
      <c r="M218" s="69">
        <v>0.52991452991452992</v>
      </c>
      <c r="N218" s="386">
        <v>2996.288</v>
      </c>
      <c r="O218" s="7">
        <v>48.327225806451615</v>
      </c>
      <c r="P218" s="1363">
        <v>157.63104214281137</v>
      </c>
      <c r="Q218" s="1361">
        <v>0.18233722371033143</v>
      </c>
      <c r="R218" s="1363">
        <v>2311650.86</v>
      </c>
      <c r="S218" s="209">
        <v>8390</v>
      </c>
      <c r="T218" s="209">
        <v>2666</v>
      </c>
      <c r="U218" s="209">
        <v>5724</v>
      </c>
      <c r="V218" s="209">
        <v>7734</v>
      </c>
      <c r="W218" s="209">
        <v>3349</v>
      </c>
      <c r="X218" s="7">
        <v>204.63414634146341</v>
      </c>
      <c r="Y218" s="7">
        <v>149.82142857142858</v>
      </c>
      <c r="Z218" s="1544">
        <v>0.97733522515044613</v>
      </c>
      <c r="AA218" s="1544">
        <v>1.2087570035277028E-2</v>
      </c>
    </row>
    <row r="219" spans="3:27" x14ac:dyDescent="0.25">
      <c r="C219" s="1445">
        <v>43952</v>
      </c>
      <c r="D219" s="1363">
        <v>976563</v>
      </c>
      <c r="E219" s="69">
        <v>0.32855637577913566</v>
      </c>
      <c r="F219" s="69">
        <v>0.1590816897899181</v>
      </c>
      <c r="G219" s="1361">
        <v>26.450069066384984</v>
      </c>
      <c r="H219" s="1361">
        <v>119.75025864509823</v>
      </c>
      <c r="I219" s="1363">
        <v>14796.40909090909</v>
      </c>
      <c r="J219" s="1363">
        <v>8275.9576271186434</v>
      </c>
      <c r="K219" s="43">
        <v>66</v>
      </c>
      <c r="L219" s="43">
        <v>118</v>
      </c>
      <c r="M219" s="69">
        <v>0.55932203389830504</v>
      </c>
      <c r="N219" s="386">
        <v>8154.9969999999994</v>
      </c>
      <c r="O219" s="7">
        <v>123.56056060606059</v>
      </c>
      <c r="P219" s="1363">
        <v>159.09496962414579</v>
      </c>
      <c r="Q219" s="1361">
        <v>0.20108322543110368</v>
      </c>
      <c r="R219" s="1363">
        <v>6138751.7400000002</v>
      </c>
      <c r="S219" s="209">
        <v>36921</v>
      </c>
      <c r="T219" s="209">
        <v>20053</v>
      </c>
      <c r="U219" s="209">
        <v>16868</v>
      </c>
      <c r="V219" s="209">
        <v>46990</v>
      </c>
      <c r="W219" s="209">
        <v>18279</v>
      </c>
      <c r="X219" s="7">
        <v>226.50920245398774</v>
      </c>
      <c r="Y219" s="7">
        <v>127.31379310344828</v>
      </c>
      <c r="Z219" s="1544">
        <v>0.97552471520215522</v>
      </c>
      <c r="AA219" s="1544">
        <v>1.4998972673104582E-2</v>
      </c>
    </row>
    <row r="220" spans="3:27" x14ac:dyDescent="0.25">
      <c r="C220" s="1445">
        <v>43983</v>
      </c>
      <c r="D220" s="1363">
        <v>1207469</v>
      </c>
      <c r="E220" s="69">
        <v>9.1706702201050261E-2</v>
      </c>
      <c r="F220" s="69">
        <v>0.18775909865854926</v>
      </c>
      <c r="G220" s="1361">
        <v>25.243430267806744</v>
      </c>
      <c r="H220" s="1361">
        <v>134.64194915254237</v>
      </c>
      <c r="I220" s="1363">
        <v>15681.415584415585</v>
      </c>
      <c r="J220" s="1363">
        <v>9433.3515625</v>
      </c>
      <c r="K220" s="43">
        <v>77</v>
      </c>
      <c r="L220" s="43">
        <v>128</v>
      </c>
      <c r="M220" s="69">
        <v>0.6015625</v>
      </c>
      <c r="N220" s="386">
        <v>8968</v>
      </c>
      <c r="O220" s="7">
        <v>116.46753246753246</v>
      </c>
      <c r="P220" s="1363">
        <v>146.98951828724353</v>
      </c>
      <c r="Q220" s="1361">
        <v>0.25116048209377528</v>
      </c>
      <c r="R220" s="1363">
        <v>6430948</v>
      </c>
      <c r="S220" s="209">
        <v>47833</v>
      </c>
      <c r="T220" s="209">
        <v>21176</v>
      </c>
      <c r="U220" s="209">
        <v>26657</v>
      </c>
      <c r="V220" s="209">
        <v>61357</v>
      </c>
      <c r="W220" s="209">
        <v>21124</v>
      </c>
      <c r="X220" s="7">
        <v>254.43085106382978</v>
      </c>
      <c r="Y220" s="7">
        <v>137.45114942528735</v>
      </c>
      <c r="Z220" s="1544">
        <v>0.9760860864472739</v>
      </c>
      <c r="AA220" s="1544">
        <v>1.4168587297389202E-2</v>
      </c>
    </row>
    <row r="221" spans="3:27" x14ac:dyDescent="0.25">
      <c r="C221" s="1445">
        <v>44013</v>
      </c>
      <c r="D221" s="1363">
        <v>1242234</v>
      </c>
      <c r="E221" s="69">
        <v>0.21729319918791479</v>
      </c>
      <c r="F221" s="69">
        <v>0.1667142871521988</v>
      </c>
      <c r="G221" s="1361">
        <v>25.906861313868614</v>
      </c>
      <c r="H221" s="1361">
        <v>119.01073002490898</v>
      </c>
      <c r="I221" s="1363">
        <v>14614.517647058823</v>
      </c>
      <c r="J221" s="1363">
        <v>9201.7333333333336</v>
      </c>
      <c r="K221" s="43">
        <v>85</v>
      </c>
      <c r="L221" s="43">
        <v>135</v>
      </c>
      <c r="M221" s="69">
        <v>0.62962962962962965</v>
      </c>
      <c r="N221" s="386">
        <v>10438</v>
      </c>
      <c r="O221" s="7">
        <v>122.8</v>
      </c>
      <c r="P221" s="1363">
        <v>144.87095228971069</v>
      </c>
      <c r="Q221" s="1361">
        <v>0.40672233946539355</v>
      </c>
      <c r="R221" s="1363">
        <v>7451275</v>
      </c>
      <c r="S221" s="209">
        <v>47950</v>
      </c>
      <c r="T221" s="209">
        <v>23811</v>
      </c>
      <c r="U221" s="209">
        <v>24139</v>
      </c>
      <c r="V221" s="209">
        <v>52884</v>
      </c>
      <c r="W221" s="209">
        <v>15318</v>
      </c>
      <c r="X221" s="7">
        <v>264.91712707182319</v>
      </c>
      <c r="Y221" s="7">
        <v>135.07042253521126</v>
      </c>
      <c r="Z221" s="1544">
        <v>0.97499999999999998</v>
      </c>
      <c r="AA221" s="1544">
        <v>1.8040758751252831E-2</v>
      </c>
    </row>
    <row r="222" spans="3:27" x14ac:dyDescent="0.25">
      <c r="C222" s="1445">
        <v>44044</v>
      </c>
      <c r="D222" s="1363">
        <v>1155925</v>
      </c>
      <c r="E222" s="69">
        <v>5.3827021649328399E-2</v>
      </c>
      <c r="F222" s="69">
        <v>0.20561639559176806</v>
      </c>
      <c r="G222" s="1361">
        <v>27.248886164871173</v>
      </c>
      <c r="H222" s="1361">
        <v>126.2616056799563</v>
      </c>
      <c r="I222" s="1363">
        <v>13926.807228915663</v>
      </c>
      <c r="J222" s="1363">
        <v>8757.007575757576</v>
      </c>
      <c r="K222" s="43">
        <v>83</v>
      </c>
      <c r="L222" s="43">
        <v>132</v>
      </c>
      <c r="M222" s="69">
        <v>0.62878787878787878</v>
      </c>
      <c r="N222" s="386">
        <v>9155</v>
      </c>
      <c r="O222" s="7">
        <v>110.3012048192771</v>
      </c>
      <c r="P222" s="1363">
        <v>133.0578918623703</v>
      </c>
      <c r="Q222" s="1361">
        <v>0.38559133224411241</v>
      </c>
      <c r="R222" s="1363">
        <v>5621755</v>
      </c>
      <c r="S222" s="209">
        <v>42421</v>
      </c>
      <c r="T222" s="209">
        <v>24509</v>
      </c>
      <c r="U222" s="209">
        <v>17912</v>
      </c>
      <c r="V222" s="209">
        <v>55544</v>
      </c>
      <c r="W222" s="209">
        <v>26131</v>
      </c>
      <c r="X222" s="7">
        <v>214.24747474747474</v>
      </c>
      <c r="Y222" s="7">
        <v>122.95942028985507</v>
      </c>
      <c r="Z222" s="1544">
        <v>0.97429862444905801</v>
      </c>
      <c r="AA222" s="1544">
        <v>1.7308183362383843E-2</v>
      </c>
    </row>
    <row r="223" spans="3:27" x14ac:dyDescent="0.25">
      <c r="C223" s="1445">
        <v>44075</v>
      </c>
      <c r="D223" s="1363">
        <v>1273607</v>
      </c>
      <c r="E223" s="69">
        <v>5.2121258755644329E-2</v>
      </c>
      <c r="F223" s="69">
        <v>0.2149558925962313</v>
      </c>
      <c r="G223" s="1361">
        <v>29.869532587537233</v>
      </c>
      <c r="H223" s="1361">
        <v>132.62595022388837</v>
      </c>
      <c r="I223" s="1363">
        <v>15344.662650602409</v>
      </c>
      <c r="J223" s="1363">
        <v>9434.1259259259259</v>
      </c>
      <c r="K223" s="43">
        <v>83</v>
      </c>
      <c r="L223" s="43">
        <v>135</v>
      </c>
      <c r="M223" s="69">
        <v>0.61481481481481481</v>
      </c>
      <c r="N223" s="386">
        <v>9603</v>
      </c>
      <c r="O223" s="7">
        <v>115.6987951807229</v>
      </c>
      <c r="P223" s="1363">
        <v>139.53858169322086</v>
      </c>
      <c r="Q223" s="1361">
        <v>0.37341967527593817</v>
      </c>
      <c r="R223" s="1363">
        <v>5924969</v>
      </c>
      <c r="S223" s="209">
        <v>42639</v>
      </c>
      <c r="T223" s="209">
        <v>28438</v>
      </c>
      <c r="U223" s="209">
        <v>14201</v>
      </c>
      <c r="V223" s="209">
        <v>45106</v>
      </c>
      <c r="W223" s="209">
        <v>27003</v>
      </c>
      <c r="X223" s="7">
        <v>214.26633165829145</v>
      </c>
      <c r="Y223" s="7">
        <v>119.10335195530726</v>
      </c>
      <c r="Z223" s="1544">
        <v>0.97826464962615201</v>
      </c>
      <c r="AA223" s="1544">
        <v>1.6293841480254073E-2</v>
      </c>
    </row>
    <row r="224" spans="3:27" x14ac:dyDescent="0.25">
      <c r="C224" s="1445">
        <v>44105</v>
      </c>
      <c r="D224" s="1363">
        <v>1246836</v>
      </c>
      <c r="E224" s="69">
        <v>-7.405224103250152E-2</v>
      </c>
      <c r="F224" s="69">
        <v>0.22073484452433881</v>
      </c>
      <c r="G224" s="1361">
        <v>31.896546431312355</v>
      </c>
      <c r="H224" s="1361">
        <v>130.27228084839621</v>
      </c>
      <c r="I224" s="1363">
        <v>14009.393258426966</v>
      </c>
      <c r="J224" s="1363">
        <v>8842.8085106382987</v>
      </c>
      <c r="K224" s="43">
        <v>89</v>
      </c>
      <c r="L224" s="43">
        <v>141</v>
      </c>
      <c r="M224" s="69">
        <v>0.63120567375886527</v>
      </c>
      <c r="N224" s="386">
        <v>9571</v>
      </c>
      <c r="O224" s="7">
        <v>107.53932584269663</v>
      </c>
      <c r="P224" s="1363">
        <v>120.62532650715704</v>
      </c>
      <c r="Q224" s="1361">
        <v>0.34047561426619732</v>
      </c>
      <c r="R224" s="1363">
        <v>5648569</v>
      </c>
      <c r="S224" s="209">
        <v>39090</v>
      </c>
      <c r="T224" s="209">
        <v>24173</v>
      </c>
      <c r="U224" s="209">
        <v>14917</v>
      </c>
      <c r="V224" s="209">
        <v>51740</v>
      </c>
      <c r="W224" s="209">
        <v>26659</v>
      </c>
      <c r="X224" s="7">
        <v>206.82539682539684</v>
      </c>
      <c r="Y224" s="7">
        <v>113.63372093023256</v>
      </c>
      <c r="Z224" s="1544">
        <v>0.97644286174067418</v>
      </c>
      <c r="AA224" s="1544">
        <v>1.6424589125717669E-2</v>
      </c>
    </row>
    <row r="225" spans="3:27" x14ac:dyDescent="0.25">
      <c r="C225" s="1445">
        <v>44136</v>
      </c>
      <c r="D225" s="1363">
        <v>1254403</v>
      </c>
      <c r="E225" s="69">
        <v>4.9836456067149149E-2</v>
      </c>
      <c r="F225" s="69">
        <v>0.20382429620747003</v>
      </c>
      <c r="G225" s="1361">
        <v>26.648036029146219</v>
      </c>
      <c r="H225" s="1361">
        <v>126.26099647710116</v>
      </c>
      <c r="I225" s="1363">
        <v>13937.81111111111</v>
      </c>
      <c r="J225" s="1363">
        <v>8896.4751773049647</v>
      </c>
      <c r="K225" s="43">
        <v>90</v>
      </c>
      <c r="L225" s="43">
        <v>141</v>
      </c>
      <c r="M225" s="69">
        <v>0.63829787234042556</v>
      </c>
      <c r="N225" s="386">
        <v>9935</v>
      </c>
      <c r="O225" s="7">
        <v>110.38888888888889</v>
      </c>
      <c r="P225" s="1363">
        <v>132.55339708102667</v>
      </c>
      <c r="Q225" s="1361">
        <v>0.18263549189311273</v>
      </c>
      <c r="R225" s="1363">
        <v>6154335</v>
      </c>
      <c r="S225" s="209">
        <v>47073</v>
      </c>
      <c r="T225" s="209">
        <v>30110</v>
      </c>
      <c r="U225" s="209">
        <v>16963</v>
      </c>
      <c r="V225" s="209">
        <v>65536</v>
      </c>
      <c r="W225" s="209">
        <v>31529</v>
      </c>
      <c r="X225" s="7">
        <v>254.44864864864866</v>
      </c>
      <c r="Y225" s="7">
        <v>150.875</v>
      </c>
      <c r="Z225" s="1544">
        <v>0.9765870960028693</v>
      </c>
      <c r="AA225" s="1544">
        <v>1.7634400031881402E-2</v>
      </c>
    </row>
    <row r="226" spans="3:27" x14ac:dyDescent="0.25">
      <c r="C226" s="1445">
        <v>44166</v>
      </c>
      <c r="D226" s="1363">
        <v>1227528</v>
      </c>
      <c r="E226" s="69">
        <v>-0.20509023012102368</v>
      </c>
      <c r="F226" s="69">
        <v>0.26870517486999562</v>
      </c>
      <c r="G226" s="1361">
        <v>37.007175158275551</v>
      </c>
      <c r="H226" s="1361">
        <v>169.8530510585305</v>
      </c>
      <c r="I226" s="1363">
        <v>14109.51724137931</v>
      </c>
      <c r="J226" s="1363">
        <v>8831.1366906474814</v>
      </c>
      <c r="K226" s="43">
        <v>87</v>
      </c>
      <c r="L226" s="43">
        <v>139</v>
      </c>
      <c r="M226" s="69">
        <v>0.62589928057553956</v>
      </c>
      <c r="N226" s="386">
        <v>7227</v>
      </c>
      <c r="O226" s="7">
        <v>83.068965517241381</v>
      </c>
      <c r="P226" s="1363">
        <v>135.01784973017851</v>
      </c>
      <c r="Q226" s="1361">
        <v>0.34369398910931576</v>
      </c>
      <c r="R226" s="1363">
        <v>4568308</v>
      </c>
      <c r="S226" s="209">
        <v>33170</v>
      </c>
      <c r="T226" s="209">
        <v>25265</v>
      </c>
      <c r="U226" s="209">
        <v>7905</v>
      </c>
      <c r="V226" s="209">
        <v>32406</v>
      </c>
      <c r="W226" s="209">
        <v>11482</v>
      </c>
      <c r="X226" s="7">
        <v>181.2568306010929</v>
      </c>
      <c r="Y226" s="7">
        <v>115.57491289198606</v>
      </c>
      <c r="Z226" s="1544">
        <v>0.97474307350201339</v>
      </c>
      <c r="AA226" s="1544">
        <v>1.50099164613258E-2</v>
      </c>
    </row>
    <row r="227" spans="3:27" x14ac:dyDescent="0.25">
      <c r="C227" s="1445">
        <v>44197</v>
      </c>
      <c r="D227" s="1363">
        <v>1100908</v>
      </c>
      <c r="E227" s="69">
        <v>-3.8904249946407843E-2</v>
      </c>
      <c r="F227" s="69">
        <v>0.22745403329742522</v>
      </c>
      <c r="G227" s="1361">
        <v>32.821775684216803</v>
      </c>
      <c r="H227" s="1361">
        <v>143.64665970772444</v>
      </c>
      <c r="I227" s="1363">
        <v>13425.707317073171</v>
      </c>
      <c r="J227" s="1363">
        <v>8094.911764705882</v>
      </c>
      <c r="K227" s="43">
        <v>82</v>
      </c>
      <c r="L227" s="43">
        <v>136</v>
      </c>
      <c r="M227" s="69">
        <v>0.6029411764705882</v>
      </c>
      <c r="N227" s="386">
        <v>7664</v>
      </c>
      <c r="O227" s="7">
        <v>93.463414634146346</v>
      </c>
      <c r="P227" s="1363">
        <v>138.05819415448852</v>
      </c>
      <c r="Q227" s="1361">
        <v>0.23313404133026069</v>
      </c>
      <c r="R227" s="1363">
        <v>4840134</v>
      </c>
      <c r="S227" s="209">
        <v>33542</v>
      </c>
      <c r="T227" s="209">
        <v>21091</v>
      </c>
      <c r="U227" s="209">
        <v>12451</v>
      </c>
      <c r="V227" s="209">
        <v>34378</v>
      </c>
      <c r="W227" s="209">
        <v>21182</v>
      </c>
      <c r="X227" s="7">
        <v>192.77011494252875</v>
      </c>
      <c r="Y227" s="7">
        <v>118.94326241134752</v>
      </c>
      <c r="Z227" s="1544">
        <v>0.97369582716626424</v>
      </c>
      <c r="AA227" s="1544">
        <v>1.747552647295578E-2</v>
      </c>
    </row>
    <row r="228" spans="3:27" x14ac:dyDescent="0.25">
      <c r="C228" s="1445">
        <v>44228</v>
      </c>
      <c r="D228" s="1363">
        <v>1177971</v>
      </c>
      <c r="E228" s="69">
        <v>-0.15297490345687625</v>
      </c>
      <c r="F228" s="69">
        <v>0.25607269165328123</v>
      </c>
      <c r="G228" s="1361">
        <v>37.418474635494427</v>
      </c>
      <c r="H228" s="1361">
        <v>160.44279487877964</v>
      </c>
      <c r="I228" s="1363">
        <v>15102.192307692309</v>
      </c>
      <c r="J228" s="1363">
        <v>8924.0227272727279</v>
      </c>
      <c r="K228" s="43">
        <v>78</v>
      </c>
      <c r="L228" s="43">
        <v>132</v>
      </c>
      <c r="M228" s="69">
        <v>0.59090909090909094</v>
      </c>
      <c r="N228" s="386">
        <v>7342</v>
      </c>
      <c r="O228" s="7">
        <v>94.128205128205124</v>
      </c>
      <c r="P228" s="1363">
        <v>135.89907382184691</v>
      </c>
      <c r="Q228" s="1361">
        <v>0.70734757593405251</v>
      </c>
      <c r="R228" s="1363">
        <v>4600143</v>
      </c>
      <c r="S228" s="209">
        <v>31481</v>
      </c>
      <c r="T228" s="209">
        <v>21053</v>
      </c>
      <c r="U228" s="209">
        <v>10428</v>
      </c>
      <c r="V228" s="209">
        <v>40800</v>
      </c>
      <c r="W228" s="209">
        <v>18744</v>
      </c>
      <c r="X228" s="7">
        <v>160.61734693877551</v>
      </c>
      <c r="Y228" s="7">
        <v>98.686520376175551</v>
      </c>
      <c r="Z228" s="1544">
        <v>0.97957840129560625</v>
      </c>
      <c r="AA228" s="1544">
        <v>1.4509736797061187E-2</v>
      </c>
    </row>
    <row r="229" spans="3:27" x14ac:dyDescent="0.25">
      <c r="C229" s="1445">
        <v>44256</v>
      </c>
      <c r="D229" s="1363">
        <v>1235014</v>
      </c>
      <c r="E229" s="69">
        <v>-0.20342927286654244</v>
      </c>
      <c r="F229" s="69">
        <v>0.22180519725891396</v>
      </c>
      <c r="G229" s="1361">
        <v>24.440235890129028</v>
      </c>
      <c r="H229" s="1361">
        <v>127.94095099968922</v>
      </c>
      <c r="I229" s="1363">
        <v>13876.561797752809</v>
      </c>
      <c r="J229" s="1363">
        <v>8949.3768115942021</v>
      </c>
      <c r="K229" s="43">
        <v>89</v>
      </c>
      <c r="L229" s="43">
        <v>138</v>
      </c>
      <c r="M229" s="69">
        <v>0.64492753623188404</v>
      </c>
      <c r="N229" s="386">
        <v>9653</v>
      </c>
      <c r="O229" s="7">
        <v>108.46067415730337</v>
      </c>
      <c r="P229" s="1363">
        <v>101.9140163679685</v>
      </c>
      <c r="Q229" s="1361">
        <v>-0.27710069590367264</v>
      </c>
      <c r="R229" s="1363">
        <v>5568012</v>
      </c>
      <c r="S229" s="209">
        <v>50532</v>
      </c>
      <c r="T229" s="209">
        <v>30719</v>
      </c>
      <c r="U229" s="209">
        <v>19813</v>
      </c>
      <c r="V229" s="209">
        <v>56926</v>
      </c>
      <c r="W229" s="209">
        <v>25138</v>
      </c>
      <c r="X229" s="7">
        <v>252.66</v>
      </c>
      <c r="Y229" s="7">
        <v>147.32361516034985</v>
      </c>
      <c r="Z229" s="1544">
        <v>0.97623931623931626</v>
      </c>
      <c r="AA229" s="1544">
        <v>2.0372046254399194E-2</v>
      </c>
    </row>
    <row r="230" spans="3:27" x14ac:dyDescent="0.25">
      <c r="C230" s="1445">
        <v>44287</v>
      </c>
      <c r="D230" s="1363">
        <v>1004637</v>
      </c>
      <c r="E230" s="69">
        <v>-3.2595853029502186E-2</v>
      </c>
      <c r="F230" s="69">
        <v>0.20739098904270267</v>
      </c>
      <c r="G230" s="1361">
        <v>27.994454816507371</v>
      </c>
      <c r="H230" s="1361">
        <v>126.43304807450289</v>
      </c>
      <c r="I230" s="1363">
        <v>11547.551724137931</v>
      </c>
      <c r="J230" s="1363">
        <v>7387.036764705882</v>
      </c>
      <c r="K230" s="43">
        <v>87</v>
      </c>
      <c r="L230" s="43">
        <v>136</v>
      </c>
      <c r="M230" s="69">
        <v>0.63970588235294112</v>
      </c>
      <c r="N230" s="386">
        <v>7946</v>
      </c>
      <c r="O230" s="7">
        <v>91.333333333333329</v>
      </c>
      <c r="P230" s="1363">
        <v>122.31185502139441</v>
      </c>
      <c r="Q230" s="1361">
        <v>0.43784599587669215</v>
      </c>
      <c r="R230" s="1363">
        <v>4844169</v>
      </c>
      <c r="S230" s="209">
        <v>35887</v>
      </c>
      <c r="T230" s="209">
        <v>25043</v>
      </c>
      <c r="U230" s="209">
        <v>10844</v>
      </c>
      <c r="V230" s="209">
        <v>44560</v>
      </c>
      <c r="W230" s="209">
        <v>18272</v>
      </c>
      <c r="X230" s="7">
        <v>220.16564417177915</v>
      </c>
      <c r="Y230" s="7">
        <v>125.91929824561403</v>
      </c>
      <c r="Z230" s="1544">
        <v>0.97674783153934586</v>
      </c>
      <c r="AA230" s="1544">
        <v>1.8301285400773332E-2</v>
      </c>
    </row>
    <row r="231" spans="3:27" x14ac:dyDescent="0.25">
      <c r="C231" s="1445">
        <v>44317</v>
      </c>
      <c r="D231" s="1363">
        <v>1004637</v>
      </c>
      <c r="E231" s="69">
        <v>9.3839864548090457E-2</v>
      </c>
      <c r="F231" s="69">
        <v>0.18384052613857618</v>
      </c>
      <c r="G231" s="1361">
        <v>19.978860495177489</v>
      </c>
      <c r="H231" s="1361">
        <v>110.48465852853843</v>
      </c>
      <c r="I231" s="1363">
        <v>11288.056179775282</v>
      </c>
      <c r="J231" s="1363">
        <v>7175.9785714285717</v>
      </c>
      <c r="K231" s="43">
        <v>89</v>
      </c>
      <c r="L231" s="43">
        <v>140</v>
      </c>
      <c r="M231" s="69">
        <v>0.63571428571428568</v>
      </c>
      <c r="N231" s="386">
        <v>9093</v>
      </c>
      <c r="O231" s="7">
        <v>102.1685393258427</v>
      </c>
      <c r="P231" s="1363">
        <v>120.85252391949851</v>
      </c>
      <c r="Q231" s="1361">
        <v>0.27845891463789546</v>
      </c>
      <c r="R231" s="1363">
        <v>5464720</v>
      </c>
      <c r="S231" s="209">
        <v>50285</v>
      </c>
      <c r="T231" s="209">
        <v>32022</v>
      </c>
      <c r="U231" s="209">
        <v>18263</v>
      </c>
      <c r="V231" s="209">
        <v>49588</v>
      </c>
      <c r="W231" s="209">
        <v>23730</v>
      </c>
      <c r="X231" s="7">
        <v>271.81081081081084</v>
      </c>
      <c r="Y231" s="7">
        <v>141.64788732394365</v>
      </c>
      <c r="Z231" s="1544">
        <v>0.97900637156622961</v>
      </c>
      <c r="AA231" s="1544">
        <v>1.5188890171832848E-2</v>
      </c>
    </row>
    <row r="232" spans="3:27" x14ac:dyDescent="0.25">
      <c r="C232" s="1445">
        <v>44348</v>
      </c>
      <c r="D232" s="1363">
        <v>1422347</v>
      </c>
      <c r="E232" s="69">
        <v>-0.21020116750694451</v>
      </c>
      <c r="F232" s="69">
        <v>0.26027806360105116</v>
      </c>
      <c r="G232" s="1361">
        <v>35.928741032636154</v>
      </c>
      <c r="H232" s="1361">
        <v>164.12958689129934</v>
      </c>
      <c r="I232" s="1363">
        <v>16538.918604651164</v>
      </c>
      <c r="J232" s="1363">
        <v>10306.86231884058</v>
      </c>
      <c r="K232" s="43">
        <v>86</v>
      </c>
      <c r="L232" s="43">
        <v>138</v>
      </c>
      <c r="M232" s="69">
        <v>0.62318840579710144</v>
      </c>
      <c r="N232" s="386">
        <v>8666</v>
      </c>
      <c r="O232" s="7">
        <v>100.76744186046511</v>
      </c>
      <c r="P232" s="1363">
        <v>129.62935610431572</v>
      </c>
      <c r="Q232" s="1361">
        <v>0.41065225470797134</v>
      </c>
      <c r="R232" s="1363">
        <v>5464721</v>
      </c>
      <c r="S232" s="209">
        <v>39588</v>
      </c>
      <c r="T232" s="209">
        <v>25960</v>
      </c>
      <c r="U232" s="209">
        <v>13628</v>
      </c>
      <c r="V232" s="209">
        <v>48437</v>
      </c>
      <c r="W232" s="209">
        <v>20702</v>
      </c>
      <c r="X232" s="7">
        <v>200.95431472081219</v>
      </c>
      <c r="Y232" s="7">
        <v>111.51549295774647</v>
      </c>
      <c r="Z232" s="1544">
        <v>0.97166336072541792</v>
      </c>
      <c r="AA232" s="1544">
        <v>1.8265325399074335E-2</v>
      </c>
    </row>
    <row r="233" spans="3:27" x14ac:dyDescent="0.25">
      <c r="C233" s="1445">
        <v>44378</v>
      </c>
      <c r="D233" s="1363">
        <v>1515606</v>
      </c>
      <c r="E233" s="69">
        <v>-0.11671832916998215</v>
      </c>
      <c r="F233" s="69">
        <v>0.21692510030742385</v>
      </c>
      <c r="G233" s="1361">
        <v>33.575675675675676</v>
      </c>
      <c r="H233" s="1361">
        <v>153.69698813507759</v>
      </c>
      <c r="I233" s="1363">
        <v>15953.747368421053</v>
      </c>
      <c r="J233" s="1363">
        <v>10310.244897959185</v>
      </c>
      <c r="K233" s="43">
        <v>95</v>
      </c>
      <c r="L233" s="43">
        <v>147</v>
      </c>
      <c r="M233" s="69">
        <v>0.6462585034013606</v>
      </c>
      <c r="N233" s="386">
        <v>9861</v>
      </c>
      <c r="O233" s="7">
        <v>103.8</v>
      </c>
      <c r="P233" s="1363">
        <v>135.75773248149275</v>
      </c>
      <c r="Q233" s="1361">
        <v>0.17966811850567307</v>
      </c>
      <c r="R233" s="1363">
        <v>6986771</v>
      </c>
      <c r="S233" s="209">
        <v>45140</v>
      </c>
      <c r="T233" s="209">
        <v>25274</v>
      </c>
      <c r="U233" s="209">
        <v>19866</v>
      </c>
      <c r="V233" s="209">
        <v>47168</v>
      </c>
      <c r="W233" s="209">
        <v>21659</v>
      </c>
      <c r="X233" s="7">
        <v>246.66666666666666</v>
      </c>
      <c r="Y233" s="7">
        <v>125.0415512465374</v>
      </c>
      <c r="Z233" s="1544">
        <v>0.97399325450038599</v>
      </c>
      <c r="AA233" s="1544">
        <v>1.8712666097769108E-2</v>
      </c>
    </row>
    <row r="234" spans="3:27" x14ac:dyDescent="0.25">
      <c r="C234" s="1445">
        <v>44409</v>
      </c>
      <c r="D234" s="1363">
        <v>1402452</v>
      </c>
      <c r="E234" s="69">
        <v>0.20718213528876572</v>
      </c>
      <c r="F234" s="69">
        <v>0.1382627881435971</v>
      </c>
      <c r="G234" s="1361">
        <v>30.4814605520539</v>
      </c>
      <c r="H234" s="1361">
        <v>149.69068203650338</v>
      </c>
      <c r="I234" s="1363">
        <v>14310.734693877552</v>
      </c>
      <c r="J234" s="1363">
        <v>9226.6578947368416</v>
      </c>
      <c r="K234" s="43">
        <v>98</v>
      </c>
      <c r="L234" s="43">
        <v>152</v>
      </c>
      <c r="M234" s="69">
        <v>0.64473684210526316</v>
      </c>
      <c r="N234" s="386">
        <v>9369</v>
      </c>
      <c r="O234" s="7">
        <v>95.602040816326536</v>
      </c>
      <c r="P234" s="1363">
        <v>180.7039171736578</v>
      </c>
      <c r="Q234" s="1361">
        <v>0.45312312069546834</v>
      </c>
      <c r="R234" s="1363">
        <v>10143380</v>
      </c>
      <c r="S234" s="209">
        <v>46010</v>
      </c>
      <c r="T234" s="209">
        <v>22068</v>
      </c>
      <c r="U234" s="209">
        <v>23942</v>
      </c>
      <c r="V234" s="209">
        <v>76959</v>
      </c>
      <c r="W234" s="209">
        <v>25562</v>
      </c>
      <c r="X234" s="7">
        <v>258.4831460674157</v>
      </c>
      <c r="Y234" s="7">
        <v>143.78125</v>
      </c>
      <c r="Z234" s="1544">
        <v>0.97165508880635787</v>
      </c>
      <c r="AA234" s="1544">
        <v>1.9550868820597686E-2</v>
      </c>
    </row>
    <row r="235" spans="3:27" x14ac:dyDescent="0.25">
      <c r="C235" s="1445">
        <v>44440</v>
      </c>
      <c r="D235" s="1363">
        <v>1508162</v>
      </c>
      <c r="E235" s="69">
        <v>0.47032082760340077</v>
      </c>
      <c r="F235" s="69">
        <v>9.1690236774328901E-2</v>
      </c>
      <c r="G235" s="1361">
        <v>24.12171520880316</v>
      </c>
      <c r="H235" s="1361">
        <v>133.124018006885</v>
      </c>
      <c r="I235" s="1363">
        <v>14932.29702970297</v>
      </c>
      <c r="J235" s="1363">
        <v>9793.2597402597403</v>
      </c>
      <c r="K235" s="43">
        <v>101</v>
      </c>
      <c r="L235" s="43">
        <v>154</v>
      </c>
      <c r="M235" s="69">
        <v>0.6558441558441559</v>
      </c>
      <c r="N235" s="386">
        <v>11329</v>
      </c>
      <c r="O235" s="7">
        <v>112.16831683168317</v>
      </c>
      <c r="P235" s="1363">
        <v>195.73501632977315</v>
      </c>
      <c r="Q235" s="1361">
        <v>0.38778736983497591</v>
      </c>
      <c r="R235" s="1363">
        <v>16448447</v>
      </c>
      <c r="S235" s="209">
        <v>62523</v>
      </c>
      <c r="T235" s="209">
        <v>28205</v>
      </c>
      <c r="U235" s="209">
        <v>34318</v>
      </c>
      <c r="V235" s="209">
        <v>79466</v>
      </c>
      <c r="W235" s="209">
        <v>22259</v>
      </c>
      <c r="X235" s="7">
        <v>314.1859296482412</v>
      </c>
      <c r="Y235" s="7">
        <v>177.62215909090909</v>
      </c>
      <c r="Z235" s="1544">
        <v>0.9347010720839638</v>
      </c>
      <c r="AA235" s="1544">
        <v>2.0741444254853351E-2</v>
      </c>
    </row>
    <row r="236" spans="3:27" x14ac:dyDescent="0.25">
      <c r="C236" s="1445">
        <v>44470</v>
      </c>
      <c r="D236" s="1363">
        <v>1558477</v>
      </c>
      <c r="E236" s="69">
        <v>0.12143522169400001</v>
      </c>
      <c r="F236" s="69">
        <v>9.0994404564349027E-2</v>
      </c>
      <c r="G236" s="1361">
        <v>25.232773136454892</v>
      </c>
      <c r="H236" s="1361">
        <v>133.66323811327331</v>
      </c>
      <c r="I236" s="1363">
        <v>14040.333333333334</v>
      </c>
      <c r="J236" s="1363">
        <v>9008.5375722543358</v>
      </c>
      <c r="K236" s="43">
        <v>111</v>
      </c>
      <c r="L236" s="43">
        <v>173</v>
      </c>
      <c r="M236" s="69">
        <v>0.64161849710982655</v>
      </c>
      <c r="N236" s="386">
        <v>11659.727999999999</v>
      </c>
      <c r="O236" s="7">
        <v>105.04259459459459</v>
      </c>
      <c r="P236" s="1363">
        <v>149.89466306589657</v>
      </c>
      <c r="Q236" s="1361">
        <v>0.60970362069072226</v>
      </c>
      <c r="R236" s="1363">
        <v>17127174</v>
      </c>
      <c r="S236" s="209">
        <v>61764</v>
      </c>
      <c r="T236" s="209">
        <v>25626</v>
      </c>
      <c r="U236" s="209">
        <v>36138</v>
      </c>
      <c r="V236" s="209">
        <v>75159</v>
      </c>
      <c r="W236" s="209">
        <v>24389</v>
      </c>
      <c r="X236" s="7">
        <v>365.46745562130178</v>
      </c>
      <c r="Y236" s="7">
        <v>196.70063694267515</v>
      </c>
      <c r="Z236" s="1544">
        <v>0.97562559694364848</v>
      </c>
      <c r="AA236" s="1544">
        <v>1.6710601719197707E-2</v>
      </c>
    </row>
    <row r="237" spans="3:27" x14ac:dyDescent="0.25">
      <c r="C237" s="1445">
        <v>44501</v>
      </c>
      <c r="D237" s="1363">
        <v>1752743</v>
      </c>
      <c r="E237" s="69">
        <v>4.3574557137013192E-2</v>
      </c>
      <c r="F237" s="69">
        <v>0.11408829242129162</v>
      </c>
      <c r="G237" s="1361">
        <v>25.652650528349383</v>
      </c>
      <c r="H237" s="1361">
        <v>153.97939606452482</v>
      </c>
      <c r="I237" s="1363">
        <v>13693.3046875</v>
      </c>
      <c r="J237" s="1363">
        <v>9474.286486486486</v>
      </c>
      <c r="K237" s="43">
        <v>128</v>
      </c>
      <c r="L237" s="43">
        <v>185</v>
      </c>
      <c r="M237" s="69">
        <v>0.69189189189189193</v>
      </c>
      <c r="N237" s="386">
        <v>11382.971</v>
      </c>
      <c r="O237" s="7">
        <v>88.929460937499996</v>
      </c>
      <c r="P237" s="1363">
        <v>160.68898005626124</v>
      </c>
      <c r="Q237" s="1361">
        <v>0.27476332809131526</v>
      </c>
      <c r="R237" s="1363">
        <v>15363040</v>
      </c>
      <c r="S237" s="209">
        <v>68326</v>
      </c>
      <c r="T237" s="209">
        <v>29346</v>
      </c>
      <c r="U237" s="209">
        <v>38980</v>
      </c>
      <c r="V237" s="209">
        <v>84812</v>
      </c>
      <c r="W237" s="209">
        <v>28636</v>
      </c>
      <c r="X237" s="7">
        <v>293.24463519313304</v>
      </c>
      <c r="Y237" s="7">
        <v>166.24330900243308</v>
      </c>
      <c r="Z237" s="1544">
        <v>0.97187320702170588</v>
      </c>
      <c r="AA237" s="1544">
        <v>1.7921724611427357E-2</v>
      </c>
    </row>
    <row r="238" spans="3:27" x14ac:dyDescent="0.25">
      <c r="C238" s="1445">
        <v>44531</v>
      </c>
      <c r="D238" s="1363">
        <v>1607770</v>
      </c>
      <c r="E238" s="69">
        <v>-0.12235829751767979</v>
      </c>
      <c r="F238" s="69">
        <v>0.14321421159007441</v>
      </c>
      <c r="G238" s="1361">
        <v>25.883347285723485</v>
      </c>
      <c r="H238" s="1361">
        <v>116.21604820475456</v>
      </c>
      <c r="I238" s="1363">
        <v>12273.053435114503</v>
      </c>
      <c r="J238" s="1363">
        <v>8417.6439790575914</v>
      </c>
      <c r="K238" s="43">
        <v>131</v>
      </c>
      <c r="L238" s="43">
        <v>191</v>
      </c>
      <c r="M238" s="69">
        <v>0.68586387434554974</v>
      </c>
      <c r="N238" s="386">
        <v>13834.32</v>
      </c>
      <c r="O238" s="7">
        <v>105.6054961832061</v>
      </c>
      <c r="P238" s="1363">
        <v>101.99605040218819</v>
      </c>
      <c r="Q238" s="1361">
        <v>0.30037420955913463</v>
      </c>
      <c r="R238" s="1363">
        <v>11226330</v>
      </c>
      <c r="S238" s="209">
        <v>62116</v>
      </c>
      <c r="T238" s="209">
        <v>31486</v>
      </c>
      <c r="U238" s="209">
        <v>30630</v>
      </c>
      <c r="V238" s="209">
        <v>64750</v>
      </c>
      <c r="W238" s="209">
        <v>17991</v>
      </c>
      <c r="X238" s="7">
        <v>301.53398058252429</v>
      </c>
      <c r="Y238" s="7">
        <v>196.56962025316454</v>
      </c>
      <c r="Z238" s="1544">
        <v>0.97548823234852278</v>
      </c>
      <c r="AA238" s="1544">
        <v>2.0405608412618927E-2</v>
      </c>
    </row>
    <row r="239" spans="3:27" x14ac:dyDescent="0.25">
      <c r="C239" s="1445">
        <v>44562</v>
      </c>
      <c r="D239" s="1363">
        <v>1319071</v>
      </c>
      <c r="E239" s="69">
        <v>2.6373864636551003E-2</v>
      </c>
      <c r="F239" s="69">
        <v>0.13552400531093997</v>
      </c>
      <c r="G239" s="1361">
        <v>30.846803236518404</v>
      </c>
      <c r="H239" s="1361">
        <v>121.81325195894995</v>
      </c>
      <c r="I239" s="1363">
        <v>9489.7194244604325</v>
      </c>
      <c r="J239" s="1363">
        <v>6595.3549999999996</v>
      </c>
      <c r="K239" s="43">
        <v>139</v>
      </c>
      <c r="L239" s="43">
        <v>200</v>
      </c>
      <c r="M239" s="69">
        <v>0.69499999999999995</v>
      </c>
      <c r="N239" s="386">
        <v>10828.633</v>
      </c>
      <c r="O239" s="7">
        <v>77.903834532374105</v>
      </c>
      <c r="P239" s="1363">
        <v>125.02593817705338</v>
      </c>
      <c r="Q239" s="1361">
        <v>0.49196983864470145</v>
      </c>
      <c r="R239" s="1363">
        <v>9733117</v>
      </c>
      <c r="S239" s="209">
        <v>42762</v>
      </c>
      <c r="T239" s="209">
        <v>23494</v>
      </c>
      <c r="U239" s="209">
        <v>19268</v>
      </c>
      <c r="V239" s="209">
        <v>56660</v>
      </c>
      <c r="W239" s="209">
        <v>21366</v>
      </c>
      <c r="X239" s="7">
        <v>223.88481675392671</v>
      </c>
      <c r="Y239" s="7">
        <v>137.94193548387096</v>
      </c>
      <c r="Z239" s="1544">
        <v>0.9760021068109247</v>
      </c>
      <c r="AA239" s="1544">
        <v>2.0607244357148342E-2</v>
      </c>
    </row>
    <row r="240" spans="3:27" x14ac:dyDescent="0.25">
      <c r="C240" s="1445">
        <v>44593</v>
      </c>
      <c r="D240" s="1363">
        <v>1803505</v>
      </c>
      <c r="E240" s="69">
        <v>-0.1872531542745931</v>
      </c>
      <c r="F240" s="69">
        <v>0.17330096341039208</v>
      </c>
      <c r="G240" s="1361">
        <v>34.56049747048904</v>
      </c>
      <c r="H240" s="1361">
        <v>144.87147562053178</v>
      </c>
      <c r="I240" s="1363">
        <v>13359.296296296296</v>
      </c>
      <c r="J240" s="1363">
        <v>9062.8391959798992</v>
      </c>
      <c r="K240" s="43">
        <v>135</v>
      </c>
      <c r="L240" s="43">
        <v>199</v>
      </c>
      <c r="M240" s="69">
        <v>0.67839195979899503</v>
      </c>
      <c r="N240" s="386">
        <v>12449</v>
      </c>
      <c r="O240" s="7">
        <v>92.214814814814815</v>
      </c>
      <c r="P240" s="1363">
        <v>117.74383484617238</v>
      </c>
      <c r="Q240" s="1361">
        <v>0.7607444377607675</v>
      </c>
      <c r="R240" s="1363">
        <v>10406780</v>
      </c>
      <c r="S240" s="209">
        <v>52184</v>
      </c>
      <c r="T240" s="209">
        <v>30389</v>
      </c>
      <c r="U240" s="209">
        <v>21795</v>
      </c>
      <c r="V240" s="209">
        <v>58263</v>
      </c>
      <c r="W240" s="209">
        <v>28277</v>
      </c>
      <c r="X240" s="7">
        <v>237.2</v>
      </c>
      <c r="Y240" s="7">
        <v>141.42005420054201</v>
      </c>
      <c r="Z240" s="1544">
        <v>0.97037037037037033</v>
      </c>
      <c r="AA240" s="1544">
        <v>2.4397883597883599E-2</v>
      </c>
    </row>
    <row r="241" spans="3:27" x14ac:dyDescent="0.25">
      <c r="C241" s="1445">
        <v>44621</v>
      </c>
      <c r="D241" s="1363">
        <v>1430112</v>
      </c>
      <c r="E241" s="69">
        <v>0.12227923407397467</v>
      </c>
      <c r="F241" s="69">
        <v>0.1341715490027425</v>
      </c>
      <c r="G241" s="1361">
        <v>21.685449141748045</v>
      </c>
      <c r="H241" s="1361">
        <v>100.81861120902362</v>
      </c>
      <c r="I241" s="1363">
        <v>11172.75</v>
      </c>
      <c r="J241" s="1363">
        <v>7409.9067357512949</v>
      </c>
      <c r="K241" s="43">
        <v>128</v>
      </c>
      <c r="L241" s="43">
        <v>193</v>
      </c>
      <c r="M241" s="69">
        <v>0.66321243523316065</v>
      </c>
      <c r="N241" s="386">
        <v>14185</v>
      </c>
      <c r="O241" s="7">
        <v>110.8203125</v>
      </c>
      <c r="P241" s="1363">
        <v>113.14663376806486</v>
      </c>
      <c r="Q241" s="1361">
        <v>-9.013182682680429E-2</v>
      </c>
      <c r="R241" s="1363">
        <v>10658832</v>
      </c>
      <c r="S241" s="209">
        <v>65948</v>
      </c>
      <c r="T241" s="209">
        <v>36422</v>
      </c>
      <c r="U241" s="209">
        <v>29526</v>
      </c>
      <c r="V241" s="209">
        <v>75368</v>
      </c>
      <c r="W241" s="209">
        <v>32072</v>
      </c>
      <c r="X241" s="7">
        <v>364.35359116022101</v>
      </c>
      <c r="Y241" s="7">
        <v>192.83040935672514</v>
      </c>
      <c r="Z241" s="1544">
        <v>0.97131349200770412</v>
      </c>
      <c r="AA241" s="1544">
        <v>2.0406011443674349E-2</v>
      </c>
    </row>
    <row r="242" spans="3:27" x14ac:dyDescent="0.25">
      <c r="C242" s="1445">
        <v>44652</v>
      </c>
      <c r="D242" s="1363">
        <v>1580054</v>
      </c>
      <c r="E242" s="69">
        <v>-8.9027969930141615E-2</v>
      </c>
      <c r="F242" s="69">
        <v>0.17614302324674008</v>
      </c>
      <c r="G242" s="1361">
        <v>26.925701237176646</v>
      </c>
      <c r="H242" s="1361">
        <v>161.92395982783358</v>
      </c>
      <c r="I242" s="1363">
        <v>13167.116666666667</v>
      </c>
      <c r="J242" s="1363">
        <v>8634.1748633879779</v>
      </c>
      <c r="K242" s="43">
        <v>120</v>
      </c>
      <c r="L242" s="43">
        <v>183</v>
      </c>
      <c r="M242" s="69">
        <v>0.65573770491803274</v>
      </c>
      <c r="N242" s="386">
        <v>9758</v>
      </c>
      <c r="O242" s="7">
        <v>81.316666666666663</v>
      </c>
      <c r="P242" s="1363">
        <v>147.50819840131174</v>
      </c>
      <c r="Q242" s="1361">
        <v>7.0432505526577177E-2</v>
      </c>
      <c r="R242" s="1363">
        <v>8970290</v>
      </c>
      <c r="S242" s="209">
        <v>58682</v>
      </c>
      <c r="T242" s="209">
        <v>31089</v>
      </c>
      <c r="U242" s="209">
        <v>27593</v>
      </c>
      <c r="V242" s="209">
        <v>64025</v>
      </c>
      <c r="W242" s="209">
        <v>20194</v>
      </c>
      <c r="X242" s="7">
        <v>391.21333333333331</v>
      </c>
      <c r="Y242" s="7">
        <v>225.7</v>
      </c>
      <c r="Z242" s="1544">
        <v>0.97006213354336224</v>
      </c>
      <c r="AA242" s="1544">
        <v>1.8272512470464689E-2</v>
      </c>
    </row>
    <row r="243" spans="3:27" x14ac:dyDescent="0.25">
      <c r="C243" s="1445">
        <v>44682</v>
      </c>
      <c r="D243" s="1363">
        <v>1636239</v>
      </c>
      <c r="E243" s="69">
        <v>-0.11396379135321921</v>
      </c>
      <c r="F243" s="69">
        <v>0.17343416908760664</v>
      </c>
      <c r="G243" s="1361">
        <v>28.746293042867183</v>
      </c>
      <c r="H243" s="1361">
        <v>143.74409206711763</v>
      </c>
      <c r="I243" s="1363">
        <v>13866.43220338983</v>
      </c>
      <c r="J243" s="1363">
        <v>8749.9411764705874</v>
      </c>
      <c r="K243" s="43">
        <v>118</v>
      </c>
      <c r="L243" s="43">
        <v>187</v>
      </c>
      <c r="M243" s="69">
        <v>0.63101604278074863</v>
      </c>
      <c r="N243" s="386">
        <v>11383</v>
      </c>
      <c r="O243" s="7">
        <v>96.466101694915253</v>
      </c>
      <c r="P243" s="1363">
        <v>127.36247035052271</v>
      </c>
      <c r="Q243" s="1361">
        <v>0.48438938890556554</v>
      </c>
      <c r="R243" s="1363">
        <v>9434352</v>
      </c>
      <c r="S243" s="209">
        <v>56920</v>
      </c>
      <c r="T243" s="209">
        <v>31238</v>
      </c>
      <c r="U243" s="209">
        <v>25682</v>
      </c>
      <c r="V243" s="209">
        <v>74483</v>
      </c>
      <c r="W243" s="209">
        <v>19509</v>
      </c>
      <c r="X243" s="7">
        <v>268.49056603773585</v>
      </c>
      <c r="Y243" s="7">
        <v>158.11111111111111</v>
      </c>
      <c r="Z243" s="1544">
        <v>0.97159254404194773</v>
      </c>
      <c r="AA243" s="1544">
        <v>2.0822009783547014E-2</v>
      </c>
    </row>
    <row r="244" spans="3:27" x14ac:dyDescent="0.25">
      <c r="C244" s="1445">
        <v>44713</v>
      </c>
      <c r="D244" s="1363">
        <v>1693475</v>
      </c>
      <c r="E244" s="69">
        <v>-0.17667104622152674</v>
      </c>
      <c r="F244" s="69">
        <v>0.18140160004250441</v>
      </c>
      <c r="G244" s="1361">
        <v>28.765372333197444</v>
      </c>
      <c r="H244" s="1361">
        <v>161.73001623531658</v>
      </c>
      <c r="I244" s="1363">
        <v>15395.227272727272</v>
      </c>
      <c r="J244" s="1363">
        <v>9408.1944444444453</v>
      </c>
      <c r="K244" s="43">
        <v>110</v>
      </c>
      <c r="L244" s="43">
        <v>180</v>
      </c>
      <c r="M244" s="69">
        <v>0.61111111111111116</v>
      </c>
      <c r="N244" s="386">
        <v>10471</v>
      </c>
      <c r="O244" s="7">
        <v>95.190909090909088</v>
      </c>
      <c r="P244" s="1363">
        <v>133.15700506159871</v>
      </c>
      <c r="Q244" s="1361">
        <v>0.45911832057879698</v>
      </c>
      <c r="R244" s="1363">
        <v>9335502</v>
      </c>
      <c r="S244" s="209">
        <v>58872</v>
      </c>
      <c r="T244" s="209">
        <v>23416</v>
      </c>
      <c r="U244" s="209">
        <v>35456</v>
      </c>
      <c r="V244" s="209">
        <v>73221</v>
      </c>
      <c r="W244" s="209">
        <v>19549</v>
      </c>
      <c r="X244" s="7">
        <v>321.70491803278691</v>
      </c>
      <c r="Y244" s="7">
        <v>184.55172413793105</v>
      </c>
      <c r="Z244" s="1544">
        <v>0.96882984159427699</v>
      </c>
      <c r="AA244" s="1544">
        <v>1.9247146993697836E-2</v>
      </c>
    </row>
    <row r="245" spans="3:27" x14ac:dyDescent="0.25">
      <c r="C245" s="1445">
        <v>44743</v>
      </c>
      <c r="D245" s="1363">
        <v>1769250</v>
      </c>
      <c r="E245" s="69">
        <v>-0.23933813762893885</v>
      </c>
      <c r="F245" s="69">
        <v>0.20551811939740242</v>
      </c>
      <c r="G245" s="1361">
        <v>36.826384697042236</v>
      </c>
      <c r="H245" s="1361">
        <v>167.06798866855524</v>
      </c>
      <c r="I245" s="1363">
        <v>15252.155172413793</v>
      </c>
      <c r="J245" s="1363">
        <v>9461.2299465240649</v>
      </c>
      <c r="K245" s="43">
        <v>116</v>
      </c>
      <c r="L245" s="43">
        <v>187</v>
      </c>
      <c r="M245" s="69">
        <v>0.6203208556149733</v>
      </c>
      <c r="N245" s="386">
        <v>10590</v>
      </c>
      <c r="O245" s="7">
        <v>91.293103448275858</v>
      </c>
      <c r="P245" s="1363">
        <v>127.08224740321057</v>
      </c>
      <c r="Q245" s="1361">
        <v>0.32544870149255462</v>
      </c>
      <c r="R245" s="1363">
        <v>8608730</v>
      </c>
      <c r="S245" s="209">
        <v>48043</v>
      </c>
      <c r="T245" s="209">
        <v>19303</v>
      </c>
      <c r="U245" s="209">
        <v>28740</v>
      </c>
      <c r="V245" s="209">
        <v>62066</v>
      </c>
      <c r="W245" s="209">
        <v>13790</v>
      </c>
      <c r="X245" s="7">
        <v>266.90555555555557</v>
      </c>
      <c r="Y245" s="7">
        <v>165.66551724137932</v>
      </c>
      <c r="Z245" s="1544">
        <v>0.96281303218962</v>
      </c>
      <c r="AA245" s="1544">
        <v>2.42515610895521E-2</v>
      </c>
    </row>
    <row r="246" spans="3:27" x14ac:dyDescent="0.25">
      <c r="C246" s="1445">
        <v>44774</v>
      </c>
      <c r="D246" s="1363">
        <v>2087019</v>
      </c>
      <c r="E246" s="69">
        <v>-0.24543523561596703</v>
      </c>
      <c r="F246" s="69">
        <v>0.20176780633019217</v>
      </c>
      <c r="G246" s="1361">
        <v>41.104898272703998</v>
      </c>
      <c r="H246" s="1361">
        <v>135.47672833495619</v>
      </c>
      <c r="I246" s="1363">
        <v>17837.76923076923</v>
      </c>
      <c r="J246" s="1363">
        <v>10926.80104712042</v>
      </c>
      <c r="K246" s="43">
        <v>117</v>
      </c>
      <c r="L246" s="43">
        <v>191</v>
      </c>
      <c r="M246" s="69">
        <v>0.61256544502617805</v>
      </c>
      <c r="N246" s="386">
        <v>15405</v>
      </c>
      <c r="O246" s="7">
        <v>131.66666666666666</v>
      </c>
      <c r="P246" s="1363">
        <v>102.22596559558585</v>
      </c>
      <c r="Q246" s="1361">
        <v>0.79520154699489076</v>
      </c>
      <c r="R246" s="1363">
        <v>10343667</v>
      </c>
      <c r="S246" s="209">
        <v>50773</v>
      </c>
      <c r="T246" s="209">
        <v>21795</v>
      </c>
      <c r="U246" s="209">
        <v>28978</v>
      </c>
      <c r="V246" s="209">
        <v>66539</v>
      </c>
      <c r="W246" s="209">
        <v>12866</v>
      </c>
      <c r="X246" s="7">
        <v>237.25700934579439</v>
      </c>
      <c r="Y246" s="7">
        <v>133.26246719160105</v>
      </c>
      <c r="Z246" s="1544">
        <v>0.9621190756623148</v>
      </c>
      <c r="AA246" s="1544">
        <v>2.6633599309898642E-2</v>
      </c>
    </row>
    <row r="247" spans="3:27" x14ac:dyDescent="0.25">
      <c r="C247" s="1445">
        <v>44805</v>
      </c>
      <c r="D247" s="1363">
        <v>1836545</v>
      </c>
      <c r="E247" s="69">
        <v>-0.20327898309053138</v>
      </c>
      <c r="F247" s="69">
        <v>0.18244278797935631</v>
      </c>
      <c r="G247" s="1361">
        <v>28.700948600540716</v>
      </c>
      <c r="H247" s="1361">
        <v>149.88533420386844</v>
      </c>
      <c r="I247" s="1363">
        <v>14575.753968253968</v>
      </c>
      <c r="J247" s="1363">
        <v>9228.8693467336689</v>
      </c>
      <c r="K247" s="43">
        <v>126</v>
      </c>
      <c r="L247" s="43">
        <v>199</v>
      </c>
      <c r="M247" s="69">
        <v>0.63316582914572861</v>
      </c>
      <c r="N247" s="386">
        <v>12253</v>
      </c>
      <c r="O247" s="7">
        <v>97.246031746031747</v>
      </c>
      <c r="P247" s="1363">
        <v>119.41679588672162</v>
      </c>
      <c r="Q247" s="1361">
        <v>0.31005076682704152</v>
      </c>
      <c r="R247" s="1363">
        <v>10066416</v>
      </c>
      <c r="S247" s="209">
        <v>63989</v>
      </c>
      <c r="T247" s="209">
        <v>24158</v>
      </c>
      <c r="U247" s="209">
        <v>39831</v>
      </c>
      <c r="V247" s="209">
        <v>55611</v>
      </c>
      <c r="W247" s="209">
        <v>13565</v>
      </c>
      <c r="X247" s="7">
        <v>319.94499999999999</v>
      </c>
      <c r="Y247" s="7">
        <v>181.78693181818181</v>
      </c>
      <c r="Z247" s="1544">
        <v>0.97200926939986987</v>
      </c>
      <c r="AA247" s="1544">
        <v>2.5792422583051602E-2</v>
      </c>
    </row>
    <row r="248" spans="3:27" x14ac:dyDescent="0.25">
      <c r="C248" s="1445">
        <v>44835</v>
      </c>
      <c r="D248" s="1363">
        <v>1830031</v>
      </c>
      <c r="E248" s="69">
        <v>-0.24187568407311133</v>
      </c>
      <c r="F248" s="69">
        <v>0.18808620492251288</v>
      </c>
      <c r="G248" s="1361">
        <v>34.433382881442036</v>
      </c>
      <c r="H248" s="1361">
        <v>135.27727675931402</v>
      </c>
      <c r="I248" s="1363">
        <v>14878.300813008131</v>
      </c>
      <c r="J248" s="1363">
        <v>9196.13567839196</v>
      </c>
      <c r="K248" s="43">
        <v>123</v>
      </c>
      <c r="L248" s="43">
        <v>199</v>
      </c>
      <c r="M248" s="69">
        <v>0.61809045226130654</v>
      </c>
      <c r="N248" s="386">
        <v>13528</v>
      </c>
      <c r="O248" s="7">
        <v>109.98373983739837</v>
      </c>
      <c r="P248" s="1363">
        <v>102.55699290360734</v>
      </c>
      <c r="Q248" s="1361">
        <v>0.54169964971336348</v>
      </c>
      <c r="R248" s="1363">
        <v>9729746</v>
      </c>
      <c r="S248" s="209">
        <v>53147</v>
      </c>
      <c r="T248" s="209">
        <v>19975</v>
      </c>
      <c r="U248" s="209">
        <v>33172</v>
      </c>
      <c r="V248" s="209">
        <v>62739</v>
      </c>
      <c r="W248" s="209">
        <v>12484</v>
      </c>
      <c r="X248" s="7">
        <v>241.57727272727271</v>
      </c>
      <c r="Y248" s="7">
        <v>151.41595441595442</v>
      </c>
      <c r="Z248" s="1544">
        <v>0.97133160956690368</v>
      </c>
      <c r="AA248" s="1544">
        <v>2.5436328377504848E-2</v>
      </c>
    </row>
    <row r="249" spans="3:27" x14ac:dyDescent="0.25">
      <c r="C249" s="1445">
        <v>44866</v>
      </c>
      <c r="D249" s="1363">
        <v>1946725</v>
      </c>
      <c r="E249" s="69">
        <v>-0.2767709871707611</v>
      </c>
      <c r="F249" s="69">
        <v>0.26207827136916134</v>
      </c>
      <c r="G249" s="1361">
        <v>54.126814213423792</v>
      </c>
      <c r="H249" s="1361">
        <v>168.41638550047583</v>
      </c>
      <c r="I249" s="1363">
        <v>19274.504950495051</v>
      </c>
      <c r="J249" s="1363">
        <v>11519.082840236686</v>
      </c>
      <c r="K249" s="43">
        <v>101</v>
      </c>
      <c r="L249" s="43">
        <v>169</v>
      </c>
      <c r="M249" s="69">
        <v>0.59763313609467461</v>
      </c>
      <c r="N249" s="386">
        <v>11559</v>
      </c>
      <c r="O249" s="7">
        <v>114.44554455445545</v>
      </c>
      <c r="P249" s="1363">
        <v>121.80361622977766</v>
      </c>
      <c r="Q249" s="1361">
        <v>0.31750010669048279</v>
      </c>
      <c r="R249" s="1363">
        <v>7428029</v>
      </c>
      <c r="S249" s="209">
        <v>35966</v>
      </c>
      <c r="T249" s="209">
        <v>14889</v>
      </c>
      <c r="U249" s="209">
        <v>21077</v>
      </c>
      <c r="V249" s="209">
        <v>60004</v>
      </c>
      <c r="W249" s="209">
        <v>8667</v>
      </c>
      <c r="X249" s="7">
        <v>197.61538461538461</v>
      </c>
      <c r="Y249" s="7">
        <v>128.44999999999999</v>
      </c>
      <c r="Z249" s="1544">
        <v>0.96972537656859192</v>
      </c>
      <c r="AA249" s="1544">
        <v>3.5590259283720733E-2</v>
      </c>
    </row>
    <row r="250" spans="3:27" x14ac:dyDescent="0.25">
      <c r="C250" s="1445">
        <v>44896</v>
      </c>
      <c r="D250" s="1363">
        <v>1327616</v>
      </c>
      <c r="E250" s="69">
        <v>-0.37316287239683765</v>
      </c>
      <c r="F250" s="69">
        <v>0.32344100439938783</v>
      </c>
      <c r="G250" s="1361">
        <v>66.284687203554839</v>
      </c>
      <c r="H250" s="1361">
        <v>225.09596473380807</v>
      </c>
      <c r="I250" s="1363">
        <v>14589.186813186812</v>
      </c>
      <c r="J250" s="1363">
        <v>8677.2287581699347</v>
      </c>
      <c r="K250" s="43">
        <v>91</v>
      </c>
      <c r="L250" s="43">
        <v>153</v>
      </c>
      <c r="M250" s="69">
        <v>0.59477124183006536</v>
      </c>
      <c r="N250" s="386">
        <v>5898</v>
      </c>
      <c r="O250" s="7">
        <v>64.813186813186817</v>
      </c>
      <c r="P250" s="1363">
        <v>141.09850796880298</v>
      </c>
      <c r="Q250" s="1361">
        <v>0.99491748650680623</v>
      </c>
      <c r="R250" s="1363">
        <v>4104662</v>
      </c>
      <c r="S250" s="209">
        <v>20029</v>
      </c>
      <c r="T250" s="209">
        <v>9042</v>
      </c>
      <c r="U250" s="209">
        <v>10987</v>
      </c>
      <c r="V250" s="209">
        <v>41200</v>
      </c>
      <c r="W250" s="209">
        <v>11704</v>
      </c>
      <c r="X250" s="7">
        <v>178.83035714285714</v>
      </c>
      <c r="Y250" s="7">
        <v>129.21935483870968</v>
      </c>
      <c r="Z250" s="1544">
        <v>0.97536659327877706</v>
      </c>
      <c r="AA250" s="1544">
        <v>2.1330951688613799E-2</v>
      </c>
    </row>
    <row r="251" spans="3:27" x14ac:dyDescent="0.25">
      <c r="C251" s="1445">
        <v>44927</v>
      </c>
      <c r="D251" s="1363">
        <v>1141783</v>
      </c>
      <c r="E251" s="69">
        <v>-0.49172128153948691</v>
      </c>
      <c r="F251" s="69">
        <v>0.39042150284083915</v>
      </c>
      <c r="G251" s="1361">
        <v>65.72169458354918</v>
      </c>
      <c r="H251" s="1361">
        <v>259.49613636363637</v>
      </c>
      <c r="I251" s="1363">
        <v>13123.942528735632</v>
      </c>
      <c r="J251" s="1363">
        <v>7767.2312925170072</v>
      </c>
      <c r="K251" s="43">
        <v>87</v>
      </c>
      <c r="L251" s="43">
        <v>147</v>
      </c>
      <c r="M251" s="69">
        <v>0.59183673469387754</v>
      </c>
      <c r="N251" s="386">
        <v>4400</v>
      </c>
      <c r="O251" s="7">
        <v>50.574712643678161</v>
      </c>
      <c r="P251" s="1363">
        <v>131.89636363636365</v>
      </c>
      <c r="Q251" s="1361">
        <v>-0.28678524240824377</v>
      </c>
      <c r="R251" s="1363">
        <v>2924488</v>
      </c>
      <c r="S251" s="209">
        <v>17373</v>
      </c>
      <c r="T251" s="209">
        <v>8989</v>
      </c>
      <c r="U251" s="209">
        <v>8384</v>
      </c>
      <c r="V251" s="209">
        <v>18898</v>
      </c>
      <c r="W251" s="209">
        <v>6174</v>
      </c>
      <c r="X251" s="7">
        <v>172.009900990099</v>
      </c>
      <c r="Y251" s="7">
        <v>142.40163934426229</v>
      </c>
      <c r="Z251" s="1544">
        <v>0.96591399761245589</v>
      </c>
      <c r="AA251" s="1544">
        <v>2.2351476975438773E-2</v>
      </c>
    </row>
    <row r="252" spans="3:27" x14ac:dyDescent="0.25">
      <c r="C252" s="1445">
        <v>44958</v>
      </c>
      <c r="D252" s="1363">
        <v>1209964</v>
      </c>
      <c r="E252" s="69">
        <v>-0.23408878280676115</v>
      </c>
      <c r="F252" s="69">
        <v>0.27238239483925808</v>
      </c>
      <c r="G252" s="1361">
        <v>43.687319468515312</v>
      </c>
      <c r="H252" s="1361">
        <v>161.63024312049157</v>
      </c>
      <c r="I252" s="1363">
        <v>13749.59090909091</v>
      </c>
      <c r="J252" s="1363">
        <v>8520.8732394366198</v>
      </c>
      <c r="K252" s="43">
        <v>88</v>
      </c>
      <c r="L252" s="43">
        <v>142</v>
      </c>
      <c r="M252" s="69">
        <v>0.61971830985915488</v>
      </c>
      <c r="N252" s="386">
        <v>7486</v>
      </c>
      <c r="O252" s="7">
        <v>85.068181818181813</v>
      </c>
      <c r="P252" s="1363">
        <v>123.79441624365482</v>
      </c>
      <c r="Q252" s="1361">
        <v>0.51796966875514383</v>
      </c>
      <c r="R252" s="1363">
        <v>4442152</v>
      </c>
      <c r="S252" s="209">
        <v>27696</v>
      </c>
      <c r="T252" s="209">
        <v>16350</v>
      </c>
      <c r="U252" s="209">
        <v>11346</v>
      </c>
      <c r="V252" s="209">
        <v>26205</v>
      </c>
      <c r="W252" s="209">
        <v>9476</v>
      </c>
      <c r="X252" s="7">
        <v>170.96296296296296</v>
      </c>
      <c r="Y252" s="7">
        <v>116.86075949367088</v>
      </c>
      <c r="Z252" s="1544">
        <v>0.96468253265049353</v>
      </c>
      <c r="AA252" s="1544">
        <v>1.846502808739877E-2</v>
      </c>
    </row>
    <row r="253" spans="3:27" x14ac:dyDescent="0.25">
      <c r="C253" s="1445">
        <v>44986</v>
      </c>
      <c r="D253" s="1363">
        <v>988498</v>
      </c>
      <c r="E253" s="69">
        <v>2.5390036196330179E-2</v>
      </c>
      <c r="F253" s="69">
        <v>0.19295130004739369</v>
      </c>
      <c r="G253" s="1361">
        <v>32.246949827102497</v>
      </c>
      <c r="H253" s="1361">
        <v>119.54262909662596</v>
      </c>
      <c r="I253" s="1363">
        <v>13358.081081081082</v>
      </c>
      <c r="J253" s="1363">
        <v>7215.3138686131388</v>
      </c>
      <c r="K253" s="43">
        <v>74</v>
      </c>
      <c r="L253" s="43">
        <v>137</v>
      </c>
      <c r="M253" s="69">
        <v>0.54014598540145986</v>
      </c>
      <c r="N253" s="386">
        <v>8269</v>
      </c>
      <c r="O253" s="7">
        <v>111.74324324324324</v>
      </c>
      <c r="P253" s="1363">
        <v>122.57782077639376</v>
      </c>
      <c r="Q253" s="1361">
        <v>0.16648305187306608</v>
      </c>
      <c r="R253" s="1363">
        <v>5123044</v>
      </c>
      <c r="S253" s="209">
        <v>30654</v>
      </c>
      <c r="T253" s="209">
        <v>20663</v>
      </c>
      <c r="U253" s="209">
        <v>9991</v>
      </c>
      <c r="V253" s="209">
        <v>35024</v>
      </c>
      <c r="W253" s="209">
        <v>14175</v>
      </c>
      <c r="X253" s="7">
        <v>181.38461538461539</v>
      </c>
      <c r="Y253" s="7">
        <v>125.6311475409836</v>
      </c>
      <c r="Z253" s="1544">
        <v>0.96936565705176403</v>
      </c>
      <c r="AA253" s="1544">
        <v>1.5144223538965922E-2</v>
      </c>
    </row>
    <row r="254" spans="3:27" x14ac:dyDescent="0.25">
      <c r="C254" s="1445">
        <v>45017</v>
      </c>
      <c r="D254" s="1363">
        <v>1283037</v>
      </c>
      <c r="E254" s="69">
        <v>-0.37765473637938729</v>
      </c>
      <c r="F254" s="69">
        <v>0.30528118846370184</v>
      </c>
      <c r="G254" s="1361">
        <v>53.37980529206191</v>
      </c>
      <c r="H254" s="1361">
        <v>207.51043182920912</v>
      </c>
      <c r="I254" s="1363">
        <v>16449.192307692309</v>
      </c>
      <c r="J254" s="1363">
        <v>9434.0955882352937</v>
      </c>
      <c r="K254" s="43">
        <v>78</v>
      </c>
      <c r="L254" s="43">
        <v>136</v>
      </c>
      <c r="M254" s="69">
        <v>0.57352941176470584</v>
      </c>
      <c r="N254" s="386">
        <v>6183</v>
      </c>
      <c r="O254" s="7">
        <v>79.269230769230774</v>
      </c>
      <c r="P254" s="1363">
        <v>129.14313440077632</v>
      </c>
      <c r="Q254" s="1361">
        <v>0.55217897384698411</v>
      </c>
      <c r="R254" s="1363">
        <v>4202804</v>
      </c>
      <c r="S254" s="209">
        <v>24036</v>
      </c>
      <c r="T254" s="209">
        <v>14493</v>
      </c>
      <c r="U254" s="209">
        <v>9543</v>
      </c>
      <c r="V254" s="209">
        <v>25705</v>
      </c>
      <c r="W254" s="209">
        <v>12422</v>
      </c>
      <c r="X254" s="7">
        <v>189.25984251968504</v>
      </c>
      <c r="Y254" s="7">
        <v>129.2258064516129</v>
      </c>
      <c r="Z254" s="1544">
        <v>0</v>
      </c>
      <c r="AA254" s="1544">
        <v>0</v>
      </c>
    </row>
  </sheetData>
  <mergeCells count="85">
    <mergeCell ref="AU52:BC67"/>
    <mergeCell ref="B35:J50"/>
    <mergeCell ref="AL18:AT33"/>
    <mergeCell ref="AL35:AT50"/>
    <mergeCell ref="B1:J16"/>
    <mergeCell ref="AC35:AK50"/>
    <mergeCell ref="K18:S33"/>
    <mergeCell ref="K1:S16"/>
    <mergeCell ref="T18:AB33"/>
    <mergeCell ref="K35:S50"/>
    <mergeCell ref="AC1:AK16"/>
    <mergeCell ref="AC52:AK67"/>
    <mergeCell ref="AC18:AK33"/>
    <mergeCell ref="T1:AB16"/>
    <mergeCell ref="AL1:AT16"/>
    <mergeCell ref="B52:J67"/>
    <mergeCell ref="AM108:AN108"/>
    <mergeCell ref="X107:Y107"/>
    <mergeCell ref="X108:Y108"/>
    <mergeCell ref="AC107:AD107"/>
    <mergeCell ref="AC108:AD108"/>
    <mergeCell ref="AG107:AH107"/>
    <mergeCell ref="AJ107:AK107"/>
    <mergeCell ref="AJ108:AK108"/>
    <mergeCell ref="AM107:AN107"/>
    <mergeCell ref="AG108:AH108"/>
    <mergeCell ref="U107:V107"/>
    <mergeCell ref="F108:G108"/>
    <mergeCell ref="F107:G107"/>
    <mergeCell ref="I107:J107"/>
    <mergeCell ref="I108:J108"/>
    <mergeCell ref="R107:S107"/>
    <mergeCell ref="R108:S108"/>
    <mergeCell ref="U108:V108"/>
    <mergeCell ref="B69:J84"/>
    <mergeCell ref="B86:J101"/>
    <mergeCell ref="L108:M108"/>
    <mergeCell ref="O107:P107"/>
    <mergeCell ref="O108:P108"/>
    <mergeCell ref="L107:M107"/>
    <mergeCell ref="BE107:BF107"/>
    <mergeCell ref="BE108:BF108"/>
    <mergeCell ref="BH107:BI107"/>
    <mergeCell ref="BH108:BI108"/>
    <mergeCell ref="AP107:AQ107"/>
    <mergeCell ref="AP108:AQ108"/>
    <mergeCell ref="AS107:AT107"/>
    <mergeCell ref="AS108:AT108"/>
    <mergeCell ref="AV107:AW107"/>
    <mergeCell ref="AV108:AW108"/>
    <mergeCell ref="BZ107:CA107"/>
    <mergeCell ref="BZ108:CA108"/>
    <mergeCell ref="BK107:BL107"/>
    <mergeCell ref="BK108:BL108"/>
    <mergeCell ref="BN107:BO107"/>
    <mergeCell ref="BN108:BO108"/>
    <mergeCell ref="BQ107:BR107"/>
    <mergeCell ref="BQ108:BR108"/>
    <mergeCell ref="CL107:CM107"/>
    <mergeCell ref="CL108:CM108"/>
    <mergeCell ref="AU1:BC16"/>
    <mergeCell ref="B18:J33"/>
    <mergeCell ref="AU18:BC33"/>
    <mergeCell ref="T35:AB50"/>
    <mergeCell ref="CC107:CD107"/>
    <mergeCell ref="CC108:CD108"/>
    <mergeCell ref="CF107:CG107"/>
    <mergeCell ref="CF108:CG108"/>
    <mergeCell ref="CI107:CJ107"/>
    <mergeCell ref="CI108:CJ108"/>
    <mergeCell ref="BT107:BU107"/>
    <mergeCell ref="BT108:BU108"/>
    <mergeCell ref="BW107:BX107"/>
    <mergeCell ref="BW108:BX108"/>
    <mergeCell ref="K52:S67"/>
    <mergeCell ref="T52:AB67"/>
    <mergeCell ref="AL52:AT67"/>
    <mergeCell ref="AL69:AT84"/>
    <mergeCell ref="K86:S101"/>
    <mergeCell ref="T86:AB101"/>
    <mergeCell ref="AC86:AK101"/>
    <mergeCell ref="AL86:AT101"/>
    <mergeCell ref="K69:S84"/>
    <mergeCell ref="T69:AB84"/>
    <mergeCell ref="AC69:AK84"/>
  </mergeCells>
  <conditionalFormatting sqref="H110:H17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10:K1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0:N17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10:Q17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10:T17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10:W17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10:AF1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0:AI1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10:AL1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8" scale="23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C67A-A2ED-4F22-925B-F47F293B4155}">
  <sheetPr>
    <tabColor rgb="FFFF0000"/>
  </sheetPr>
  <dimension ref="A1:T46"/>
  <sheetViews>
    <sheetView showGridLines="0" zoomScale="85" zoomScaleNormal="85" workbookViewId="0">
      <selection activeCell="N51" sqref="N51"/>
    </sheetView>
  </sheetViews>
  <sheetFormatPr defaultRowHeight="15" x14ac:dyDescent="0.25"/>
  <cols>
    <col min="1" max="1" width="2.85546875" customWidth="1"/>
    <col min="2" max="2" width="9.140625" customWidth="1"/>
    <col min="9" max="9" width="9.140625" customWidth="1"/>
    <col min="14" max="14" width="9.140625" customWidth="1"/>
    <col min="18" max="18" width="15.42578125" bestFit="1" customWidth="1"/>
    <col min="19" max="19" width="14.140625" bestFit="1" customWidth="1"/>
  </cols>
  <sheetData>
    <row r="1" spans="1:20" x14ac:dyDescent="0.25">
      <c r="A1" s="914"/>
      <c r="B1" s="914"/>
      <c r="C1" s="914"/>
      <c r="D1" s="914"/>
      <c r="E1" s="914"/>
      <c r="F1" s="914"/>
      <c r="G1" s="914"/>
      <c r="H1" s="914"/>
      <c r="I1" s="914"/>
      <c r="J1" s="914"/>
      <c r="K1" s="914"/>
      <c r="L1" s="914"/>
      <c r="M1" s="914"/>
      <c r="N1" s="914"/>
      <c r="O1" s="914"/>
      <c r="R1" s="9" t="s">
        <v>424</v>
      </c>
      <c r="S1">
        <v>132</v>
      </c>
    </row>
    <row r="2" spans="1:20" ht="15" customHeight="1" x14ac:dyDescent="0.25">
      <c r="A2" s="914"/>
      <c r="B2" s="2017" t="s">
        <v>1170</v>
      </c>
      <c r="C2" s="2023"/>
      <c r="D2" s="2023"/>
      <c r="E2" s="2023"/>
      <c r="F2" s="2023"/>
      <c r="G2" s="2023"/>
      <c r="H2" s="2023"/>
      <c r="I2" s="2023"/>
      <c r="J2" s="2017" t="s">
        <v>1171</v>
      </c>
      <c r="K2" s="2018"/>
      <c r="L2" s="2018"/>
      <c r="M2" s="2018"/>
      <c r="N2" s="2019"/>
      <c r="O2" s="914"/>
      <c r="R2" s="9" t="s">
        <v>1172</v>
      </c>
      <c r="S2">
        <f>S3-S1</f>
        <v>65</v>
      </c>
      <c r="T2" s="913">
        <f>S2/S1</f>
        <v>0.49242424242424243</v>
      </c>
    </row>
    <row r="3" spans="1:20" ht="15" customHeight="1" x14ac:dyDescent="0.25">
      <c r="A3" s="914"/>
      <c r="B3" s="2024"/>
      <c r="C3" s="2025"/>
      <c r="D3" s="2025"/>
      <c r="E3" s="2025"/>
      <c r="F3" s="2025"/>
      <c r="G3" s="2025"/>
      <c r="H3" s="2025"/>
      <c r="I3" s="2025"/>
      <c r="J3" s="2020"/>
      <c r="K3" s="2021"/>
      <c r="L3" s="2021"/>
      <c r="M3" s="2021"/>
      <c r="N3" s="2022"/>
      <c r="O3" s="914"/>
      <c r="R3" s="9"/>
      <c r="S3">
        <v>197</v>
      </c>
    </row>
    <row r="4" spans="1:20" x14ac:dyDescent="0.25">
      <c r="A4" s="914"/>
      <c r="B4" s="9"/>
      <c r="J4" s="910"/>
      <c r="K4" s="911"/>
      <c r="L4" s="911"/>
      <c r="M4" s="911"/>
      <c r="N4" s="912"/>
      <c r="O4" s="914"/>
      <c r="R4" s="9" t="s">
        <v>1173</v>
      </c>
      <c r="S4">
        <v>110</v>
      </c>
    </row>
    <row r="5" spans="1:20" x14ac:dyDescent="0.25">
      <c r="A5" s="914"/>
      <c r="J5" s="910"/>
      <c r="K5" s="911"/>
      <c r="L5" s="911"/>
      <c r="M5" s="911"/>
      <c r="N5" s="912"/>
      <c r="O5" s="914"/>
      <c r="R5" s="9" t="s">
        <v>1174</v>
      </c>
      <c r="S5">
        <v>87</v>
      </c>
      <c r="T5">
        <f>S5/S6</f>
        <v>0.44162436548223349</v>
      </c>
    </row>
    <row r="6" spans="1:20" x14ac:dyDescent="0.25">
      <c r="A6" s="914"/>
      <c r="J6" s="910"/>
      <c r="K6" s="911"/>
      <c r="L6" s="911"/>
      <c r="M6" s="911"/>
      <c r="N6" s="912"/>
      <c r="O6" s="914"/>
      <c r="R6" s="9" t="s">
        <v>502</v>
      </c>
      <c r="S6">
        <f>SUM(S4:S5)</f>
        <v>197</v>
      </c>
    </row>
    <row r="7" spans="1:20" x14ac:dyDescent="0.25">
      <c r="A7" s="914"/>
      <c r="J7" s="910"/>
      <c r="K7" s="911"/>
      <c r="L7" s="911"/>
      <c r="M7" s="911"/>
      <c r="N7" s="912"/>
      <c r="O7" s="914"/>
    </row>
    <row r="8" spans="1:20" x14ac:dyDescent="0.25">
      <c r="A8" s="914"/>
      <c r="J8" s="910"/>
      <c r="K8" s="911"/>
      <c r="L8" s="911"/>
      <c r="M8" s="911"/>
      <c r="N8" s="912"/>
      <c r="O8" s="914"/>
    </row>
    <row r="9" spans="1:20" x14ac:dyDescent="0.25">
      <c r="A9" s="914"/>
      <c r="J9" s="910"/>
      <c r="K9" s="911"/>
      <c r="L9" s="911"/>
      <c r="M9" s="911"/>
      <c r="N9" s="912"/>
      <c r="O9" s="914"/>
    </row>
    <row r="10" spans="1:20" x14ac:dyDescent="0.25">
      <c r="A10" s="914"/>
      <c r="J10" s="910"/>
      <c r="K10" s="911"/>
      <c r="L10" s="911"/>
      <c r="M10" s="911"/>
      <c r="N10" s="912"/>
      <c r="O10" s="914"/>
      <c r="S10">
        <v>185</v>
      </c>
    </row>
    <row r="11" spans="1:20" x14ac:dyDescent="0.25">
      <c r="A11" s="914"/>
      <c r="B11" s="9"/>
      <c r="J11" s="910"/>
      <c r="K11" s="911"/>
      <c r="L11" s="911"/>
      <c r="M11" s="911"/>
      <c r="N11" s="912"/>
      <c r="O11" s="914"/>
      <c r="S11">
        <v>75</v>
      </c>
    </row>
    <row r="12" spans="1:20" x14ac:dyDescent="0.25">
      <c r="A12" s="914"/>
      <c r="B12" s="9"/>
      <c r="J12" s="910"/>
      <c r="K12" s="911"/>
      <c r="L12" s="911"/>
      <c r="M12" s="911"/>
      <c r="N12" s="912"/>
      <c r="O12" s="914"/>
      <c r="S12">
        <v>197</v>
      </c>
    </row>
    <row r="13" spans="1:20" x14ac:dyDescent="0.25">
      <c r="A13" s="914"/>
      <c r="B13" s="9"/>
      <c r="J13" s="910"/>
      <c r="K13" s="911"/>
      <c r="L13" s="911"/>
      <c r="M13" s="911"/>
      <c r="N13" s="912"/>
      <c r="O13" s="914"/>
      <c r="S13">
        <f>S12-S10</f>
        <v>12</v>
      </c>
    </row>
    <row r="14" spans="1:20" x14ac:dyDescent="0.25">
      <c r="A14" s="914"/>
      <c r="B14" s="9"/>
      <c r="J14" s="910"/>
      <c r="K14" s="911"/>
      <c r="L14" s="911"/>
      <c r="M14" s="911"/>
      <c r="N14" s="912"/>
      <c r="O14" s="914"/>
      <c r="S14">
        <f>S11+S13</f>
        <v>87</v>
      </c>
    </row>
    <row r="15" spans="1:20" x14ac:dyDescent="0.25">
      <c r="A15" s="914"/>
      <c r="B15" s="9"/>
      <c r="J15" s="910"/>
      <c r="K15" s="911"/>
      <c r="L15" s="911"/>
      <c r="M15" s="911"/>
      <c r="N15" s="912"/>
      <c r="O15" s="914"/>
    </row>
    <row r="16" spans="1:20" x14ac:dyDescent="0.25">
      <c r="A16" s="914"/>
      <c r="B16" s="9"/>
      <c r="J16" s="910"/>
      <c r="K16" s="911"/>
      <c r="L16" s="911"/>
      <c r="M16" s="911"/>
      <c r="N16" s="912"/>
      <c r="O16" s="914"/>
    </row>
    <row r="17" spans="1:15" x14ac:dyDescent="0.25">
      <c r="A17" s="914"/>
      <c r="B17" s="9"/>
      <c r="J17" s="910"/>
      <c r="K17" s="911"/>
      <c r="L17" s="911"/>
      <c r="M17" s="911"/>
      <c r="N17" s="912"/>
      <c r="O17" s="914"/>
    </row>
    <row r="18" spans="1:15" x14ac:dyDescent="0.25">
      <c r="A18" s="914"/>
      <c r="B18" s="2017" t="s">
        <v>1175</v>
      </c>
      <c r="C18" s="2023"/>
      <c r="D18" s="2023"/>
      <c r="E18" s="2026"/>
      <c r="F18" s="2017" t="s">
        <v>731</v>
      </c>
      <c r="G18" s="2023"/>
      <c r="H18" s="2023"/>
      <c r="I18" s="2026"/>
      <c r="J18" s="910"/>
      <c r="K18" s="911"/>
      <c r="L18" s="911"/>
      <c r="M18" s="911"/>
      <c r="N18" s="912"/>
      <c r="O18" s="914"/>
    </row>
    <row r="19" spans="1:15" x14ac:dyDescent="0.25">
      <c r="A19" s="914"/>
      <c r="B19" s="2024"/>
      <c r="C19" s="2025"/>
      <c r="D19" s="2025"/>
      <c r="E19" s="2027"/>
      <c r="F19" s="2024"/>
      <c r="G19" s="2025"/>
      <c r="H19" s="2025"/>
      <c r="I19" s="2027"/>
      <c r="J19" s="910"/>
      <c r="K19" s="911"/>
      <c r="L19" s="911"/>
      <c r="M19" s="911"/>
      <c r="N19" s="912"/>
      <c r="O19" s="914"/>
    </row>
    <row r="20" spans="1:15" x14ac:dyDescent="0.25">
      <c r="A20" s="914"/>
      <c r="B20" s="9" t="s">
        <v>1061</v>
      </c>
      <c r="C20" s="102">
        <v>0.97299999999999998</v>
      </c>
      <c r="J20" s="910"/>
      <c r="K20" s="911"/>
      <c r="L20" s="911"/>
      <c r="M20" s="911"/>
      <c r="N20" s="912"/>
      <c r="O20" s="914"/>
    </row>
    <row r="21" spans="1:15" x14ac:dyDescent="0.25">
      <c r="A21" s="914"/>
      <c r="B21" s="9" t="s">
        <v>1176</v>
      </c>
      <c r="C21" s="102">
        <f>C22-C20</f>
        <v>2.7000000000000024E-2</v>
      </c>
      <c r="J21" s="910"/>
      <c r="K21" s="911"/>
      <c r="L21" s="911"/>
      <c r="M21" s="911"/>
      <c r="N21" s="912"/>
      <c r="O21" s="914"/>
    </row>
    <row r="22" spans="1:15" x14ac:dyDescent="0.25">
      <c r="A22" s="914"/>
      <c r="B22" s="9"/>
      <c r="C22" s="102">
        <v>1</v>
      </c>
      <c r="J22" s="910"/>
      <c r="K22" s="911"/>
      <c r="L22" s="911"/>
      <c r="M22" s="911"/>
      <c r="N22" s="912"/>
      <c r="O22" s="914"/>
    </row>
    <row r="23" spans="1:15" x14ac:dyDescent="0.25">
      <c r="A23" s="914"/>
      <c r="B23" s="9"/>
      <c r="J23" s="910"/>
      <c r="K23" s="911"/>
      <c r="L23" s="911"/>
      <c r="M23" s="911"/>
      <c r="N23" s="912"/>
      <c r="O23" s="914"/>
    </row>
    <row r="24" spans="1:15" x14ac:dyDescent="0.25">
      <c r="A24" s="914"/>
      <c r="B24" s="9" t="s">
        <v>1177</v>
      </c>
      <c r="C24" s="106">
        <v>0.94499999999999995</v>
      </c>
      <c r="J24" s="910"/>
      <c r="K24" s="911"/>
      <c r="L24" s="911"/>
      <c r="M24" s="911"/>
      <c r="N24" s="912"/>
      <c r="O24" s="914"/>
    </row>
    <row r="25" spans="1:15" x14ac:dyDescent="0.25">
      <c r="A25" s="914"/>
      <c r="B25" s="9" t="s">
        <v>1178</v>
      </c>
      <c r="C25" s="106">
        <f>C26-C24</f>
        <v>5.5000000000000049E-2</v>
      </c>
      <c r="J25" s="910"/>
      <c r="K25" s="911"/>
      <c r="L25" s="911"/>
      <c r="M25" s="911"/>
      <c r="N25" s="912"/>
      <c r="O25" s="914"/>
    </row>
    <row r="26" spans="1:15" x14ac:dyDescent="0.25">
      <c r="A26" s="914"/>
      <c r="B26" s="9"/>
      <c r="C26" s="106">
        <v>1</v>
      </c>
      <c r="J26" s="910"/>
      <c r="K26" s="911"/>
      <c r="L26" s="911"/>
      <c r="M26" s="911"/>
      <c r="N26" s="912"/>
      <c r="O26" s="914"/>
    </row>
    <row r="27" spans="1:15" x14ac:dyDescent="0.25">
      <c r="A27" s="914"/>
      <c r="B27" s="9"/>
      <c r="J27" s="910"/>
      <c r="K27" s="911"/>
      <c r="L27" s="911"/>
      <c r="M27" s="911"/>
      <c r="N27" s="912"/>
      <c r="O27" s="914"/>
    </row>
    <row r="28" spans="1:15" x14ac:dyDescent="0.25">
      <c r="A28" s="914"/>
      <c r="B28" s="9"/>
      <c r="J28" s="910"/>
      <c r="K28" s="911"/>
      <c r="L28" s="911"/>
      <c r="M28" s="911"/>
      <c r="N28" s="912"/>
      <c r="O28" s="914"/>
    </row>
    <row r="29" spans="1:15" x14ac:dyDescent="0.25">
      <c r="A29" s="914"/>
      <c r="B29" s="9"/>
      <c r="J29" s="2017" t="s">
        <v>1179</v>
      </c>
      <c r="K29" s="2018"/>
      <c r="L29" s="2018"/>
      <c r="M29" s="2018"/>
      <c r="N29" s="2019"/>
      <c r="O29" s="914"/>
    </row>
    <row r="30" spans="1:15" x14ac:dyDescent="0.25">
      <c r="A30" s="914"/>
      <c r="B30" s="663"/>
      <c r="C30" s="166"/>
      <c r="D30" s="166"/>
      <c r="E30" s="166"/>
      <c r="F30" s="166"/>
      <c r="G30" s="166"/>
      <c r="H30" s="166"/>
      <c r="I30" s="166"/>
      <c r="J30" s="2020"/>
      <c r="K30" s="2021"/>
      <c r="L30" s="2021"/>
      <c r="M30" s="2021"/>
      <c r="N30" s="2022"/>
      <c r="O30" s="914"/>
    </row>
    <row r="31" spans="1:15" x14ac:dyDescent="0.25">
      <c r="A31" s="914"/>
      <c r="B31" s="914"/>
      <c r="C31" s="914"/>
      <c r="D31" s="914"/>
      <c r="E31" s="914"/>
      <c r="F31" s="914"/>
      <c r="G31" s="914"/>
      <c r="H31" s="914"/>
      <c r="I31" s="914"/>
      <c r="J31" s="914"/>
      <c r="K31" s="914"/>
      <c r="L31" s="914"/>
      <c r="M31" s="914"/>
      <c r="N31" s="914"/>
      <c r="O31" s="914"/>
    </row>
    <row r="32" spans="1:15" x14ac:dyDescent="0.25">
      <c r="O32" s="914"/>
    </row>
    <row r="36" spans="17:20" x14ac:dyDescent="0.25">
      <c r="Q36" t="s">
        <v>765</v>
      </c>
      <c r="R36" t="s">
        <v>1055</v>
      </c>
      <c r="S36" t="s">
        <v>943</v>
      </c>
      <c r="T36" t="s">
        <v>1180</v>
      </c>
    </row>
    <row r="37" spans="17:20" x14ac:dyDescent="0.25">
      <c r="Q37">
        <v>2014</v>
      </c>
      <c r="R37" s="134">
        <f>SUM('Group Totals'!AM30:AM41)</f>
        <v>140515</v>
      </c>
      <c r="S37" s="134">
        <f>SUM('Group Totals'!AN30:AN41)</f>
        <v>0</v>
      </c>
    </row>
    <row r="38" spans="17:20" x14ac:dyDescent="0.25">
      <c r="Q38">
        <v>2015</v>
      </c>
      <c r="R38" s="134">
        <f>SUM('Group Totals'!AM42:AM53)</f>
        <v>201859</v>
      </c>
      <c r="S38" s="134">
        <f>SUM('Group Totals'!AN42:AN53)</f>
        <v>0</v>
      </c>
    </row>
    <row r="39" spans="17:20" x14ac:dyDescent="0.25">
      <c r="Q39">
        <v>2016</v>
      </c>
      <c r="R39" s="134">
        <f>SUM('Group Totals'!AM54:AM65)</f>
        <v>197570</v>
      </c>
      <c r="S39" s="134">
        <f>SUM('Group Totals'!AN54:AN65)</f>
        <v>0</v>
      </c>
    </row>
    <row r="40" spans="17:20" x14ac:dyDescent="0.25">
      <c r="Q40">
        <v>2017</v>
      </c>
      <c r="R40" s="134">
        <f>SUM('Group Totals'!AM66:AM77)</f>
        <v>271390</v>
      </c>
      <c r="S40" s="134">
        <f>SUM('Group Totals'!AN66:AN77)</f>
        <v>0</v>
      </c>
    </row>
    <row r="41" spans="17:20" x14ac:dyDescent="0.25">
      <c r="Q41">
        <v>2018</v>
      </c>
      <c r="R41" s="134">
        <f>SUM('Group Totals'!AM78:AM89)</f>
        <v>283929</v>
      </c>
      <c r="S41" s="134">
        <f>SUM('Group Totals'!I78:I89)/9*12</f>
        <v>61272410.226666674</v>
      </c>
      <c r="T41" s="155">
        <f>R41/S41*100</f>
        <v>0.4633880060367363</v>
      </c>
    </row>
    <row r="42" spans="17:20" x14ac:dyDescent="0.25">
      <c r="Q42">
        <v>2019</v>
      </c>
      <c r="R42" s="134">
        <f>SUM('Group Totals'!AM90:AM101)</f>
        <v>262193</v>
      </c>
      <c r="S42" s="134">
        <f>SUM('Group Totals'!I90:I101)</f>
        <v>59294723.020000003</v>
      </c>
      <c r="T42" s="155">
        <f t="shared" ref="T42:T45" si="0">R42/S42*100</f>
        <v>0.44218606082629441</v>
      </c>
    </row>
    <row r="43" spans="17:20" x14ac:dyDescent="0.25">
      <c r="Q43">
        <v>2020</v>
      </c>
      <c r="R43" s="134">
        <f>SUM('Group Totals'!AM102:AM113)</f>
        <v>197864</v>
      </c>
      <c r="S43" s="134">
        <f>SUM('Group Totals'!I102:I113)</f>
        <v>64321490.039999999</v>
      </c>
      <c r="T43" s="155">
        <f t="shared" si="0"/>
        <v>0.30761725183442284</v>
      </c>
    </row>
    <row r="44" spans="17:20" x14ac:dyDescent="0.25">
      <c r="Q44">
        <v>2021</v>
      </c>
      <c r="R44" s="134">
        <f>SUM('Group Totals'!AM114:AM125)</f>
        <v>389920</v>
      </c>
      <c r="S44" s="134">
        <f>SUM('Group Totals'!I114:I125)</f>
        <v>108077041</v>
      </c>
      <c r="T44" s="155">
        <f t="shared" si="0"/>
        <v>0.36077967752651552</v>
      </c>
    </row>
    <row r="45" spans="17:20" x14ac:dyDescent="0.25">
      <c r="Q45">
        <v>2022</v>
      </c>
      <c r="R45" s="134">
        <f>SUM('Group Totals'!AM126:AM137)</f>
        <v>470933</v>
      </c>
      <c r="S45" s="134">
        <f>SUM('Group Totals'!I126:I137)</f>
        <v>108820123</v>
      </c>
      <c r="T45" s="155">
        <f t="shared" si="0"/>
        <v>0.43276278965426274</v>
      </c>
    </row>
    <row r="46" spans="17:20" x14ac:dyDescent="0.25">
      <c r="Q46" t="s">
        <v>397</v>
      </c>
      <c r="R46" s="118">
        <f>SUM(R37:R44)</f>
        <v>1945240</v>
      </c>
    </row>
  </sheetData>
  <mergeCells count="5">
    <mergeCell ref="J2:N3"/>
    <mergeCell ref="J29:N30"/>
    <mergeCell ref="B2:I3"/>
    <mergeCell ref="B18:E19"/>
    <mergeCell ref="F18:I19"/>
  </mergeCells>
  <pageMargins left="0.7" right="0.7" top="0.75" bottom="0.75" header="0.3" footer="0.3"/>
  <pageSetup paperSize="9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D77ED-5B44-45F4-87D7-FA43BB449B55}">
  <sheetPr>
    <tabColor rgb="FFFF0000"/>
    <pageSetUpPr fitToPage="1"/>
  </sheetPr>
  <dimension ref="A1:T45"/>
  <sheetViews>
    <sheetView showGridLines="0" topLeftCell="A2" zoomScale="50" zoomScaleNormal="50" workbookViewId="0">
      <selection activeCell="N21" sqref="N21"/>
    </sheetView>
  </sheetViews>
  <sheetFormatPr defaultRowHeight="15" x14ac:dyDescent="0.25"/>
  <cols>
    <col min="1" max="1" width="9.7109375" customWidth="1"/>
    <col min="2" max="5" width="15.140625" customWidth="1"/>
    <col min="7" max="10" width="15.140625" customWidth="1"/>
    <col min="12" max="15" width="15.140625" customWidth="1"/>
    <col min="17" max="20" width="15.140625" customWidth="1"/>
  </cols>
  <sheetData>
    <row r="1" spans="1:20" ht="25.5" customHeight="1" thickBot="1" x14ac:dyDescent="0.45">
      <c r="A1" s="80"/>
      <c r="B1" s="140" t="s">
        <v>1163</v>
      </c>
      <c r="C1" s="141">
        <v>44805</v>
      </c>
      <c r="D1" s="80"/>
      <c r="E1" s="80"/>
    </row>
    <row r="2" spans="1:20" ht="26.25" x14ac:dyDescent="0.4">
      <c r="B2" s="140" t="s">
        <v>1181</v>
      </c>
      <c r="C2" s="141">
        <v>44774</v>
      </c>
      <c r="L2" s="2030" t="s">
        <v>1182</v>
      </c>
      <c r="M2" s="2031"/>
      <c r="N2" s="2031"/>
      <c r="O2" s="2032"/>
    </row>
    <row r="3" spans="1:20" ht="32.25" thickBot="1" x14ac:dyDescent="0.3">
      <c r="L3" s="2039">
        <f>VLOOKUP(Dashboard!$C$1,'Group Totals'!$A:$AD,9,FALSE)</f>
        <v>10066416</v>
      </c>
      <c r="M3" s="2040"/>
      <c r="N3" s="2040"/>
      <c r="O3" s="2041"/>
    </row>
    <row r="4" spans="1:20" ht="15.75" x14ac:dyDescent="0.25">
      <c r="L4" s="127" t="s">
        <v>1183</v>
      </c>
      <c r="M4" s="202" t="s">
        <v>1184</v>
      </c>
      <c r="N4" s="2028" t="s">
        <v>1185</v>
      </c>
      <c r="O4" s="2029"/>
    </row>
    <row r="5" spans="1:20" ht="15.75" thickBot="1" x14ac:dyDescent="0.3">
      <c r="L5" s="131">
        <f>VLOOKUP(Dashboard!$C$2,'Group Totals'!$A:$AD,9,FALSE)</f>
        <v>10343667</v>
      </c>
      <c r="M5" s="132">
        <f>VLOOKUP(Dashboard!$C$1,'Group Totals'!$A:$AE,10,FALSE)</f>
        <v>10939519.166666666</v>
      </c>
      <c r="N5" s="132">
        <f>IF(LARGE('Group Totals'!I:I,1)=L3,LARGE('Group Totals'!I:I,2),LARGE('Group Totals'!I:I,1))</f>
        <v>17127174</v>
      </c>
      <c r="O5" s="128">
        <f>VLOOKUP(N5,'Group Totals'!I:BJ,54,FALSE)</f>
        <v>44470</v>
      </c>
    </row>
    <row r="7" spans="1:20" ht="15.75" thickBot="1" x14ac:dyDescent="0.3"/>
    <row r="8" spans="1:20" ht="26.25" x14ac:dyDescent="0.25">
      <c r="B8" s="2030" t="s">
        <v>1186</v>
      </c>
      <c r="C8" s="2031"/>
      <c r="D8" s="2031"/>
      <c r="E8" s="2032"/>
      <c r="G8" s="2030" t="s">
        <v>941</v>
      </c>
      <c r="H8" s="2031"/>
      <c r="I8" s="2031"/>
      <c r="J8" s="2032"/>
      <c r="L8" s="2030" t="s">
        <v>1187</v>
      </c>
      <c r="M8" s="2031"/>
      <c r="N8" s="2031"/>
      <c r="O8" s="2032"/>
      <c r="Q8" s="2030" t="s">
        <v>1188</v>
      </c>
      <c r="R8" s="2031"/>
      <c r="S8" s="2031"/>
      <c r="T8" s="2032"/>
    </row>
    <row r="9" spans="1:20" ht="32.25" thickBot="1" x14ac:dyDescent="0.3">
      <c r="B9" s="2039">
        <f>VLOOKUP(Dashboard!$C$1,'Group Totals'!$A:$BG,59,FALSE)</f>
        <v>821.54704970211378</v>
      </c>
      <c r="C9" s="2040"/>
      <c r="D9" s="2040"/>
      <c r="E9" s="2041"/>
      <c r="G9" s="2044">
        <f>VLOOKUP(Dashboard!$C$1,'Group Totals'!$A:$AN,40,FALSE)</f>
        <v>12253</v>
      </c>
      <c r="H9" s="2045"/>
      <c r="I9" s="2045"/>
      <c r="J9" s="2046"/>
      <c r="L9" s="2033">
        <f>VLOOKUP(Dashboard!$C$1,'Group Totals'!$A:$AD,11,FALSE)</f>
        <v>63989</v>
      </c>
      <c r="M9" s="2034"/>
      <c r="N9" s="2034"/>
      <c r="O9" s="2035"/>
      <c r="Q9" s="2039">
        <f>VLOOKUP(Dashboard!$C$1,'Group Totals'!$A:$BE,57,FALSE)</f>
        <v>157.31478847926988</v>
      </c>
      <c r="R9" s="2040"/>
      <c r="S9" s="2040"/>
      <c r="T9" s="2041"/>
    </row>
    <row r="10" spans="1:20" ht="15.75" x14ac:dyDescent="0.25">
      <c r="B10" s="127" t="s">
        <v>1183</v>
      </c>
      <c r="C10" s="202" t="s">
        <v>1184</v>
      </c>
      <c r="D10" s="2028" t="s">
        <v>1185</v>
      </c>
      <c r="E10" s="2029"/>
      <c r="G10" s="127" t="s">
        <v>1183</v>
      </c>
      <c r="H10" s="202" t="s">
        <v>1184</v>
      </c>
      <c r="I10" s="2028" t="s">
        <v>1185</v>
      </c>
      <c r="J10" s="2029"/>
      <c r="L10" s="127" t="s">
        <v>1183</v>
      </c>
      <c r="M10" s="203" t="s">
        <v>1184</v>
      </c>
      <c r="N10" s="2042" t="s">
        <v>1185</v>
      </c>
      <c r="O10" s="2043"/>
      <c r="Q10" s="127" t="s">
        <v>1183</v>
      </c>
      <c r="R10" s="202" t="s">
        <v>1184</v>
      </c>
      <c r="S10" s="2028" t="s">
        <v>1185</v>
      </c>
      <c r="T10" s="2029"/>
    </row>
    <row r="11" spans="1:20" ht="15.75" thickBot="1" x14ac:dyDescent="0.3">
      <c r="B11" s="131">
        <f>VLOOKUP(Dashboard!$C$2,'Group Totals'!$A:$BG,59,FALSE)</f>
        <v>671.4486854917235</v>
      </c>
      <c r="C11" s="132">
        <f>VLOOKUP(Dashboard!$C$1,'Group Totals'!$BJ:$BP,7,FALSE)</f>
        <v>921.81696909815116</v>
      </c>
      <c r="D11" s="132">
        <f>IF(LARGE('Group Totals'!BG:BG,1)=B9,LARGE('Group Totals'!BG:BG,2),LARGE('Group Totals'!BG:BG,1))</f>
        <v>1468.9171136753791</v>
      </c>
      <c r="E11" s="128">
        <f>VLOOKUP(D11,'Group Totals'!BG:BJ,4,FALSE)</f>
        <v>44470</v>
      </c>
      <c r="G11" s="124">
        <f>VLOOKUP(Dashboard!$C$2,'Group Totals'!$A:$AN,40,FALSE)</f>
        <v>15405</v>
      </c>
      <c r="H11" s="124">
        <f>VLOOKUP(Dashboard!$C$1,'Group Totals'!$BJ:$BQ,8,FALSE)</f>
        <v>12016.637666666667</v>
      </c>
      <c r="I11" s="124">
        <f>IF(LARGE('Group Totals'!AN:AN,1)=G9,LARGE('Group Totals'!AN:AN,2),LARGE('Group Totals'!AN:AN,1))</f>
        <v>15405</v>
      </c>
      <c r="J11" s="128">
        <f>VLOOKUP(I11,'Group Totals'!AN:BJ,23,FALSE)</f>
        <v>44774</v>
      </c>
      <c r="L11" s="124">
        <f>VLOOKUP(Dashboard!$C$2,'Group Totals'!$A:$AD,11,FALSE)</f>
        <v>50773</v>
      </c>
      <c r="M11" s="125">
        <f>VLOOKUP(Dashboard!$C$1,'Group Totals'!$A:$AE,12,FALSE)</f>
        <v>57531.583333333336</v>
      </c>
      <c r="N11" s="125">
        <f>IF(LARGE('Group Totals'!K:K,1)=L9,LARGE('Group Totals'!K:K,2),LARGE('Group Totals'!K:K,1))</f>
        <v>68326</v>
      </c>
      <c r="O11" s="128">
        <f>VLOOKUP(N11,'Group Totals'!K:BJ,52,FALSE)</f>
        <v>44501</v>
      </c>
      <c r="Q11" s="131">
        <f>VLOOKUP(Dashboard!$C$2,'Group Totals'!$A:$BE,57,FALSE)</f>
        <v>203.72377050794714</v>
      </c>
      <c r="R11" s="132">
        <f>VLOOKUP(Dashboard!$C$1,'Group Totals'!$BJ:$BR,9,FALSE)</f>
        <v>190.74597485693178</v>
      </c>
      <c r="S11" s="132">
        <f>IF(LARGE('Group Totals'!BE:BE,1)=Q9,LARGE('Group Totals'!BE:BE,2),LARGE('Group Totals'!BE:BE,1))</f>
        <v>277.3002720031086</v>
      </c>
      <c r="T11" s="128">
        <f>VLOOKUP(S11,'Group Totals'!BE:BJ,6,FALSE)</f>
        <v>44470</v>
      </c>
    </row>
    <row r="12" spans="1:20" ht="15.75" x14ac:dyDescent="0.25">
      <c r="L12" s="122" t="s">
        <v>1189</v>
      </c>
      <c r="M12" s="204" t="s">
        <v>1184</v>
      </c>
      <c r="N12" s="123" t="s">
        <v>1190</v>
      </c>
      <c r="O12" s="204" t="s">
        <v>1184</v>
      </c>
    </row>
    <row r="13" spans="1:20" ht="15.75" thickBot="1" x14ac:dyDescent="0.3">
      <c r="L13" s="124">
        <f>VLOOKUP(Dashboard!$C$1,'Group Totals'!$A:$AD,13,FALSE)</f>
        <v>352</v>
      </c>
      <c r="M13" s="126">
        <f>VLOOKUP(Dashboard!$C$1,'Group Totals'!$A:$AD,14,FALSE)</f>
        <v>335.33333333333331</v>
      </c>
      <c r="N13" s="129">
        <f>VLOOKUP(Dashboard!$C$1,'Group Totals'!$A:$AD,15,FALSE)</f>
        <v>200</v>
      </c>
      <c r="O13" s="126">
        <f>VLOOKUP(Dashboard!$C$1,'Group Totals'!$A:$AD,16,FALSE)</f>
        <v>194.91666666666666</v>
      </c>
    </row>
    <row r="15" spans="1:20" ht="15.75" thickBot="1" x14ac:dyDescent="0.3"/>
    <row r="16" spans="1:20" ht="26.25" x14ac:dyDescent="0.25">
      <c r="B16" s="2030" t="s">
        <v>1191</v>
      </c>
      <c r="C16" s="2031"/>
      <c r="D16" s="2031"/>
      <c r="E16" s="2032"/>
      <c r="G16" s="2030" t="s">
        <v>1192</v>
      </c>
      <c r="H16" s="2031"/>
      <c r="I16" s="2031"/>
      <c r="J16" s="2032"/>
      <c r="L16" s="2030" t="s">
        <v>1193</v>
      </c>
      <c r="M16" s="2031"/>
      <c r="N16" s="2031"/>
      <c r="O16" s="2032"/>
      <c r="Q16" s="2030" t="s">
        <v>1194</v>
      </c>
      <c r="R16" s="2031"/>
      <c r="S16" s="2031"/>
      <c r="T16" s="2032"/>
    </row>
    <row r="17" spans="2:20" ht="32.25" thickBot="1" x14ac:dyDescent="0.3">
      <c r="B17" s="2039">
        <f>VLOOKUP(Dashboard!$C$1,'Group Totals'!$A:$BI,61,FALSE)</f>
        <v>50332.08</v>
      </c>
      <c r="C17" s="2040"/>
      <c r="D17" s="2040"/>
      <c r="E17" s="2041"/>
      <c r="G17" s="2039">
        <f>VLOOKUP(Dashboard!$C$1,'Group Totals'!$BJ:$BO,6,FALSE)</f>
        <v>119.41679588672162</v>
      </c>
      <c r="H17" s="2040"/>
      <c r="I17" s="2040"/>
      <c r="J17" s="2041"/>
      <c r="L17" s="2033">
        <f>VLOOKUP(Dashboard!$C$1,'Group Totals'!$A:$AD,17,FALSE)</f>
        <v>39831</v>
      </c>
      <c r="M17" s="2034"/>
      <c r="N17" s="2034"/>
      <c r="O17" s="2035"/>
      <c r="Q17" s="2036">
        <f>VLOOKUP(Dashboard!$C$1,'Group Totals'!$A:$AO,41,FALSE)</f>
        <v>3.1005076682704153E-3</v>
      </c>
      <c r="R17" s="2037"/>
      <c r="S17" s="2037"/>
      <c r="T17" s="2038"/>
    </row>
    <row r="18" spans="2:20" ht="15.75" x14ac:dyDescent="0.25">
      <c r="B18" s="127" t="s">
        <v>1183</v>
      </c>
      <c r="C18" s="202" t="s">
        <v>1184</v>
      </c>
      <c r="D18" s="2028" t="s">
        <v>1185</v>
      </c>
      <c r="E18" s="2029"/>
      <c r="G18" s="127" t="s">
        <v>1183</v>
      </c>
      <c r="H18" s="202" t="s">
        <v>1184</v>
      </c>
      <c r="I18" s="2028" t="s">
        <v>1185</v>
      </c>
      <c r="J18" s="2029"/>
      <c r="L18" s="127" t="s">
        <v>1183</v>
      </c>
      <c r="M18" s="203" t="s">
        <v>1184</v>
      </c>
      <c r="N18" s="2042" t="s">
        <v>1185</v>
      </c>
      <c r="O18" s="2043"/>
      <c r="Q18" s="127" t="s">
        <v>1183</v>
      </c>
      <c r="R18" s="202" t="s">
        <v>1184</v>
      </c>
      <c r="S18" s="2028" t="s">
        <v>1195</v>
      </c>
      <c r="T18" s="2029"/>
    </row>
    <row r="19" spans="2:20" ht="15.75" thickBot="1" x14ac:dyDescent="0.3">
      <c r="B19" s="131">
        <f>VLOOKUP(Dashboard!$C$2,'Group Totals'!$A:$BI,61,FALSE)</f>
        <v>48334.892523364484</v>
      </c>
      <c r="C19" s="132">
        <f>VLOOKUP(Dashboard!$C$1,'Group Totals'!$BT:$BX,5,FALSE)</f>
        <v>56728.177529013024</v>
      </c>
      <c r="D19" s="132">
        <f>IF(LARGE('Group Totals'!BI:BI,1)=B17,LARGE('Group Totals'!BI:BI,2),LARGE('Group Totals'!BI:BI,1))</f>
        <v>101344.22485207101</v>
      </c>
      <c r="E19" s="128">
        <f>VLOOKUP(D19,'Group Totals'!BI:BJ,2,FALSE)</f>
        <v>44470</v>
      </c>
      <c r="G19" s="131">
        <f>VLOOKUP(Dashboard!$C$2,'Group Totals'!$BJ:$BO,6,FALSE)</f>
        <v>102.22596559558585</v>
      </c>
      <c r="H19" s="132">
        <f>VLOOKUP(Dashboard!$C$1,'Group Totals'!$BT:$BU,2,FALSE)</f>
        <v>127.10406525121566</v>
      </c>
      <c r="I19" s="132">
        <f>IF(LARGE('Group Totals'!BO:BO,1)=G17,LARGE('Group Totals'!BO:BO,2),LARGE('Group Totals'!BO:BO,1))</f>
        <v>195.73501632977315</v>
      </c>
      <c r="J19" s="128">
        <f>VLOOKUP(I19,'Group Totals'!BO:BT,6,FALSE)</f>
        <v>44440</v>
      </c>
      <c r="L19" s="124">
        <f>VLOOKUP(Dashboard!$C$2,'Group Totals'!$A:$AD,17,FALSE)</f>
        <v>28978</v>
      </c>
      <c r="M19" s="125">
        <f>VLOOKUP(Dashboard!$C$1,'Group Totals'!$A:$AE,18,FALSE)</f>
        <v>30218.083333333332</v>
      </c>
      <c r="N19" s="125">
        <f>IF(LARGE('Group Totals'!Q:Q,1)=L17,LARGE('Group Totals'!Q:Q,2),LARGE('Group Totals'!Q:Q,1))</f>
        <v>38980</v>
      </c>
      <c r="O19" s="128">
        <f>VLOOKUP(N19,'Group Totals'!Q:BJ,46,FALSE)</f>
        <v>44501</v>
      </c>
      <c r="Q19" s="906">
        <f>VLOOKUP(Dashboard!$C$2,'Group Totals'!$A:$AO,41,FALSE)</f>
        <v>7.9520154699489077E-3</v>
      </c>
      <c r="R19" s="907">
        <f>VLOOKUP(Dashboard!$C$1,'Group Totals'!$BT:$BV,3,FALSE)</f>
        <v>3.993387365204386E-3</v>
      </c>
      <c r="S19" s="907">
        <f>IF(SMALL('Group Totals'!AO:AO,1)=Q17,SMALL('Group Totals'!AO:AO,2),SMALL('Group Totals'!AO:AO,1))</f>
        <v>-3.5083064942974512E-3</v>
      </c>
      <c r="T19" s="128">
        <f>VLOOKUP(S19,'Group Totals'!AO:BJ,22,FALSE)</f>
        <v>43466</v>
      </c>
    </row>
    <row r="20" spans="2:20" ht="15.75" x14ac:dyDescent="0.25">
      <c r="L20" s="122" t="s">
        <v>1189</v>
      </c>
      <c r="M20" s="204" t="s">
        <v>1184</v>
      </c>
      <c r="N20" s="130" t="s">
        <v>1190</v>
      </c>
      <c r="O20" s="204" t="s">
        <v>1184</v>
      </c>
    </row>
    <row r="21" spans="2:20" ht="15.75" thickBot="1" x14ac:dyDescent="0.3">
      <c r="L21" s="124">
        <f>VLOOKUP(Dashboard!$C$1,'Group Totals'!$A:$AD,19,FALSE)</f>
        <v>122</v>
      </c>
      <c r="M21" s="126">
        <f>VLOOKUP(Dashboard!$C$1,'Group Totals'!$A:$AD,20,FALSE)</f>
        <v>98.833333333333329</v>
      </c>
      <c r="N21" s="124">
        <f>VLOOKUP(Dashboard!$C$1,'Group Totals'!$A:$AD,21,FALSE)</f>
        <v>62</v>
      </c>
      <c r="O21" s="126">
        <f>VLOOKUP(Dashboard!$C$1,'Group Totals'!$A:$AD,22,FALSE)</f>
        <v>64.583333333333329</v>
      </c>
    </row>
    <row r="23" spans="2:20" ht="15.75" thickBot="1" x14ac:dyDescent="0.3"/>
    <row r="24" spans="2:20" ht="26.25" x14ac:dyDescent="0.25">
      <c r="B24" s="2030" t="s">
        <v>1196</v>
      </c>
      <c r="C24" s="2031"/>
      <c r="D24" s="2031"/>
      <c r="E24" s="2032"/>
      <c r="G24" s="2030" t="s">
        <v>1197</v>
      </c>
      <c r="H24" s="2031"/>
      <c r="I24" s="2031"/>
      <c r="J24" s="2032"/>
      <c r="L24" s="2030" t="s">
        <v>1198</v>
      </c>
      <c r="M24" s="2031"/>
      <c r="N24" s="2031"/>
      <c r="O24" s="2032"/>
      <c r="Q24" s="2030" t="s">
        <v>1199</v>
      </c>
      <c r="R24" s="2031"/>
      <c r="S24" s="2031"/>
      <c r="T24" s="2032"/>
    </row>
    <row r="25" spans="2:20" ht="32.25" thickBot="1" x14ac:dyDescent="0.3">
      <c r="B25" s="2039">
        <f>VLOOKUP(Dashboard!$C$1,'Group Totals'!$A:$BH,60,FALSE)</f>
        <v>28597.772727272728</v>
      </c>
      <c r="C25" s="2040"/>
      <c r="D25" s="2040"/>
      <c r="E25" s="2041"/>
      <c r="G25" s="2039">
        <f>VLOOKUP(Dashboard!$C$1,'Group Totals'!$A:$BA,53,FALSE)</f>
        <v>11612.809523809523</v>
      </c>
      <c r="H25" s="2040"/>
      <c r="I25" s="2040"/>
      <c r="J25" s="2041"/>
      <c r="L25" s="2033">
        <f>VLOOKUP(Dashboard!$C$1,'Group Totals'!$A:$AD,23,FALSE)</f>
        <v>24158</v>
      </c>
      <c r="M25" s="2034"/>
      <c r="N25" s="2034"/>
      <c r="O25" s="2035"/>
      <c r="Q25" s="2033">
        <f>VLOOKUP(Dashboard!$C$1,'Group Totals'!$A:$AD,29,FALSE)</f>
        <v>55611</v>
      </c>
      <c r="R25" s="2034"/>
      <c r="S25" s="2034"/>
      <c r="T25" s="2035"/>
    </row>
    <row r="26" spans="2:20" ht="15.75" x14ac:dyDescent="0.25">
      <c r="B26" s="127" t="s">
        <v>1183</v>
      </c>
      <c r="C26" s="202" t="s">
        <v>1184</v>
      </c>
      <c r="D26" s="2028" t="s">
        <v>1185</v>
      </c>
      <c r="E26" s="2029"/>
      <c r="G26" s="127" t="s">
        <v>1183</v>
      </c>
      <c r="H26" s="202" t="s">
        <v>1184</v>
      </c>
      <c r="I26" s="2028" t="s">
        <v>1185</v>
      </c>
      <c r="J26" s="2029"/>
      <c r="L26" s="127" t="s">
        <v>1183</v>
      </c>
      <c r="M26" s="203" t="s">
        <v>1184</v>
      </c>
      <c r="N26" s="2042" t="s">
        <v>1185</v>
      </c>
      <c r="O26" s="2043"/>
      <c r="Q26" s="127" t="s">
        <v>1183</v>
      </c>
      <c r="R26" s="203" t="s">
        <v>1184</v>
      </c>
      <c r="S26" s="2042" t="s">
        <v>1185</v>
      </c>
      <c r="T26" s="2043"/>
    </row>
    <row r="27" spans="2:20" ht="15.75" thickBot="1" x14ac:dyDescent="0.3">
      <c r="B27" s="131">
        <f>VLOOKUP(Dashboard!$C$2,'Group Totals'!$A:$BH,60,FALSE)</f>
        <v>27148.732283464567</v>
      </c>
      <c r="C27" s="132">
        <f>VLOOKUP(Dashboard!$C$1,'Group Totals'!$BT:$BY,6,FALSE)</f>
        <v>32801.789106234653</v>
      </c>
      <c r="D27" s="132">
        <f>IF(LARGE('Group Totals'!BH:BH,1)=B25,LARGE('Group Totals'!BH:BH,2),LARGE('Group Totals'!BH:BH,1))</f>
        <v>54545.140127388535</v>
      </c>
      <c r="E27" s="128">
        <f>VLOOKUP(D27,'Group Totals'!BH:BJ,3,FALSE)</f>
        <v>44470</v>
      </c>
      <c r="G27" s="131">
        <f>VLOOKUP(Dashboard!$C$2,'Group Totals'!$A:$BA,53,FALSE)</f>
        <v>13459.752136752137</v>
      </c>
      <c r="H27" s="132">
        <f>VLOOKUP(Dashboard!$C$1,'Group Totals'!$BJ:$BS,10,FALSE)</f>
        <v>12297.832520747375</v>
      </c>
      <c r="I27" s="132">
        <f>IF(LARGE('Group Totals'!BA:BA,1)=G25,LARGE('Group Totals'!BA:BA,2),LARGE('Group Totals'!BA:BA,1))</f>
        <v>21955.267326732672</v>
      </c>
      <c r="J27" s="128">
        <f>VLOOKUP(I27,'Group Totals'!BA:BJ,10,FALSE)</f>
        <v>44440</v>
      </c>
      <c r="L27" s="124">
        <f>VLOOKUP(Dashboard!$C$2,'Group Totals'!$A:$AD,23,FALSE)</f>
        <v>21795</v>
      </c>
      <c r="M27" s="125">
        <f>VLOOKUP(Dashboard!$C$1,'Group Totals'!$A:$AE,24,FALSE)</f>
        <v>27313.5</v>
      </c>
      <c r="N27" s="125">
        <f>IF(LARGE('Group Totals'!W:W,1)=L25,LARGE('Group Totals'!W:W,2),LARGE('Group Totals'!W:W,1))</f>
        <v>36422</v>
      </c>
      <c r="O27" s="128">
        <f>VLOOKUP(N27,'Group Totals'!W:BJ,40,FALSE)</f>
        <v>44621</v>
      </c>
      <c r="Q27" s="124">
        <f>VLOOKUP(Dashboard!$C$2,'Group Totals'!$A:$AD,29,FALSE)</f>
        <v>66539</v>
      </c>
      <c r="R27" s="125">
        <f>VLOOKUP(Dashboard!$C$1,'Group Totals'!$BJ:$BK,2,FALSE)</f>
        <v>67579.75</v>
      </c>
      <c r="S27" s="125">
        <f>IF(LARGE('Group Totals'!AC:AC,1)=Q25,LARGE('Group Totals'!AC:AC,2),LARGE('Group Totals'!AC:AC,1))</f>
        <v>84812</v>
      </c>
      <c r="T27" s="128">
        <f>VLOOKUP(S27,'Group Totals'!AC:BP,34,FALSE)</f>
        <v>44501</v>
      </c>
    </row>
    <row r="28" spans="2:20" ht="15.75" x14ac:dyDescent="0.25">
      <c r="L28" s="122" t="s">
        <v>1189</v>
      </c>
      <c r="M28" s="204" t="s">
        <v>1184</v>
      </c>
      <c r="N28" s="130" t="s">
        <v>1190</v>
      </c>
      <c r="O28" s="204" t="s">
        <v>1184</v>
      </c>
      <c r="Q28" s="122" t="s">
        <v>1189</v>
      </c>
      <c r="R28" s="204" t="s">
        <v>1184</v>
      </c>
      <c r="S28" s="130" t="s">
        <v>1190</v>
      </c>
      <c r="T28" s="204" t="s">
        <v>1184</v>
      </c>
    </row>
    <row r="29" spans="2:20" ht="15.75" thickBot="1" x14ac:dyDescent="0.3">
      <c r="L29" s="124">
        <f>VLOOKUP(Dashboard!$C$1,'Group Totals'!$A:$AD,25,FALSE)</f>
        <v>230</v>
      </c>
      <c r="M29" s="126">
        <f>VLOOKUP(Dashboard!$C$1,'Group Totals'!$A:$AD,26,FALSE)</f>
        <v>236.5</v>
      </c>
      <c r="N29" s="124">
        <f>VLOOKUP(Dashboard!$C$1,'Group Totals'!$A:$AD,27,FALSE)</f>
        <v>138</v>
      </c>
      <c r="O29" s="126">
        <f>VLOOKUP(Dashboard!$C$1,'Group Totals'!$A:$AD,28,FALSE)</f>
        <v>130.33333333333334</v>
      </c>
      <c r="Q29" s="124">
        <f>VLOOKUP(Dashboard!$C$1,'Group Totals'!$BT:$CD,11,FALSE)</f>
        <v>179</v>
      </c>
      <c r="R29" s="126"/>
      <c r="S29" s="124">
        <f>VLOOKUP(Dashboard!$C$1,'Group Totals'!$BT:$CE,12,FALSE)</f>
        <v>110</v>
      </c>
      <c r="T29" s="126"/>
    </row>
    <row r="33" spans="2:20" ht="15.75" thickBot="1" x14ac:dyDescent="0.3"/>
    <row r="34" spans="2:20" ht="26.25" x14ac:dyDescent="0.25">
      <c r="B34" t="s">
        <v>1200</v>
      </c>
      <c r="G34" s="2030" t="s">
        <v>154</v>
      </c>
      <c r="H34" s="2031"/>
      <c r="I34" s="2031"/>
      <c r="J34" s="2032"/>
      <c r="L34" s="2030" t="s">
        <v>1201</v>
      </c>
      <c r="M34" s="2031"/>
      <c r="N34" s="2031"/>
      <c r="O34" s="2032"/>
      <c r="Q34" s="2030" t="s">
        <v>1202</v>
      </c>
      <c r="R34" s="2031"/>
      <c r="S34" s="2031"/>
      <c r="T34" s="2032"/>
    </row>
    <row r="35" spans="2:20" ht="32.25" thickBot="1" x14ac:dyDescent="0.3">
      <c r="G35" s="2033">
        <f>VLOOKUP(Dashboard!$C$1,'Group Totals'!$A:$AF,32,FALSE)</f>
        <v>126</v>
      </c>
      <c r="H35" s="2034"/>
      <c r="I35" s="2034"/>
      <c r="J35" s="2035"/>
      <c r="L35" s="2033">
        <f>VLOOKUP(Dashboard!$C$1,'Group Totals'!$A:$AD,2,FALSE)</f>
        <v>126006</v>
      </c>
      <c r="M35" s="2034"/>
      <c r="N35" s="2034"/>
      <c r="O35" s="2035"/>
      <c r="Q35" s="2033">
        <f>VLOOKUP(Dashboard!$C$1,'Group Totals'!$A:$AD,30,FALSE)</f>
        <v>13565</v>
      </c>
      <c r="R35" s="2034"/>
      <c r="S35" s="2034"/>
      <c r="T35" s="2035"/>
    </row>
    <row r="36" spans="2:20" ht="15.75" x14ac:dyDescent="0.25">
      <c r="G36" s="127" t="s">
        <v>1183</v>
      </c>
      <c r="H36" s="202" t="s">
        <v>1184</v>
      </c>
      <c r="I36" s="2028" t="s">
        <v>1185</v>
      </c>
      <c r="J36" s="2029"/>
      <c r="L36" s="127" t="s">
        <v>1183</v>
      </c>
      <c r="M36" s="203" t="s">
        <v>1184</v>
      </c>
      <c r="N36" s="2042" t="s">
        <v>1185</v>
      </c>
      <c r="O36" s="2043"/>
      <c r="Q36" s="127" t="s">
        <v>1183</v>
      </c>
      <c r="R36" s="203" t="s">
        <v>1184</v>
      </c>
      <c r="S36" s="2042" t="s">
        <v>1185</v>
      </c>
      <c r="T36" s="2043"/>
    </row>
    <row r="37" spans="2:20" ht="15.75" thickBot="1" x14ac:dyDescent="0.3">
      <c r="G37" s="124">
        <f>VLOOKUP(Dashboard!$C$2,'Group Totals'!$A:$AF,32,FALSE)</f>
        <v>117</v>
      </c>
      <c r="H37" s="124">
        <f>VLOOKUP(Dashboard!$C$1,'Group Totals'!$BT:$BW,4,FALSE)</f>
        <v>123.25</v>
      </c>
      <c r="I37" s="124">
        <f>IF(LARGE('Group Totals'!AF:AF,1)=G35,LARGE('Group Totals'!AF:AF,2),LARGE('Group Totals'!AF:AF,1))</f>
        <v>17127174</v>
      </c>
      <c r="J37" s="128">
        <f>VLOOKUP(I37,'Group Totals'!AF:BJ,31,FALSE)</f>
        <v>0</v>
      </c>
      <c r="L37" s="124">
        <f>VLOOKUP(Dashboard!$C$2,'Group Totals'!$A:$AD,2,FALSE)</f>
        <v>120562</v>
      </c>
      <c r="M37" s="125">
        <f>VLOOKUP(Dashboard!$C$1,'Group Totals'!$BJ:$BM,4,FALSE)</f>
        <v>121857.16666666667</v>
      </c>
      <c r="N37" s="125">
        <f>IF(LARGE('Group Totals'!B:B,1)=L35,LARGE('Group Totals'!B:B,2),LARGE('Group Totals'!B:B,1))</f>
        <v>155119</v>
      </c>
      <c r="O37" s="128">
        <f>VLOOKUP(N37,'Group Totals'!B:BJ,61,FALSE)</f>
        <v>44501</v>
      </c>
      <c r="Q37" s="124">
        <f>VLOOKUP(Dashboard!$C$2,'Group Totals'!$A:$AD,30,FALSE)</f>
        <v>12866</v>
      </c>
      <c r="R37" s="125">
        <f>VLOOKUP(Dashboard!$C$1,'Group Totals'!$BJ:$BL,3,FALSE)</f>
        <v>21017</v>
      </c>
      <c r="S37" s="125">
        <f>IF(LARGE('Group Totals'!AD:AD,1)=Q35,LARGE('Group Totals'!AD:AD,2),LARGE('Group Totals'!AD:AD,1))</f>
        <v>33106</v>
      </c>
      <c r="T37" s="128">
        <f>VLOOKUP(S37,'Group Totals'!AD:BJ,33,FALSE)</f>
        <v>42186</v>
      </c>
    </row>
    <row r="38" spans="2:20" ht="15.75" x14ac:dyDescent="0.25">
      <c r="Q38" s="122" t="s">
        <v>1189</v>
      </c>
      <c r="R38" s="204" t="s">
        <v>1184</v>
      </c>
      <c r="S38" s="130" t="s">
        <v>1190</v>
      </c>
      <c r="T38" s="204" t="s">
        <v>1184</v>
      </c>
    </row>
    <row r="39" spans="2:20" ht="15.75" thickBot="1" x14ac:dyDescent="0.3">
      <c r="Q39" s="124">
        <f>VLOOKUP(Dashboard!$C$1,'Group Totals'!$BT:$CF,13,FALSE)</f>
        <v>37</v>
      </c>
      <c r="R39" s="126"/>
      <c r="S39" s="124">
        <f>VLOOKUP(Dashboard!$C$1,'Group Totals'!$BT:$CG,14,FALSE)</f>
        <v>23</v>
      </c>
      <c r="T39" s="126"/>
    </row>
    <row r="41" spans="2:20" ht="15.75" thickBot="1" x14ac:dyDescent="0.3"/>
    <row r="42" spans="2:20" ht="26.25" x14ac:dyDescent="0.25">
      <c r="G42" s="2030" t="s">
        <v>1203</v>
      </c>
      <c r="H42" s="2031"/>
      <c r="I42" s="2031"/>
      <c r="J42" s="2032"/>
      <c r="L42" s="2030" t="s">
        <v>1204</v>
      </c>
      <c r="M42" s="2031"/>
      <c r="N42" s="2031"/>
      <c r="O42" s="2032"/>
      <c r="Q42" s="2030" t="s">
        <v>1205</v>
      </c>
      <c r="R42" s="2031"/>
      <c r="S42" s="2031"/>
      <c r="T42" s="2032"/>
    </row>
    <row r="43" spans="2:20" ht="32.25" thickBot="1" x14ac:dyDescent="0.3">
      <c r="G43" s="2047">
        <f>VLOOKUP(Dashboard!$C$1,'Group Totals'!$A:$AD,4,FALSE)</f>
        <v>2.5792422583051602E-2</v>
      </c>
      <c r="H43" s="2048"/>
      <c r="I43" s="2048"/>
      <c r="J43" s="2049"/>
      <c r="L43" s="2047">
        <f>VLOOKUP(Dashboard!$C$1,'Group Totals'!$A:$AD,6,FALSE)</f>
        <v>0.97200926939986987</v>
      </c>
      <c r="M43" s="2048"/>
      <c r="N43" s="2048"/>
      <c r="O43" s="2049"/>
      <c r="Q43" s="2047">
        <f>VLOOKUP(Dashboard!$C$1,'Group Totals'!$A:$AD,8,FALSE)</f>
        <v>2.1983080170785291E-3</v>
      </c>
      <c r="R43" s="2048"/>
      <c r="S43" s="2048"/>
      <c r="T43" s="2049"/>
    </row>
    <row r="44" spans="2:20" ht="15.75" x14ac:dyDescent="0.25">
      <c r="G44" s="127" t="s">
        <v>1183</v>
      </c>
      <c r="H44" s="203" t="s">
        <v>1184</v>
      </c>
      <c r="I44" s="2042" t="s">
        <v>1195</v>
      </c>
      <c r="J44" s="2043"/>
      <c r="L44" s="127" t="s">
        <v>1183</v>
      </c>
      <c r="M44" s="203" t="s">
        <v>1184</v>
      </c>
      <c r="N44" s="2042" t="s">
        <v>1185</v>
      </c>
      <c r="O44" s="2043"/>
      <c r="Q44" s="127" t="s">
        <v>1183</v>
      </c>
      <c r="R44" s="203" t="s">
        <v>1184</v>
      </c>
      <c r="S44" s="2042" t="s">
        <v>1195</v>
      </c>
      <c r="T44" s="2043"/>
    </row>
    <row r="45" spans="2:20" ht="15.75" thickBot="1" x14ac:dyDescent="0.3">
      <c r="G45" s="138">
        <f>VLOOKUP(Dashboard!$C$2,'Group Totals'!$A:$AD,4,FALSE)</f>
        <v>2.6633599309898642E-2</v>
      </c>
      <c r="H45" s="139">
        <f>VLOOKUP(Dashboard!$C$1,'Group Totals'!$BT:$CA,8,FALSE)</f>
        <v>2.128902719768018E-2</v>
      </c>
      <c r="I45" s="139">
        <f>IF(SMALL('Group Totals'!D:D,1)=G43,SMALL('Group Totals'!D:D,2),SMALL('Group Totals'!D:D,1))</f>
        <v>1.2087570035277028E-2</v>
      </c>
      <c r="J45" s="128">
        <f>VLOOKUP(I45,'Group Totals'!D:BJ,59,FALSE)</f>
        <v>43922</v>
      </c>
      <c r="L45" s="138">
        <f>VLOOKUP(Dashboard!$C$2,'Group Totals'!$A:$AD,6,FALSE)</f>
        <v>0.9621190756623148</v>
      </c>
      <c r="M45" s="139">
        <f>VLOOKUP(Dashboard!$C$1,'Group Totals'!$BT:$BZ,7,FALSE)</f>
        <v>0.97067490849452243</v>
      </c>
      <c r="N45" s="139">
        <f>IF(LARGE('Group Totals'!F:F,1)=L43,LARGE('Group Totals'!F:F,2),LARGE('Group Totals'!F:F,1))</f>
        <v>0.97957840129560625</v>
      </c>
      <c r="O45" s="128">
        <f>VLOOKUP(N45,'Group Totals'!F:BJ,57,FALSE)</f>
        <v>44228</v>
      </c>
      <c r="Q45" s="138">
        <f>VLOOKUP(Dashboard!$C$2,'Group Totals'!$A:$AD,8,FALSE)</f>
        <v>1.1247325027786553E-2</v>
      </c>
      <c r="R45" s="139">
        <f>VLOOKUP(Dashboard!$C$1,'Group Totals'!$BT:$CB,9,FALSE)</f>
        <v>8.0360643077974948E-3</v>
      </c>
      <c r="S45" s="139">
        <f>IF(SMALL('Group Totals'!H:H,1)=Q43,SMALL('Group Totals'!H:H,2),SMALL('Group Totals'!H:H,1))</f>
        <v>-5.3156358523126571E-3</v>
      </c>
      <c r="T45" s="128">
        <f>VLOOKUP(S45,'Group Totals'!H:BJ,55,FALSE)</f>
        <v>44866</v>
      </c>
    </row>
  </sheetData>
  <mergeCells count="57">
    <mergeCell ref="Q8:T8"/>
    <mergeCell ref="Q9:T9"/>
    <mergeCell ref="S10:T10"/>
    <mergeCell ref="G42:J42"/>
    <mergeCell ref="G43:J43"/>
    <mergeCell ref="Q24:T24"/>
    <mergeCell ref="Q25:T25"/>
    <mergeCell ref="S26:T26"/>
    <mergeCell ref="Q34:T34"/>
    <mergeCell ref="Q35:T35"/>
    <mergeCell ref="S36:T36"/>
    <mergeCell ref="L16:O16"/>
    <mergeCell ref="L17:O17"/>
    <mergeCell ref="N18:O18"/>
    <mergeCell ref="L24:O24"/>
    <mergeCell ref="L25:O25"/>
    <mergeCell ref="I44:J44"/>
    <mergeCell ref="Q42:T42"/>
    <mergeCell ref="Q43:T43"/>
    <mergeCell ref="S44:T44"/>
    <mergeCell ref="L34:O34"/>
    <mergeCell ref="L35:O35"/>
    <mergeCell ref="N36:O36"/>
    <mergeCell ref="L42:O42"/>
    <mergeCell ref="L43:O43"/>
    <mergeCell ref="N44:O44"/>
    <mergeCell ref="I36:J36"/>
    <mergeCell ref="B24:E24"/>
    <mergeCell ref="B25:E25"/>
    <mergeCell ref="D26:E26"/>
    <mergeCell ref="N26:O26"/>
    <mergeCell ref="N4:O4"/>
    <mergeCell ref="G8:J8"/>
    <mergeCell ref="G9:J9"/>
    <mergeCell ref="I10:J10"/>
    <mergeCell ref="B8:E8"/>
    <mergeCell ref="B9:E9"/>
    <mergeCell ref="D10:E10"/>
    <mergeCell ref="B16:E16"/>
    <mergeCell ref="B17:E17"/>
    <mergeCell ref="D18:E18"/>
    <mergeCell ref="G24:J24"/>
    <mergeCell ref="G25:J25"/>
    <mergeCell ref="L3:O3"/>
    <mergeCell ref="L2:O2"/>
    <mergeCell ref="L8:O8"/>
    <mergeCell ref="L9:O9"/>
    <mergeCell ref="N10:O10"/>
    <mergeCell ref="I26:J26"/>
    <mergeCell ref="G34:J34"/>
    <mergeCell ref="G35:J35"/>
    <mergeCell ref="Q16:T16"/>
    <mergeCell ref="Q17:T17"/>
    <mergeCell ref="S18:T18"/>
    <mergeCell ref="G16:J16"/>
    <mergeCell ref="G17:J17"/>
    <mergeCell ref="I18:J18"/>
  </mergeCells>
  <conditionalFormatting sqref="L5:N5 L3:O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:O9 L11:N1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7:O17 L19:N1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O25 L27:N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T25 Q27:S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T35 Q37:S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5:O35 L37:N3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E9 B11:D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S11 Q9:T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J25 G27:I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:J17 G19:I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7:T17 Q19:S1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:J9 G11:I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5:J35 G37:I3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E17 B19:D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E25 B27:D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3:O43 L45:N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3:J43 G45:I4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43:T43 Q45:S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8" scale="67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D23FD1F-7244-4C41-A89E-02A1B75022C0}">
          <x14:formula1>
            <xm:f>'Group Totals'!$A$4:$A$142</xm:f>
          </x14:formula1>
          <xm:sqref>C1:C2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D229-8AC0-4364-82C0-7800744E273A}">
  <sheetPr>
    <tabColor rgb="FFFF0000"/>
    <pageSetUpPr fitToPage="1"/>
  </sheetPr>
  <dimension ref="A1:T45"/>
  <sheetViews>
    <sheetView showGridLines="0" zoomScale="70" zoomScaleNormal="70" workbookViewId="0">
      <selection activeCell="B2" sqref="B2:U47"/>
    </sheetView>
  </sheetViews>
  <sheetFormatPr defaultRowHeight="15" x14ac:dyDescent="0.25"/>
  <cols>
    <col min="1" max="1" width="9.7109375" customWidth="1"/>
    <col min="2" max="5" width="15.140625" customWidth="1"/>
    <col min="7" max="10" width="15.140625" customWidth="1"/>
    <col min="12" max="15" width="15.140625" customWidth="1"/>
    <col min="17" max="20" width="15.140625" customWidth="1"/>
  </cols>
  <sheetData>
    <row r="1" spans="1:20" ht="25.5" customHeight="1" thickBot="1" x14ac:dyDescent="0.45">
      <c r="A1" s="80"/>
      <c r="B1" s="142" t="s">
        <v>1163</v>
      </c>
      <c r="C1" s="143">
        <v>43952</v>
      </c>
      <c r="D1" s="80"/>
      <c r="E1" s="80"/>
    </row>
    <row r="2" spans="1:20" ht="26.25" x14ac:dyDescent="0.4">
      <c r="B2" s="142" t="s">
        <v>1181</v>
      </c>
      <c r="C2" s="143">
        <v>43922</v>
      </c>
      <c r="L2" s="2030" t="s">
        <v>1182</v>
      </c>
      <c r="M2" s="2031"/>
      <c r="N2" s="2031"/>
      <c r="O2" s="2032"/>
    </row>
    <row r="3" spans="1:20" ht="32.25" thickBot="1" x14ac:dyDescent="0.3">
      <c r="L3" s="2039">
        <f>VLOOKUP('Dashboard Graphs'!$C$1,'Group Totals'!$A:$AD,9,FALSE)</f>
        <v>6138751.7400000002</v>
      </c>
      <c r="M3" s="2040"/>
      <c r="N3" s="2040"/>
      <c r="O3" s="2041"/>
    </row>
    <row r="4" spans="1:20" ht="15.75" x14ac:dyDescent="0.25">
      <c r="E4" t="s">
        <v>1206</v>
      </c>
      <c r="H4" t="s">
        <v>1006</v>
      </c>
      <c r="I4" t="s">
        <v>1207</v>
      </c>
      <c r="L4" s="133" t="s">
        <v>1183</v>
      </c>
      <c r="M4" s="202" t="s">
        <v>1184</v>
      </c>
      <c r="N4" s="2028" t="s">
        <v>1185</v>
      </c>
      <c r="O4" s="2029"/>
    </row>
    <row r="5" spans="1:20" ht="15.75" thickBot="1" x14ac:dyDescent="0.3">
      <c r="E5" t="s">
        <v>1208</v>
      </c>
      <c r="H5" t="s">
        <v>1056</v>
      </c>
      <c r="I5" t="s">
        <v>1209</v>
      </c>
      <c r="L5" s="131">
        <f>VLOOKUP('Dashboard Graphs'!$C$2,'Group Totals'!$A:$AD,9,FALSE)</f>
        <v>2311650.86</v>
      </c>
      <c r="M5" s="132">
        <f>VLOOKUP('Dashboard Graphs'!$C$1,'Group Totals'!$A:$AE,10,FALSE)</f>
        <v>4818648.9441666668</v>
      </c>
      <c r="N5" s="132">
        <f>IF(LARGE('Group Totals'!I:I,1)=L3,LARGE('Group Totals'!I:I,2),LARGE('Group Totals'!I:I,1))</f>
        <v>17127174</v>
      </c>
      <c r="O5" s="128">
        <f>VLOOKUP(N5,'Group Totals'!I:BJ,54,FALSE)</f>
        <v>44470</v>
      </c>
    </row>
    <row r="6" spans="1:20" x14ac:dyDescent="0.25">
      <c r="E6" t="s">
        <v>1210</v>
      </c>
      <c r="G6" t="s">
        <v>1211</v>
      </c>
      <c r="I6" t="s">
        <v>1212</v>
      </c>
    </row>
    <row r="7" spans="1:20" ht="15.75" thickBot="1" x14ac:dyDescent="0.3">
      <c r="G7" t="s">
        <v>1213</v>
      </c>
      <c r="I7" t="s">
        <v>1086</v>
      </c>
    </row>
    <row r="8" spans="1:20" ht="26.25" x14ac:dyDescent="0.25">
      <c r="B8" s="2030" t="s">
        <v>1186</v>
      </c>
      <c r="C8" s="2031"/>
      <c r="D8" s="2031"/>
      <c r="E8" s="2032"/>
      <c r="G8" s="2030" t="s">
        <v>941</v>
      </c>
      <c r="H8" s="2031"/>
      <c r="I8" s="2031"/>
      <c r="J8" s="2032"/>
      <c r="L8" s="2030" t="s">
        <v>1187</v>
      </c>
      <c r="M8" s="2031"/>
      <c r="N8" s="2031"/>
      <c r="O8" s="2032"/>
      <c r="Q8" s="2030" t="s">
        <v>1188</v>
      </c>
      <c r="R8" s="2031"/>
      <c r="S8" s="2031"/>
      <c r="T8" s="2032"/>
    </row>
    <row r="9" spans="1:20" ht="32.25" thickBot="1" x14ac:dyDescent="0.3">
      <c r="B9" s="2039">
        <f>VLOOKUP('Dashboard Graphs'!$C$1,'Group Totals'!$A:$BG,59,FALSE)</f>
        <v>752.75953381711861</v>
      </c>
      <c r="C9" s="2040"/>
      <c r="D9" s="2040"/>
      <c r="E9" s="2041"/>
      <c r="G9" s="2044">
        <f>VLOOKUP('Dashboard Graphs'!$C$1,'Group Totals'!$A:$AN,40,FALSE)</f>
        <v>8154.9969999999994</v>
      </c>
      <c r="H9" s="2045"/>
      <c r="I9" s="2045"/>
      <c r="J9" s="2046"/>
      <c r="L9" s="2033">
        <f>VLOOKUP('Dashboard Graphs'!$C$1,'Group Totals'!$A:$AD,11,FALSE)</f>
        <v>36921</v>
      </c>
      <c r="M9" s="2034"/>
      <c r="N9" s="2034"/>
      <c r="O9" s="2035"/>
      <c r="Q9" s="2039">
        <f>VLOOKUP('Dashboard Graphs'!$C$1,'Group Totals'!$A:$BE,57,FALSE)</f>
        <v>166.26721215568375</v>
      </c>
      <c r="R9" s="2040"/>
      <c r="S9" s="2040"/>
      <c r="T9" s="2041"/>
    </row>
    <row r="10" spans="1:20" ht="15.75" x14ac:dyDescent="0.25">
      <c r="B10" s="133" t="s">
        <v>1181</v>
      </c>
      <c r="C10" s="202" t="s">
        <v>1184</v>
      </c>
      <c r="D10" s="2028" t="s">
        <v>1185</v>
      </c>
      <c r="E10" s="2029"/>
      <c r="G10" s="133" t="s">
        <v>1181</v>
      </c>
      <c r="H10" s="202" t="s">
        <v>1184</v>
      </c>
      <c r="I10" s="2028" t="s">
        <v>1185</v>
      </c>
      <c r="J10" s="2029"/>
      <c r="L10" s="127" t="s">
        <v>1181</v>
      </c>
      <c r="M10" s="203" t="s">
        <v>1184</v>
      </c>
      <c r="N10" s="2042" t="s">
        <v>1185</v>
      </c>
      <c r="O10" s="2043"/>
      <c r="Q10" s="133" t="s">
        <v>1181</v>
      </c>
      <c r="R10" s="202" t="s">
        <v>1184</v>
      </c>
      <c r="S10" s="2028" t="s">
        <v>1185</v>
      </c>
      <c r="T10" s="2029"/>
    </row>
    <row r="11" spans="1:20" ht="15.75" thickBot="1" x14ac:dyDescent="0.3">
      <c r="B11" s="131">
        <f>VLOOKUP('Dashboard Graphs'!$C$2,'Group Totals'!$A:$BG,59,FALSE)</f>
        <v>771.50489539056321</v>
      </c>
      <c r="C11" s="132">
        <f>VLOOKUP('Dashboard Graphs'!$C$1,'Group Totals'!$BJ:$BP,7,FALSE)</f>
        <v>685.35243991177595</v>
      </c>
      <c r="D11" s="132">
        <f>IF(LARGE('Group Totals'!BG:BG,1)=B9,LARGE('Group Totals'!BG:BG,2),LARGE('Group Totals'!BG:BG,1))</f>
        <v>1468.9171136753791</v>
      </c>
      <c r="E11" s="128">
        <f>VLOOKUP(D11,'Group Totals'!BG:BJ,4,FALSE)</f>
        <v>44470</v>
      </c>
      <c r="G11" s="124">
        <f>VLOOKUP('Dashboard Graphs'!$C$2,'Group Totals'!$A:$AN,40,FALSE)</f>
        <v>2996.288</v>
      </c>
      <c r="H11" s="124">
        <f>VLOOKUP('Dashboard Graphs'!$C$1,'Group Totals'!$BJ:$BQ,8,FALSE)</f>
        <v>7090.0332500000004</v>
      </c>
      <c r="I11" s="124">
        <f>IF(LARGE('Group Totals'!AN:AN,1)=G9,LARGE('Group Totals'!AN:AN,2),LARGE('Group Totals'!AN:AN,1))</f>
        <v>15405</v>
      </c>
      <c r="J11" s="128">
        <f>VLOOKUP(I11,'Group Totals'!AN:BJ,23,FALSE)</f>
        <v>44774</v>
      </c>
      <c r="L11" s="124">
        <f>VLOOKUP('Dashboard Graphs'!$C$2,'Group Totals'!$A:$AD,11,FALSE)</f>
        <v>8390</v>
      </c>
      <c r="M11" s="125">
        <f>VLOOKUP('Dashboard Graphs'!$C$1,'Group Totals'!$A:$AE,12,FALSE)</f>
        <v>32932.083333333336</v>
      </c>
      <c r="N11" s="125">
        <f>IF(LARGE('Group Totals'!K:K,1)=L9,LARGE('Group Totals'!K:K,2),LARGE('Group Totals'!K:K,1))</f>
        <v>68326</v>
      </c>
      <c r="O11" s="128">
        <f>VLOOKUP(N11,'Group Totals'!K:BJ,52,FALSE)</f>
        <v>44501</v>
      </c>
      <c r="Q11" s="131">
        <f>VLOOKUP('Dashboard Graphs'!$C$2,'Group Totals'!$A:$BE,57,FALSE)</f>
        <v>275.52453635280096</v>
      </c>
      <c r="R11" s="132">
        <f>VLOOKUP('Dashboard Graphs'!$C$1,'Group Totals'!$BJ:$BR,9,FALSE)</f>
        <v>154.15371778404747</v>
      </c>
      <c r="S11" s="132">
        <f>IF(LARGE('Group Totals'!BE:BE,1)=Q9,LARGE('Group Totals'!BE:BE,2),LARGE('Group Totals'!BE:BE,1))</f>
        <v>277.3002720031086</v>
      </c>
      <c r="T11" s="128">
        <f>VLOOKUP(S11,'Group Totals'!BE:BJ,6,FALSE)</f>
        <v>44470</v>
      </c>
    </row>
    <row r="12" spans="1:20" ht="15.75" x14ac:dyDescent="0.25">
      <c r="L12" s="122" t="s">
        <v>1189</v>
      </c>
      <c r="M12" s="204" t="s">
        <v>1184</v>
      </c>
      <c r="N12" s="123" t="s">
        <v>1190</v>
      </c>
      <c r="O12" s="204" t="s">
        <v>1184</v>
      </c>
    </row>
    <row r="13" spans="1:20" ht="15.75" thickBot="1" x14ac:dyDescent="0.3">
      <c r="L13" s="124">
        <f>VLOOKUP('Dashboard Graphs'!$C$1,'Group Totals'!$A:$AD,13,FALSE)</f>
        <v>290</v>
      </c>
      <c r="M13" s="126">
        <f>VLOOKUP('Dashboard Graphs'!$C$1,'Group Totals'!$A:$AD,14,FALSE)</f>
        <v>289.25</v>
      </c>
      <c r="N13" s="129">
        <f>VLOOKUP('Dashboard Graphs'!$C$1,'Group Totals'!$A:$AD,15,FALSE)</f>
        <v>163</v>
      </c>
      <c r="O13" s="126">
        <f>VLOOKUP('Dashboard Graphs'!$C$1,'Group Totals'!$A:$AD,16,FALSE)</f>
        <v>160.33333333333334</v>
      </c>
    </row>
    <row r="14" spans="1:20" x14ac:dyDescent="0.25">
      <c r="R14" t="s">
        <v>1214</v>
      </c>
    </row>
    <row r="15" spans="1:20" ht="15.75" thickBot="1" x14ac:dyDescent="0.3">
      <c r="E15" t="s">
        <v>1215</v>
      </c>
    </row>
    <row r="16" spans="1:20" ht="26.25" x14ac:dyDescent="0.25">
      <c r="B16" s="2030" t="s">
        <v>1191</v>
      </c>
      <c r="C16" s="2031"/>
      <c r="D16" s="2031"/>
      <c r="E16" s="2032"/>
      <c r="G16" s="2030" t="s">
        <v>1192</v>
      </c>
      <c r="H16" s="2031"/>
      <c r="I16" s="2031"/>
      <c r="J16" s="2032"/>
      <c r="L16" s="2030" t="s">
        <v>1193</v>
      </c>
      <c r="M16" s="2031"/>
      <c r="N16" s="2031"/>
      <c r="O16" s="2032"/>
      <c r="Q16" s="2030" t="s">
        <v>1216</v>
      </c>
      <c r="R16" s="2031"/>
      <c r="S16" s="2031"/>
      <c r="T16" s="2032"/>
    </row>
    <row r="17" spans="2:20" ht="32.25" thickBot="1" x14ac:dyDescent="0.3">
      <c r="B17" s="2039">
        <f>VLOOKUP('Dashboard Graphs'!$C$1,'Group Totals'!$A:$BI,61,FALSE)</f>
        <v>37661.053619631901</v>
      </c>
      <c r="C17" s="2040"/>
      <c r="D17" s="2040"/>
      <c r="E17" s="2041"/>
      <c r="G17" s="2039">
        <f>VLOOKUP('Dashboard Graphs'!$C$1,'Group Totals'!$BJ:$BO,6,FALSE)</f>
        <v>159.09496962414579</v>
      </c>
      <c r="H17" s="2040"/>
      <c r="I17" s="2040"/>
      <c r="J17" s="2041"/>
      <c r="L17" s="2033">
        <f>VLOOKUP('Dashboard Graphs'!$C$1,'Group Totals'!$A:$AD,17,FALSE)</f>
        <v>16868</v>
      </c>
      <c r="M17" s="2034"/>
      <c r="N17" s="2034"/>
      <c r="O17" s="2035"/>
      <c r="Q17" s="2050">
        <f>VLOOKUP('Dashboard Graphs'!$C$1,'Group Totals'!$A:$AO,41,FALSE)</f>
        <v>2.0108322543110368E-3</v>
      </c>
      <c r="R17" s="2051"/>
      <c r="S17" s="2051"/>
      <c r="T17" s="2052"/>
    </row>
    <row r="18" spans="2:20" ht="15.75" x14ac:dyDescent="0.25">
      <c r="B18" s="133" t="s">
        <v>1181</v>
      </c>
      <c r="C18" s="202" t="s">
        <v>1184</v>
      </c>
      <c r="D18" s="2028" t="s">
        <v>1185</v>
      </c>
      <c r="E18" s="2029"/>
      <c r="G18" s="133" t="s">
        <v>1181</v>
      </c>
      <c r="H18" s="202" t="s">
        <v>1184</v>
      </c>
      <c r="I18" s="2028" t="s">
        <v>1185</v>
      </c>
      <c r="J18" s="2029"/>
      <c r="L18" s="127" t="s">
        <v>1181</v>
      </c>
      <c r="M18" s="203" t="s">
        <v>1184</v>
      </c>
      <c r="N18" s="2042" t="s">
        <v>1185</v>
      </c>
      <c r="O18" s="2043"/>
      <c r="Q18" s="133" t="s">
        <v>1181</v>
      </c>
      <c r="R18" s="202" t="s">
        <v>1184</v>
      </c>
      <c r="S18" s="2028" t="s">
        <v>1195</v>
      </c>
      <c r="T18" s="2029"/>
    </row>
    <row r="19" spans="2:20" ht="15.75" thickBot="1" x14ac:dyDescent="0.3">
      <c r="B19" s="131">
        <f>VLOOKUP('Dashboard Graphs'!$C$2,'Group Totals'!$A:$BI,61,FALSE)</f>
        <v>56381.728292682921</v>
      </c>
      <c r="C19" s="132">
        <f>VLOOKUP('Dashboard Graphs'!$C$1,'Group Totals'!$BT:$BX,5,FALSE)</f>
        <v>31870.372155266039</v>
      </c>
      <c r="D19" s="132">
        <f>IF(LARGE('Group Totals'!BI:BI,1)=B17,LARGE('Group Totals'!BI:BI,2),LARGE('Group Totals'!BI:BI,1))</f>
        <v>101344.22485207101</v>
      </c>
      <c r="E19" s="128">
        <f>VLOOKUP(D19,'Group Totals'!BI:BJ,2,FALSE)</f>
        <v>44470</v>
      </c>
      <c r="G19" s="131">
        <f>VLOOKUP('Dashboard Graphs'!$C$2,'Group Totals'!$BJ:$BO,6,FALSE)</f>
        <v>157.63104214281137</v>
      </c>
      <c r="H19" s="132">
        <f>VLOOKUP('Dashboard Graphs'!$C$1,'Group Totals'!$BT:$BU,2,FALSE)</f>
        <v>139.25302421581077</v>
      </c>
      <c r="I19" s="132">
        <f>IF(LARGE('Group Totals'!BO:BO,1)=G17,LARGE('Group Totals'!BO:BO,2),LARGE('Group Totals'!BO:BO,1))</f>
        <v>195.73501632977315</v>
      </c>
      <c r="J19" s="128">
        <f>VLOOKUP(I19,'Group Totals'!BO:BT,6,FALSE)</f>
        <v>44440</v>
      </c>
      <c r="L19" s="124">
        <f>VLOOKUP('Dashboard Graphs'!$C$2,'Group Totals'!$A:$AD,17,FALSE)</f>
        <v>5724</v>
      </c>
      <c r="M19" s="125">
        <f>VLOOKUP('Dashboard Graphs'!$C$1,'Group Totals'!$A:$AE,18,FALSE)</f>
        <v>15111.5</v>
      </c>
      <c r="N19" s="125">
        <f>IF(LARGE('Group Totals'!Q:Q,1)=L17,LARGE('Group Totals'!Q:Q,2),LARGE('Group Totals'!Q:Q,1))</f>
        <v>39831</v>
      </c>
      <c r="O19" s="128">
        <f>VLOOKUP(N19,'Group Totals'!Q:BJ,46,FALSE)</f>
        <v>44805</v>
      </c>
      <c r="Q19" s="135">
        <f>VLOOKUP('Dashboard Graphs'!$C$2,'Group Totals'!$A:$AO,41,FALSE)</f>
        <v>1.8233722371033142E-3</v>
      </c>
      <c r="R19" s="136">
        <f>VLOOKUP('Dashboard Graphs'!$C$1,'Group Totals'!$BT:$BV,3,FALSE)</f>
        <v>4.4736086842832425E-3</v>
      </c>
      <c r="S19" s="136">
        <f>IF(SMALL('Group Totals'!AO:AO,1)=Q17,SMALL('Group Totals'!AO:AO,2),SMALL('Group Totals'!AO:AO,1))</f>
        <v>-3.5083064942974512E-3</v>
      </c>
      <c r="T19" s="128">
        <f>VLOOKUP(S19,'Group Totals'!AO:BJ,22,FALSE)</f>
        <v>43466</v>
      </c>
    </row>
    <row r="20" spans="2:20" ht="15.75" x14ac:dyDescent="0.25">
      <c r="L20" s="122" t="s">
        <v>1189</v>
      </c>
      <c r="M20" s="204" t="s">
        <v>1184</v>
      </c>
      <c r="N20" s="130" t="s">
        <v>1190</v>
      </c>
      <c r="O20" s="204" t="s">
        <v>1184</v>
      </c>
    </row>
    <row r="21" spans="2:20" ht="15.75" thickBot="1" x14ac:dyDescent="0.3">
      <c r="L21" s="124">
        <f>VLOOKUP('Dashboard Graphs'!$C$1,'Group Totals'!$A:$AD,19,FALSE)</f>
        <v>82</v>
      </c>
      <c r="M21" s="126">
        <f>VLOOKUP('Dashboard Graphs'!$C$1,'Group Totals'!$A:$AD,20,FALSE)</f>
        <v>75.666666666666671</v>
      </c>
      <c r="N21" s="124">
        <f>VLOOKUP('Dashboard Graphs'!$C$1,'Group Totals'!$A:$AD,21,FALSE)</f>
        <v>51</v>
      </c>
      <c r="O21" s="126">
        <f>VLOOKUP('Dashboard Graphs'!$C$1,'Group Totals'!$A:$AD,22,FALSE)</f>
        <v>46.083333333333336</v>
      </c>
    </row>
    <row r="22" spans="2:20" x14ac:dyDescent="0.25">
      <c r="E22" t="s">
        <v>1217</v>
      </c>
    </row>
    <row r="23" spans="2:20" ht="15.75" thickBot="1" x14ac:dyDescent="0.3"/>
    <row r="24" spans="2:20" ht="26.25" x14ac:dyDescent="0.25">
      <c r="B24" s="2030" t="s">
        <v>1196</v>
      </c>
      <c r="C24" s="2031"/>
      <c r="D24" s="2031"/>
      <c r="E24" s="2032"/>
      <c r="G24" s="2030" t="s">
        <v>1197</v>
      </c>
      <c r="H24" s="2031"/>
      <c r="I24" s="2031"/>
      <c r="J24" s="2032"/>
      <c r="L24" s="2030" t="s">
        <v>1198</v>
      </c>
      <c r="M24" s="2031"/>
      <c r="N24" s="2031"/>
      <c r="O24" s="2032"/>
      <c r="Q24" s="2030" t="s">
        <v>1199</v>
      </c>
      <c r="R24" s="2031"/>
      <c r="S24" s="2031"/>
      <c r="T24" s="2032"/>
    </row>
    <row r="25" spans="2:20" ht="32.25" thickBot="1" x14ac:dyDescent="0.3">
      <c r="B25" s="2039">
        <f>VLOOKUP('Dashboard Graphs'!$C$1,'Group Totals'!$A:$BH,60,FALSE)</f>
        <v>21168.109448275864</v>
      </c>
      <c r="C25" s="2040"/>
      <c r="D25" s="2040"/>
      <c r="E25" s="2041"/>
      <c r="G25" s="2039">
        <f>VLOOKUP('Dashboard Graphs'!$C$1,'Group Totals'!$A:$BA,53,FALSE)</f>
        <v>19657.863636363636</v>
      </c>
      <c r="H25" s="2040"/>
      <c r="I25" s="2040"/>
      <c r="J25" s="2041"/>
      <c r="L25" s="2033">
        <f>VLOOKUP('Dashboard Graphs'!$C$1,'Group Totals'!$A:$AD,23,FALSE)</f>
        <v>20053</v>
      </c>
      <c r="M25" s="2034"/>
      <c r="N25" s="2034"/>
      <c r="O25" s="2035"/>
      <c r="Q25" s="2033">
        <f>VLOOKUP('Dashboard Graphs'!$C$1,'Group Totals'!$A:$AD,29,FALSE)</f>
        <v>46990</v>
      </c>
      <c r="R25" s="2034"/>
      <c r="S25" s="2034"/>
      <c r="T25" s="2035"/>
    </row>
    <row r="26" spans="2:20" ht="15.75" x14ac:dyDescent="0.25">
      <c r="B26" s="133" t="s">
        <v>1181</v>
      </c>
      <c r="C26" s="202" t="s">
        <v>1184</v>
      </c>
      <c r="D26" s="2028" t="s">
        <v>1185</v>
      </c>
      <c r="E26" s="2029"/>
      <c r="G26" s="133" t="s">
        <v>1181</v>
      </c>
      <c r="H26" s="202" t="s">
        <v>1184</v>
      </c>
      <c r="I26" s="2028" t="s">
        <v>1185</v>
      </c>
      <c r="J26" s="2029"/>
      <c r="L26" s="127" t="s">
        <v>1181</v>
      </c>
      <c r="M26" s="203" t="s">
        <v>1184</v>
      </c>
      <c r="N26" s="2042" t="s">
        <v>1185</v>
      </c>
      <c r="O26" s="2043"/>
      <c r="Q26" s="127" t="s">
        <v>1181</v>
      </c>
      <c r="R26" s="203" t="s">
        <v>1184</v>
      </c>
      <c r="S26" s="2042" t="s">
        <v>1185</v>
      </c>
      <c r="T26" s="2043"/>
    </row>
    <row r="27" spans="2:20" ht="15.75" thickBot="1" x14ac:dyDescent="0.3">
      <c r="B27" s="131">
        <f>VLOOKUP('Dashboard Graphs'!$C$2,'Group Totals'!$A:$BH,60,FALSE)</f>
        <v>41279.479642857143</v>
      </c>
      <c r="C27" s="132">
        <f>VLOOKUP('Dashboard Graphs'!$C$1,'Group Totals'!$BT:$BY,6,FALSE)</f>
        <v>18445.209243649126</v>
      </c>
      <c r="D27" s="132">
        <f>IF(LARGE('Group Totals'!BH:BH,1)=B25,LARGE('Group Totals'!BH:BH,2),LARGE('Group Totals'!BH:BH,1))</f>
        <v>54545.140127388535</v>
      </c>
      <c r="E27" s="128">
        <f>VLOOKUP(D27,'Group Totals'!BH:BJ,3,FALSE)</f>
        <v>44470</v>
      </c>
      <c r="G27" s="131">
        <f>VLOOKUP('Dashboard Graphs'!$C$2,'Group Totals'!$A:$BA,53,FALSE)</f>
        <v>7617.8709677419356</v>
      </c>
      <c r="H27" s="132">
        <f>VLOOKUP('Dashboard Graphs'!$C$1,'Group Totals'!$BJ:$BS,10,FALSE)</f>
        <v>13519.068702756389</v>
      </c>
      <c r="I27" s="132">
        <f>IF(LARGE('Group Totals'!BA:BA,1)=G25,LARGE('Group Totals'!BA:BA,2),LARGE('Group Totals'!BA:BA,1))</f>
        <v>21955.267326732672</v>
      </c>
      <c r="J27" s="128">
        <f>VLOOKUP(I27,'Group Totals'!BA:BJ,10,FALSE)</f>
        <v>44440</v>
      </c>
      <c r="L27" s="124">
        <f>VLOOKUP('Dashboard Graphs'!$C$2,'Group Totals'!$A:$AD,23,FALSE)</f>
        <v>2666</v>
      </c>
      <c r="M27" s="125">
        <f>VLOOKUP('Dashboard Graphs'!$C$1,'Group Totals'!$A:$AE,24,FALSE)</f>
        <v>17820.583333333332</v>
      </c>
      <c r="N27" s="125">
        <f>IF(LARGE('Group Totals'!W:W,1)=L25,LARGE('Group Totals'!W:W,2),LARGE('Group Totals'!W:W,1))</f>
        <v>36422</v>
      </c>
      <c r="O27" s="128">
        <f>VLOOKUP(N27,'Group Totals'!W:BJ,40,FALSE)</f>
        <v>44621</v>
      </c>
      <c r="Q27" s="124">
        <f>VLOOKUP('Dashboard Graphs'!$C$2,'Group Totals'!$A:$AD,29,FALSE)</f>
        <v>7734</v>
      </c>
      <c r="R27" s="125">
        <f>VLOOKUP('Dashboard Graphs'!$C$1,'Group Totals'!$BJ:$BK,2,FALSE)</f>
        <v>46003.833333333336</v>
      </c>
      <c r="S27" s="125">
        <f>IF(LARGE('Group Totals'!AC:AC,1)=Q25,LARGE('Group Totals'!AC:AC,2),LARGE('Group Totals'!AC:AC,1))</f>
        <v>84812</v>
      </c>
      <c r="T27" s="128">
        <f>VLOOKUP(S27,'Group Totals'!AC:BP,34,FALSE)</f>
        <v>44501</v>
      </c>
    </row>
    <row r="28" spans="2:20" ht="15.75" x14ac:dyDescent="0.25">
      <c r="L28" s="122" t="s">
        <v>1189</v>
      </c>
      <c r="M28" s="204" t="s">
        <v>1184</v>
      </c>
      <c r="N28" s="130" t="s">
        <v>1190</v>
      </c>
      <c r="O28" s="204" t="s">
        <v>1184</v>
      </c>
      <c r="Q28" s="122" t="s">
        <v>1189</v>
      </c>
      <c r="R28" s="204" t="s">
        <v>1184</v>
      </c>
      <c r="S28" s="130" t="s">
        <v>1190</v>
      </c>
      <c r="T28" s="204" t="s">
        <v>1184</v>
      </c>
    </row>
    <row r="29" spans="2:20" ht="15.75" thickBot="1" x14ac:dyDescent="0.3">
      <c r="L29" s="124">
        <f>VLOOKUP('Dashboard Graphs'!$C$1,'Group Totals'!$A:$AD,25,FALSE)</f>
        <v>208</v>
      </c>
      <c r="M29" s="126">
        <f>VLOOKUP('Dashboard Graphs'!$C$1,'Group Totals'!$A:$AD,26,FALSE)</f>
        <v>213.58333333333334</v>
      </c>
      <c r="N29" s="124">
        <f>VLOOKUP('Dashboard Graphs'!$C$1,'Group Totals'!$A:$AD,27,FALSE)</f>
        <v>112</v>
      </c>
      <c r="O29" s="126">
        <f>VLOOKUP('Dashboard Graphs'!$C$1,'Group Totals'!$A:$AD,28,FALSE)</f>
        <v>114.25</v>
      </c>
      <c r="Q29" s="124"/>
      <c r="R29" s="126"/>
      <c r="S29" s="124"/>
      <c r="T29" s="126"/>
    </row>
    <row r="32" spans="2:20" x14ac:dyDescent="0.25">
      <c r="I32" t="s">
        <v>1218</v>
      </c>
    </row>
    <row r="33" spans="2:20" ht="15.75" thickBot="1" x14ac:dyDescent="0.3"/>
    <row r="34" spans="2:20" ht="26.25" x14ac:dyDescent="0.25">
      <c r="B34" t="s">
        <v>1200</v>
      </c>
      <c r="G34" s="2030" t="s">
        <v>154</v>
      </c>
      <c r="H34" s="2031"/>
      <c r="I34" s="2031"/>
      <c r="J34" s="2032"/>
      <c r="L34" s="2030" t="s">
        <v>1201</v>
      </c>
      <c r="M34" s="2031"/>
      <c r="N34" s="2031"/>
      <c r="O34" s="2032"/>
      <c r="Q34" s="2030" t="s">
        <v>1202</v>
      </c>
      <c r="R34" s="2031"/>
      <c r="S34" s="2031"/>
      <c r="T34" s="2032"/>
    </row>
    <row r="35" spans="2:20" ht="32.25" thickBot="1" x14ac:dyDescent="0.3">
      <c r="G35" s="2033">
        <f>VLOOKUP('Dashboard Graphs'!$C$1,'Group Totals'!$A:$AF,32,FALSE)</f>
        <v>66</v>
      </c>
      <c r="H35" s="2034"/>
      <c r="I35" s="2034"/>
      <c r="J35" s="2035"/>
      <c r="L35" s="2033">
        <f>VLOOKUP('Dashboard Graphs'!$C$1,'Group Totals'!$A:$AD,2,FALSE)</f>
        <v>87606</v>
      </c>
      <c r="M35" s="2034"/>
      <c r="N35" s="2034"/>
      <c r="O35" s="2035"/>
      <c r="Q35" s="2033">
        <f>VLOOKUP('Dashboard Graphs'!$C$1,'Group Totals'!$A:$AD,30,FALSE)</f>
        <v>18279</v>
      </c>
      <c r="R35" s="2034"/>
      <c r="S35" s="2034"/>
      <c r="T35" s="2035"/>
    </row>
    <row r="36" spans="2:20" ht="15.75" x14ac:dyDescent="0.25">
      <c r="G36" s="133" t="s">
        <v>1181</v>
      </c>
      <c r="H36" s="202" t="s">
        <v>1184</v>
      </c>
      <c r="I36" s="2028" t="s">
        <v>1185</v>
      </c>
      <c r="J36" s="2029"/>
      <c r="L36" s="127" t="s">
        <v>1181</v>
      </c>
      <c r="M36" s="203" t="s">
        <v>1184</v>
      </c>
      <c r="N36" s="2042" t="s">
        <v>1185</v>
      </c>
      <c r="O36" s="2043"/>
      <c r="Q36" s="127" t="s">
        <v>1181</v>
      </c>
      <c r="R36" s="203" t="s">
        <v>1184</v>
      </c>
      <c r="S36" s="2042" t="s">
        <v>1185</v>
      </c>
      <c r="T36" s="2043"/>
    </row>
    <row r="37" spans="2:20" ht="15.75" thickBot="1" x14ac:dyDescent="0.3">
      <c r="G37" s="124">
        <f>VLOOKUP('Dashboard Graphs'!$C$2,'Group Totals'!$A:$AF,32,FALSE)</f>
        <v>62</v>
      </c>
      <c r="H37" s="124">
        <f>VLOOKUP('Dashboard Graphs'!$C$1,'Group Totals'!$BT:$BW,4,FALSE)</f>
        <v>72.5</v>
      </c>
      <c r="I37" s="124">
        <f>IF(LARGE('Group Totals'!AF:AF,1)=G35,LARGE('Group Totals'!AF:AF,2),LARGE('Group Totals'!AF:AF,1))</f>
        <v>17127174</v>
      </c>
      <c r="J37" s="128">
        <f>VLOOKUP(I37,'Group Totals'!AF:BJ,31,FALSE)</f>
        <v>0</v>
      </c>
      <c r="L37" s="124">
        <f>VLOOKUP('Dashboard Graphs'!$C$2,'Group Totals'!$A:$AD,2,FALSE)</f>
        <v>38552</v>
      </c>
      <c r="M37" s="125">
        <f>VLOOKUP('Dashboard Graphs'!$C$1,'Group Totals'!$BJ:$BM,4,FALSE)</f>
        <v>77029.5</v>
      </c>
      <c r="N37" s="125">
        <f>IF(LARGE('Group Totals'!B:B,1)=L35,LARGE('Group Totals'!B:B,2),LARGE('Group Totals'!B:B,1))</f>
        <v>155119</v>
      </c>
      <c r="O37" s="128">
        <f>VLOOKUP(N37,'Group Totals'!B:BJ,61,FALSE)</f>
        <v>44501</v>
      </c>
      <c r="Q37" s="124">
        <f>VLOOKUP('Dashboard Graphs'!$C$2,'Group Totals'!$A:$AD,30,FALSE)</f>
        <v>3349</v>
      </c>
      <c r="R37" s="125">
        <f>VLOOKUP('Dashboard Graphs'!$C$1,'Group Totals'!$BJ:$BL,3,FALSE)</f>
        <v>15900.916666666666</v>
      </c>
      <c r="S37" s="125">
        <f>IF(LARGE('Group Totals'!AD:AD,1)=Q35,LARGE('Group Totals'!AD:AD,2),LARGE('Group Totals'!AD:AD,1))</f>
        <v>33106</v>
      </c>
      <c r="T37" s="128">
        <f>VLOOKUP(S37,'Group Totals'!AD:BJ,33,FALSE)</f>
        <v>42186</v>
      </c>
    </row>
    <row r="38" spans="2:20" ht="15.75" x14ac:dyDescent="0.25">
      <c r="Q38" s="122" t="s">
        <v>1189</v>
      </c>
      <c r="R38" s="204" t="s">
        <v>1184</v>
      </c>
      <c r="S38" s="130" t="s">
        <v>1190</v>
      </c>
      <c r="T38" s="204" t="s">
        <v>1184</v>
      </c>
    </row>
    <row r="39" spans="2:20" ht="15.75" thickBot="1" x14ac:dyDescent="0.3">
      <c r="Q39" s="124"/>
      <c r="R39" s="126"/>
      <c r="S39" s="124"/>
      <c r="T39" s="126"/>
    </row>
    <row r="41" spans="2:20" ht="15.75" thickBot="1" x14ac:dyDescent="0.3"/>
    <row r="42" spans="2:20" ht="26.25" x14ac:dyDescent="0.25">
      <c r="G42" s="2030" t="s">
        <v>1203</v>
      </c>
      <c r="H42" s="2031"/>
      <c r="I42" s="2031"/>
      <c r="J42" s="2032"/>
      <c r="L42" s="2030" t="s">
        <v>1219</v>
      </c>
      <c r="M42" s="2031"/>
      <c r="N42" s="2031"/>
      <c r="O42" s="2032"/>
      <c r="Q42" s="2030" t="s">
        <v>1205</v>
      </c>
      <c r="R42" s="2031"/>
      <c r="S42" s="2031"/>
      <c r="T42" s="2032"/>
    </row>
    <row r="43" spans="2:20" ht="32.25" thickBot="1" x14ac:dyDescent="0.3">
      <c r="G43" s="2047">
        <f>VLOOKUP('Dashboard Graphs'!$C$1,'Group Totals'!$A:$AD,4,FALSE)</f>
        <v>1.4998972673104582E-2</v>
      </c>
      <c r="H43" s="2048"/>
      <c r="I43" s="2048"/>
      <c r="J43" s="2049"/>
      <c r="L43" s="2047">
        <f>VLOOKUP('Dashboard Graphs'!$C$1,'Group Totals'!$A:$AD,6,FALSE)</f>
        <v>0.97552471520215522</v>
      </c>
      <c r="M43" s="2048"/>
      <c r="N43" s="2048"/>
      <c r="O43" s="2049"/>
      <c r="Q43" s="2047">
        <f>VLOOKUP('Dashboard Graphs'!$C$1,'Group Totals'!$A:$AD,8,FALSE)</f>
        <v>9.4763121247401945E-3</v>
      </c>
      <c r="R43" s="2048"/>
      <c r="S43" s="2048"/>
      <c r="T43" s="2049"/>
    </row>
    <row r="44" spans="2:20" ht="15.75" x14ac:dyDescent="0.25">
      <c r="G44" s="127" t="s">
        <v>1181</v>
      </c>
      <c r="H44" s="203" t="s">
        <v>1184</v>
      </c>
      <c r="I44" s="2042" t="s">
        <v>1195</v>
      </c>
      <c r="J44" s="2043"/>
      <c r="L44" s="127" t="s">
        <v>1181</v>
      </c>
      <c r="M44" s="203" t="s">
        <v>1184</v>
      </c>
      <c r="N44" s="2042" t="s">
        <v>1185</v>
      </c>
      <c r="O44" s="2043"/>
      <c r="Q44" s="127" t="s">
        <v>1181</v>
      </c>
      <c r="R44" s="203" t="s">
        <v>1184</v>
      </c>
      <c r="S44" s="2042" t="s">
        <v>1185</v>
      </c>
      <c r="T44" s="2043"/>
    </row>
    <row r="45" spans="2:20" ht="15.75" thickBot="1" x14ac:dyDescent="0.3">
      <c r="G45" s="138">
        <f>VLOOKUP('Dashboard Graphs'!$C$2,'Group Totals'!$A:$AD,4,FALSE)</f>
        <v>1.2087570035277028E-2</v>
      </c>
      <c r="H45" s="139">
        <f>VLOOKUP('Dashboard Graphs'!$C$1,'Group Totals'!$BT:$CA,8,FALSE)</f>
        <v>1.6392898142640899E-2</v>
      </c>
      <c r="I45" s="139">
        <f>IF(SMALL('Group Totals'!D:D,1)=G43,SMALL('Group Totals'!D:D,2),SMALL('Group Totals'!D:D,1))</f>
        <v>1.2087570035277028E-2</v>
      </c>
      <c r="J45" s="128">
        <f>VLOOKUP(I45,'Group Totals'!D:BJ,59,FALSE)</f>
        <v>43922</v>
      </c>
      <c r="L45" s="138">
        <f>VLOOKUP('Dashboard Graphs'!$C$2,'Group Totals'!$A:$AD,6,FALSE)</f>
        <v>0.97733522515044613</v>
      </c>
      <c r="M45" s="139">
        <f>VLOOKUP('Dashboard Graphs'!$C$1,'Group Totals'!$BT:$BZ,7,FALSE)</f>
        <v>0.97406158379594743</v>
      </c>
      <c r="N45" s="139">
        <f>IF(LARGE('Group Totals'!F:F,1)=L43,LARGE('Group Totals'!F:F,2),LARGE('Group Totals'!F:F,1))</f>
        <v>0.97957840129560625</v>
      </c>
      <c r="O45" s="128">
        <f>VLOOKUP(N45,'Group Totals'!F:BJ,57,FALSE)</f>
        <v>44228</v>
      </c>
      <c r="Q45" s="138">
        <f>VLOOKUP('Dashboard Graphs'!$C$2,'Group Totals'!$A:$AD,8,FALSE)</f>
        <v>1.0577204814276842E-2</v>
      </c>
      <c r="R45" s="139">
        <f>VLOOKUP('Dashboard Graphs'!$C$1,'Group Totals'!$BT:$CB,9,FALSE)</f>
        <v>9.545518061411672E-3</v>
      </c>
      <c r="S45" s="139">
        <f>IF(SMALL('Group Totals'!H:H,1)=Q43,SMALL('Group Totals'!H:H,2),SMALL('Group Totals'!H:H,1))</f>
        <v>-5.3156358523126571E-3</v>
      </c>
      <c r="T45" s="128">
        <f>VLOOKUP(S45,'Group Totals'!H:BJ,55,FALSE)</f>
        <v>44866</v>
      </c>
    </row>
  </sheetData>
  <mergeCells count="57">
    <mergeCell ref="G43:J43"/>
    <mergeCell ref="L43:O43"/>
    <mergeCell ref="Q43:T43"/>
    <mergeCell ref="I44:J44"/>
    <mergeCell ref="N44:O44"/>
    <mergeCell ref="S44:T44"/>
    <mergeCell ref="I36:J36"/>
    <mergeCell ref="N36:O36"/>
    <mergeCell ref="S36:T36"/>
    <mergeCell ref="G42:J42"/>
    <mergeCell ref="L42:O42"/>
    <mergeCell ref="Q42:T42"/>
    <mergeCell ref="G34:J34"/>
    <mergeCell ref="L34:O34"/>
    <mergeCell ref="Q34:T34"/>
    <mergeCell ref="G35:J35"/>
    <mergeCell ref="L35:O35"/>
    <mergeCell ref="Q35:T35"/>
    <mergeCell ref="B25:E25"/>
    <mergeCell ref="G25:J25"/>
    <mergeCell ref="L25:O25"/>
    <mergeCell ref="Q25:T25"/>
    <mergeCell ref="D26:E26"/>
    <mergeCell ref="I26:J26"/>
    <mergeCell ref="N26:O26"/>
    <mergeCell ref="S26:T26"/>
    <mergeCell ref="D18:E18"/>
    <mergeCell ref="I18:J18"/>
    <mergeCell ref="N18:O18"/>
    <mergeCell ref="S18:T18"/>
    <mergeCell ref="B24:E24"/>
    <mergeCell ref="G24:J24"/>
    <mergeCell ref="L24:O24"/>
    <mergeCell ref="Q24:T24"/>
    <mergeCell ref="B16:E16"/>
    <mergeCell ref="G16:J16"/>
    <mergeCell ref="L16:O16"/>
    <mergeCell ref="Q16:T16"/>
    <mergeCell ref="B17:E17"/>
    <mergeCell ref="G17:J17"/>
    <mergeCell ref="L17:O17"/>
    <mergeCell ref="Q17:T17"/>
    <mergeCell ref="D10:E10"/>
    <mergeCell ref="I10:J10"/>
    <mergeCell ref="N10:O10"/>
    <mergeCell ref="S10:T10"/>
    <mergeCell ref="L2:O2"/>
    <mergeCell ref="L3:O3"/>
    <mergeCell ref="N4:O4"/>
    <mergeCell ref="B8:E8"/>
    <mergeCell ref="G8:J8"/>
    <mergeCell ref="L8:O8"/>
    <mergeCell ref="Q8:T8"/>
    <mergeCell ref="B9:E9"/>
    <mergeCell ref="G9:J9"/>
    <mergeCell ref="L9:O9"/>
    <mergeCell ref="Q9:T9"/>
  </mergeCells>
  <conditionalFormatting sqref="L5:N5 L3:O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:O9 L11:N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7:O17 L19:N1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O25 L27:N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T25 Q27:S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T35 Q37:S3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5:O35 L37:N3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E9 B11:D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S11 Q9:T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J25 G27:I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:J17 G19:I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7:T17 Q19:S1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:J9 G11:I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5:J35 G37:I3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E17 B19:D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E25 B27:D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3:O43 L45:N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3:J43 G45:I4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43:T43 Q45:S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8" scale="66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3AAAE23-3B51-48E4-A4E8-BEF81C6C06EF}">
          <x14:formula1>
            <xm:f>'Group Totals'!$A$4:$A$142</xm:f>
          </x14:formula1>
          <xm:sqref>C1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1983-00A0-4E50-8DB8-B512AF41E198}">
  <sheetPr>
    <tabColor rgb="FFFF0000"/>
    <pageSetUpPr fitToPage="1"/>
  </sheetPr>
  <dimension ref="A1:U127"/>
  <sheetViews>
    <sheetView showGridLines="0" zoomScaleNormal="100" workbookViewId="0">
      <selection activeCell="AA25" sqref="AA25"/>
    </sheetView>
  </sheetViews>
  <sheetFormatPr defaultRowHeight="15" x14ac:dyDescent="0.25"/>
  <sheetData>
    <row r="1" spans="1:2" ht="15.75" thickBot="1" x14ac:dyDescent="0.3"/>
    <row r="2" spans="1:2" x14ac:dyDescent="0.25">
      <c r="A2" s="2053" t="s">
        <v>1220</v>
      </c>
      <c r="B2" s="2054"/>
    </row>
    <row r="3" spans="1:2" x14ac:dyDescent="0.25">
      <c r="A3" s="2055"/>
      <c r="B3" s="2056"/>
    </row>
    <row r="4" spans="1:2" x14ac:dyDescent="0.25">
      <c r="A4" s="2055"/>
      <c r="B4" s="2056"/>
    </row>
    <row r="5" spans="1:2" x14ac:dyDescent="0.25">
      <c r="A5" s="2055"/>
      <c r="B5" s="2056"/>
    </row>
    <row r="6" spans="1:2" x14ac:dyDescent="0.25">
      <c r="A6" s="2055"/>
      <c r="B6" s="2056"/>
    </row>
    <row r="7" spans="1:2" x14ac:dyDescent="0.25">
      <c r="A7" s="2055"/>
      <c r="B7" s="2056"/>
    </row>
    <row r="8" spans="1:2" x14ac:dyDescent="0.25">
      <c r="A8" s="2055"/>
      <c r="B8" s="2056"/>
    </row>
    <row r="9" spans="1:2" x14ac:dyDescent="0.25">
      <c r="A9" s="2055"/>
      <c r="B9" s="2056"/>
    </row>
    <row r="10" spans="1:2" x14ac:dyDescent="0.25">
      <c r="A10" s="2055"/>
      <c r="B10" s="2056"/>
    </row>
    <row r="11" spans="1:2" x14ac:dyDescent="0.25">
      <c r="A11" s="2055"/>
      <c r="B11" s="2056"/>
    </row>
    <row r="12" spans="1:2" x14ac:dyDescent="0.25">
      <c r="A12" s="2055"/>
      <c r="B12" s="2056"/>
    </row>
    <row r="13" spans="1:2" x14ac:dyDescent="0.25">
      <c r="A13" s="2055"/>
      <c r="B13" s="2056"/>
    </row>
    <row r="14" spans="1:2" x14ac:dyDescent="0.25">
      <c r="A14" s="2055"/>
      <c r="B14" s="2056"/>
    </row>
    <row r="15" spans="1:2" x14ac:dyDescent="0.25">
      <c r="A15" s="2055"/>
      <c r="B15" s="2056"/>
    </row>
    <row r="16" spans="1:2" x14ac:dyDescent="0.25">
      <c r="A16" s="2055"/>
      <c r="B16" s="2056"/>
    </row>
    <row r="17" spans="1:2" x14ac:dyDescent="0.25">
      <c r="A17" s="2055"/>
      <c r="B17" s="2056"/>
    </row>
    <row r="18" spans="1:2" x14ac:dyDescent="0.25">
      <c r="A18" s="2055"/>
      <c r="B18" s="2056"/>
    </row>
    <row r="19" spans="1:2" x14ac:dyDescent="0.25">
      <c r="A19" s="2055"/>
      <c r="B19" s="2056"/>
    </row>
    <row r="20" spans="1:2" x14ac:dyDescent="0.25">
      <c r="A20" s="2055"/>
      <c r="B20" s="2056"/>
    </row>
    <row r="21" spans="1:2" x14ac:dyDescent="0.25">
      <c r="A21" s="2055"/>
      <c r="B21" s="2056"/>
    </row>
    <row r="22" spans="1:2" x14ac:dyDescent="0.25">
      <c r="A22" s="2055"/>
      <c r="B22" s="2056"/>
    </row>
    <row r="23" spans="1:2" x14ac:dyDescent="0.25">
      <c r="A23" s="2055"/>
      <c r="B23" s="2056"/>
    </row>
    <row r="24" spans="1:2" x14ac:dyDescent="0.25">
      <c r="A24" s="2055"/>
      <c r="B24" s="2056"/>
    </row>
    <row r="25" spans="1:2" x14ac:dyDescent="0.25">
      <c r="A25" s="2055"/>
      <c r="B25" s="2056"/>
    </row>
    <row r="26" spans="1:2" x14ac:dyDescent="0.25">
      <c r="A26" s="2055"/>
      <c r="B26" s="2056"/>
    </row>
    <row r="27" spans="1:2" x14ac:dyDescent="0.25">
      <c r="A27" s="2055"/>
      <c r="B27" s="2056"/>
    </row>
    <row r="28" spans="1:2" x14ac:dyDescent="0.25">
      <c r="A28" s="2055"/>
      <c r="B28" s="2056"/>
    </row>
    <row r="29" spans="1:2" x14ac:dyDescent="0.25">
      <c r="A29" s="2055"/>
      <c r="B29" s="2056"/>
    </row>
    <row r="30" spans="1:2" x14ac:dyDescent="0.25">
      <c r="A30" s="2055"/>
      <c r="B30" s="2056"/>
    </row>
    <row r="31" spans="1:2" ht="15.75" thickBot="1" x14ac:dyDescent="0.3">
      <c r="A31" s="2057"/>
      <c r="B31" s="2058"/>
    </row>
    <row r="33" spans="1:2" ht="15.75" thickBot="1" x14ac:dyDescent="0.3"/>
    <row r="34" spans="1:2" x14ac:dyDescent="0.25">
      <c r="A34" s="2059" t="s">
        <v>1221</v>
      </c>
      <c r="B34" s="2060"/>
    </row>
    <row r="35" spans="1:2" x14ac:dyDescent="0.25">
      <c r="A35" s="2061"/>
      <c r="B35" s="2062"/>
    </row>
    <row r="36" spans="1:2" x14ac:dyDescent="0.25">
      <c r="A36" s="2061"/>
      <c r="B36" s="2062"/>
    </row>
    <row r="37" spans="1:2" x14ac:dyDescent="0.25">
      <c r="A37" s="2061"/>
      <c r="B37" s="2062"/>
    </row>
    <row r="38" spans="1:2" x14ac:dyDescent="0.25">
      <c r="A38" s="2061"/>
      <c r="B38" s="2062"/>
    </row>
    <row r="39" spans="1:2" x14ac:dyDescent="0.25">
      <c r="A39" s="2061"/>
      <c r="B39" s="2062"/>
    </row>
    <row r="40" spans="1:2" x14ac:dyDescent="0.25">
      <c r="A40" s="2061"/>
      <c r="B40" s="2062"/>
    </row>
    <row r="41" spans="1:2" x14ac:dyDescent="0.25">
      <c r="A41" s="2061"/>
      <c r="B41" s="2062"/>
    </row>
    <row r="42" spans="1:2" x14ac:dyDescent="0.25">
      <c r="A42" s="2061"/>
      <c r="B42" s="2062"/>
    </row>
    <row r="43" spans="1:2" x14ac:dyDescent="0.25">
      <c r="A43" s="2061"/>
      <c r="B43" s="2062"/>
    </row>
    <row r="44" spans="1:2" x14ac:dyDescent="0.25">
      <c r="A44" s="2061"/>
      <c r="B44" s="2062"/>
    </row>
    <row r="45" spans="1:2" x14ac:dyDescent="0.25">
      <c r="A45" s="2061"/>
      <c r="B45" s="2062"/>
    </row>
    <row r="46" spans="1:2" x14ac:dyDescent="0.25">
      <c r="A46" s="2061"/>
      <c r="B46" s="2062"/>
    </row>
    <row r="47" spans="1:2" x14ac:dyDescent="0.25">
      <c r="A47" s="2061"/>
      <c r="B47" s="2062"/>
    </row>
    <row r="48" spans="1:2" x14ac:dyDescent="0.25">
      <c r="A48" s="2061"/>
      <c r="B48" s="2062"/>
    </row>
    <row r="49" spans="1:2" x14ac:dyDescent="0.25">
      <c r="A49" s="2061"/>
      <c r="B49" s="2062"/>
    </row>
    <row r="50" spans="1:2" x14ac:dyDescent="0.25">
      <c r="A50" s="2061"/>
      <c r="B50" s="2062"/>
    </row>
    <row r="51" spans="1:2" x14ac:dyDescent="0.25">
      <c r="A51" s="2061"/>
      <c r="B51" s="2062"/>
    </row>
    <row r="52" spans="1:2" x14ac:dyDescent="0.25">
      <c r="A52" s="2061"/>
      <c r="B52" s="2062"/>
    </row>
    <row r="53" spans="1:2" x14ac:dyDescent="0.25">
      <c r="A53" s="2061"/>
      <c r="B53" s="2062"/>
    </row>
    <row r="54" spans="1:2" x14ac:dyDescent="0.25">
      <c r="A54" s="2061"/>
      <c r="B54" s="2062"/>
    </row>
    <row r="55" spans="1:2" x14ac:dyDescent="0.25">
      <c r="A55" s="2061"/>
      <c r="B55" s="2062"/>
    </row>
    <row r="56" spans="1:2" x14ac:dyDescent="0.25">
      <c r="A56" s="2061"/>
      <c r="B56" s="2062"/>
    </row>
    <row r="57" spans="1:2" x14ac:dyDescent="0.25">
      <c r="A57" s="2061"/>
      <c r="B57" s="2062"/>
    </row>
    <row r="58" spans="1:2" x14ac:dyDescent="0.25">
      <c r="A58" s="2061"/>
      <c r="B58" s="2062"/>
    </row>
    <row r="59" spans="1:2" x14ac:dyDescent="0.25">
      <c r="A59" s="2061"/>
      <c r="B59" s="2062"/>
    </row>
    <row r="60" spans="1:2" x14ac:dyDescent="0.25">
      <c r="A60" s="2061"/>
      <c r="B60" s="2062"/>
    </row>
    <row r="61" spans="1:2" x14ac:dyDescent="0.25">
      <c r="A61" s="2061"/>
      <c r="B61" s="2062"/>
    </row>
    <row r="62" spans="1:2" x14ac:dyDescent="0.25">
      <c r="A62" s="2061"/>
      <c r="B62" s="2062"/>
    </row>
    <row r="63" spans="1:2" ht="15.75" thickBot="1" x14ac:dyDescent="0.3">
      <c r="A63" s="2063"/>
      <c r="B63" s="2064"/>
    </row>
    <row r="65" spans="1:2" ht="15.75" thickBot="1" x14ac:dyDescent="0.3"/>
    <row r="66" spans="1:2" x14ac:dyDescent="0.25">
      <c r="A66" s="2059" t="s">
        <v>1222</v>
      </c>
      <c r="B66" s="2060"/>
    </row>
    <row r="67" spans="1:2" x14ac:dyDescent="0.25">
      <c r="A67" s="2061"/>
      <c r="B67" s="2062"/>
    </row>
    <row r="68" spans="1:2" x14ac:dyDescent="0.25">
      <c r="A68" s="2061"/>
      <c r="B68" s="2062"/>
    </row>
    <row r="69" spans="1:2" x14ac:dyDescent="0.25">
      <c r="A69" s="2061"/>
      <c r="B69" s="2062"/>
    </row>
    <row r="70" spans="1:2" x14ac:dyDescent="0.25">
      <c r="A70" s="2061"/>
      <c r="B70" s="2062"/>
    </row>
    <row r="71" spans="1:2" x14ac:dyDescent="0.25">
      <c r="A71" s="2061"/>
      <c r="B71" s="2062"/>
    </row>
    <row r="72" spans="1:2" x14ac:dyDescent="0.25">
      <c r="A72" s="2061"/>
      <c r="B72" s="2062"/>
    </row>
    <row r="73" spans="1:2" x14ac:dyDescent="0.25">
      <c r="A73" s="2061"/>
      <c r="B73" s="2062"/>
    </row>
    <row r="74" spans="1:2" x14ac:dyDescent="0.25">
      <c r="A74" s="2061"/>
      <c r="B74" s="2062"/>
    </row>
    <row r="75" spans="1:2" x14ac:dyDescent="0.25">
      <c r="A75" s="2061"/>
      <c r="B75" s="2062"/>
    </row>
    <row r="76" spans="1:2" x14ac:dyDescent="0.25">
      <c r="A76" s="2061"/>
      <c r="B76" s="2062"/>
    </row>
    <row r="77" spans="1:2" x14ac:dyDescent="0.25">
      <c r="A77" s="2061"/>
      <c r="B77" s="2062"/>
    </row>
    <row r="78" spans="1:2" x14ac:dyDescent="0.25">
      <c r="A78" s="2061"/>
      <c r="B78" s="2062"/>
    </row>
    <row r="79" spans="1:2" x14ac:dyDescent="0.25">
      <c r="A79" s="2061"/>
      <c r="B79" s="2062"/>
    </row>
    <row r="80" spans="1:2" x14ac:dyDescent="0.25">
      <c r="A80" s="2061"/>
      <c r="B80" s="2062"/>
    </row>
    <row r="81" spans="1:2" x14ac:dyDescent="0.25">
      <c r="A81" s="2061"/>
      <c r="B81" s="2062"/>
    </row>
    <row r="82" spans="1:2" x14ac:dyDescent="0.25">
      <c r="A82" s="2061"/>
      <c r="B82" s="2062"/>
    </row>
    <row r="83" spans="1:2" x14ac:dyDescent="0.25">
      <c r="A83" s="2061"/>
      <c r="B83" s="2062"/>
    </row>
    <row r="84" spans="1:2" x14ac:dyDescent="0.25">
      <c r="A84" s="2061"/>
      <c r="B84" s="2062"/>
    </row>
    <row r="85" spans="1:2" x14ac:dyDescent="0.25">
      <c r="A85" s="2061"/>
      <c r="B85" s="2062"/>
    </row>
    <row r="86" spans="1:2" x14ac:dyDescent="0.25">
      <c r="A86" s="2061"/>
      <c r="B86" s="2062"/>
    </row>
    <row r="87" spans="1:2" x14ac:dyDescent="0.25">
      <c r="A87" s="2061"/>
      <c r="B87" s="2062"/>
    </row>
    <row r="88" spans="1:2" x14ac:dyDescent="0.25">
      <c r="A88" s="2061"/>
      <c r="B88" s="2062"/>
    </row>
    <row r="89" spans="1:2" x14ac:dyDescent="0.25">
      <c r="A89" s="2061"/>
      <c r="B89" s="2062"/>
    </row>
    <row r="90" spans="1:2" x14ac:dyDescent="0.25">
      <c r="A90" s="2061"/>
      <c r="B90" s="2062"/>
    </row>
    <row r="91" spans="1:2" x14ac:dyDescent="0.25">
      <c r="A91" s="2061"/>
      <c r="B91" s="2062"/>
    </row>
    <row r="92" spans="1:2" x14ac:dyDescent="0.25">
      <c r="A92" s="2061"/>
      <c r="B92" s="2062"/>
    </row>
    <row r="93" spans="1:2" x14ac:dyDescent="0.25">
      <c r="A93" s="2061"/>
      <c r="B93" s="2062"/>
    </row>
    <row r="94" spans="1:2" x14ac:dyDescent="0.25">
      <c r="A94" s="2061"/>
      <c r="B94" s="2062"/>
    </row>
    <row r="95" spans="1:2" ht="15.75" thickBot="1" x14ac:dyDescent="0.3">
      <c r="A95" s="2063"/>
      <c r="B95" s="2064"/>
    </row>
    <row r="97" spans="1:2" ht="15.75" thickBot="1" x14ac:dyDescent="0.3"/>
    <row r="98" spans="1:2" ht="15" customHeight="1" x14ac:dyDescent="0.25">
      <c r="A98" s="2059" t="s">
        <v>1055</v>
      </c>
      <c r="B98" s="2060"/>
    </row>
    <row r="99" spans="1:2" x14ac:dyDescent="0.25">
      <c r="A99" s="2061"/>
      <c r="B99" s="2062"/>
    </row>
    <row r="100" spans="1:2" x14ac:dyDescent="0.25">
      <c r="A100" s="2061"/>
      <c r="B100" s="2062"/>
    </row>
    <row r="101" spans="1:2" x14ac:dyDescent="0.25">
      <c r="A101" s="2061"/>
      <c r="B101" s="2062"/>
    </row>
    <row r="102" spans="1:2" x14ac:dyDescent="0.25">
      <c r="A102" s="2061"/>
      <c r="B102" s="2062"/>
    </row>
    <row r="103" spans="1:2" x14ac:dyDescent="0.25">
      <c r="A103" s="2061"/>
      <c r="B103" s="2062"/>
    </row>
    <row r="104" spans="1:2" x14ac:dyDescent="0.25">
      <c r="A104" s="2061"/>
      <c r="B104" s="2062"/>
    </row>
    <row r="105" spans="1:2" x14ac:dyDescent="0.25">
      <c r="A105" s="2061"/>
      <c r="B105" s="2062"/>
    </row>
    <row r="106" spans="1:2" x14ac:dyDescent="0.25">
      <c r="A106" s="2061"/>
      <c r="B106" s="2062"/>
    </row>
    <row r="107" spans="1:2" x14ac:dyDescent="0.25">
      <c r="A107" s="2061"/>
      <c r="B107" s="2062"/>
    </row>
    <row r="108" spans="1:2" x14ac:dyDescent="0.25">
      <c r="A108" s="2061"/>
      <c r="B108" s="2062"/>
    </row>
    <row r="109" spans="1:2" x14ac:dyDescent="0.25">
      <c r="A109" s="2061"/>
      <c r="B109" s="2062"/>
    </row>
    <row r="110" spans="1:2" x14ac:dyDescent="0.25">
      <c r="A110" s="2061"/>
      <c r="B110" s="2062"/>
    </row>
    <row r="111" spans="1:2" x14ac:dyDescent="0.25">
      <c r="A111" s="2061"/>
      <c r="B111" s="2062"/>
    </row>
    <row r="112" spans="1:2" ht="15.75" thickBot="1" x14ac:dyDescent="0.3">
      <c r="A112" s="2063"/>
      <c r="B112" s="2064"/>
    </row>
    <row r="113" spans="1:21" x14ac:dyDescent="0.25">
      <c r="A113" s="211"/>
      <c r="B113" s="211"/>
      <c r="U113" s="908"/>
    </row>
    <row r="114" spans="1:21" x14ac:dyDescent="0.25">
      <c r="A114" s="211"/>
      <c r="B114" s="211"/>
    </row>
    <row r="115" spans="1:21" x14ac:dyDescent="0.25">
      <c r="A115" s="211"/>
      <c r="B115" s="211"/>
    </row>
    <row r="116" spans="1:21" x14ac:dyDescent="0.25">
      <c r="A116" s="211"/>
      <c r="B116" s="211"/>
    </row>
    <row r="117" spans="1:21" x14ac:dyDescent="0.25">
      <c r="A117" s="211"/>
      <c r="B117" s="211"/>
    </row>
    <row r="118" spans="1:21" x14ac:dyDescent="0.25">
      <c r="A118" s="211"/>
      <c r="B118" s="211"/>
    </row>
    <row r="119" spans="1:21" x14ac:dyDescent="0.25">
      <c r="A119" s="211"/>
      <c r="B119" s="211"/>
    </row>
    <row r="120" spans="1:21" x14ac:dyDescent="0.25">
      <c r="A120" s="211"/>
      <c r="B120" s="211"/>
    </row>
    <row r="121" spans="1:21" x14ac:dyDescent="0.25">
      <c r="A121" s="211"/>
      <c r="B121" s="211"/>
    </row>
    <row r="122" spans="1:21" x14ac:dyDescent="0.25">
      <c r="A122" s="211"/>
      <c r="B122" s="211"/>
    </row>
    <row r="123" spans="1:21" x14ac:dyDescent="0.25">
      <c r="A123" s="211"/>
      <c r="B123" s="211"/>
    </row>
    <row r="124" spans="1:21" x14ac:dyDescent="0.25">
      <c r="A124" s="211"/>
      <c r="B124" s="211"/>
    </row>
    <row r="125" spans="1:21" x14ac:dyDescent="0.25">
      <c r="A125" s="211"/>
      <c r="B125" s="211"/>
    </row>
    <row r="126" spans="1:21" x14ac:dyDescent="0.25">
      <c r="A126" s="211"/>
      <c r="B126" s="211"/>
    </row>
    <row r="127" spans="1:21" x14ac:dyDescent="0.25">
      <c r="A127" s="211"/>
      <c r="B127" s="211"/>
    </row>
  </sheetData>
  <mergeCells count="4">
    <mergeCell ref="A2:B31"/>
    <mergeCell ref="A34:B63"/>
    <mergeCell ref="A66:B95"/>
    <mergeCell ref="A98:B112"/>
  </mergeCells>
  <pageMargins left="0.7" right="0.7" top="0.75" bottom="0.75" header="0.3" footer="0.3"/>
  <pageSetup paperSize="8" scale="64" fitToHeight="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CM_x0023_ xmlns="843e3af0-4c02-46dd-9406-37adaa016145" xsi:nil="true"/>
    <Progress xmlns="843e3af0-4c02-46dd-9406-37adaa016145" xsi:nil="true"/>
    <On_x0020_Hold xmlns="843e3af0-4c02-46dd-9406-37adaa016145">false</On_x0020_Hold>
    <Depts xmlns="0ef7427a-5dfe-4e0f-b655-82d378a0dcf2" xsi:nil="true"/>
    <Accountable xmlns="843e3af0-4c02-46dd-9406-37adaa016145">
      <UserInfo>
        <DisplayName>Andrew Rowson</DisplayName>
        <AccountId>15</AccountId>
        <AccountType/>
      </UserInfo>
    </Accountable>
    <TaxKeywordTaxHTField xmlns="0ef7427a-5dfe-4e0f-b655-82d378a0dcf2" xsi:nil="true"/>
    <Lead xmlns="843e3af0-4c02-46dd-9406-37adaa016145">
      <UserInfo>
        <DisplayName>Andrew Rowson</DisplayName>
        <AccountId>15</AccountId>
        <AccountType/>
      </UserInfo>
    </Lead>
    <TaxCatchAll xmlns="0ef7427a-5dfe-4e0f-b655-82d378a0dcf2" xsi:nil="true"/>
    <_dlc_DocId xmlns="0ef7427a-5dfe-4e0f-b655-82d378a0dcf2">XZQE5AJ46CVC-1013328749-263</_dlc_DocId>
    <_dlc_DocIdUrl xmlns="0ef7427a-5dfe-4e0f-b655-82d378a0dcf2">
      <Url>https://gallagher203.sharepoint.com/sites/Operations-General/_layouts/15/DocIdRedir.aspx?ID=XZQE5AJ46CVC-1013328749-263</Url>
      <Description>XZQE5AJ46CVC-1013328749-263</Description>
    </_dlc_DocIdUrl>
    <_dlc_DocIdPersistId xmlns="0ef7427a-5dfe-4e0f-b655-82d378a0dcf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42D8FE289EE9448B8FD67B27E9CF39" ma:contentTypeVersion="74" ma:contentTypeDescription="Create a new document." ma:contentTypeScope="" ma:versionID="10248790b819c299cae0e43b75e45314">
  <xsd:schema xmlns:xsd="http://www.w3.org/2001/XMLSchema" xmlns:xs="http://www.w3.org/2001/XMLSchema" xmlns:p="http://schemas.microsoft.com/office/2006/metadata/properties" xmlns:ns2="0ef7427a-5dfe-4e0f-b655-82d378a0dcf2" xmlns:ns3="843e3af0-4c02-46dd-9406-37adaa016145" targetNamespace="http://schemas.microsoft.com/office/2006/metadata/properties" ma:root="true" ma:fieldsID="3323ff64809ff985c74656073c75ae5b" ns2:_="" ns3:_="">
    <xsd:import namespace="0ef7427a-5dfe-4e0f-b655-82d378a0dcf2"/>
    <xsd:import namespace="843e3af0-4c02-46dd-9406-37adaa016145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TaxCatchAll" minOccurs="0"/>
                <xsd:element ref="ns2:Depts" minOccurs="0"/>
                <xsd:element ref="ns3:PCM_x0023_" minOccurs="0"/>
                <xsd:element ref="ns3:Lead"/>
                <xsd:element ref="ns3:Progress" minOccurs="0"/>
                <xsd:element ref="ns3:On_x0020_Hold" minOccurs="0"/>
                <xsd:element ref="ns2:TaxKeywordTaxHTField" minOccurs="0"/>
                <xsd:element ref="ns3:Accountab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f7427a-5dfe-4e0f-b655-82d378a0dcf2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false">
      <xsd:simpleType>
        <xsd:restriction base="dms:Boolean"/>
      </xsd:simpleType>
    </xsd:element>
    <xsd:element name="TaxCatchAll" ma:index="11" nillable="true" ma:displayName="Taxonomy Catch All Column" ma:hidden="true" ma:list="{8d86f4a2-e90f-4475-80e9-a4f38b83a79e}" ma:internalName="TaxCatchAll" ma:showField="CatchAllData" ma:web="0ef7427a-5dfe-4e0f-b655-82d378a0dcf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epts" ma:index="12" nillable="true" ma:displayName="Depts" ma:internalName="Depts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ll"/>
                    <xsd:enumeration value="Distribution"/>
                    <xsd:enumeration value="Executive"/>
                    <xsd:enumeration value="Final Assembly"/>
                    <xsd:enumeration value="GPS"/>
                    <xsd:enumeration value="Hardware"/>
                    <xsd:enumeration value="Maintenance"/>
                    <xsd:enumeration value="Modules"/>
                    <xsd:enumeration value="NPI"/>
                    <xsd:enumeration value="Planning"/>
                    <xsd:enumeration value="Plastics"/>
                    <xsd:enumeration value="Printhouse"/>
                    <xsd:enumeration value="Procurement"/>
                    <xsd:enumeration value="Production Engineering"/>
                    <xsd:enumeration value="Production Stores"/>
                    <xsd:enumeration value="Quality"/>
                    <xsd:enumeration value="Tool &amp; Die"/>
                  </xsd:restriction>
                </xsd:simpleType>
              </xsd:element>
            </xsd:sequence>
          </xsd:extension>
        </xsd:complexContent>
      </xsd:complexType>
    </xsd:element>
    <xsd:element name="TaxKeywordTaxHTField" ma:index="17" nillable="true" ma:displayName="TaxKeywordTaxHTField" ma:hidden="true" ma:internalName="TaxKeywordTaxHTField" ma:readOnly="fals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3e3af0-4c02-46dd-9406-37adaa016145" elementFormDefault="qualified">
    <xsd:import namespace="http://schemas.microsoft.com/office/2006/documentManagement/types"/>
    <xsd:import namespace="http://schemas.microsoft.com/office/infopath/2007/PartnerControls"/>
    <xsd:element name="PCM_x0023_" ma:index="13" nillable="true" ma:displayName="PCM#" ma:description="Please add PCM number if applicable" ma:list="{781d50ec-9ee7-486c-8104-edac9bab7b89}" ma:internalName="PCM_x0023_" ma:readOnly="false" ma:showField="LinkTitleNoMenu">
      <xsd:simpleType>
        <xsd:restriction base="dms:Lookup"/>
      </xsd:simpleType>
    </xsd:element>
    <xsd:element name="Lead" ma:index="14" ma:displayName="Accountable" ma:list="UserInfo" ma:SharePointGroup="0" ma:internalName="Lead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rogress" ma:index="15" nillable="true" ma:displayName="Progress" ma:format="Dropdown" ma:internalName="Progress" ma:readOnly="false">
      <xsd:simpleType>
        <xsd:restriction base="dms:Choice">
          <xsd:enumeration value="0 - 25%"/>
          <xsd:enumeration value="25 - 50%"/>
          <xsd:enumeration value="50 - 75%"/>
          <xsd:enumeration value="75 - 100%"/>
          <xsd:enumeration value="Complete"/>
        </xsd:restriction>
      </xsd:simpleType>
    </xsd:element>
    <xsd:element name="On_x0020_Hold" ma:index="16" nillable="true" ma:displayName="On Hold" ma:default="0" ma:indexed="true" ma:internalName="On_x0020_Hold" ma:readOnly="false">
      <xsd:simpleType>
        <xsd:restriction base="dms:Boolean"/>
      </xsd:simpleType>
    </xsd:element>
    <xsd:element name="Accountable" ma:index="18" nillable="true" ma:displayName="Responsible" ma:list="UserInfo" ma:SharePointGroup="0" ma:internalName="Accountable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CCDA188-E746-4949-B395-2D27E18961D6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843e3af0-4c02-46dd-9406-37adaa016145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purl.org/dc/terms/"/>
    <ds:schemaRef ds:uri="0ef7427a-5dfe-4e0f-b655-82d378a0dcf2"/>
  </ds:schemaRefs>
</ds:datastoreItem>
</file>

<file path=customXml/itemProps2.xml><?xml version="1.0" encoding="utf-8"?>
<ds:datastoreItem xmlns:ds="http://schemas.openxmlformats.org/officeDocument/2006/customXml" ds:itemID="{9D9704DD-DCAC-48B5-A036-F6B66ED670E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E79D14-3B26-4E42-A2A1-8F4A9346A843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0FB35A3-8150-492C-9CD6-2A46053377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f7427a-5dfe-4e0f-b655-82d378a0dcf2"/>
    <ds:schemaRef ds:uri="843e3af0-4c02-46dd-9406-37adaa0161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3</vt:i4>
      </vt:variant>
    </vt:vector>
  </HeadingPairs>
  <TitlesOfParts>
    <vt:vector size="33" baseType="lpstr">
      <vt:lpstr>Contents Page</vt:lpstr>
      <vt:lpstr>Planning Accuracy</vt:lpstr>
      <vt:lpstr>AM Benches Data</vt:lpstr>
      <vt:lpstr>SEC Benches Data</vt:lpstr>
      <vt:lpstr>PCB Data</vt:lpstr>
      <vt:lpstr>XFMR Data</vt:lpstr>
      <vt:lpstr>HW</vt:lpstr>
      <vt:lpstr>Summary Page</vt:lpstr>
      <vt:lpstr>Growth Predic 52 Wk on Stretch</vt:lpstr>
      <vt:lpstr>Growth Prediction Exec Summary</vt:lpstr>
      <vt:lpstr>Growth Plan (Visual)</vt:lpstr>
      <vt:lpstr>Growth Plan Expected CAPEX</vt:lpstr>
      <vt:lpstr>Team Utilisation</vt:lpstr>
      <vt:lpstr>Team Eff</vt:lpstr>
      <vt:lpstr>Team Eff Graphs</vt:lpstr>
      <vt:lpstr>Team Numbers</vt:lpstr>
      <vt:lpstr>OEE</vt:lpstr>
      <vt:lpstr>OEE SMT</vt:lpstr>
      <vt:lpstr>Unit Numbers </vt:lpstr>
      <vt:lpstr>Units made</vt:lpstr>
      <vt:lpstr>eShepherd Analysis</vt:lpstr>
      <vt:lpstr>Growth Analysis Summary</vt:lpstr>
      <vt:lpstr>Growth Analysis Data</vt:lpstr>
      <vt:lpstr>Financial Tracking of the Team</vt:lpstr>
      <vt:lpstr>Group Totals</vt:lpstr>
      <vt:lpstr>Dashboard 3</vt:lpstr>
      <vt:lpstr>Dashboard 2</vt:lpstr>
      <vt:lpstr>Dashboard</vt:lpstr>
      <vt:lpstr>Dashboard Graphs</vt:lpstr>
      <vt:lpstr>Group Total Graphs</vt:lpstr>
      <vt:lpstr>Dashboard!Print_Area</vt:lpstr>
      <vt:lpstr>'Dashboard Graphs'!Print_Area</vt:lpstr>
      <vt:lpstr>'Summary Page'!Print_Area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Andrew Rowson</dc:creator>
  <cp:keywords/>
  <dc:description/>
  <cp:lastModifiedBy>Afzal Baharudin</cp:lastModifiedBy>
  <cp:revision/>
  <dcterms:created xsi:type="dcterms:W3CDTF">2019-07-15T21:11:13Z</dcterms:created>
  <dcterms:modified xsi:type="dcterms:W3CDTF">2023-05-31T00:06:51Z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0x010100A442D8FE289EE9448B8FD67B27E9CF39</vt:lpwstr>
  </property>
  <property fmtid="{D5CDD505-2E9C-101B-9397-08002B2CF9AE}" pid="3" name="TaxKeyword">
    <vt:lpwstr/>
  </property>
  <property fmtid="{D5CDD505-2E9C-101B-9397-08002B2CF9AE}" pid="4" name="_dlc_DocIdItemGuid">
    <vt:lpwstr>02b3abec-33b0-4de7-85c9-e9d2e0825fb1</vt:lpwstr>
  </property>
  <property fmtid="{D5CDD505-2E9C-101B-9397-08002B2CF9AE}" pid="5" name="DocumentSetDescription">
    <vt:lpwstr/>
  </property>
  <property fmtid="{D5CDD505-2E9C-101B-9397-08002B2CF9AE}" pid="6" name="SharedWithUsers">
    <vt:lpwstr>672;#Joe Harris;#800;#Hemi Joyce Gay;#1384;#Afzal Baharudin</vt:lpwstr>
  </property>
</Properties>
</file>